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44525"/>
</workbook>
</file>

<file path=xl/sharedStrings.xml><?xml version="1.0" encoding="utf-8"?>
<sst xmlns="http://schemas.openxmlformats.org/spreadsheetml/2006/main" count="13261" uniqueCount="123">
  <si>
    <t>出栏量</t>
  </si>
  <si>
    <t>存栏量</t>
  </si>
  <si>
    <t>总头数</t>
  </si>
  <si>
    <t>VS(kg/头/年)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</si>
  <si>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</si>
  <si>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</si>
  <si>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</si>
  <si>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</si>
  <si>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</si>
  <si>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</si>
  <si>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</si>
  <si>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</si>
  <si>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</si>
  <si>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</si>
  <si>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</si>
  <si>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</si>
  <si>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</si>
  <si>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</si>
  <si>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</si>
  <si>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</si>
  <si>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</si>
  <si>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</si>
  <si>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</si>
  <si>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</si>
  <si>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</si>
  <si>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</si>
  <si>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</si>
  <si>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</si>
  <si>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</si>
  <si>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</si>
  <si>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</si>
  <si>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</si>
  <si>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</si>
  <si>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</si>
  <si>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</si>
  <si>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kg</t>
  </si>
  <si>
    <t>1000tons</t>
  </si>
  <si>
    <t>肠道</t>
  </si>
  <si>
    <t>千吨</t>
  </si>
  <si>
    <t>四川肠道</t>
  </si>
  <si>
    <t>黑龙江肠道</t>
  </si>
  <si>
    <t>牛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</si>
  <si>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</si>
  <si>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</si>
  <si>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</si>
  <si>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</si>
  <si>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</si>
  <si>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</si>
  <si>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</si>
  <si>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</si>
  <si>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</si>
  <si>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</si>
  <si>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</si>
  <si>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（总数）</t>
  </si>
  <si>
    <t>(平均值）</t>
  </si>
  <si>
    <t>T1</t>
  </si>
  <si>
    <t>K</t>
  </si>
  <si>
    <t>Total CH4</t>
  </si>
  <si>
    <t>这次按温度计算的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</si>
  <si>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</si>
  <si>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</si>
  <si>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</si>
  <si>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</si>
  <si>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</si>
  <si>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</si>
  <si>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</si>
  <si>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</si>
  <si>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</si>
  <si>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</si>
  <si>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</si>
  <si>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</si>
  <si>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</si>
  <si>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</si>
  <si>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</si>
  <si>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</si>
  <si>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</si>
  <si>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</si>
  <si>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</si>
  <si>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</si>
  <si>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</si>
  <si>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</si>
  <si>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</si>
  <si>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</si>
  <si>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</si>
  <si>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</si>
  <si>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</si>
  <si>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</si>
  <si>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</si>
  <si>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</si>
  <si>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</si>
  <si>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</si>
  <si>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</si>
  <si>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</si>
  <si>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</si>
  <si>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</si>
  <si>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</si>
  <si>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</si>
  <si>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</si>
  <si>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</si>
  <si>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</si>
  <si>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</si>
  <si>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</si>
  <si>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</si>
  <si>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</si>
  <si>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</si>
  <si>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</si>
  <si>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</si>
  <si>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</si>
  <si>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</si>
  <si>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</si>
  <si>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</si>
  <si>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</si>
  <si>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</si>
  <si>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</si>
  <si>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</si>
  <si>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</si>
  <si>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</si>
  <si>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</si>
  <si>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</si>
  <si>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</si>
  <si>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</si>
  <si>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</si>
  <si>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一个月的奶牛的甲烷量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</si>
</sst>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_ "/>
    <numFmt numFmtId="178" formatCode="0.0000_ "/>
    <numFmt numFmtId="179" formatCode="0.0000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b/>
      <sz val="11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9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17" borderId="12" applyNumberFormat="0" applyAlignment="0" applyProtection="0">
      <alignment vertical="center"/>
    </xf>
    <xf numFmtId="0" fontId="19" fillId="17" borderId="8" applyNumberFormat="0" applyAlignment="0" applyProtection="0">
      <alignment vertical="center"/>
    </xf>
    <xf numFmtId="0" fontId="20" fillId="18" borderId="13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177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7" fontId="1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7" fontId="1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0" fillId="4" borderId="1" xfId="0" applyFill="1" applyBorder="1" applyAlignment="1"/>
    <xf numFmtId="176" fontId="1" fillId="4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0" fillId="0" borderId="0" xfId="0" applyFill="1" applyAlignment="1"/>
    <xf numFmtId="0" fontId="1" fillId="2" borderId="1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4" borderId="1" xfId="0" applyFont="1" applyFill="1" applyBorder="1" applyAlignment="1"/>
    <xf numFmtId="0" fontId="0" fillId="0" borderId="0" xfId="0" applyFont="1" applyFill="1" applyAlignment="1"/>
    <xf numFmtId="177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7" fontId="5" fillId="5" borderId="1" xfId="0" applyNumberFormat="1" applyFont="1" applyFill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7" fontId="5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77" fontId="5" fillId="5" borderId="0" xfId="0" applyNumberFormat="1" applyFont="1" applyFill="1" applyAlignment="1">
      <alignment horizontal="center" vertical="center"/>
    </xf>
    <xf numFmtId="177" fontId="5" fillId="4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102"/>
  <sheetViews>
    <sheetView tabSelected="1" workbookViewId="0">
      <pane xSplit="4" topLeftCell="E1" activePane="topRight" state="frozen"/>
      <selection/>
      <selection pane="topRight"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7" width="14.1111111111111" style="1" customWidth="1"/>
    <col min="8" max="8" width="18.6666666666667" style="1" customWidth="1"/>
    <col min="9" max="9" width="15.6666666666667" style="1" customWidth="1"/>
    <col min="10" max="10" width="15.6666666666667" style="1"/>
    <col min="11" max="11" width="10" style="1" customWidth="1"/>
    <col min="12" max="12" width="11.5555555555556" style="1" customWidth="1"/>
    <col min="13" max="14" width="8.88888888888889" style="1"/>
    <col min="15" max="16" width="14.3333333333333" style="1"/>
    <col min="17" max="17" width="9.66666666666667" style="1" customWidth="1"/>
    <col min="18" max="18" width="15.6666666666667" style="1" customWidth="1"/>
    <col min="19" max="20" width="14.3333333333333" style="1"/>
    <col min="21" max="21" width="11.4444444444444" style="1" customWidth="1"/>
    <col min="22" max="22" width="8.44444444444444" style="1" customWidth="1"/>
    <col min="23" max="26" width="14.3333333333333" style="1"/>
    <col min="27" max="27" width="9" style="1" customWidth="1"/>
    <col min="28" max="28" width="15.6666666666667" style="1"/>
    <col min="29" max="29" width="14.3333333333333" style="1"/>
    <col min="30" max="30" width="10.2222222222222" style="1" customWidth="1"/>
    <col min="31" max="31" width="14.3333333333333" style="1"/>
    <col min="32" max="32" width="12.2222222222222" style="1" customWidth="1"/>
    <col min="33" max="33" width="15.6666666666667" style="1"/>
    <col min="34" max="36" width="14.3333333333333" style="1"/>
    <col min="37" max="37" width="10.3333333333333" style="1" customWidth="1"/>
    <col min="38" max="38" width="14.3333333333333" style="1"/>
    <col min="39" max="39" width="10.4444444444444" style="1" customWidth="1"/>
    <col min="40" max="40" width="13" style="1" customWidth="1"/>
    <col min="41" max="41" width="14.3333333333333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4.3333333333333" style="1"/>
    <col min="46" max="46" width="16.2222222222222" style="2" customWidth="1"/>
    <col min="47" max="47" width="15.6666666666667" style="1" customWidth="1"/>
    <col min="48" max="56" width="15.6666666666667" style="1"/>
    <col min="57" max="57" width="9.66666666666667" style="1" customWidth="1"/>
    <col min="58" max="58" width="15.6666666666667" style="1" customWidth="1"/>
    <col min="59" max="59" width="6.88888888888889" style="1" customWidth="1"/>
    <col min="60" max="60" width="11.8888888888889" style="1" customWidth="1"/>
    <col min="61" max="62" width="15.6666666666667" style="1"/>
    <col min="63" max="63" width="11.5555555555556" style="1" customWidth="1"/>
    <col min="64" max="64" width="15.6666666666667" style="1"/>
    <col min="65" max="16384" width="8.88888888888889" style="1"/>
  </cols>
  <sheetData>
    <row r="1" spans="3:60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/>
      <c r="K1"/>
      <c r="L1"/>
      <c r="M1"/>
      <c r="N1" s="47"/>
      <c r="O1" s="48" t="s">
        <v>4</v>
      </c>
      <c r="P1" s="48" t="s">
        <v>5</v>
      </c>
      <c r="Q1" s="48" t="s">
        <v>6</v>
      </c>
      <c r="R1" s="48" t="s">
        <v>7</v>
      </c>
      <c r="S1" s="48" t="s">
        <v>8</v>
      </c>
      <c r="T1" s="48" t="s">
        <v>9</v>
      </c>
      <c r="U1" s="48" t="s">
        <v>10</v>
      </c>
      <c r="V1" s="48" t="s">
        <v>11</v>
      </c>
      <c r="W1" s="48" t="s">
        <v>12</v>
      </c>
      <c r="X1" s="48" t="s">
        <v>13</v>
      </c>
      <c r="Y1" s="48" t="s">
        <v>14</v>
      </c>
      <c r="Z1" s="48" t="s">
        <v>15</v>
      </c>
      <c r="AA1" s="48" t="s">
        <v>16</v>
      </c>
      <c r="AB1" s="48" t="s">
        <v>17</v>
      </c>
      <c r="AC1" s="48" t="s">
        <v>18</v>
      </c>
      <c r="AD1" s="48" t="s">
        <v>19</v>
      </c>
      <c r="AE1" s="48" t="s">
        <v>20</v>
      </c>
      <c r="AF1" s="48" t="s">
        <v>21</v>
      </c>
      <c r="AG1" s="48" t="s">
        <v>22</v>
      </c>
      <c r="AH1" s="48" t="s">
        <v>23</v>
      </c>
      <c r="AI1" s="48" t="s">
        <v>24</v>
      </c>
      <c r="AJ1" s="48" t="s">
        <v>25</v>
      </c>
      <c r="AK1" s="48" t="s">
        <v>26</v>
      </c>
      <c r="AL1" s="48" t="s">
        <v>27</v>
      </c>
      <c r="AM1" s="48" t="s">
        <v>28</v>
      </c>
      <c r="AN1" s="48" t="s">
        <v>29</v>
      </c>
      <c r="AO1" s="48" t="s">
        <v>30</v>
      </c>
      <c r="AP1" s="48" t="s">
        <v>31</v>
      </c>
      <c r="AQ1" s="48" t="s">
        <v>32</v>
      </c>
      <c r="AR1" s="48" t="s">
        <v>33</v>
      </c>
      <c r="AS1" s="48" t="s">
        <v>34</v>
      </c>
      <c r="AT1" s="47" t="s">
        <v>35</v>
      </c>
      <c r="AU1" s="49" t="s">
        <v>36</v>
      </c>
      <c r="AV1" s="47"/>
      <c r="AW1" s="47" t="s">
        <v>37</v>
      </c>
      <c r="AX1" s="47" t="s">
        <v>38</v>
      </c>
      <c r="AY1" s="47"/>
      <c r="AZ1" s="47"/>
      <c r="BA1" s="47"/>
      <c r="BB1" s="1" t="s">
        <v>39</v>
      </c>
      <c r="BD1" s="1" t="s">
        <v>26</v>
      </c>
      <c r="BH1" s="1" t="s">
        <v>40</v>
      </c>
    </row>
    <row r="2" spans="1:64">
      <c r="A2" s="4" t="s">
        <v>41</v>
      </c>
      <c r="B2" s="5" t="s">
        <v>42</v>
      </c>
      <c r="C2" s="3"/>
      <c r="D2" s="3"/>
      <c r="E2" s="6">
        <v>23.54</v>
      </c>
      <c r="F2" s="3">
        <v>1166.832</v>
      </c>
      <c r="G2" s="45">
        <f>(F2+F3+F4)/3</f>
        <v>1338.18733333333</v>
      </c>
      <c r="H2"/>
      <c r="I2"/>
      <c r="J2"/>
      <c r="K2"/>
      <c r="L2"/>
      <c r="M2"/>
      <c r="N2" s="47">
        <v>2</v>
      </c>
      <c r="O2" s="47" t="e">
        <f>AU28+#REF!+#REF!+#REF!+AU43+AF59+BC75+BC91+BF91</f>
        <v>#REF!</v>
      </c>
      <c r="P2" s="47" t="e">
        <f>天津!AU28+天津!#REF!+天津!#REF!+天津!#REF!+天津!AU43+天津!AF59+天津!AX75+天津!AX91+天津!BA91</f>
        <v>#REF!</v>
      </c>
      <c r="Q2" s="47" t="e">
        <f>河北!AU28+河北!#REF!+河北!#REF!+河北!#REF!+河北!AU43+河北!AF59+河北!AX75+河北!AX91+河北!BA91</f>
        <v>#REF!</v>
      </c>
      <c r="R2" s="47" t="e">
        <f>山西!AU28+山西!#REF!+山西!#REF!+山西!#REF!+山西!AU43+山西!AF59+山西!AX75+山西!AX91+山西!BA91</f>
        <v>#REF!</v>
      </c>
      <c r="S2" s="47" t="e">
        <f>内蒙!AU28+内蒙!#REF!+内蒙!#REF!+内蒙!#REF!+内蒙!AU43+内蒙!AF59+内蒙!AX75+内蒙!AX91+内蒙!BA91+内蒙!AX106</f>
        <v>#REF!</v>
      </c>
      <c r="T2" s="47" t="e">
        <f>辽宁!AU28+辽宁!#REF!+辽宁!#REF!+辽宁!#REF!+辽宁!AU43+辽宁!AF59+辽宁!AX75+辽宁!AX91+辽宁!BA91+辽宁!AX106</f>
        <v>#REF!</v>
      </c>
      <c r="U2" s="47" t="e">
        <f>吉林!AU28+吉林!#REF!+吉林!#REF!+吉林!#REF!+吉林!AU43+吉林!AF59+吉林!AX75+吉林!AX91+吉林!BA91+吉林!AX106</f>
        <v>#REF!</v>
      </c>
      <c r="V2" s="47" t="e">
        <f>黑龙江!AU28+黑龙江!#REF!+黑龙江!#REF!+黑龙江!#REF!+黑龙江!AU43+黑龙江!AF59+黑龙江!AX75+黑龙江!AX91+黑龙江!BA91+黑龙江!AX106</f>
        <v>#REF!</v>
      </c>
      <c r="W2" s="47" t="e">
        <f>上海!AU28+上海!#REF!+上海!#REF!+上海!#REF!+上海!AU43+上海!AF59+上海!AX75+上海!AX91+上海!BA91+上海!AX106</f>
        <v>#REF!</v>
      </c>
      <c r="X2" s="47" t="e">
        <f>江苏!AU28+江苏!#REF!+江苏!#REF!+江苏!#REF!+江苏!AU43+江苏!AF59+江苏!AX75+江苏!AX91+江苏!BA91+江苏!AX106</f>
        <v>#REF!</v>
      </c>
      <c r="Y2" s="47" t="e">
        <f>浙江!AU28+浙江!#REF!+浙江!#REF!+浙江!#REF!+浙江!AU43+浙江!AF59+浙江!AX75+浙江!AX91+浙江!BA91+浙江!AX106</f>
        <v>#REF!</v>
      </c>
      <c r="Z2" s="47" t="e">
        <f>安徽!AU28+安徽!#REF!+安徽!#REF!+安徽!#REF!+安徽!AU43+安徽!AF59+安徽!AX75+安徽!AX91+安徽!BA91+安徽!AX106</f>
        <v>#REF!</v>
      </c>
      <c r="AA2" s="47" t="e">
        <f>福建!AU28+福建!#REF!+福建!#REF!+福建!#REF!+福建!AU43+福建!AF59+福建!AX75+福建!AX91+福建!BA91+福建!AX106</f>
        <v>#REF!</v>
      </c>
      <c r="AB2" s="47" t="e">
        <f>江西!AU28+江西!#REF!+江西!#REF!+江西!#REF!+江西!AU43+江西!AF59+江西!AX75+江西!AX91+江西!BA91+江西!AX106</f>
        <v>#REF!</v>
      </c>
      <c r="AC2" s="47" t="e">
        <f>山东!AU28+山东!#REF!+山东!#REF!+山东!#REF!+山东!AU43+山东!AF59+山东!AX75+山东!AX91+山东!BA91+山东!AX106</f>
        <v>#REF!</v>
      </c>
      <c r="AD2" s="47" t="e">
        <f>河南!AU28+河南!#REF!+河南!#REF!+河南!#REF!+河南!AU43+河南!AF59+河南!AX75+河南!AX91+河南!BA91+河南!AX106</f>
        <v>#REF!</v>
      </c>
      <c r="AE2" s="47" t="e">
        <f>湖北!AU28+湖北!#REF!+湖北!#REF!+湖北!#REF!+湖北!AU43+湖北!AF59+湖北!AX75+湖北!AX91+湖北!BA91+湖北!AX106</f>
        <v>#REF!</v>
      </c>
      <c r="AF2" s="47" t="e">
        <f>湖南!AU28+湖南!#REF!+湖南!#REF!+湖南!#REF!+湖南!AU44+湖南!AF60+湖南!AX76+湖南!AX92+湖南!BA92+湖南!AX107</f>
        <v>#REF!</v>
      </c>
      <c r="AG2" s="47" t="e">
        <f>广东!AU28+广东!#REF!+广东!#REF!+广东!#REF!+广东!AU43+广东!AF59+广东!AX75+广东!AX91+广东!BA91+广东!AX106</f>
        <v>#REF!</v>
      </c>
      <c r="AH2" s="47" t="e">
        <f>广西!AU28+广西!#REF!+广西!#REF!+广西!#REF!+广西!AU43+广西!AF59+广西!AX75+广西!AX91+广西!BA91+广西!AX106</f>
        <v>#REF!</v>
      </c>
      <c r="AI2" s="47" t="e">
        <f>海南!AU28+海南!#REF!+海南!#REF!+海南!#REF!+海南!AU43+海南!AF59+海南!AX75+海南!AX91+海南!BA91+海南!AX106</f>
        <v>#REF!</v>
      </c>
      <c r="AJ2" s="47" t="e">
        <f>重庆!AU28+重庆!#REF!+重庆!#REF!+重庆!#REF!+重庆!AU43+重庆!AF59+重庆!AX75+重庆!AX91+重庆!BA91+重庆!AX106</f>
        <v>#REF!</v>
      </c>
      <c r="AK2" s="47" t="e">
        <f>四川!AU28+四川!#REF!+四川!#REF!+四川!#REF!+四川!AU43+四川!AF59+四川!AX75+四川!AX91+四川!BA91+四川!AX106</f>
        <v>#REF!</v>
      </c>
      <c r="AL2" s="47" t="e">
        <f>贵州!AU28+贵州!#REF!+贵州!#REF!+贵州!#REF!+贵州!AU43+贵州!AF59+贵州!AX75+贵州!AX91+贵州!BA91+贵州!AX106</f>
        <v>#REF!</v>
      </c>
      <c r="AM2" s="47" t="e">
        <f>云南!AU28+云南!#REF!+云南!#REF!+云南!#REF!+云南!AU43+云南!AF59+云南!AX75+云南!AX91+云南!BA91+云南!AX106</f>
        <v>#REF!</v>
      </c>
      <c r="AN2" s="47" t="e">
        <f>西藏!AU28+西藏!#REF!+西藏!#REF!+西藏!#REF!+西藏!AU43+西藏!AF59+西藏!AX75+西藏!AX91+西藏!BA91+西藏!AX106</f>
        <v>#REF!</v>
      </c>
      <c r="AO2" s="47" t="e">
        <f>陕西!AU28+陕西!#REF!+陕西!#REF!+陕西!#REF!+陕西!AU43+陕西!AF59+陕西!AX75+陕西!AX91+陕西!BA91+陕西!AX106</f>
        <v>#REF!</v>
      </c>
      <c r="AP2" s="47" t="e">
        <f>甘肃!AU28+甘肃!#REF!+甘肃!#REF!+甘肃!#REF!+甘肃!AU43+甘肃!AF59+甘肃!AX75+甘肃!AX91+甘肃!BA91+甘肃!AX106</f>
        <v>#REF!</v>
      </c>
      <c r="AQ2" s="47" t="e">
        <f>青海!AU28+青海!#REF!+青海!#REF!+青海!#REF!+青海!AU43+青海!AF59+青海!AX75+青海!AX91+青海!BA91+青海!AX106</f>
        <v>#REF!</v>
      </c>
      <c r="AR2" s="50" t="e">
        <f>宁夏!AU28+宁夏!#REF!+宁夏!#REF!+宁夏!#REF!+宁夏!AU43+宁夏!AF59+宁夏!AX75+宁夏!AX91+宁夏!BA91+宁夏!AX106</f>
        <v>#REF!</v>
      </c>
      <c r="AS2" s="47" t="e">
        <f>新疆!AU28+新疆!#REF!+新疆!#REF!+新疆!#REF!+新疆!AU43+新疆!AF59+新疆!AX75+新疆!AX91+新疆!BA91+新疆!AX106</f>
        <v>#REF!</v>
      </c>
      <c r="AT2" s="47" t="e">
        <f>SUM(O2:AS2)</f>
        <v>#REF!</v>
      </c>
      <c r="AU2" s="51" t="e">
        <f>AT2/10^6</f>
        <v>#REF!</v>
      </c>
      <c r="AV2" s="52" t="e">
        <f>(AU2-$AU$12)/$AU$12*100</f>
        <v>#REF!</v>
      </c>
      <c r="AW2" s="52">
        <v>854</v>
      </c>
      <c r="AX2" s="55" t="e">
        <f>AU2+AW2</f>
        <v>#REF!</v>
      </c>
      <c r="AY2" s="52" t="e">
        <f>AX2/$AX$12*100</f>
        <v>#REF!</v>
      </c>
      <c r="AZ2" s="52"/>
      <c r="BA2" s="52" t="e">
        <f>-AV2</f>
        <v>#REF!</v>
      </c>
      <c r="BB2" s="1">
        <v>1020936242.85407</v>
      </c>
      <c r="BC2" s="1" t="e">
        <f>BB2*AY2/100</f>
        <v>#REF!</v>
      </c>
      <c r="BD2" s="30" t="e">
        <f>(AK2+BC2)/10^6</f>
        <v>#REF!</v>
      </c>
      <c r="BE2" s="30" t="e">
        <f>(BD2-$BD$12)/$BD$12*100</f>
        <v>#REF!</v>
      </c>
      <c r="BF2" s="30" t="e">
        <f>-BE2</f>
        <v>#REF!</v>
      </c>
      <c r="BH2" s="1">
        <v>547999265.924914</v>
      </c>
      <c r="BI2" s="1" t="e">
        <f>BH2*AY2/100</f>
        <v>#REF!</v>
      </c>
      <c r="BJ2" s="30" t="e">
        <f>(V2+BI2)/10^6</f>
        <v>#REF!</v>
      </c>
      <c r="BK2" s="30" t="e">
        <f>(BJ2-$BJ$12)/$BJ$12*100</f>
        <v>#REF!</v>
      </c>
      <c r="BL2" s="30" t="e">
        <f>-BK2</f>
        <v>#REF!</v>
      </c>
    </row>
    <row r="3" spans="1:64">
      <c r="A3" s="4"/>
      <c r="B3" s="5" t="s">
        <v>43</v>
      </c>
      <c r="C3" s="3"/>
      <c r="D3" s="3"/>
      <c r="E3" s="8"/>
      <c r="F3" s="3">
        <v>1192.09</v>
      </c>
      <c r="G3" s="45"/>
      <c r="H3"/>
      <c r="I3"/>
      <c r="J3"/>
      <c r="K3"/>
      <c r="L3"/>
      <c r="M3"/>
      <c r="N3" s="47">
        <v>3</v>
      </c>
      <c r="O3" s="47" t="e">
        <f>AU29+#REF!+#REF!+#REF!+AU44+AF60+BC76+BC92+BF92</f>
        <v>#REF!</v>
      </c>
      <c r="P3" s="47" t="e">
        <f>天津!AU29+天津!#REF!+天津!#REF!+天津!#REF!+天津!AU44+天津!AF60+天津!AX76+天津!AX92+天津!BA92</f>
        <v>#REF!</v>
      </c>
      <c r="Q3" s="47" t="e">
        <f>河北!AU29+河北!#REF!+河北!#REF!+河北!#REF!+河北!AU44+河北!AF60+河北!AX76+河北!AX92+河北!BA92</f>
        <v>#REF!</v>
      </c>
      <c r="R3" s="47" t="e">
        <f>山西!AU29+山西!#REF!+山西!#REF!+山西!#REF!+山西!AU44+山西!AF60+山西!AX76+山西!AX92+山西!BA92</f>
        <v>#REF!</v>
      </c>
      <c r="S3" s="47" t="e">
        <f>内蒙!AU29+内蒙!#REF!+内蒙!#REF!+内蒙!#REF!+内蒙!AU44+内蒙!AF60+内蒙!AX76+内蒙!AX92+内蒙!BA92+内蒙!AX107</f>
        <v>#REF!</v>
      </c>
      <c r="T3" s="47" t="e">
        <f>辽宁!AU29+辽宁!#REF!+辽宁!#REF!+辽宁!#REF!+辽宁!AU44+辽宁!AF60+辽宁!AX76+辽宁!AX92+辽宁!BA92+辽宁!AX107</f>
        <v>#REF!</v>
      </c>
      <c r="U3" s="47" t="e">
        <f>吉林!AU29+吉林!#REF!+吉林!#REF!+吉林!#REF!+吉林!AU44+吉林!AF60+吉林!AX76+吉林!AX92+吉林!BA92+吉林!AX107</f>
        <v>#REF!</v>
      </c>
      <c r="V3" s="47" t="e">
        <f>黑龙江!AU29+黑龙江!#REF!+黑龙江!#REF!+黑龙江!#REF!+黑龙江!AU44+黑龙江!AF60+黑龙江!AX76+黑龙江!AX92+黑龙江!BA92+黑龙江!AX107</f>
        <v>#REF!</v>
      </c>
      <c r="W3" s="47" t="e">
        <f>上海!AU29+上海!#REF!+上海!#REF!+上海!#REF!+上海!AU44+上海!AF60+上海!AX76+上海!AX92+上海!BA92+上海!AX107</f>
        <v>#REF!</v>
      </c>
      <c r="X3" s="47" t="e">
        <f>江苏!AU29+江苏!#REF!+江苏!#REF!+江苏!#REF!+江苏!AU44+江苏!AF60+江苏!AX76+江苏!AX92+江苏!BA92+江苏!AX107</f>
        <v>#REF!</v>
      </c>
      <c r="Y3" s="47" t="e">
        <f>浙江!AU29+浙江!#REF!+浙江!#REF!+浙江!#REF!+浙江!AU44+浙江!AF60+浙江!AX76+浙江!AX92+浙江!BA92+浙江!AX107</f>
        <v>#REF!</v>
      </c>
      <c r="Z3" s="47" t="e">
        <f>安徽!AU29+安徽!#REF!+安徽!#REF!+安徽!#REF!+安徽!AU44+安徽!AF60+安徽!AX76+安徽!AX92+安徽!BA92+安徽!AX107</f>
        <v>#REF!</v>
      </c>
      <c r="AA3" s="47" t="e">
        <f>福建!AU29+福建!#REF!+福建!#REF!+福建!#REF!+福建!AU44+福建!AF60+福建!AX76+福建!AX92+福建!BA92+福建!AX107</f>
        <v>#REF!</v>
      </c>
      <c r="AB3" s="47" t="e">
        <f>江西!AU29+江西!#REF!+江西!#REF!+江西!#REF!+江西!AU44+江西!AF60+江西!AX76+江西!AX92+江西!BA92+江西!AX107</f>
        <v>#REF!</v>
      </c>
      <c r="AC3" s="47" t="e">
        <f>山东!AU29+山东!#REF!+山东!#REF!+山东!#REF!+山东!AU44+山东!AF60+山东!AX76+山东!AX92+山东!BA92+山东!AX107</f>
        <v>#REF!</v>
      </c>
      <c r="AD3" s="47" t="e">
        <f>河南!AU29+河南!#REF!+河南!#REF!+河南!#REF!+河南!AU44+河南!AF60+河南!AX76+河南!AX92+河南!BA92+河南!AX107</f>
        <v>#REF!</v>
      </c>
      <c r="AE3" s="47" t="e">
        <f>湖北!AU29+湖北!#REF!+湖北!#REF!+湖北!#REF!+湖北!AU44+湖北!AF60+湖北!AX76+湖北!AX92+湖北!BA92+湖北!AX107</f>
        <v>#REF!</v>
      </c>
      <c r="AF3" s="47" t="e">
        <f>湖南!AU29+湖南!#REF!+湖南!#REF!+湖南!#REF!+湖南!AU45+湖南!AF61+湖南!AX77+湖南!AX93+湖南!BA93+湖南!AX108</f>
        <v>#REF!</v>
      </c>
      <c r="AG3" s="47" t="e">
        <f>广东!AU29+广东!#REF!+广东!#REF!+广东!#REF!+广东!AU44+广东!AF60+广东!AX76+广东!AX92+广东!BA92+广东!AX107</f>
        <v>#REF!</v>
      </c>
      <c r="AH3" s="47" t="e">
        <f>广西!AU29+广西!#REF!+广西!#REF!+广西!#REF!+广西!AU44+广西!AF60+广西!AX76+广西!AX92+广西!BA92+广西!AX107</f>
        <v>#REF!</v>
      </c>
      <c r="AI3" s="47" t="e">
        <f>海南!AU29+海南!#REF!+海南!#REF!+海南!#REF!+海南!AU44+海南!AF60+海南!AX76+海南!AX92+海南!BA92+海南!AX107</f>
        <v>#REF!</v>
      </c>
      <c r="AJ3" s="47" t="e">
        <f>重庆!AU29+重庆!#REF!+重庆!#REF!+重庆!#REF!+重庆!AU44+重庆!AF60+重庆!AX76+重庆!AX92+重庆!BA92+重庆!AX107</f>
        <v>#REF!</v>
      </c>
      <c r="AK3" s="47" t="e">
        <f>四川!AU29+四川!#REF!+四川!#REF!+四川!#REF!+四川!AU44+四川!AF60+四川!AX76+四川!AX92+四川!BA92+四川!AX107</f>
        <v>#REF!</v>
      </c>
      <c r="AL3" s="47" t="e">
        <f>贵州!AU29+贵州!#REF!+贵州!#REF!+贵州!#REF!+贵州!AU44+贵州!AF60+贵州!AX76+贵州!AX92+贵州!BA92+贵州!AX107</f>
        <v>#REF!</v>
      </c>
      <c r="AM3" s="47" t="e">
        <f>云南!AU29+云南!#REF!+云南!#REF!+云南!#REF!+云南!AU44+云南!AF60+云南!AX76+云南!AX92+云南!BA92+云南!AX107</f>
        <v>#REF!</v>
      </c>
      <c r="AN3" s="47" t="e">
        <f>西藏!AU29+西藏!#REF!+西藏!#REF!+西藏!#REF!+西藏!AU44+西藏!AF60+西藏!AX76+西藏!AX92+西藏!BA92+西藏!AX107</f>
        <v>#REF!</v>
      </c>
      <c r="AO3" s="47" t="e">
        <f>陕西!AU29+陕西!#REF!+陕西!#REF!+陕西!#REF!+陕西!AU44+陕西!AF60+陕西!AX76+陕西!AX92+陕西!BA92+陕西!AX107</f>
        <v>#REF!</v>
      </c>
      <c r="AP3" s="47" t="e">
        <f>甘肃!AU29+甘肃!#REF!+甘肃!#REF!+甘肃!#REF!+甘肃!AU44+甘肃!AF60+甘肃!AX76+甘肃!AX92+甘肃!BA92+甘肃!AX107</f>
        <v>#REF!</v>
      </c>
      <c r="AQ3" s="47" t="e">
        <f>青海!AU29+青海!#REF!+青海!#REF!+青海!#REF!+青海!AU44+青海!AF60+青海!AX76+青海!AX92+青海!BA92+青海!AX107</f>
        <v>#REF!</v>
      </c>
      <c r="AR3" s="50" t="e">
        <f>宁夏!AU29+宁夏!#REF!+宁夏!#REF!+宁夏!#REF!+宁夏!AU44+宁夏!AF60+宁夏!AX76+宁夏!AX92+宁夏!BA92+宁夏!AX107</f>
        <v>#REF!</v>
      </c>
      <c r="AS3" s="47" t="e">
        <f>新疆!AU29+新疆!#REF!+新疆!#REF!+新疆!#REF!+新疆!AU44+新疆!AF60+新疆!AX76+新疆!AX92+新疆!BA92+新疆!AX107</f>
        <v>#REF!</v>
      </c>
      <c r="AT3" s="47" t="e">
        <f>SUM(O3:AS3)</f>
        <v>#REF!</v>
      </c>
      <c r="AU3" s="53" t="e">
        <f>AT3/10^6</f>
        <v>#REF!</v>
      </c>
      <c r="AV3" s="52" t="e">
        <f>(AU3-$AU$12)/$AU$12*100</f>
        <v>#REF!</v>
      </c>
      <c r="AW3" s="52">
        <f>12810/12</f>
        <v>1067.5</v>
      </c>
      <c r="AX3" s="52" t="e">
        <f>AU3+AW3</f>
        <v>#REF!</v>
      </c>
      <c r="AY3" s="52" t="e">
        <f>AX3/$AX$12*100</f>
        <v>#REF!</v>
      </c>
      <c r="AZ3" s="52"/>
      <c r="BA3" s="52" t="e">
        <f>-AV3</f>
        <v>#REF!</v>
      </c>
      <c r="BB3" s="1">
        <v>1020936242.85407</v>
      </c>
      <c r="BC3" s="1" t="e">
        <f>BB3*AY3/100</f>
        <v>#REF!</v>
      </c>
      <c r="BD3" s="30" t="e">
        <f>(AK3+BC3)/10^6</f>
        <v>#REF!</v>
      </c>
      <c r="BE3" s="30" t="e">
        <f>(BD3-$BD$12)/$BD$12*100</f>
        <v>#REF!</v>
      </c>
      <c r="BF3" s="30" t="e">
        <f>-BE3</f>
        <v>#REF!</v>
      </c>
      <c r="BH3" s="1">
        <v>547999265.924914</v>
      </c>
      <c r="BI3" s="1" t="e">
        <f>BH3*AY3/100</f>
        <v>#REF!</v>
      </c>
      <c r="BJ3" s="30" t="e">
        <f>(V3+BI3)/10^6</f>
        <v>#REF!</v>
      </c>
      <c r="BK3" s="30" t="e">
        <f>(BJ3-$BJ$12)/$BJ$12*100</f>
        <v>#REF!</v>
      </c>
      <c r="BL3" s="30" t="e">
        <f>-BK3</f>
        <v>#REF!</v>
      </c>
    </row>
    <row r="4" spans="1:64">
      <c r="A4" s="4"/>
      <c r="B4" s="5" t="s">
        <v>44</v>
      </c>
      <c r="C4" s="3"/>
      <c r="D4" s="3"/>
      <c r="E4" s="10"/>
      <c r="F4" s="3">
        <v>1655.64</v>
      </c>
      <c r="G4" s="45"/>
      <c r="H4"/>
      <c r="I4"/>
      <c r="J4"/>
      <c r="K4"/>
      <c r="L4"/>
      <c r="M4"/>
      <c r="N4" s="47">
        <v>4</v>
      </c>
      <c r="O4" s="47" t="e">
        <f>AU30+#REF!+#REF!+#REF!+AU45+AF61+BC77+BC93+BF93</f>
        <v>#REF!</v>
      </c>
      <c r="P4" s="47" t="e">
        <f>天津!AU30+天津!#REF!+天津!#REF!+天津!#REF!+天津!AU45+天津!AF61+天津!AX77+天津!AX93+天津!BA93</f>
        <v>#REF!</v>
      </c>
      <c r="Q4" s="47" t="e">
        <f>河北!AU30+河北!#REF!+河北!#REF!+河北!#REF!+河北!AU45+河北!AF61+河北!AX77+河北!AX93+河北!BA93</f>
        <v>#REF!</v>
      </c>
      <c r="R4" s="47" t="e">
        <f>山西!AU30+山西!#REF!+山西!#REF!+山西!#REF!+山西!AU45+山西!AF61+山西!AX77+山西!AX93+山西!BA93</f>
        <v>#REF!</v>
      </c>
      <c r="S4" s="47" t="e">
        <f>内蒙!AU30+内蒙!#REF!+内蒙!#REF!+内蒙!#REF!+内蒙!AU45+内蒙!AF61+内蒙!AX77+内蒙!AX93+内蒙!BA93+内蒙!AX108</f>
        <v>#REF!</v>
      </c>
      <c r="T4" s="47" t="e">
        <f>辽宁!AU30+辽宁!#REF!+辽宁!#REF!+辽宁!#REF!+辽宁!AU45+辽宁!AF61+辽宁!AX77+辽宁!AX93+辽宁!BA93+辽宁!AX108</f>
        <v>#REF!</v>
      </c>
      <c r="U4" s="47" t="e">
        <f>吉林!AU30+吉林!#REF!+吉林!#REF!+吉林!#REF!+吉林!AU45+吉林!AF61+吉林!AX77+吉林!AX93+吉林!BA93+吉林!AX108</f>
        <v>#REF!</v>
      </c>
      <c r="V4" s="47" t="e">
        <f>黑龙江!AU30+黑龙江!#REF!+黑龙江!#REF!+黑龙江!#REF!+黑龙江!AU45+黑龙江!AF61+黑龙江!AX77+黑龙江!AX93+黑龙江!BA93+黑龙江!AX108</f>
        <v>#REF!</v>
      </c>
      <c r="W4" s="47" t="e">
        <f>上海!AU30+上海!#REF!+上海!#REF!+上海!#REF!+上海!AU45+上海!AF61+上海!AX77+上海!AX93+上海!BA93+上海!AX108</f>
        <v>#REF!</v>
      </c>
      <c r="X4" s="47" t="e">
        <f>江苏!AU30+江苏!#REF!+江苏!#REF!+江苏!#REF!+江苏!AU45+江苏!AF61+江苏!AX77+江苏!AX93+江苏!BA93+江苏!AX108</f>
        <v>#REF!</v>
      </c>
      <c r="Y4" s="47" t="e">
        <f>浙江!AU30+浙江!#REF!+浙江!#REF!+浙江!#REF!+浙江!AU45+浙江!AF61+浙江!AX77+浙江!AX93+浙江!BA93+浙江!AX108</f>
        <v>#REF!</v>
      </c>
      <c r="Z4" s="47" t="e">
        <f>安徽!AU30+安徽!#REF!+安徽!#REF!+安徽!#REF!+安徽!AU45+安徽!AF61+安徽!AX77+安徽!AX93+安徽!BA93+安徽!AX108</f>
        <v>#REF!</v>
      </c>
      <c r="AA4" s="47" t="e">
        <f>福建!AU30+福建!#REF!+福建!#REF!+福建!#REF!+福建!AU45+福建!AF61+福建!AX77+福建!AX93+福建!BA93+福建!AX108</f>
        <v>#REF!</v>
      </c>
      <c r="AB4" s="47" t="e">
        <f>江西!AU30+江西!#REF!+江西!#REF!+江西!#REF!+江西!AU45+江西!AF61+江西!AX77+江西!AX93+江西!BA93+江西!AX108</f>
        <v>#REF!</v>
      </c>
      <c r="AC4" s="47" t="e">
        <f>山东!AU30+山东!#REF!+山东!#REF!+山东!#REF!+山东!AU45+山东!AF61+山东!AX77+山东!AX93+山东!BA93+山东!AX108</f>
        <v>#REF!</v>
      </c>
      <c r="AD4" s="47" t="e">
        <f>河南!AU30+河南!#REF!+河南!#REF!+河南!#REF!+河南!AU45+河南!AF61+河南!AX77+河南!AX93+河南!BA93+河南!AX108</f>
        <v>#REF!</v>
      </c>
      <c r="AE4" s="47" t="e">
        <f>湖北!AU30+湖北!#REF!+湖北!#REF!+湖北!#REF!+湖北!AU45+湖北!AF61+湖北!AX77+湖北!AX93+湖北!BA93+湖北!AX108</f>
        <v>#REF!</v>
      </c>
      <c r="AF4" s="47" t="e">
        <f>湖南!AU30+湖南!#REF!+湖南!#REF!+湖南!#REF!+湖南!AU46+湖南!AF62+湖南!AX78+湖南!AX94+湖南!BA94+湖南!AX109</f>
        <v>#REF!</v>
      </c>
      <c r="AG4" s="47" t="e">
        <f>广东!AU30+广东!#REF!+广东!#REF!+广东!#REF!+广东!AU45+广东!AF61+广东!AX77+广东!AX93+广东!BA93+广东!AX108</f>
        <v>#REF!</v>
      </c>
      <c r="AH4" s="47" t="e">
        <f>广西!AU30+广西!#REF!+广西!#REF!+广西!#REF!+广西!AU45+广西!AF61+广西!AX77+广西!AX93+广西!BA93+广西!AX108</f>
        <v>#REF!</v>
      </c>
      <c r="AI4" s="47" t="e">
        <f>海南!AU30+海南!#REF!+海南!#REF!+海南!#REF!+海南!AU45+海南!AF61+海南!AX77+海南!AX93+海南!BA93+海南!AX108</f>
        <v>#REF!</v>
      </c>
      <c r="AJ4" s="47" t="e">
        <f>重庆!AU30+重庆!#REF!+重庆!#REF!+重庆!#REF!+重庆!AU45+重庆!AF61+重庆!AX77+重庆!AX93+重庆!BA93+重庆!AX108</f>
        <v>#REF!</v>
      </c>
      <c r="AK4" s="47" t="e">
        <f>四川!AU30+四川!#REF!+四川!#REF!+四川!#REF!+四川!AU45+四川!AF61+四川!AX77+四川!AX93+四川!BA93+四川!AX108</f>
        <v>#REF!</v>
      </c>
      <c r="AL4" s="47" t="e">
        <f>贵州!AU30+贵州!#REF!+贵州!#REF!+贵州!#REF!+贵州!AU45+贵州!AF61+贵州!AX77+贵州!AX93+贵州!BA93+贵州!AX108</f>
        <v>#REF!</v>
      </c>
      <c r="AM4" s="47" t="e">
        <f>云南!AU30+云南!#REF!+云南!#REF!+云南!#REF!+云南!AU45+云南!AF61+云南!AX77+云南!AX93+云南!BA93+云南!AX108</f>
        <v>#REF!</v>
      </c>
      <c r="AN4" s="47" t="e">
        <f>西藏!AU30+西藏!#REF!+西藏!#REF!+西藏!#REF!+西藏!AU45+西藏!AF61+西藏!AX77+西藏!AX93+西藏!BA93+西藏!AX108</f>
        <v>#REF!</v>
      </c>
      <c r="AO4" s="47" t="e">
        <f>陕西!AU30+陕西!#REF!+陕西!#REF!+陕西!#REF!+陕西!AU45+陕西!AF61+陕西!AX77+陕西!AX93+陕西!BA93+陕西!AX108</f>
        <v>#REF!</v>
      </c>
      <c r="AP4" s="47" t="e">
        <f>甘肃!AU30+甘肃!#REF!+甘肃!#REF!+甘肃!#REF!+甘肃!AU45+甘肃!AF61+甘肃!AX77+甘肃!AX93+甘肃!BA93+甘肃!AX108</f>
        <v>#REF!</v>
      </c>
      <c r="AQ4" s="47" t="e">
        <f>青海!AU30+青海!#REF!+青海!#REF!+青海!#REF!+青海!AU45+青海!AF61+青海!AX77+青海!AX93+青海!BA93+青海!AX108</f>
        <v>#REF!</v>
      </c>
      <c r="AR4" s="50" t="e">
        <f>宁夏!AU30+宁夏!#REF!+宁夏!#REF!+宁夏!#REF!+宁夏!AU45+宁夏!AF61+宁夏!AX77+宁夏!AX93+宁夏!BA93+宁夏!AX108</f>
        <v>#REF!</v>
      </c>
      <c r="AS4" s="47" t="e">
        <f>新疆!AU30+新疆!#REF!+新疆!#REF!+新疆!#REF!+新疆!AU45+新疆!AF61+新疆!AX77+新疆!AX93+新疆!BA93+新疆!AX108</f>
        <v>#REF!</v>
      </c>
      <c r="AT4" s="47" t="e">
        <f>SUM(O4:AS4)</f>
        <v>#REF!</v>
      </c>
      <c r="AU4" s="53" t="e">
        <f>AT4/10^6</f>
        <v>#REF!</v>
      </c>
      <c r="AV4" s="52" t="e">
        <f>(AU4-$AU$12)/$AU$12*100</f>
        <v>#REF!</v>
      </c>
      <c r="AW4" s="52">
        <f>12810/12</f>
        <v>1067.5</v>
      </c>
      <c r="AX4" s="52" t="e">
        <f>AU4+AW4</f>
        <v>#REF!</v>
      </c>
      <c r="AY4" s="52" t="e">
        <f>AX4/$AX$12*100</f>
        <v>#REF!</v>
      </c>
      <c r="AZ4" s="52"/>
      <c r="BA4" s="52" t="e">
        <f>-AV4</f>
        <v>#REF!</v>
      </c>
      <c r="BB4" s="1">
        <v>1020936242.85407</v>
      </c>
      <c r="BC4" s="1" t="e">
        <f>BB4*AY4/100</f>
        <v>#REF!</v>
      </c>
      <c r="BD4" s="30" t="e">
        <f>(AK4+BC4)/10^6</f>
        <v>#REF!</v>
      </c>
      <c r="BE4" s="30" t="e">
        <f>(BD4-$BD$12)/$BD$12*100</f>
        <v>#REF!</v>
      </c>
      <c r="BF4" s="30" t="e">
        <f>-BE4</f>
        <v>#REF!</v>
      </c>
      <c r="BH4" s="1">
        <v>547999265.924914</v>
      </c>
      <c r="BI4" s="1" t="e">
        <f>BH4*AY4/100</f>
        <v>#REF!</v>
      </c>
      <c r="BJ4" s="30" t="e">
        <f>(V4+BI4)/10^6</f>
        <v>#REF!</v>
      </c>
      <c r="BK4" s="30" t="e">
        <f>(BJ4-$BJ$12)/$BJ$12*100</f>
        <v>#REF!</v>
      </c>
      <c r="BL4" s="30" t="e">
        <f>-BK4</f>
        <v>#REF!</v>
      </c>
    </row>
    <row r="5" spans="1:64">
      <c r="A5" s="4" t="s">
        <v>45</v>
      </c>
      <c r="B5" s="5" t="s">
        <v>46</v>
      </c>
      <c r="C5" s="3"/>
      <c r="D5" s="3"/>
      <c r="E5" s="6">
        <v>99.0026301369863</v>
      </c>
      <c r="F5" s="3">
        <v>93.9145</v>
      </c>
      <c r="G5" s="45">
        <f>(F5+F6)/2</f>
        <v>92.50925</v>
      </c>
      <c r="H5"/>
      <c r="I5"/>
      <c r="J5"/>
      <c r="K5"/>
      <c r="L5"/>
      <c r="M5"/>
      <c r="N5" s="47">
        <v>6</v>
      </c>
      <c r="O5" s="47" t="e">
        <f>AU32+#REF!+#REF!+#REF!+AU47+AF63+BC79+BC95+BF95</f>
        <v>#REF!</v>
      </c>
      <c r="P5" s="47" t="e">
        <f>天津!AU32+天津!#REF!+天津!#REF!+天津!#REF!+天津!AU47+天津!AF63+天津!AX79+天津!AX95+天津!BA95</f>
        <v>#REF!</v>
      </c>
      <c r="Q5" s="47" t="e">
        <f>河北!AU32+河北!#REF!+河北!#REF!+河北!#REF!+河北!AU47+河北!AF63+河北!AX79+河北!AX95+河北!BA95</f>
        <v>#REF!</v>
      </c>
      <c r="R5" s="47" t="e">
        <f>山西!AU32+山西!#REF!+山西!#REF!+山西!#REF!+山西!AU47+山西!AF63+山西!AX79+山西!AX95+山西!BA95</f>
        <v>#REF!</v>
      </c>
      <c r="S5" s="47" t="e">
        <f>内蒙!AU32+内蒙!#REF!+内蒙!#REF!+内蒙!#REF!+内蒙!AU47+内蒙!AF63+内蒙!AX79+内蒙!AX95+内蒙!BA95+内蒙!AX110</f>
        <v>#REF!</v>
      </c>
      <c r="T5" s="47" t="e">
        <f>辽宁!AU32+辽宁!#REF!+辽宁!#REF!+辽宁!#REF!+辽宁!AU47+辽宁!AF63+辽宁!AX79+辽宁!AX95+辽宁!BA95+辽宁!AX110</f>
        <v>#REF!</v>
      </c>
      <c r="U5" s="47" t="e">
        <f>吉林!AU32+吉林!#REF!+吉林!#REF!+吉林!#REF!+吉林!AU47+吉林!AF63+吉林!AX79+吉林!AX95+吉林!BA95+吉林!AX110</f>
        <v>#REF!</v>
      </c>
      <c r="V5" s="47" t="e">
        <f>黑龙江!AU32+黑龙江!#REF!+黑龙江!#REF!+黑龙江!#REF!+黑龙江!AU47+黑龙江!AF63+黑龙江!AX79+黑龙江!AX95+黑龙江!BA95+黑龙江!AX110</f>
        <v>#REF!</v>
      </c>
      <c r="W5" s="47" t="e">
        <f>上海!AU32+上海!#REF!+上海!#REF!+上海!#REF!+上海!AU47+上海!AF63+上海!AX79+上海!AX95+上海!BA95+上海!AX110</f>
        <v>#REF!</v>
      </c>
      <c r="X5" s="47" t="e">
        <f>江苏!AU32+江苏!#REF!+江苏!#REF!+江苏!#REF!+江苏!AU47+江苏!AF63+江苏!AX79+江苏!AX95+江苏!BA95+江苏!AX110</f>
        <v>#REF!</v>
      </c>
      <c r="Y5" s="47" t="e">
        <f>浙江!AU32+浙江!#REF!+浙江!#REF!+浙江!#REF!+浙江!AU47+浙江!AF63+浙江!AX79+浙江!AX95+浙江!BA95+浙江!AX110</f>
        <v>#REF!</v>
      </c>
      <c r="Z5" s="47" t="e">
        <f>安徽!AU32+安徽!#REF!+安徽!#REF!+安徽!#REF!+安徽!AU47+安徽!AF63+安徽!AX79+安徽!AX95+安徽!BA95+安徽!AX110</f>
        <v>#REF!</v>
      </c>
      <c r="AA5" s="47" t="e">
        <f>福建!AU32+福建!#REF!+福建!#REF!+福建!#REF!+福建!AU47+福建!AF63+福建!AX79+福建!AX95+福建!BA95+福建!AX110</f>
        <v>#REF!</v>
      </c>
      <c r="AB5" s="47" t="e">
        <f>江西!AU32+江西!#REF!+江西!#REF!+江西!#REF!+江西!AU47+江西!AF63+江西!AX79+江西!AX95+江西!BA95+江西!AX110</f>
        <v>#REF!</v>
      </c>
      <c r="AC5" s="47" t="e">
        <f>山东!AU32+山东!#REF!+山东!#REF!+山东!#REF!+山东!AU47+山东!AF63+山东!AX79+山东!AX95+山东!BA95+山东!AX110</f>
        <v>#REF!</v>
      </c>
      <c r="AD5" s="47" t="e">
        <f>河南!AU32+河南!#REF!+河南!#REF!+河南!#REF!+河南!AU47+河南!AF63+河南!AX79+河南!AX95+河南!BA95+河南!AX110</f>
        <v>#REF!</v>
      </c>
      <c r="AE5" s="47" t="e">
        <f>湖北!AU32+湖北!#REF!+湖北!#REF!+湖北!#REF!+湖北!AU47+湖北!AF63+湖北!AX79+湖北!AX95+湖北!BA95+湖北!AX110</f>
        <v>#REF!</v>
      </c>
      <c r="AF5" s="47" t="e">
        <f>湖南!AU32+湖南!#REF!+湖南!#REF!+湖南!#REF!+湖南!AU48+湖南!AF64+湖南!AX80+湖南!AX96+湖南!BA96+湖南!AX111</f>
        <v>#REF!</v>
      </c>
      <c r="AG5" s="47" t="e">
        <f>广东!AU32+广东!#REF!+广东!#REF!+广东!#REF!+广东!AU47+广东!AF63+广东!AX79+广东!AX95+广东!BA95+广东!AX110</f>
        <v>#REF!</v>
      </c>
      <c r="AH5" s="47" t="e">
        <f>广西!AU32+广西!#REF!+广西!#REF!+广西!#REF!+广西!AU47+广西!AF63+广西!AX79+广西!AX95+广西!BA95+广西!AX110</f>
        <v>#REF!</v>
      </c>
      <c r="AI5" s="47" t="e">
        <f>海南!AU32+海南!#REF!+海南!#REF!+海南!#REF!+海南!AU47+海南!AF63+海南!AX79+海南!AX95+海南!BA95+海南!AX110</f>
        <v>#REF!</v>
      </c>
      <c r="AJ5" s="47" t="e">
        <f>重庆!AU32+重庆!#REF!+重庆!#REF!+重庆!#REF!+重庆!AU47+重庆!AF63+重庆!AX79+重庆!AX95+重庆!BA95+重庆!AX110</f>
        <v>#REF!</v>
      </c>
      <c r="AK5" s="47" t="e">
        <f>四川!AU32+四川!#REF!+四川!#REF!+四川!#REF!+四川!AU47+四川!AF63+四川!AX79+四川!AX95+四川!BA95+四川!AX110</f>
        <v>#REF!</v>
      </c>
      <c r="AL5" s="47" t="e">
        <f>贵州!AU32+贵州!#REF!+贵州!#REF!+贵州!#REF!+贵州!AU47+贵州!AF63+贵州!AX79+贵州!AX95+贵州!BA95+贵州!AX110</f>
        <v>#REF!</v>
      </c>
      <c r="AM5" s="47" t="e">
        <f>云南!AU32+云南!#REF!+云南!#REF!+云南!#REF!+云南!AU47+云南!AF63+云南!AX79+云南!AX95+云南!BA95+云南!AX110</f>
        <v>#REF!</v>
      </c>
      <c r="AN5" s="47" t="e">
        <f>西藏!AU32+西藏!#REF!+西藏!#REF!+西藏!#REF!+西藏!AU47+西藏!AF63+西藏!AX79+西藏!AX95+西藏!BA95+西藏!AX110</f>
        <v>#REF!</v>
      </c>
      <c r="AO5" s="47" t="e">
        <f>陕西!AU32+陕西!#REF!+陕西!#REF!+陕西!#REF!+陕西!AU47+陕西!AF63+陕西!AX79+陕西!AX95+陕西!BA95+陕西!AX110</f>
        <v>#REF!</v>
      </c>
      <c r="AP5" s="47" t="e">
        <f>甘肃!AU32+甘肃!#REF!+甘肃!#REF!+甘肃!#REF!+甘肃!AU47+甘肃!AF63+甘肃!AX79+甘肃!AX95+甘肃!BA95+甘肃!AX110</f>
        <v>#REF!</v>
      </c>
      <c r="AQ5" s="47" t="e">
        <f>青海!AU32+青海!#REF!+青海!#REF!+青海!#REF!+青海!AU47+青海!AF63+青海!AX79+青海!AX95+青海!BA95+青海!AX110</f>
        <v>#REF!</v>
      </c>
      <c r="AR5" s="50" t="e">
        <f>宁夏!AU32+宁夏!#REF!+宁夏!#REF!+宁夏!#REF!+宁夏!AU47+宁夏!AF63+宁夏!AX79+宁夏!AX95+宁夏!BA95+宁夏!AX110</f>
        <v>#REF!</v>
      </c>
      <c r="AS5" s="47" t="e">
        <f>新疆!AU32+新疆!#REF!+新疆!#REF!+新疆!#REF!+新疆!AU47+新疆!AF63+新疆!AX79+新疆!AX95+新疆!BA95+新疆!AX110</f>
        <v>#REF!</v>
      </c>
      <c r="AT5" s="47" t="e">
        <f t="shared" ref="AT5:AT11" si="0">SUM(O5:AS5)</f>
        <v>#REF!</v>
      </c>
      <c r="AU5" s="53" t="e">
        <f t="shared" ref="AU5:AU11" si="1">AT5/10^6</f>
        <v>#REF!</v>
      </c>
      <c r="AV5" s="52" t="e">
        <f t="shared" ref="AV5:AV11" si="2">(AU5-$AU$12)/$AU$12*100</f>
        <v>#REF!</v>
      </c>
      <c r="AW5" s="52">
        <f t="shared" ref="AW5:AW11" si="3">12810/12</f>
        <v>1067.5</v>
      </c>
      <c r="AX5" s="52" t="e">
        <f t="shared" ref="AX5:AX11" si="4">AU5+AW5</f>
        <v>#REF!</v>
      </c>
      <c r="AY5" s="52" t="e">
        <f>AX5/$AX$12*100</f>
        <v>#REF!</v>
      </c>
      <c r="AZ5" s="52"/>
      <c r="BA5" s="52" t="e">
        <f>AV5</f>
        <v>#REF!</v>
      </c>
      <c r="BB5" s="1">
        <v>1020936242.85407</v>
      </c>
      <c r="BC5" s="1" t="e">
        <f t="shared" ref="BC5:BC11" si="5">BB5*AY5/100</f>
        <v>#REF!</v>
      </c>
      <c r="BD5" s="30" t="e">
        <f t="shared" ref="BD5:BD11" si="6">(AK5+BC5)/10^6</f>
        <v>#REF!</v>
      </c>
      <c r="BE5" s="30" t="e">
        <f t="shared" ref="BE5:BE11" si="7">(BD5-$BD$12)/$BD$12*100</f>
        <v>#REF!</v>
      </c>
      <c r="BF5" s="30" t="e">
        <f>BE5</f>
        <v>#REF!</v>
      </c>
      <c r="BH5" s="1">
        <v>547999265.924914</v>
      </c>
      <c r="BI5" s="1" t="e">
        <f t="shared" ref="BI5:BI11" si="8">BH5*AY5/100</f>
        <v>#REF!</v>
      </c>
      <c r="BJ5" s="30" t="e">
        <f t="shared" ref="BJ5:BJ11" si="9">(V5+BI5)/10^6</f>
        <v>#REF!</v>
      </c>
      <c r="BK5" s="30" t="e">
        <f t="shared" ref="BK5:BK11" si="10">(BJ5-$BJ$12)/$BJ$12*100</f>
        <v>#REF!</v>
      </c>
      <c r="BL5" s="30" t="e">
        <f>BK5</f>
        <v>#REF!</v>
      </c>
    </row>
    <row r="6" spans="1:64">
      <c r="A6" s="4"/>
      <c r="B6" s="5" t="s">
        <v>47</v>
      </c>
      <c r="C6" s="3"/>
      <c r="D6" s="3"/>
      <c r="E6" s="10"/>
      <c r="F6" s="3">
        <v>91.104</v>
      </c>
      <c r="G6" s="45"/>
      <c r="H6"/>
      <c r="I6"/>
      <c r="J6"/>
      <c r="K6"/>
      <c r="L6"/>
      <c r="M6"/>
      <c r="N6" s="47">
        <v>7</v>
      </c>
      <c r="O6" s="47" t="e">
        <f>AU33+#REF!+#REF!+#REF!+AU48+AF64+BC80+BC96+BF96</f>
        <v>#REF!</v>
      </c>
      <c r="P6" s="47" t="e">
        <f>天津!AU33+天津!#REF!+天津!#REF!+天津!#REF!+天津!AU48+天津!AF64+天津!AX80+天津!AX96+天津!BA96</f>
        <v>#REF!</v>
      </c>
      <c r="Q6" s="47" t="e">
        <f>河北!AU33+河北!#REF!+河北!#REF!+河北!#REF!+河北!AU48+河北!AF64+河北!AX80+河北!AX96+河北!BA96</f>
        <v>#REF!</v>
      </c>
      <c r="R6" s="47" t="e">
        <f>山西!AU33+山西!#REF!+山西!#REF!+山西!#REF!+山西!AU48+山西!AF64+山西!AX80+山西!AX96+山西!BA96</f>
        <v>#REF!</v>
      </c>
      <c r="S6" s="47" t="e">
        <f>内蒙!AU33+内蒙!#REF!+内蒙!#REF!+内蒙!#REF!+内蒙!AU48+内蒙!AF64+内蒙!AX80+内蒙!AX96+内蒙!BA96+内蒙!AX111</f>
        <v>#REF!</v>
      </c>
      <c r="T6" s="47" t="e">
        <f>辽宁!AU33+辽宁!#REF!+辽宁!#REF!+辽宁!#REF!+辽宁!AU48+辽宁!AF64+辽宁!AX80+辽宁!AX96+辽宁!BA96+辽宁!AX111</f>
        <v>#REF!</v>
      </c>
      <c r="U6" s="47" t="e">
        <f>吉林!AU33+吉林!#REF!+吉林!#REF!+吉林!#REF!+吉林!AU48+吉林!AF64+吉林!AX80+吉林!AX96+吉林!BA96+吉林!AX111</f>
        <v>#REF!</v>
      </c>
      <c r="V6" s="47" t="e">
        <f>黑龙江!AU33+黑龙江!#REF!+黑龙江!#REF!+黑龙江!#REF!+黑龙江!AU48+黑龙江!AF64+黑龙江!AX80+黑龙江!AX96+黑龙江!BA96+黑龙江!AX111</f>
        <v>#REF!</v>
      </c>
      <c r="W6" s="47" t="e">
        <f>上海!AU33+上海!#REF!+上海!#REF!+上海!#REF!+上海!AU48+上海!AF64+上海!AX80+上海!AX96+上海!BA96+上海!AX111</f>
        <v>#REF!</v>
      </c>
      <c r="X6" s="47" t="e">
        <f>江苏!AU33+江苏!#REF!+江苏!#REF!+江苏!#REF!+江苏!AU48+江苏!AF64+江苏!AX80+江苏!AX96+江苏!BA96+江苏!AX111</f>
        <v>#REF!</v>
      </c>
      <c r="Y6" s="47" t="e">
        <f>浙江!AU33+浙江!#REF!+浙江!#REF!+浙江!#REF!+浙江!AU48+浙江!AF64+浙江!AX80+浙江!AX96+浙江!BA96+浙江!AX111</f>
        <v>#REF!</v>
      </c>
      <c r="Z6" s="47" t="e">
        <f>安徽!AU33+安徽!#REF!+安徽!#REF!+安徽!#REF!+安徽!AU48+安徽!AF64+安徽!AX80+安徽!AX96+安徽!BA96+安徽!AX111</f>
        <v>#REF!</v>
      </c>
      <c r="AA6" s="47" t="e">
        <f>福建!AU33+福建!#REF!+福建!#REF!+福建!#REF!+福建!AU48+福建!AF64+福建!AX80+福建!AX96+福建!BA96+福建!AX111</f>
        <v>#REF!</v>
      </c>
      <c r="AB6" s="47" t="e">
        <f>江西!AU33+江西!#REF!+江西!#REF!+江西!#REF!+江西!AU48+江西!AF64+江西!AX80+江西!AX96+江西!BA96+江西!AX111</f>
        <v>#REF!</v>
      </c>
      <c r="AC6" s="47" t="e">
        <f>山东!AU33+山东!#REF!+山东!#REF!+山东!#REF!+山东!AU48+山东!AF64+山东!AX80+山东!AX96+山东!BA96+山东!AX111</f>
        <v>#REF!</v>
      </c>
      <c r="AD6" s="47" t="e">
        <f>河南!AU33+河南!#REF!+河南!#REF!+河南!#REF!+河南!AU48+河南!AF64+河南!AX80+河南!AX96+河南!BA96+河南!AX111</f>
        <v>#REF!</v>
      </c>
      <c r="AE6" s="47" t="e">
        <f>湖北!AU33+湖北!#REF!+湖北!#REF!+湖北!#REF!+湖北!AU48+湖北!AF64+湖北!AX80+湖北!AX96+湖北!BA96+湖北!AX111</f>
        <v>#REF!</v>
      </c>
      <c r="AF6" s="47" t="e">
        <f>湖南!AU33+湖南!#REF!+湖南!#REF!+湖南!#REF!+湖南!AU49+湖南!AF65+湖南!AX81+湖南!AX97+湖南!BA97+湖南!AX112</f>
        <v>#REF!</v>
      </c>
      <c r="AG6" s="47" t="e">
        <f>广东!AU33+广东!#REF!+广东!#REF!+广东!#REF!+广东!AU48+广东!AF64+广东!AX80+广东!AX96+广东!BA96+广东!AX111</f>
        <v>#REF!</v>
      </c>
      <c r="AH6" s="47" t="e">
        <f>广西!AU33+广西!#REF!+广西!#REF!+广西!#REF!+广西!AU48+广西!AF64+广西!AX80+广西!AX96+广西!BA96+广西!AX111</f>
        <v>#REF!</v>
      </c>
      <c r="AI6" s="47" t="e">
        <f>海南!AU33+海南!#REF!+海南!#REF!+海南!#REF!+海南!AU48+海南!AF64+海南!AX80+海南!AX96+海南!BA96+海南!AX111</f>
        <v>#REF!</v>
      </c>
      <c r="AJ6" s="47" t="e">
        <f>重庆!AU33+重庆!#REF!+重庆!#REF!+重庆!#REF!+重庆!AU48+重庆!AF64+重庆!AX80+重庆!AX96+重庆!BA96+重庆!AX111</f>
        <v>#REF!</v>
      </c>
      <c r="AK6" s="47" t="e">
        <f>四川!AU33+四川!#REF!+四川!#REF!+四川!#REF!+四川!AU48+四川!AF64+四川!AX80+四川!AX96+四川!BA96+四川!AX111</f>
        <v>#REF!</v>
      </c>
      <c r="AL6" s="47" t="e">
        <f>贵州!AU33+贵州!#REF!+贵州!#REF!+贵州!#REF!+贵州!AU48+贵州!AF64+贵州!AX80+贵州!AX96+贵州!BA96+贵州!AX111</f>
        <v>#REF!</v>
      </c>
      <c r="AM6" s="47" t="e">
        <f>云南!AU33+云南!#REF!+云南!#REF!+云南!#REF!+云南!AU48+云南!AF64+云南!AX80+云南!AX96+云南!BA96+云南!AX111</f>
        <v>#REF!</v>
      </c>
      <c r="AN6" s="47" t="e">
        <f>西藏!AU33+西藏!#REF!+西藏!#REF!+西藏!#REF!+西藏!AU48+西藏!AF64+西藏!AX80+西藏!AX96+西藏!BA96+西藏!AX111</f>
        <v>#REF!</v>
      </c>
      <c r="AO6" s="47" t="e">
        <f>陕西!AU33+陕西!#REF!+陕西!#REF!+陕西!#REF!+陕西!AU48+陕西!AF64+陕西!AX80+陕西!AX96+陕西!BA96+陕西!AX111</f>
        <v>#REF!</v>
      </c>
      <c r="AP6" s="47" t="e">
        <f>甘肃!AU33+甘肃!#REF!+甘肃!#REF!+甘肃!#REF!+甘肃!AU48+甘肃!AF64+甘肃!AX80+甘肃!AX96+甘肃!BA96+甘肃!AX111</f>
        <v>#REF!</v>
      </c>
      <c r="AQ6" s="47" t="e">
        <f>青海!AU33+青海!#REF!+青海!#REF!+青海!#REF!+青海!AU48+青海!AF64+青海!AX80+青海!AX96+青海!BA96+青海!AX111</f>
        <v>#REF!</v>
      </c>
      <c r="AR6" s="50" t="e">
        <f>宁夏!AU33+宁夏!#REF!+宁夏!#REF!+宁夏!#REF!+宁夏!AU48+宁夏!AF64+宁夏!AX80+宁夏!AX96+宁夏!BA96+宁夏!AX111</f>
        <v>#REF!</v>
      </c>
      <c r="AS6" s="47" t="e">
        <f>新疆!AU33+新疆!#REF!+新疆!#REF!+新疆!#REF!+新疆!AU48+新疆!AF64+新疆!AX80+新疆!AX96+新疆!BA96+新疆!AX111</f>
        <v>#REF!</v>
      </c>
      <c r="AT6" s="47" t="e">
        <f t="shared" si="0"/>
        <v>#REF!</v>
      </c>
      <c r="AU6" s="53" t="e">
        <f t="shared" si="1"/>
        <v>#REF!</v>
      </c>
      <c r="AV6" s="52" t="e">
        <f t="shared" si="2"/>
        <v>#REF!</v>
      </c>
      <c r="AW6" s="52">
        <f t="shared" si="3"/>
        <v>1067.5</v>
      </c>
      <c r="AX6" s="52" t="e">
        <f t="shared" si="4"/>
        <v>#REF!</v>
      </c>
      <c r="AY6" s="52" t="e">
        <f>AX6/$AX$12*100</f>
        <v>#REF!</v>
      </c>
      <c r="AZ6" s="52"/>
      <c r="BA6" s="52" t="e">
        <f>AV6</f>
        <v>#REF!</v>
      </c>
      <c r="BB6" s="1">
        <v>1020936242.85407</v>
      </c>
      <c r="BC6" s="1" t="e">
        <f t="shared" si="5"/>
        <v>#REF!</v>
      </c>
      <c r="BD6" s="30" t="e">
        <f t="shared" si="6"/>
        <v>#REF!</v>
      </c>
      <c r="BE6" s="30" t="e">
        <f t="shared" si="7"/>
        <v>#REF!</v>
      </c>
      <c r="BF6" s="30" t="e">
        <f>BE6</f>
        <v>#REF!</v>
      </c>
      <c r="BH6" s="1">
        <v>547999265.924914</v>
      </c>
      <c r="BI6" s="1" t="e">
        <f t="shared" si="8"/>
        <v>#REF!</v>
      </c>
      <c r="BJ6" s="30" t="e">
        <f t="shared" si="9"/>
        <v>#REF!</v>
      </c>
      <c r="BK6" s="30" t="e">
        <f t="shared" si="10"/>
        <v>#REF!</v>
      </c>
      <c r="BL6" s="30" t="e">
        <f>BK6</f>
        <v>#REF!</v>
      </c>
    </row>
    <row r="7" spans="1:64">
      <c r="A7" s="4" t="s">
        <v>48</v>
      </c>
      <c r="B7" s="5"/>
      <c r="C7" s="3"/>
      <c r="D7" s="3"/>
      <c r="E7" s="12">
        <v>321.069863013699</v>
      </c>
      <c r="F7" s="3">
        <v>134.758</v>
      </c>
      <c r="G7"/>
      <c r="H7"/>
      <c r="I7"/>
      <c r="J7"/>
      <c r="K7"/>
      <c r="L7"/>
      <c r="M7"/>
      <c r="N7" s="47">
        <v>8</v>
      </c>
      <c r="O7" s="47" t="e">
        <f>AU34+#REF!+#REF!+#REF!+AU49+AF65+BC81+BC97+BF97</f>
        <v>#REF!</v>
      </c>
      <c r="P7" s="47" t="e">
        <f>天津!AU34+天津!#REF!+天津!#REF!+天津!#REF!+天津!AU49+天津!AF65+天津!AX81+天津!AX97+天津!BA97</f>
        <v>#REF!</v>
      </c>
      <c r="Q7" s="47" t="e">
        <f>河北!AU34+河北!#REF!+河北!#REF!+河北!#REF!+河北!AU49+河北!AF65+河北!AX81+河北!AX97+河北!BA97</f>
        <v>#REF!</v>
      </c>
      <c r="R7" s="47" t="e">
        <f>山西!AU34+山西!#REF!+山西!#REF!+山西!#REF!+山西!AU49+山西!AF65+山西!AX81+山西!AX97+山西!BA97</f>
        <v>#REF!</v>
      </c>
      <c r="S7" s="47" t="e">
        <f>内蒙!AU34+内蒙!#REF!+内蒙!#REF!+内蒙!#REF!+内蒙!AU49+内蒙!AF65+内蒙!AX81+内蒙!AX97+内蒙!BA97+内蒙!AX112</f>
        <v>#REF!</v>
      </c>
      <c r="T7" s="47" t="e">
        <f>辽宁!AU34+辽宁!#REF!+辽宁!#REF!+辽宁!#REF!+辽宁!AU49+辽宁!AF65+辽宁!AX81+辽宁!AX97+辽宁!BA97+辽宁!AX112</f>
        <v>#REF!</v>
      </c>
      <c r="U7" s="47" t="e">
        <f>吉林!AU34+吉林!#REF!+吉林!#REF!+吉林!#REF!+吉林!AU49+吉林!AF65+吉林!AX81+吉林!AX97+吉林!BA97+吉林!AX112</f>
        <v>#REF!</v>
      </c>
      <c r="V7" s="47" t="e">
        <f>黑龙江!AU34+黑龙江!#REF!+黑龙江!#REF!+黑龙江!#REF!+黑龙江!AU49+黑龙江!AF65+黑龙江!AX81+黑龙江!AX97+黑龙江!BA97+黑龙江!AX112</f>
        <v>#REF!</v>
      </c>
      <c r="W7" s="47" t="e">
        <f>上海!AU34+上海!#REF!+上海!#REF!+上海!#REF!+上海!AU49+上海!AF65+上海!AX81+上海!AX97+上海!BA97+上海!AX112</f>
        <v>#REF!</v>
      </c>
      <c r="X7" s="47" t="e">
        <f>江苏!AU34+江苏!#REF!+江苏!#REF!+江苏!#REF!+江苏!AU49+江苏!AF65+江苏!AX81+江苏!AX97+江苏!BA97+江苏!AX112</f>
        <v>#REF!</v>
      </c>
      <c r="Y7" s="47" t="e">
        <f>浙江!AU34+浙江!#REF!+浙江!#REF!+浙江!#REF!+浙江!AU49+浙江!AF65+浙江!AX81+浙江!AX97+浙江!BA97+浙江!AX112</f>
        <v>#REF!</v>
      </c>
      <c r="Z7" s="47" t="e">
        <f>安徽!AU34+安徽!#REF!+安徽!#REF!+安徽!#REF!+安徽!AU49+安徽!AF65+安徽!AX81+安徽!AX97+安徽!BA97+安徽!AX112</f>
        <v>#REF!</v>
      </c>
      <c r="AA7" s="47" t="e">
        <f>福建!AU34+福建!#REF!+福建!#REF!+福建!#REF!+福建!AU49+福建!AF65+福建!AX81+福建!AX97+福建!BA97+福建!AX112</f>
        <v>#REF!</v>
      </c>
      <c r="AB7" s="47" t="e">
        <f>江西!AU34+江西!#REF!+江西!#REF!+江西!#REF!+江西!AU49+江西!AF65+江西!AX81+江西!AX97+江西!BA97+江西!AX112</f>
        <v>#REF!</v>
      </c>
      <c r="AC7" s="47" t="e">
        <f>山东!AU34+山东!#REF!+山东!#REF!+山东!#REF!+山东!AU49+山东!AF65+山东!AX81+山东!AX97+山东!BA97+山东!AX112</f>
        <v>#REF!</v>
      </c>
      <c r="AD7" s="47" t="e">
        <f>河南!AU34+河南!#REF!+河南!#REF!+河南!#REF!+河南!AU49+河南!AF65+河南!AX81+河南!AX97+河南!BA97+河南!AX112</f>
        <v>#REF!</v>
      </c>
      <c r="AE7" s="47" t="e">
        <f>湖北!AU34+湖北!#REF!+湖北!#REF!+湖北!#REF!+湖北!AU49+湖北!AF65+湖北!AX81+湖北!AX97+湖北!BA97+湖北!AX112</f>
        <v>#REF!</v>
      </c>
      <c r="AF7" s="47" t="e">
        <f>湖南!AU34+湖南!#REF!+湖南!#REF!+湖南!#REF!+湖南!AU50+湖南!AF66+湖南!AX82+湖南!AX98+湖南!BA98+湖南!AX113</f>
        <v>#REF!</v>
      </c>
      <c r="AG7" s="47" t="e">
        <f>广东!AU34+广东!#REF!+广东!#REF!+广东!#REF!+广东!AU49+广东!AF65+广东!AX81+广东!AX97+广东!BA97+广东!AX112</f>
        <v>#REF!</v>
      </c>
      <c r="AH7" s="47" t="e">
        <f>广西!AU34+广西!#REF!+广西!#REF!+广西!#REF!+广西!AU49+广西!AF65+广西!AX81+广西!AX97+广西!BA97+广西!AX112</f>
        <v>#REF!</v>
      </c>
      <c r="AI7" s="47" t="e">
        <f>海南!AU34+海南!#REF!+海南!#REF!+海南!#REF!+海南!AU49+海南!AF65+海南!AX81+海南!AX97+海南!BA97+海南!AX112</f>
        <v>#REF!</v>
      </c>
      <c r="AJ7" s="47" t="e">
        <f>重庆!AU34+重庆!#REF!+重庆!#REF!+重庆!#REF!+重庆!AU49+重庆!AF65+重庆!AX81+重庆!AX97+重庆!BA97+重庆!AX112</f>
        <v>#REF!</v>
      </c>
      <c r="AK7" s="47" t="e">
        <f>四川!AU34+四川!#REF!+四川!#REF!+四川!#REF!+四川!AU49+四川!AF65+四川!AX81+四川!AX97+四川!BA97+四川!AX112</f>
        <v>#REF!</v>
      </c>
      <c r="AL7" s="47" t="e">
        <f>贵州!AU34+贵州!#REF!+贵州!#REF!+贵州!#REF!+贵州!AU49+贵州!AF65+贵州!AX81+贵州!AX97+贵州!BA97+贵州!AX112</f>
        <v>#REF!</v>
      </c>
      <c r="AM7" s="47" t="e">
        <f>云南!AU34+云南!#REF!+云南!#REF!+云南!#REF!+云南!AU49+云南!AF65+云南!AX81+云南!AX97+云南!BA97+云南!AX112</f>
        <v>#REF!</v>
      </c>
      <c r="AN7" s="47" t="e">
        <f>西藏!AU34+西藏!#REF!+西藏!#REF!+西藏!#REF!+西藏!AU49+西藏!AF65+西藏!AX81+西藏!AX97+西藏!BA97+西藏!AX112</f>
        <v>#REF!</v>
      </c>
      <c r="AO7" s="47" t="e">
        <f>陕西!AU34+陕西!#REF!+陕西!#REF!+陕西!#REF!+陕西!AU49+陕西!AF65+陕西!AX81+陕西!AX97+陕西!BA97+陕西!AX112</f>
        <v>#REF!</v>
      </c>
      <c r="AP7" s="47" t="e">
        <f>甘肃!AU34+甘肃!#REF!+甘肃!#REF!+甘肃!#REF!+甘肃!AU49+甘肃!AF65+甘肃!AX81+甘肃!AX97+甘肃!BA97+甘肃!AX112</f>
        <v>#REF!</v>
      </c>
      <c r="AQ7" s="47" t="e">
        <f>青海!AU34+青海!#REF!+青海!#REF!+青海!#REF!+青海!AU49+青海!AF65+青海!AX81+青海!AX97+青海!BA97+青海!AX112</f>
        <v>#REF!</v>
      </c>
      <c r="AR7" s="50" t="e">
        <f>宁夏!AU34+宁夏!#REF!+宁夏!#REF!+宁夏!#REF!+宁夏!AU49+宁夏!AF65+宁夏!AX81+宁夏!AX97+宁夏!BA97+宁夏!AX112</f>
        <v>#REF!</v>
      </c>
      <c r="AS7" s="47" t="e">
        <f>新疆!AU34+新疆!#REF!+新疆!#REF!+新疆!#REF!+新疆!AU49+新疆!AF65+新疆!AX81+新疆!AX97+新疆!BA97+新疆!AX112</f>
        <v>#REF!</v>
      </c>
      <c r="AT7" s="47" t="e">
        <f t="shared" si="0"/>
        <v>#REF!</v>
      </c>
      <c r="AU7" s="51" t="e">
        <f t="shared" si="1"/>
        <v>#REF!</v>
      </c>
      <c r="AV7" s="52" t="e">
        <f t="shared" si="2"/>
        <v>#REF!</v>
      </c>
      <c r="AW7" s="52">
        <v>1281</v>
      </c>
      <c r="AX7" s="55" t="e">
        <f t="shared" si="4"/>
        <v>#REF!</v>
      </c>
      <c r="AY7" s="52" t="e">
        <f>AX7/AX12*100</f>
        <v>#REF!</v>
      </c>
      <c r="AZ7" s="52" t="e">
        <f>AX7/AX2</f>
        <v>#REF!</v>
      </c>
      <c r="BA7" s="52" t="e">
        <f>AV7</f>
        <v>#REF!</v>
      </c>
      <c r="BB7" s="1">
        <v>1020936242.85407</v>
      </c>
      <c r="BC7" s="1" t="e">
        <f t="shared" si="5"/>
        <v>#REF!</v>
      </c>
      <c r="BD7" s="30" t="e">
        <f t="shared" si="6"/>
        <v>#REF!</v>
      </c>
      <c r="BE7" s="30" t="e">
        <f t="shared" si="7"/>
        <v>#REF!</v>
      </c>
      <c r="BF7" s="30" t="e">
        <f>BE7</f>
        <v>#REF!</v>
      </c>
      <c r="BH7" s="1">
        <v>547999265.924914</v>
      </c>
      <c r="BI7" s="1" t="e">
        <f t="shared" si="8"/>
        <v>#REF!</v>
      </c>
      <c r="BJ7" s="30" t="e">
        <f t="shared" si="9"/>
        <v>#REF!</v>
      </c>
      <c r="BK7" s="30" t="e">
        <f t="shared" si="10"/>
        <v>#REF!</v>
      </c>
      <c r="BL7" s="30" t="e">
        <f>BK7</f>
        <v>#REF!</v>
      </c>
    </row>
    <row r="8" spans="1:64">
      <c r="A8" s="4" t="s">
        <v>49</v>
      </c>
      <c r="B8" s="5"/>
      <c r="C8" s="3"/>
      <c r="D8" s="3"/>
      <c r="E8" s="12">
        <v>0.21</v>
      </c>
      <c r="F8" s="3">
        <v>625.464</v>
      </c>
      <c r="G8"/>
      <c r="H8"/>
      <c r="I8"/>
      <c r="J8"/>
      <c r="K8"/>
      <c r="L8"/>
      <c r="M8"/>
      <c r="N8" s="47">
        <v>9</v>
      </c>
      <c r="O8" s="47" t="e">
        <f>AU35+#REF!+#REF!+#REF!+AU50+AF66+BC82+BC98+BF98</f>
        <v>#REF!</v>
      </c>
      <c r="P8" s="47" t="e">
        <f>天津!AU35+天津!#REF!+天津!#REF!+天津!#REF!+天津!AU50+天津!AF66+天津!AX82+天津!AX98+天津!BA98</f>
        <v>#REF!</v>
      </c>
      <c r="Q8" s="47" t="e">
        <f>河北!AU35+河北!#REF!+河北!#REF!+河北!#REF!+河北!AU50+河北!AF66+河北!AX82+河北!AX98+河北!BA98</f>
        <v>#REF!</v>
      </c>
      <c r="R8" s="47" t="e">
        <f>山西!AU35+山西!#REF!+山西!#REF!+山西!#REF!+山西!AU50+山西!AF66+山西!AX82+山西!AX98+山西!BA98</f>
        <v>#REF!</v>
      </c>
      <c r="S8" s="47" t="e">
        <f>内蒙!AU35+内蒙!#REF!+内蒙!#REF!+内蒙!#REF!+内蒙!AU50+内蒙!AF66+内蒙!AX82+内蒙!AX98+内蒙!BA98+内蒙!AX113</f>
        <v>#REF!</v>
      </c>
      <c r="T8" s="47" t="e">
        <f>辽宁!AU35+辽宁!#REF!+辽宁!#REF!+辽宁!#REF!+辽宁!AU50+辽宁!AF66+辽宁!AX82+辽宁!AX98+辽宁!BA98+辽宁!AX113</f>
        <v>#REF!</v>
      </c>
      <c r="U8" s="47" t="e">
        <f>吉林!AU35+吉林!#REF!+吉林!#REF!+吉林!#REF!+吉林!AU50+吉林!AF66+吉林!AX82+吉林!AX98+吉林!BA98+吉林!AX113</f>
        <v>#REF!</v>
      </c>
      <c r="V8" s="47" t="e">
        <f>黑龙江!AU35+黑龙江!#REF!+黑龙江!#REF!+黑龙江!#REF!+黑龙江!AU50+黑龙江!AF66+黑龙江!AX82+黑龙江!AX98+黑龙江!BA98+黑龙江!AX113</f>
        <v>#REF!</v>
      </c>
      <c r="W8" s="47" t="e">
        <f>上海!AU35+上海!#REF!+上海!#REF!+上海!#REF!+上海!AU50+上海!AF66+上海!AX82+上海!AX98+上海!BA98+上海!AX113</f>
        <v>#REF!</v>
      </c>
      <c r="X8" s="47" t="e">
        <f>江苏!AU35+江苏!#REF!+江苏!#REF!+江苏!#REF!+江苏!AU50+江苏!AF66+江苏!AX82+江苏!AX98+江苏!BA98+江苏!AX113</f>
        <v>#REF!</v>
      </c>
      <c r="Y8" s="47" t="e">
        <f>浙江!AU35+浙江!#REF!+浙江!#REF!+浙江!#REF!+浙江!AU50+浙江!AF66+浙江!AX82+浙江!AX98+浙江!BA98+浙江!AX113</f>
        <v>#REF!</v>
      </c>
      <c r="Z8" s="47" t="e">
        <f>安徽!AU35+安徽!#REF!+安徽!#REF!+安徽!#REF!+安徽!AU50+安徽!AF66+安徽!AX82+安徽!AX98+安徽!BA98+安徽!AX113</f>
        <v>#REF!</v>
      </c>
      <c r="AA8" s="47" t="e">
        <f>福建!AU35+福建!#REF!+福建!#REF!+福建!#REF!+福建!AU50+福建!AF66+福建!AX82+福建!AX98+福建!BA98+福建!AX113</f>
        <v>#REF!</v>
      </c>
      <c r="AB8" s="47" t="e">
        <f>江西!AU35+江西!#REF!+江西!#REF!+江西!#REF!+江西!AU50+江西!AF66+江西!AX82+江西!AX98+江西!BA98+江西!AX113</f>
        <v>#REF!</v>
      </c>
      <c r="AC8" s="47" t="e">
        <f>山东!AU35+山东!#REF!+山东!#REF!+山东!#REF!+山东!AU50+山东!AF66+山东!AX82+山东!AX98+山东!BA98+山东!AX113</f>
        <v>#REF!</v>
      </c>
      <c r="AD8" s="47" t="e">
        <f>河南!AU35+河南!#REF!+河南!#REF!+河南!#REF!+河南!AU50+河南!AF66+河南!AX82+河南!AX98+河南!BA98+河南!AX113</f>
        <v>#REF!</v>
      </c>
      <c r="AE8" s="47" t="e">
        <f>湖北!AU35+湖北!#REF!+湖北!#REF!+湖北!#REF!+湖北!AU50+湖北!AF66+湖北!AX82+湖北!AX98+湖北!BA98+湖北!AX113</f>
        <v>#REF!</v>
      </c>
      <c r="AF8" s="47" t="e">
        <f>湖南!AU35+湖南!#REF!+湖南!#REF!+湖南!#REF!+湖南!AU51+湖南!AF67+湖南!AX83+湖南!AX99+湖南!BA99+湖南!AX114</f>
        <v>#REF!</v>
      </c>
      <c r="AG8" s="47" t="e">
        <f>广东!AU35+广东!#REF!+广东!#REF!+广东!#REF!+广东!AU50+广东!AF66+广东!AX82+广东!AX98+广东!BA98+广东!AX113</f>
        <v>#REF!</v>
      </c>
      <c r="AH8" s="47" t="e">
        <f>广西!AU35+广西!#REF!+广西!#REF!+广西!#REF!+广西!AU50+广西!AF66+广西!AX82+广西!AX98+广西!BA98+广西!AX113</f>
        <v>#REF!</v>
      </c>
      <c r="AI8" s="47" t="e">
        <f>海南!AU35+海南!#REF!+海南!#REF!+海南!#REF!+海南!AU50+海南!AF66+海南!AX82+海南!AX98+海南!BA98+海南!AX113</f>
        <v>#REF!</v>
      </c>
      <c r="AJ8" s="47" t="e">
        <f>重庆!AU35+重庆!#REF!+重庆!#REF!+重庆!#REF!+重庆!AU50+重庆!AF66+重庆!AX82+重庆!AX98+重庆!BA98+重庆!AX113</f>
        <v>#REF!</v>
      </c>
      <c r="AK8" s="47" t="e">
        <f>四川!AU35+四川!#REF!+四川!#REF!+四川!#REF!+四川!AU50+四川!AF66+四川!AX82+四川!AX98+四川!BA98+四川!AX113</f>
        <v>#REF!</v>
      </c>
      <c r="AL8" s="47" t="e">
        <f>贵州!AU35+贵州!#REF!+贵州!#REF!+贵州!#REF!+贵州!AU50+贵州!AF66+贵州!AX82+贵州!AX98+贵州!BA98+贵州!AX113</f>
        <v>#REF!</v>
      </c>
      <c r="AM8" s="47" t="e">
        <f>云南!AU35+云南!#REF!+云南!#REF!+云南!#REF!+云南!AU50+云南!AF66+云南!AX82+云南!AX98+云南!BA98+云南!AX113</f>
        <v>#REF!</v>
      </c>
      <c r="AN8" s="47" t="e">
        <f>西藏!AU35+西藏!#REF!+西藏!#REF!+西藏!#REF!+西藏!AU50+西藏!AF66+西藏!AX82+西藏!AX98+西藏!BA98+西藏!AX113</f>
        <v>#REF!</v>
      </c>
      <c r="AO8" s="47" t="e">
        <f>陕西!AU35+陕西!#REF!+陕西!#REF!+陕西!#REF!+陕西!AU50+陕西!AF66+陕西!AX82+陕西!AX98+陕西!BA98+陕西!AX113</f>
        <v>#REF!</v>
      </c>
      <c r="AP8" s="47" t="e">
        <f>甘肃!AU35+甘肃!#REF!+甘肃!#REF!+甘肃!#REF!+甘肃!AU50+甘肃!AF66+甘肃!AX82+甘肃!AX98+甘肃!BA98+甘肃!AX113</f>
        <v>#REF!</v>
      </c>
      <c r="AQ8" s="47" t="e">
        <f>青海!AU35+青海!#REF!+青海!#REF!+青海!#REF!+青海!AU50+青海!AF66+青海!AX82+青海!AX98+青海!BA98+青海!AX113</f>
        <v>#REF!</v>
      </c>
      <c r="AR8" s="50" t="e">
        <f>宁夏!AU35+宁夏!#REF!+宁夏!#REF!+宁夏!#REF!+宁夏!AU50+宁夏!AF66+宁夏!AX82+宁夏!AX98+宁夏!BA98+宁夏!AX113</f>
        <v>#REF!</v>
      </c>
      <c r="AS8" s="47" t="e">
        <f>新疆!AU35+新疆!#REF!+新疆!#REF!+新疆!#REF!+新疆!AU50+新疆!AF66+新疆!AX82+新疆!AX98+新疆!BA98+新疆!AX113</f>
        <v>#REF!</v>
      </c>
      <c r="AT8" s="47" t="e">
        <f t="shared" si="0"/>
        <v>#REF!</v>
      </c>
      <c r="AU8" s="53" t="e">
        <f t="shared" si="1"/>
        <v>#REF!</v>
      </c>
      <c r="AV8" s="52" t="e">
        <f t="shared" si="2"/>
        <v>#REF!</v>
      </c>
      <c r="AW8" s="52">
        <f t="shared" si="3"/>
        <v>1067.5</v>
      </c>
      <c r="AX8" s="52" t="e">
        <f t="shared" si="4"/>
        <v>#REF!</v>
      </c>
      <c r="AY8" s="52" t="e">
        <f>AX8/AX12*100</f>
        <v>#REF!</v>
      </c>
      <c r="AZ8" s="52"/>
      <c r="BA8" s="52" t="e">
        <f>AV8</f>
        <v>#REF!</v>
      </c>
      <c r="BB8" s="1">
        <v>1020936242.85407</v>
      </c>
      <c r="BC8" s="1" t="e">
        <f t="shared" si="5"/>
        <v>#REF!</v>
      </c>
      <c r="BD8" s="30" t="e">
        <f t="shared" si="6"/>
        <v>#REF!</v>
      </c>
      <c r="BE8" s="30" t="e">
        <f t="shared" si="7"/>
        <v>#REF!</v>
      </c>
      <c r="BF8" s="30" t="e">
        <f>BE8</f>
        <v>#REF!</v>
      </c>
      <c r="BH8" s="1">
        <v>547999265.924914</v>
      </c>
      <c r="BI8" s="1" t="e">
        <f t="shared" si="8"/>
        <v>#REF!</v>
      </c>
      <c r="BJ8" s="30" t="e">
        <f t="shared" si="9"/>
        <v>#REF!</v>
      </c>
      <c r="BK8" s="30" t="e">
        <f t="shared" si="10"/>
        <v>#REF!</v>
      </c>
      <c r="BL8" s="30" t="e">
        <f>BK8</f>
        <v>#REF!</v>
      </c>
    </row>
    <row r="9" spans="1:64">
      <c r="A9" s="4" t="s">
        <v>50</v>
      </c>
      <c r="B9" s="5"/>
      <c r="C9" s="3"/>
      <c r="D9" s="3"/>
      <c r="E9" s="12">
        <v>0.29</v>
      </c>
      <c r="F9" s="3">
        <v>341.64</v>
      </c>
      <c r="G9"/>
      <c r="H9"/>
      <c r="I9"/>
      <c r="J9"/>
      <c r="K9"/>
      <c r="L9"/>
      <c r="M9"/>
      <c r="N9" s="47">
        <v>10</v>
      </c>
      <c r="O9" s="47" t="e">
        <f>AU36+#REF!+#REF!+#REF!+AU51+AF67+BC83+BC99+BF99</f>
        <v>#REF!</v>
      </c>
      <c r="P9" s="47" t="e">
        <f>天津!AU36+天津!#REF!+天津!#REF!+天津!#REF!+天津!AU51+天津!AF67+天津!AX83+天津!AX99+天津!BA99</f>
        <v>#REF!</v>
      </c>
      <c r="Q9" s="47" t="e">
        <f>河北!AU36+河北!#REF!+河北!#REF!+河北!#REF!+河北!AU51+河北!AF67+河北!AX83+河北!AX99+河北!BA99</f>
        <v>#REF!</v>
      </c>
      <c r="R9" s="47" t="e">
        <f>山西!AU36+山西!#REF!+山西!#REF!+山西!#REF!+山西!AU51+山西!AF67+山西!AX83+山西!AX99+山西!BA99</f>
        <v>#REF!</v>
      </c>
      <c r="S9" s="47" t="e">
        <f>内蒙!AU36+内蒙!#REF!+内蒙!#REF!+内蒙!#REF!+内蒙!AU51+内蒙!AF67+内蒙!AX83+内蒙!AX99+内蒙!BA99+内蒙!AX114</f>
        <v>#REF!</v>
      </c>
      <c r="T9" s="47" t="e">
        <f>辽宁!AU36+辽宁!#REF!+辽宁!#REF!+辽宁!#REF!+辽宁!AU51+辽宁!AF67+辽宁!AX83+辽宁!AX99+辽宁!BA99+辽宁!AX114</f>
        <v>#REF!</v>
      </c>
      <c r="U9" s="47" t="e">
        <f>吉林!AU36+吉林!#REF!+吉林!#REF!+吉林!#REF!+吉林!AU51+吉林!AF67+吉林!AX83+吉林!AX99+吉林!BA99+吉林!AX114</f>
        <v>#REF!</v>
      </c>
      <c r="V9" s="47" t="e">
        <f>黑龙江!AU36+黑龙江!#REF!+黑龙江!#REF!+黑龙江!#REF!+黑龙江!AU51+黑龙江!AF67+黑龙江!AX83+黑龙江!AX99+黑龙江!BA99+黑龙江!AX114</f>
        <v>#REF!</v>
      </c>
      <c r="W9" s="47" t="e">
        <f>上海!AU36+上海!#REF!+上海!#REF!+上海!#REF!+上海!AU51+上海!AF67+上海!AX83+上海!AX99+上海!BA99+上海!AX114</f>
        <v>#REF!</v>
      </c>
      <c r="X9" s="47" t="e">
        <f>江苏!AU36+江苏!#REF!+江苏!#REF!+江苏!#REF!+江苏!AU51+江苏!AF67+江苏!AX83+江苏!AX99+江苏!BA99+江苏!AX114</f>
        <v>#REF!</v>
      </c>
      <c r="Y9" s="47" t="e">
        <f>浙江!AU36+浙江!#REF!+浙江!#REF!+浙江!#REF!+浙江!AU51+浙江!AF67+浙江!AX83+浙江!AX99+浙江!BA99+浙江!AX114</f>
        <v>#REF!</v>
      </c>
      <c r="Z9" s="47" t="e">
        <f>安徽!AU36+安徽!#REF!+安徽!#REF!+安徽!#REF!+安徽!AU51+安徽!AF67+安徽!AX83+安徽!AX99+安徽!BA99+安徽!AX114</f>
        <v>#REF!</v>
      </c>
      <c r="AA9" s="47" t="e">
        <f>福建!AU36+福建!#REF!+福建!#REF!+福建!#REF!+福建!AU51+福建!AF67+福建!AX83+福建!AX99+福建!BA99+福建!AX114</f>
        <v>#REF!</v>
      </c>
      <c r="AB9" s="47" t="e">
        <f>江西!AU36+江西!#REF!+江西!#REF!+江西!#REF!+江西!AU51+江西!AF67+江西!AX83+江西!AX99+江西!BA99+江西!AX114</f>
        <v>#REF!</v>
      </c>
      <c r="AC9" s="47" t="e">
        <f>山东!AU36+山东!#REF!+山东!#REF!+山东!#REF!+山东!AU51+山东!AF67+山东!AX83+山东!AX99+山东!BA99+山东!AX114</f>
        <v>#REF!</v>
      </c>
      <c r="AD9" s="47" t="e">
        <f>河南!AU36+河南!#REF!+河南!#REF!+河南!#REF!+河南!AU51+河南!AF67+河南!AX83+河南!AX99+河南!BA99+河南!AX114</f>
        <v>#REF!</v>
      </c>
      <c r="AE9" s="47" t="e">
        <f>湖北!AU36+湖北!#REF!+湖北!#REF!+湖北!#REF!+湖北!AU51+湖北!AF67+湖北!AX83+湖北!AX99+湖北!BA99+湖北!AX114</f>
        <v>#REF!</v>
      </c>
      <c r="AF9" s="47" t="e">
        <f>湖南!AU36+湖南!#REF!+湖南!#REF!+湖南!#REF!+湖南!AU52+湖南!AF68+湖南!AX84+湖南!AX100+湖南!BA100+湖南!AX115</f>
        <v>#REF!</v>
      </c>
      <c r="AG9" s="47" t="e">
        <f>广东!AU36+广东!#REF!+广东!#REF!+广东!#REF!+广东!AU51+广东!AF67+广东!AX83+广东!AX99+广东!BA99+广东!AX114</f>
        <v>#REF!</v>
      </c>
      <c r="AH9" s="47" t="e">
        <f>广西!AU36+广西!#REF!+广西!#REF!+广西!#REF!+广西!AU51+广西!AF67+广西!AX83+广西!AX99+广西!BA99+广西!AX114</f>
        <v>#REF!</v>
      </c>
      <c r="AI9" s="47" t="e">
        <f>海南!AU36+海南!#REF!+海南!#REF!+海南!#REF!+海南!AU51+海南!AF67+海南!AX83+海南!AX99+海南!BA99+海南!AX114</f>
        <v>#REF!</v>
      </c>
      <c r="AJ9" s="47" t="e">
        <f>重庆!AU36+重庆!#REF!+重庆!#REF!+重庆!#REF!+重庆!AU51+重庆!AF67+重庆!AX83+重庆!AX99+重庆!BA99+重庆!AX114</f>
        <v>#REF!</v>
      </c>
      <c r="AK9" s="47" t="e">
        <f>四川!AU36+四川!#REF!+四川!#REF!+四川!#REF!+四川!AU51+四川!AF67+四川!AX83+四川!AX99+四川!BA99+四川!AX114</f>
        <v>#REF!</v>
      </c>
      <c r="AL9" s="47" t="e">
        <f>贵州!AU36+贵州!#REF!+贵州!#REF!+贵州!#REF!+贵州!AU51+贵州!AF67+贵州!AX83+贵州!AX99+贵州!BA99+贵州!AX114</f>
        <v>#REF!</v>
      </c>
      <c r="AM9" s="47" t="e">
        <f>云南!AU36+云南!#REF!+云南!#REF!+云南!#REF!+云南!AU51+云南!AF67+云南!AX83+云南!AX99+云南!BA99+云南!AX114</f>
        <v>#REF!</v>
      </c>
      <c r="AN9" s="47" t="e">
        <f>西藏!AU36+西藏!#REF!+西藏!#REF!+西藏!#REF!+西藏!AU51+西藏!AF67+西藏!AX83+西藏!AX99+西藏!BA99+西藏!AX114</f>
        <v>#REF!</v>
      </c>
      <c r="AO9" s="47" t="e">
        <f>陕西!AU36+陕西!#REF!+陕西!#REF!+陕西!#REF!+陕西!AU51+陕西!AF67+陕西!AX83+陕西!AX99+陕西!BA99+陕西!AX114</f>
        <v>#REF!</v>
      </c>
      <c r="AP9" s="47" t="e">
        <f>甘肃!AU36+甘肃!#REF!+甘肃!#REF!+甘肃!#REF!+甘肃!AU51+甘肃!AF67+甘肃!AX83+甘肃!AX99+甘肃!BA99+甘肃!AX114</f>
        <v>#REF!</v>
      </c>
      <c r="AQ9" s="47" t="e">
        <f>青海!AU36+青海!#REF!+青海!#REF!+青海!#REF!+青海!AU51+青海!AF67+青海!AX83+青海!AX99+青海!BA99+青海!AX114</f>
        <v>#REF!</v>
      </c>
      <c r="AR9" s="50" t="e">
        <f>宁夏!AU36+宁夏!#REF!+宁夏!#REF!+宁夏!#REF!+宁夏!AU51+宁夏!AF67+宁夏!AX83+宁夏!AX99+宁夏!BA99+宁夏!AX114</f>
        <v>#REF!</v>
      </c>
      <c r="AS9" s="47" t="e">
        <f>新疆!AU36+新疆!#REF!+新疆!#REF!+新疆!#REF!+新疆!AU51+新疆!AF67+新疆!AX83+新疆!AX99+新疆!BA99+新疆!AX114</f>
        <v>#REF!</v>
      </c>
      <c r="AT9" s="47" t="e">
        <f t="shared" si="0"/>
        <v>#REF!</v>
      </c>
      <c r="AU9" s="53" t="e">
        <f t="shared" si="1"/>
        <v>#REF!</v>
      </c>
      <c r="AV9" s="52" t="e">
        <f t="shared" si="2"/>
        <v>#REF!</v>
      </c>
      <c r="AW9" s="52">
        <f t="shared" si="3"/>
        <v>1067.5</v>
      </c>
      <c r="AX9" s="52" t="e">
        <f t="shared" si="4"/>
        <v>#REF!</v>
      </c>
      <c r="AY9" s="52" t="e">
        <f>AX9/AX12*100</f>
        <v>#REF!</v>
      </c>
      <c r="AZ9" s="52"/>
      <c r="BA9" s="52" t="e">
        <f>AV9</f>
        <v>#REF!</v>
      </c>
      <c r="BB9" s="1">
        <v>1020936242.85407</v>
      </c>
      <c r="BC9" s="1" t="e">
        <f t="shared" si="5"/>
        <v>#REF!</v>
      </c>
      <c r="BD9" s="30" t="e">
        <f t="shared" si="6"/>
        <v>#REF!</v>
      </c>
      <c r="BE9" s="30" t="e">
        <f t="shared" si="7"/>
        <v>#REF!</v>
      </c>
      <c r="BF9" s="30" t="e">
        <f>BE9</f>
        <v>#REF!</v>
      </c>
      <c r="BH9" s="1">
        <v>547999265.924914</v>
      </c>
      <c r="BI9" s="1" t="e">
        <f t="shared" si="8"/>
        <v>#REF!</v>
      </c>
      <c r="BJ9" s="30" t="e">
        <f t="shared" si="9"/>
        <v>#REF!</v>
      </c>
      <c r="BK9" s="30" t="e">
        <f t="shared" si="10"/>
        <v>#REF!</v>
      </c>
      <c r="BL9" s="30" t="e">
        <f>BK9</f>
        <v>#REF!</v>
      </c>
    </row>
    <row r="10" spans="1:64">
      <c r="A10" s="4" t="s">
        <v>51</v>
      </c>
      <c r="B10" s="5"/>
      <c r="C10" s="3"/>
      <c r="D10" s="3"/>
      <c r="E10" s="12">
        <v>0.05</v>
      </c>
      <c r="F10" s="3">
        <v>341.64</v>
      </c>
      <c r="G10"/>
      <c r="H10"/>
      <c r="I10"/>
      <c r="J10"/>
      <c r="K10"/>
      <c r="L10"/>
      <c r="M10"/>
      <c r="N10" s="47">
        <v>11</v>
      </c>
      <c r="O10" s="47" t="e">
        <f>AU37+#REF!+#REF!+#REF!+AU52+AF68+BC84+BC100+BF100</f>
        <v>#REF!</v>
      </c>
      <c r="P10" s="47" t="e">
        <f>天津!AU37+天津!#REF!+天津!#REF!+天津!#REF!+天津!AU52+天津!AF68+天津!AX84+天津!AX100+天津!BA100</f>
        <v>#REF!</v>
      </c>
      <c r="Q10" s="47" t="e">
        <f>河北!AU37+河北!#REF!+河北!#REF!+河北!#REF!+河北!AU52+河北!AF68+河北!AX84+河北!AX100+河北!BA100</f>
        <v>#REF!</v>
      </c>
      <c r="R10" s="47" t="e">
        <f>山西!AU37+山西!#REF!+山西!#REF!+山西!#REF!+山西!AU52+山西!AF68+山西!AX84+山西!AX100+山西!BA100</f>
        <v>#REF!</v>
      </c>
      <c r="S10" s="47" t="e">
        <f>内蒙!AU37+内蒙!#REF!+内蒙!#REF!+内蒙!#REF!+内蒙!AU52+内蒙!AF68+内蒙!AX84+内蒙!AX100+内蒙!BA100+内蒙!AX115</f>
        <v>#REF!</v>
      </c>
      <c r="T10" s="47" t="e">
        <f>辽宁!AU37+辽宁!#REF!+辽宁!#REF!+辽宁!#REF!+辽宁!AU52+辽宁!AF68+辽宁!AX84+辽宁!AX100+辽宁!BA100+辽宁!AX115</f>
        <v>#REF!</v>
      </c>
      <c r="U10" s="47" t="e">
        <f>吉林!AU37+吉林!#REF!+吉林!#REF!+吉林!#REF!+吉林!AU52+吉林!AF68+吉林!AX84+吉林!AX100+吉林!BA100+吉林!AX115</f>
        <v>#REF!</v>
      </c>
      <c r="V10" s="47" t="e">
        <f>黑龙江!AU37+黑龙江!#REF!+黑龙江!#REF!+黑龙江!#REF!+黑龙江!AU52+黑龙江!AF68+黑龙江!AX84+黑龙江!AX100+黑龙江!BA100+黑龙江!AX115</f>
        <v>#REF!</v>
      </c>
      <c r="W10" s="47" t="e">
        <f>上海!AU37+上海!#REF!+上海!#REF!+上海!#REF!+上海!AU52+上海!AF68+上海!AX84+上海!AX100+上海!BA100+上海!AX115</f>
        <v>#REF!</v>
      </c>
      <c r="X10" s="47" t="e">
        <f>江苏!AU37+江苏!#REF!+江苏!#REF!+江苏!#REF!+江苏!AU52+江苏!AF68+江苏!AX84+江苏!AX100+江苏!BA100+江苏!AX115</f>
        <v>#REF!</v>
      </c>
      <c r="Y10" s="47" t="e">
        <f>浙江!AU37+浙江!#REF!+浙江!#REF!+浙江!#REF!+浙江!AU52+浙江!AF68+浙江!AX84+浙江!AX100+浙江!BA100+浙江!AX115</f>
        <v>#REF!</v>
      </c>
      <c r="Z10" s="47" t="e">
        <f>安徽!AU37+安徽!#REF!+安徽!#REF!+安徽!#REF!+安徽!AU52+安徽!AF68+安徽!AX84+安徽!AX100+安徽!BA100+安徽!AX115</f>
        <v>#REF!</v>
      </c>
      <c r="AA10" s="47" t="e">
        <f>福建!AU37+福建!#REF!+福建!#REF!+福建!#REF!+福建!AU52+福建!AF68+福建!AX84+福建!AX100+福建!BA100+福建!AX115</f>
        <v>#REF!</v>
      </c>
      <c r="AB10" s="47" t="e">
        <f>江西!AU37+江西!#REF!+江西!#REF!+江西!#REF!+江西!AU52+江西!AF68+江西!AX84+江西!AX100+江西!BA100+江西!AX115</f>
        <v>#REF!</v>
      </c>
      <c r="AC10" s="47" t="e">
        <f>山东!AU37+山东!#REF!+山东!#REF!+山东!#REF!+山东!AU52+山东!AF68+山东!AX84+山东!AX100+山东!BA100+山东!AX115</f>
        <v>#REF!</v>
      </c>
      <c r="AD10" s="47" t="e">
        <f>河南!AU37+河南!#REF!+河南!#REF!+河南!#REF!+河南!AU52+河南!AF68+河南!AX84+河南!AX100+河南!BA100+河南!AX115</f>
        <v>#REF!</v>
      </c>
      <c r="AE10" s="47" t="e">
        <f>湖北!AU37+湖北!#REF!+湖北!#REF!+湖北!#REF!+湖北!AU52+湖北!AF68+湖北!AX84+湖北!AX100+湖北!BA100+湖北!AX115</f>
        <v>#REF!</v>
      </c>
      <c r="AF10" s="47" t="e">
        <f>湖南!AU37+湖南!#REF!+湖南!#REF!+湖南!#REF!+湖南!AU53+湖南!AF69+湖南!AX85+湖南!AX101+湖南!BA101+湖南!AX116</f>
        <v>#REF!</v>
      </c>
      <c r="AG10" s="47" t="e">
        <f>广东!AU37+广东!#REF!+广东!#REF!+广东!#REF!+广东!AU52+广东!AF68+广东!AX84+广东!AX100+广东!BA100+广东!AX115</f>
        <v>#REF!</v>
      </c>
      <c r="AH10" s="47" t="e">
        <f>广西!AU37+广西!#REF!+广西!#REF!+广西!#REF!+广西!AU52+广西!AF68+广西!AX84+广西!AX100+广西!BA100+广西!AX115</f>
        <v>#REF!</v>
      </c>
      <c r="AI10" s="47" t="e">
        <f>海南!AU37+海南!#REF!+海南!#REF!+海南!#REF!+海南!AU52+海南!AF68+海南!AX84+海南!AX100+海南!BA100+海南!AX115</f>
        <v>#REF!</v>
      </c>
      <c r="AJ10" s="47" t="e">
        <f>重庆!AU37+重庆!#REF!+重庆!#REF!+重庆!#REF!+重庆!AU52+重庆!AF68+重庆!AX84+重庆!AX100+重庆!BA100+重庆!AX115</f>
        <v>#REF!</v>
      </c>
      <c r="AK10" s="47" t="e">
        <f>四川!AU37+四川!#REF!+四川!#REF!+四川!#REF!+四川!AU52+四川!AF68+四川!AX84+四川!AX100+四川!BA100+四川!AX115</f>
        <v>#REF!</v>
      </c>
      <c r="AL10" s="47" t="e">
        <f>贵州!AU37+贵州!#REF!+贵州!#REF!+贵州!#REF!+贵州!AU52+贵州!AF68+贵州!AX84+贵州!AX100+贵州!BA100+贵州!AX115</f>
        <v>#REF!</v>
      </c>
      <c r="AM10" s="47" t="e">
        <f>云南!AU37+云南!#REF!+云南!#REF!+云南!#REF!+云南!AU52+云南!AF68+云南!AX84+云南!AX100+云南!BA100+云南!AX115</f>
        <v>#REF!</v>
      </c>
      <c r="AN10" s="47" t="e">
        <f>西藏!AU37+西藏!#REF!+西藏!#REF!+西藏!#REF!+西藏!AU52+西藏!AF68+西藏!AX84+西藏!AX100+西藏!BA100+西藏!AX115</f>
        <v>#REF!</v>
      </c>
      <c r="AO10" s="47" t="e">
        <f>陕西!AU37+陕西!#REF!+陕西!#REF!+陕西!#REF!+陕西!AU52+陕西!AF68+陕西!AX84+陕西!AX100+陕西!BA100+陕西!AX115</f>
        <v>#REF!</v>
      </c>
      <c r="AP10" s="47" t="e">
        <f>甘肃!AU37+甘肃!#REF!+甘肃!#REF!+甘肃!#REF!+甘肃!AU52+甘肃!AF68+甘肃!AX84+甘肃!AX100+甘肃!BA100+甘肃!AX115</f>
        <v>#REF!</v>
      </c>
      <c r="AQ10" s="47" t="e">
        <f>青海!AU37+青海!#REF!+青海!#REF!+青海!#REF!+青海!AU52+青海!AF68+青海!AX84+青海!AX100+青海!BA100+青海!AX115</f>
        <v>#REF!</v>
      </c>
      <c r="AR10" s="50" t="e">
        <f>宁夏!AU37+宁夏!#REF!+宁夏!#REF!+宁夏!#REF!+宁夏!AU52+宁夏!AF68+宁夏!AX84+宁夏!AX100+宁夏!BA100+宁夏!AX115</f>
        <v>#REF!</v>
      </c>
      <c r="AS10" s="47" t="e">
        <f>新疆!AU37+新疆!#REF!+新疆!#REF!+新疆!#REF!+新疆!AU52+新疆!AF68+新疆!AX84+新疆!AX100+新疆!BA100+新疆!AX115</f>
        <v>#REF!</v>
      </c>
      <c r="AT10" s="47" t="e">
        <f t="shared" si="0"/>
        <v>#REF!</v>
      </c>
      <c r="AU10" s="53" t="e">
        <f t="shared" si="1"/>
        <v>#REF!</v>
      </c>
      <c r="AV10" s="52" t="e">
        <f t="shared" si="2"/>
        <v>#REF!</v>
      </c>
      <c r="AW10" s="52">
        <f t="shared" si="3"/>
        <v>1067.5</v>
      </c>
      <c r="AX10" s="52" t="e">
        <f t="shared" si="4"/>
        <v>#REF!</v>
      </c>
      <c r="AY10" s="52" t="e">
        <f>AX10/AX12*100</f>
        <v>#REF!</v>
      </c>
      <c r="AZ10" s="52"/>
      <c r="BA10" s="52" t="e">
        <f>-AV10</f>
        <v>#REF!</v>
      </c>
      <c r="BB10" s="1">
        <v>1020936242.85407</v>
      </c>
      <c r="BC10" s="1" t="e">
        <f t="shared" si="5"/>
        <v>#REF!</v>
      </c>
      <c r="BD10" s="30" t="e">
        <f t="shared" si="6"/>
        <v>#REF!</v>
      </c>
      <c r="BE10" s="30" t="e">
        <f t="shared" si="7"/>
        <v>#REF!</v>
      </c>
      <c r="BF10" s="30" t="e">
        <f>-BE10</f>
        <v>#REF!</v>
      </c>
      <c r="BH10" s="1">
        <v>547999265.924914</v>
      </c>
      <c r="BI10" s="1" t="e">
        <f t="shared" si="8"/>
        <v>#REF!</v>
      </c>
      <c r="BJ10" s="30" t="e">
        <f t="shared" si="9"/>
        <v>#REF!</v>
      </c>
      <c r="BK10" s="30" t="e">
        <f t="shared" si="10"/>
        <v>#REF!</v>
      </c>
      <c r="BL10" s="30" t="e">
        <f>-BK10</f>
        <v>#REF!</v>
      </c>
    </row>
    <row r="11" spans="1:64">
      <c r="A11" s="4" t="s">
        <v>52</v>
      </c>
      <c r="B11" s="5"/>
      <c r="C11" s="3"/>
      <c r="D11" s="3"/>
      <c r="E11" s="12">
        <v>0</v>
      </c>
      <c r="F11" s="3">
        <v>910.8575</v>
      </c>
      <c r="G11"/>
      <c r="H11"/>
      <c r="I11"/>
      <c r="J11"/>
      <c r="K11"/>
      <c r="L11"/>
      <c r="M11"/>
      <c r="N11" s="47">
        <v>12</v>
      </c>
      <c r="O11" s="47" t="e">
        <f>AU38+#REF!+#REF!+#REF!+AU53+AF69+BC85+BC101+BF101</f>
        <v>#REF!</v>
      </c>
      <c r="P11" s="47" t="e">
        <f>天津!AU38+天津!#REF!+天津!#REF!+天津!#REF!+天津!AU53+天津!AF69+天津!AX85+天津!AX101+天津!BA101</f>
        <v>#REF!</v>
      </c>
      <c r="Q11" s="47" t="e">
        <f>河北!AU38+河北!#REF!+河北!#REF!+河北!#REF!+河北!AU53+河北!AF69+河北!AX85+河北!AX101+河北!BA101</f>
        <v>#REF!</v>
      </c>
      <c r="R11" s="47" t="e">
        <f>山西!AU38+山西!#REF!+山西!#REF!+山西!#REF!+山西!AU53+山西!AF69+山西!AX85+山西!AX101+山西!BA101</f>
        <v>#REF!</v>
      </c>
      <c r="S11" s="47" t="e">
        <f>内蒙!AU38+内蒙!#REF!+内蒙!#REF!+内蒙!#REF!+内蒙!AU53+内蒙!AF69+内蒙!AX85+内蒙!AX101+内蒙!BA101+内蒙!AX116</f>
        <v>#REF!</v>
      </c>
      <c r="T11" s="47" t="e">
        <f>辽宁!AU38+辽宁!#REF!+辽宁!#REF!+辽宁!#REF!+辽宁!AU53+辽宁!AF69+辽宁!AX85+辽宁!AX101+辽宁!BA101+辽宁!AX116</f>
        <v>#REF!</v>
      </c>
      <c r="U11" s="47" t="e">
        <f>吉林!AU38+吉林!#REF!+吉林!#REF!+吉林!#REF!+吉林!AU53+吉林!AF69+吉林!AX85+吉林!AX101+吉林!BA101+吉林!AX116</f>
        <v>#REF!</v>
      </c>
      <c r="V11" s="47" t="e">
        <f>黑龙江!AU38+黑龙江!#REF!+黑龙江!#REF!+黑龙江!#REF!+黑龙江!AU53+黑龙江!AF69+黑龙江!AX85+黑龙江!AX101+黑龙江!BA101+黑龙江!AX116</f>
        <v>#REF!</v>
      </c>
      <c r="W11" s="47" t="e">
        <f>上海!AU38+上海!#REF!+上海!#REF!+上海!#REF!+上海!AU53+上海!AF69+上海!AX85+上海!AX101+上海!BA101+上海!AX116</f>
        <v>#REF!</v>
      </c>
      <c r="X11" s="47" t="e">
        <f>江苏!AU38+江苏!#REF!+江苏!#REF!+江苏!#REF!+江苏!AU53+江苏!AF69+江苏!AX85+江苏!AX101+江苏!BA101+江苏!AX116</f>
        <v>#REF!</v>
      </c>
      <c r="Y11" s="47" t="e">
        <f>浙江!AU38+浙江!#REF!+浙江!#REF!+浙江!#REF!+浙江!AU53+浙江!AF69+浙江!AX85+浙江!AX101+浙江!BA101+浙江!AX116</f>
        <v>#REF!</v>
      </c>
      <c r="Z11" s="47" t="e">
        <f>安徽!AU38+安徽!#REF!+安徽!#REF!+安徽!#REF!+安徽!AU53+安徽!AF69+安徽!AX85+安徽!AX101+安徽!BA101+安徽!AX116</f>
        <v>#REF!</v>
      </c>
      <c r="AA11" s="47" t="e">
        <f>福建!AU38+福建!#REF!+福建!#REF!+福建!#REF!+福建!AU53+福建!AF69+福建!AX85+福建!AX101+福建!BA101+福建!AX116</f>
        <v>#REF!</v>
      </c>
      <c r="AB11" s="47" t="e">
        <f>江西!AU38+江西!#REF!+江西!#REF!+江西!#REF!+江西!AU53+江西!AF69+江西!AX85+江西!AX101+江西!BA101+江西!AX116</f>
        <v>#REF!</v>
      </c>
      <c r="AC11" s="47" t="e">
        <f>山东!AU38+山东!#REF!+山东!#REF!+山东!#REF!+山东!AU53+山东!AF69+山东!AX85+山东!AX101+山东!BA101+山东!AX116</f>
        <v>#REF!</v>
      </c>
      <c r="AD11" s="47" t="e">
        <f>河南!AU38+河南!#REF!+河南!#REF!+河南!#REF!+河南!AU53+河南!AF69+河南!AX85+河南!AX101+河南!BA101+河南!AX116</f>
        <v>#REF!</v>
      </c>
      <c r="AE11" s="47" t="e">
        <f>湖北!AU38+湖北!#REF!+湖北!#REF!+湖北!#REF!+湖北!AU53+湖北!AF69+湖北!AX85+湖北!AX101+湖北!BA101+湖北!AX116</f>
        <v>#REF!</v>
      </c>
      <c r="AF11" s="47" t="e">
        <f>湖南!AU38+湖南!#REF!+湖南!#REF!+湖南!#REF!+湖南!AU54+湖南!AF70+湖南!AX86+湖南!AX102+湖南!BA102+湖南!AX117</f>
        <v>#REF!</v>
      </c>
      <c r="AG11" s="47" t="e">
        <f>广东!AU38+广东!#REF!+广东!#REF!+广东!#REF!+广东!AU53+广东!AF69+广东!AX85+广东!AX101+广东!BA101+广东!AX116</f>
        <v>#REF!</v>
      </c>
      <c r="AH11" s="47" t="e">
        <f>广西!AU38+广西!#REF!+广西!#REF!+广西!#REF!+广西!AU53+广西!AF69+广西!AX85+广西!AX101+广西!BA101+广西!AX116</f>
        <v>#REF!</v>
      </c>
      <c r="AI11" s="47" t="e">
        <f>海南!AU38+海南!#REF!+海南!#REF!+海南!#REF!+海南!AU53+海南!AF69+海南!AX85+海南!AX101+海南!BA101+海南!AX116</f>
        <v>#REF!</v>
      </c>
      <c r="AJ11" s="47" t="e">
        <f>重庆!AU38+重庆!#REF!+重庆!#REF!+重庆!#REF!+重庆!AU53+重庆!AF69+重庆!AX85+重庆!AX101+重庆!BA101+重庆!AX116</f>
        <v>#REF!</v>
      </c>
      <c r="AK11" s="47" t="e">
        <f>四川!AU38+四川!#REF!+四川!#REF!+四川!#REF!+四川!AU53+四川!AF69+四川!AX85+四川!AX101+四川!BA101+四川!AX116</f>
        <v>#REF!</v>
      </c>
      <c r="AL11" s="47" t="e">
        <f>贵州!AU38+贵州!#REF!+贵州!#REF!+贵州!#REF!+贵州!AU53+贵州!AF69+贵州!AX85+贵州!AX101+贵州!BA101+贵州!AX116</f>
        <v>#REF!</v>
      </c>
      <c r="AM11" s="47" t="e">
        <f>云南!AU38+云南!#REF!+云南!#REF!+云南!#REF!+云南!AU53+云南!AF69+云南!AX85+云南!AX101+云南!BA101+云南!AX116</f>
        <v>#REF!</v>
      </c>
      <c r="AN11" s="47" t="e">
        <f>西藏!AU38+西藏!#REF!+西藏!#REF!+西藏!#REF!+西藏!AU53+西藏!AF69+西藏!AX85+西藏!AX101+西藏!BA101+西藏!AX116</f>
        <v>#REF!</v>
      </c>
      <c r="AO11" s="47" t="e">
        <f>陕西!AU38+陕西!#REF!+陕西!#REF!+陕西!#REF!+陕西!AU53+陕西!AF69+陕西!AX85+陕西!AX101+陕西!BA101+陕西!AX116</f>
        <v>#REF!</v>
      </c>
      <c r="AP11" s="47" t="e">
        <f>甘肃!AU38+甘肃!#REF!+甘肃!#REF!+甘肃!#REF!+甘肃!AU53+甘肃!AF69+甘肃!AX85+甘肃!AX101+甘肃!BA101+甘肃!AX116</f>
        <v>#REF!</v>
      </c>
      <c r="AQ11" s="47" t="e">
        <f>青海!AU38+青海!#REF!+青海!#REF!+青海!#REF!+青海!AU53+青海!AF69+青海!AX85+青海!AX101+青海!BA101+青海!AX116</f>
        <v>#REF!</v>
      </c>
      <c r="AR11" s="50" t="e">
        <f>宁夏!AU38+宁夏!#REF!+宁夏!#REF!+宁夏!#REF!+宁夏!AU53+宁夏!AF69+宁夏!AX85+宁夏!AX101+宁夏!BA101+宁夏!AX116</f>
        <v>#REF!</v>
      </c>
      <c r="AS11" s="47" t="e">
        <f>新疆!AU38+新疆!#REF!+新疆!#REF!+新疆!#REF!+新疆!AU53+新疆!AF69+新疆!AX85+新疆!AX101+新疆!BA101+新疆!AX116</f>
        <v>#REF!</v>
      </c>
      <c r="AT11" s="47" t="e">
        <f t="shared" si="0"/>
        <v>#REF!</v>
      </c>
      <c r="AU11" s="53" t="e">
        <f t="shared" si="1"/>
        <v>#REF!</v>
      </c>
      <c r="AV11" s="52" t="e">
        <f t="shared" si="2"/>
        <v>#REF!</v>
      </c>
      <c r="AW11" s="52">
        <f t="shared" si="3"/>
        <v>1067.5</v>
      </c>
      <c r="AX11" s="52" t="e">
        <f t="shared" si="4"/>
        <v>#REF!</v>
      </c>
      <c r="AY11" s="52" t="e">
        <f>AX11/AX12*100</f>
        <v>#REF!</v>
      </c>
      <c r="AZ11" s="52"/>
      <c r="BA11" s="52" t="e">
        <f>-AV11</f>
        <v>#REF!</v>
      </c>
      <c r="BB11" s="1">
        <v>1020936242.85407</v>
      </c>
      <c r="BC11" s="1" t="e">
        <f t="shared" si="5"/>
        <v>#REF!</v>
      </c>
      <c r="BD11" s="30" t="e">
        <f t="shared" si="6"/>
        <v>#REF!</v>
      </c>
      <c r="BE11" s="30" t="e">
        <f t="shared" si="7"/>
        <v>#REF!</v>
      </c>
      <c r="BF11" s="30" t="e">
        <f>-BE11</f>
        <v>#REF!</v>
      </c>
      <c r="BH11" s="1">
        <v>547999265.924914</v>
      </c>
      <c r="BI11" s="1" t="e">
        <f t="shared" si="8"/>
        <v>#REF!</v>
      </c>
      <c r="BJ11" s="30" t="e">
        <f t="shared" si="9"/>
        <v>#REF!</v>
      </c>
      <c r="BK11" s="30" t="e">
        <f t="shared" si="10"/>
        <v>#REF!</v>
      </c>
      <c r="BL11" s="30" t="e">
        <f>-BK11</f>
        <v>#REF!</v>
      </c>
    </row>
    <row r="12" spans="14:64"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50"/>
      <c r="AS12" s="47"/>
      <c r="AT12" s="54" t="e">
        <f>SUM(AT2:AT11)</f>
        <v>#REF!</v>
      </c>
      <c r="AU12" s="53" t="e">
        <f>AVERAGE(AU2:AU11)</f>
        <v>#REF!</v>
      </c>
      <c r="AV12" s="50"/>
      <c r="AW12" s="50"/>
      <c r="AX12" s="50" t="e">
        <f>SUM(AX2:AX11)</f>
        <v>#REF!</v>
      </c>
      <c r="AY12" s="50"/>
      <c r="AZ12" s="50"/>
      <c r="BA12" s="56" t="e">
        <f>AVERAGE(BA2:BA11)</f>
        <v>#REF!</v>
      </c>
      <c r="BD12" s="30" t="e">
        <f>AVERAGE(BD2:BD11)</f>
        <v>#REF!</v>
      </c>
      <c r="BF12" s="30" t="e">
        <f>AVERAGE(BF2:BF11)</f>
        <v>#REF!</v>
      </c>
      <c r="BJ12" s="30" t="e">
        <f>AVERAGE(BJ2:BJ11)</f>
        <v>#REF!</v>
      </c>
      <c r="BL12" s="30" t="e">
        <f>AVERAGE(BL2:BL11)</f>
        <v>#REF!</v>
      </c>
    </row>
    <row r="13" spans="14:53"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50"/>
      <c r="AS13" s="47"/>
      <c r="AT13" s="47" t="s">
        <v>53</v>
      </c>
      <c r="AU13" s="47" t="s">
        <v>54</v>
      </c>
      <c r="AV13" s="47"/>
      <c r="AW13" s="47"/>
      <c r="AX13" s="47"/>
      <c r="AY13" s="47"/>
      <c r="AZ13" s="47"/>
      <c r="BA13" s="47"/>
    </row>
    <row r="14" spans="1:43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AV38+AV53+AG69+BD85+BD101+BG101</f>
        <v>9596221.88656577</v>
      </c>
      <c r="J14" s="14" t="s">
        <v>35</v>
      </c>
      <c r="K14" s="14">
        <f>I14/(10000*1000)</f>
        <v>0.959622188656577</v>
      </c>
      <c r="L14" s="14" t="s">
        <v>59</v>
      </c>
      <c r="M14" s="13"/>
      <c r="N14" s="13"/>
      <c r="O14" s="13"/>
      <c r="P14" s="13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</row>
    <row r="15" spans="1:43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14">
        <v>7025189.242825</v>
      </c>
      <c r="J15" s="14" t="s">
        <v>35</v>
      </c>
      <c r="K15" s="14">
        <f>I15/(10000*1000)</f>
        <v>0.7025189242825</v>
      </c>
      <c r="L15" s="14" t="s">
        <v>59</v>
      </c>
      <c r="M15" s="13"/>
      <c r="N15" s="13"/>
      <c r="O15" s="13"/>
      <c r="P15" s="13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</row>
    <row r="16" spans="1:43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</row>
    <row r="17" ht="16.2" spans="1:43">
      <c r="A17" s="13" t="s">
        <v>64</v>
      </c>
      <c r="B17" s="13" t="s">
        <v>65</v>
      </c>
      <c r="C17" s="13">
        <v>1.987</v>
      </c>
      <c r="D17" s="13"/>
      <c r="E17" s="13"/>
      <c r="F17" s="13"/>
      <c r="G17" s="46" t="s">
        <v>66</v>
      </c>
      <c r="H17" s="46">
        <f>K14+天津!K14+河北!K14+山西!K14+内蒙!K14+辽宁!K14+吉林!K14+黑龙江!K14+上海!K14+江苏!K14+浙江!K14+安徽!K14+福建!K14+江西!K14+山东!K14+河南!K14+湖北!K14+湖南!K14+广东!K14+广西!K14+海南!K14+重庆!K14+四川!K14+贵州!K14+云南!K14+西藏!K14+陕西!K14+甘肃!K14+青海!K14+宁夏!K14+新疆!K14</f>
        <v>265.508680978228</v>
      </c>
      <c r="I17" s="46" t="s">
        <v>59</v>
      </c>
      <c r="J17" s="13"/>
      <c r="K17" s="13"/>
      <c r="L17" s="13"/>
      <c r="M17" s="13"/>
      <c r="N17" s="13"/>
      <c r="O17" s="13"/>
      <c r="P17" s="13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ht="16.2" spans="1:43">
      <c r="A18" s="13" t="s">
        <v>67</v>
      </c>
      <c r="B18" s="13" t="s">
        <v>68</v>
      </c>
      <c r="C18" s="13">
        <v>1</v>
      </c>
      <c r="D18" s="13"/>
      <c r="E18" s="13"/>
      <c r="F18" s="13"/>
      <c r="G18" s="46" t="s">
        <v>69</v>
      </c>
      <c r="H18" s="46"/>
      <c r="I18" s="46" t="s">
        <v>59</v>
      </c>
      <c r="J18" s="13"/>
      <c r="K18" s="13"/>
      <c r="L18" s="13"/>
      <c r="M18" s="13"/>
      <c r="N18" s="13"/>
      <c r="O18" s="13"/>
      <c r="P18" s="13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9">
      <c r="A19" s="13" t="s">
        <v>70</v>
      </c>
      <c r="B19" s="13" t="s">
        <v>68</v>
      </c>
      <c r="C19" s="13">
        <v>3</v>
      </c>
      <c r="D19" s="13"/>
      <c r="E19" s="13"/>
      <c r="F19" s="13"/>
      <c r="G19" s="4" t="s">
        <v>71</v>
      </c>
      <c r="H19" s="4"/>
      <c r="I19" s="4" t="s">
        <v>72</v>
      </c>
      <c r="J19" s="13"/>
      <c r="K19" s="13"/>
      <c r="L19" s="13"/>
      <c r="M19" s="13"/>
      <c r="N19" s="13"/>
      <c r="O19" s="13"/>
      <c r="P19" s="13"/>
      <c r="Q19" s="13"/>
      <c r="R19" s="13"/>
      <c r="S19" s="13"/>
      <c r="AW19" s="1">
        <f>1067.5*2</f>
        <v>2135</v>
      </c>
    </row>
    <row r="20" spans="1:49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W20" s="1">
        <f>AW19*0.6</f>
        <v>1281</v>
      </c>
    </row>
    <row r="21" spans="1:49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W21" s="1">
        <f>AW19-AW20</f>
        <v>854</v>
      </c>
    </row>
    <row r="22" spans="1:19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1:19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1:19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1:42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</row>
    <row r="26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pans="1:47">
      <c r="A27" s="13" t="s">
        <v>108</v>
      </c>
      <c r="B27" s="13">
        <f>G2</f>
        <v>1338.18733333333</v>
      </c>
      <c r="C27" s="16" t="s">
        <v>109</v>
      </c>
      <c r="D27" s="16">
        <v>-5</v>
      </c>
      <c r="E27" s="16"/>
      <c r="F27" s="16"/>
      <c r="G27" s="13">
        <v>1</v>
      </c>
      <c r="H27" s="18">
        <f t="shared" ref="H27:H38" si="11">E28</f>
        <v>-5</v>
      </c>
      <c r="I27" s="18">
        <f t="shared" ref="I27:I38" si="12">H27+273.15</f>
        <v>268.15</v>
      </c>
      <c r="J27" s="18">
        <f>EXP(($C$16*(I27-$C$14))/($C$17*I27*$C$14))</f>
        <v>0.00896487173486583</v>
      </c>
      <c r="K27" s="18">
        <f>$B$27/12</f>
        <v>111.515611111111</v>
      </c>
      <c r="L27" s="18">
        <f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13">O27*J27</f>
        <v>0.0099972315004629</v>
      </c>
      <c r="Q27" s="24">
        <f>P27*$B$29</f>
        <v>0.00129964009506018</v>
      </c>
      <c r="R27" s="18">
        <f>L27*$B$29</f>
        <v>0.144970294444444</v>
      </c>
      <c r="S27" s="25">
        <f t="shared" ref="S27:S38" si="14">Q27/R27</f>
        <v>0.00896487173486583</v>
      </c>
      <c r="T27" s="3">
        <v>0.01</v>
      </c>
      <c r="U27" s="26">
        <f>S27*T27</f>
        <v>8.96487173486583e-5</v>
      </c>
      <c r="V27" s="25"/>
      <c r="W27" s="3"/>
      <c r="X27" s="26"/>
      <c r="Y27" s="28">
        <v>0.02</v>
      </c>
      <c r="Z27" s="3">
        <v>0.21</v>
      </c>
      <c r="AA27" s="27">
        <f>Y27*Z27</f>
        <v>0.0042</v>
      </c>
      <c r="AB27" s="3">
        <v>0.01</v>
      </c>
      <c r="AC27" s="3">
        <v>0.29</v>
      </c>
      <c r="AD27" s="27">
        <f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>AK27*AL27</f>
        <v>0.011</v>
      </c>
      <c r="AN27" s="3">
        <v>0.01</v>
      </c>
      <c r="AO27" s="3">
        <v>0.38</v>
      </c>
      <c r="AP27" s="3">
        <f>AO27*AN27</f>
        <v>0.0038</v>
      </c>
      <c r="AQ27" s="1">
        <f>(AP27+AM27+AD27+AA27+U27+X27+AG27+AJ27)</f>
        <v>0.0219896487173487</v>
      </c>
      <c r="AR27" s="29">
        <f>$B$27/12</f>
        <v>111.515611111111</v>
      </c>
      <c r="AS27" s="1">
        <f>$B$29</f>
        <v>0.13</v>
      </c>
      <c r="AT27" s="2">
        <f>$E$2/12</f>
        <v>1.96166666666667</v>
      </c>
      <c r="AU27" s="1">
        <f>AT27*10000*AS27*0.67*AR27*AQ27</f>
        <v>4189.83893047803</v>
      </c>
    </row>
    <row r="28" spans="1:47">
      <c r="A28" s="13" t="s">
        <v>111</v>
      </c>
      <c r="B28" s="13">
        <v>1</v>
      </c>
      <c r="C28" s="16">
        <v>1</v>
      </c>
      <c r="D28" s="19">
        <v>-8.26894654770968</v>
      </c>
      <c r="E28" s="20">
        <f t="shared" ref="E28:E39" si="15">D27</f>
        <v>-5</v>
      </c>
      <c r="F28" s="16" t="s">
        <v>110</v>
      </c>
      <c r="G28" s="13">
        <v>2</v>
      </c>
      <c r="H28" s="18">
        <f t="shared" si="11"/>
        <v>-8.26894654770968</v>
      </c>
      <c r="I28" s="18">
        <f t="shared" si="12"/>
        <v>264.88105345229</v>
      </c>
      <c r="J28" s="18">
        <f t="shared" ref="J28:J38" si="16">EXP(($C$16*(I28-$C$14))/($C$17*I28*$C$14))</f>
        <v>0.00572700794994822</v>
      </c>
      <c r="K28" s="18">
        <f t="shared" ref="K28:K38" si="17">$B$27/12</f>
        <v>111.515611111111</v>
      </c>
      <c r="L28" s="18">
        <f t="shared" ref="L28:L38" si="18">K28*$B$28/100</f>
        <v>1.11515611111111</v>
      </c>
      <c r="M28" s="13" t="s">
        <v>110</v>
      </c>
      <c r="N28" s="13"/>
      <c r="O28" s="18">
        <f t="shared" ref="O28:O38" si="19">L28+O27-P27-N28</f>
        <v>2.22031499072176</v>
      </c>
      <c r="P28" s="18">
        <f t="shared" si="13"/>
        <v>0.0127157616032527</v>
      </c>
      <c r="Q28" s="24">
        <f t="shared" ref="Q28:Q38" si="20">P28*$B$29</f>
        <v>0.00165304900842285</v>
      </c>
      <c r="R28" s="18">
        <f t="shared" ref="R28:R38" si="21">L28*$B$29</f>
        <v>0.144970294444444</v>
      </c>
      <c r="S28" s="25">
        <f t="shared" si="14"/>
        <v>0.0114026740082006</v>
      </c>
      <c r="T28" s="3">
        <v>0.01</v>
      </c>
      <c r="U28" s="26">
        <f t="shared" ref="U28:U38" si="22">S28*T28</f>
        <v>0.000114026740082006</v>
      </c>
      <c r="V28" s="25"/>
      <c r="W28" s="3"/>
      <c r="X28" s="26"/>
      <c r="Y28" s="28">
        <v>0.02</v>
      </c>
      <c r="Z28" s="3">
        <v>0.21</v>
      </c>
      <c r="AA28" s="27">
        <f t="shared" ref="AA28:AA38" si="23">Y28*Z28</f>
        <v>0.0042</v>
      </c>
      <c r="AB28" s="3">
        <v>0.01</v>
      </c>
      <c r="AC28" s="3">
        <v>0.29</v>
      </c>
      <c r="AD28" s="27">
        <f t="shared" ref="AD28:AD38" si="24">AB28*AC28</f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ref="AM28:AM38" si="25">AK28*AL28</f>
        <v>0.011</v>
      </c>
      <c r="AN28" s="3">
        <v>0.01</v>
      </c>
      <c r="AO28" s="3">
        <v>0.38</v>
      </c>
      <c r="AP28" s="3">
        <f t="shared" ref="AP28:AP38" si="26">AO28*AN28</f>
        <v>0.0038</v>
      </c>
      <c r="AQ28" s="1">
        <f t="shared" ref="AQ28:AQ38" si="27">(AP28+AM28+AD28+AA28+U28+X28+AG28+AJ28)</f>
        <v>0.022014026740082</v>
      </c>
      <c r="AR28" s="29">
        <f t="shared" ref="AR28:AR38" si="28">$B$27/12</f>
        <v>111.515611111111</v>
      </c>
      <c r="AS28" s="1">
        <f t="shared" ref="AS28:AS38" si="29">$B$29</f>
        <v>0.13</v>
      </c>
      <c r="AT28" s="2">
        <f t="shared" ref="AT28:AT38" si="30">$E$2/12</f>
        <v>1.96166666666667</v>
      </c>
      <c r="AU28" s="1">
        <f t="shared" ref="AU28:AU38" si="31">AT28*10000*AS28*0.67*AR28*AQ28</f>
        <v>4194.48384272784</v>
      </c>
    </row>
    <row r="29" spans="1:47">
      <c r="A29" s="13" t="s">
        <v>73</v>
      </c>
      <c r="B29" s="13">
        <v>0.13</v>
      </c>
      <c r="C29" s="16">
        <v>2</v>
      </c>
      <c r="D29" s="19">
        <v>-2.59796630424138</v>
      </c>
      <c r="E29" s="20">
        <f t="shared" si="15"/>
        <v>-8.26894654770968</v>
      </c>
      <c r="F29" s="16" t="s">
        <v>110</v>
      </c>
      <c r="G29" s="13">
        <v>3</v>
      </c>
      <c r="H29" s="18">
        <f t="shared" si="11"/>
        <v>-2.59796630424138</v>
      </c>
      <c r="I29" s="18">
        <f t="shared" si="12"/>
        <v>270.552033695759</v>
      </c>
      <c r="J29" s="18">
        <f t="shared" si="16"/>
        <v>0.0123751748472055</v>
      </c>
      <c r="K29" s="18">
        <f t="shared" si="17"/>
        <v>111.515611111111</v>
      </c>
      <c r="L29" s="18">
        <f t="shared" si="18"/>
        <v>1.11515611111111</v>
      </c>
      <c r="M29" s="13" t="s">
        <v>110</v>
      </c>
      <c r="N29" s="13"/>
      <c r="O29" s="18">
        <f t="shared" si="19"/>
        <v>3.32275534022962</v>
      </c>
      <c r="P29" s="18">
        <f t="shared" si="13"/>
        <v>0.0411196783098273</v>
      </c>
      <c r="Q29" s="24">
        <f t="shared" si="20"/>
        <v>0.00534555818027755</v>
      </c>
      <c r="R29" s="18">
        <f t="shared" si="21"/>
        <v>0.144970294444444</v>
      </c>
      <c r="S29" s="25">
        <f t="shared" si="14"/>
        <v>0.0368734726018376</v>
      </c>
      <c r="T29" s="3">
        <v>0.01</v>
      </c>
      <c r="U29" s="26">
        <f t="shared" si="22"/>
        <v>0.000368734726018376</v>
      </c>
      <c r="V29" s="25"/>
      <c r="W29" s="3"/>
      <c r="X29" s="26"/>
      <c r="Y29" s="28">
        <v>0.02</v>
      </c>
      <c r="Z29" s="3">
        <v>0.21</v>
      </c>
      <c r="AA29" s="27">
        <f t="shared" si="23"/>
        <v>0.0042</v>
      </c>
      <c r="AB29" s="3">
        <v>0.01</v>
      </c>
      <c r="AC29" s="3">
        <v>0.29</v>
      </c>
      <c r="AD29" s="27">
        <f t="shared" si="24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25"/>
        <v>0.011</v>
      </c>
      <c r="AN29" s="3">
        <v>0.01</v>
      </c>
      <c r="AO29" s="3">
        <v>0.38</v>
      </c>
      <c r="AP29" s="3">
        <f t="shared" si="26"/>
        <v>0.0038</v>
      </c>
      <c r="AQ29" s="1">
        <f t="shared" si="27"/>
        <v>0.0222687347260184</v>
      </c>
      <c r="AR29" s="29">
        <f t="shared" si="28"/>
        <v>111.515611111111</v>
      </c>
      <c r="AS29" s="1">
        <f t="shared" si="29"/>
        <v>0.13</v>
      </c>
      <c r="AT29" s="2">
        <f t="shared" si="30"/>
        <v>1.96166666666667</v>
      </c>
      <c r="AU29" s="1">
        <f t="shared" si="31"/>
        <v>4243.01510619172</v>
      </c>
    </row>
    <row r="30" spans="1:47">
      <c r="A30" s="13"/>
      <c r="B30" s="13"/>
      <c r="C30" s="16">
        <v>3</v>
      </c>
      <c r="D30" s="19">
        <v>5.86196966116129</v>
      </c>
      <c r="E30" s="20">
        <f t="shared" si="15"/>
        <v>-2.59796630424138</v>
      </c>
      <c r="F30" s="16" t="s">
        <v>110</v>
      </c>
      <c r="G30" s="13">
        <v>4</v>
      </c>
      <c r="H30" s="18">
        <f t="shared" si="11"/>
        <v>5.86196966116129</v>
      </c>
      <c r="I30" s="18">
        <f t="shared" si="12"/>
        <v>279.011969661161</v>
      </c>
      <c r="J30" s="18">
        <f t="shared" si="16"/>
        <v>0.0368518054348487</v>
      </c>
      <c r="K30" s="18">
        <f t="shared" si="17"/>
        <v>111.515611111111</v>
      </c>
      <c r="L30" s="18">
        <f t="shared" si="18"/>
        <v>1.11515611111111</v>
      </c>
      <c r="M30" s="13" t="s">
        <v>110</v>
      </c>
      <c r="N30" s="13"/>
      <c r="O30" s="18">
        <f t="shared" si="19"/>
        <v>4.3967917730309</v>
      </c>
      <c r="P30" s="18">
        <f t="shared" si="13"/>
        <v>0.162029714957278</v>
      </c>
      <c r="Q30" s="24">
        <f t="shared" si="20"/>
        <v>0.0210638629444462</v>
      </c>
      <c r="R30" s="18">
        <f t="shared" si="21"/>
        <v>0.144970294444444</v>
      </c>
      <c r="S30" s="25">
        <f t="shared" si="14"/>
        <v>0.145297786868456</v>
      </c>
      <c r="T30" s="3">
        <v>0.01</v>
      </c>
      <c r="U30" s="26">
        <f t="shared" si="22"/>
        <v>0.00145297786868456</v>
      </c>
      <c r="V30" s="25"/>
      <c r="W30" s="3"/>
      <c r="X30" s="26"/>
      <c r="Y30" s="28">
        <v>0.02</v>
      </c>
      <c r="Z30" s="3">
        <v>0.21</v>
      </c>
      <c r="AA30" s="27">
        <f t="shared" si="23"/>
        <v>0.0042</v>
      </c>
      <c r="AB30" s="3">
        <v>0.01</v>
      </c>
      <c r="AC30" s="3">
        <v>0.29</v>
      </c>
      <c r="AD30" s="27">
        <f t="shared" si="24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25"/>
        <v>0.011</v>
      </c>
      <c r="AN30" s="3">
        <v>0.01</v>
      </c>
      <c r="AO30" s="3">
        <v>0.38</v>
      </c>
      <c r="AP30" s="3">
        <f t="shared" si="26"/>
        <v>0.0038</v>
      </c>
      <c r="AQ30" s="1">
        <f t="shared" si="27"/>
        <v>0.0233529778686846</v>
      </c>
      <c r="AR30" s="29">
        <f t="shared" si="28"/>
        <v>111.515611111111</v>
      </c>
      <c r="AS30" s="1">
        <f t="shared" si="29"/>
        <v>0.13</v>
      </c>
      <c r="AT30" s="2">
        <f t="shared" si="30"/>
        <v>1.96166666666667</v>
      </c>
      <c r="AU30" s="1">
        <f t="shared" si="31"/>
        <v>4449.60340542465</v>
      </c>
    </row>
    <row r="31" spans="1:47">
      <c r="A31" s="13"/>
      <c r="B31" s="13"/>
      <c r="C31" s="16">
        <v>4</v>
      </c>
      <c r="D31" s="19">
        <v>13.3131172304333</v>
      </c>
      <c r="E31" s="20">
        <f t="shared" si="15"/>
        <v>5.86196966116129</v>
      </c>
      <c r="F31" s="16" t="s">
        <v>110</v>
      </c>
      <c r="G31" s="13">
        <v>5</v>
      </c>
      <c r="H31" s="18">
        <f t="shared" si="11"/>
        <v>13.3131172304333</v>
      </c>
      <c r="I31" s="18">
        <f t="shared" si="12"/>
        <v>286.463117230433</v>
      </c>
      <c r="J31" s="18">
        <f t="shared" si="16"/>
        <v>0.0913424067276603</v>
      </c>
      <c r="K31" s="18">
        <f t="shared" si="17"/>
        <v>111.515611111111</v>
      </c>
      <c r="L31" s="18">
        <f t="shared" si="18"/>
        <v>1.11515611111111</v>
      </c>
      <c r="M31" s="13" t="s">
        <v>112</v>
      </c>
      <c r="N31" s="18">
        <f>(O30-P30)*C22/100</f>
        <v>4.02302395516994</v>
      </c>
      <c r="O31" s="18">
        <f t="shared" si="19"/>
        <v>1.32689421401479</v>
      </c>
      <c r="P31" s="18">
        <f t="shared" si="13"/>
        <v>0.121201710981118</v>
      </c>
      <c r="Q31" s="24">
        <f t="shared" si="20"/>
        <v>0.0157562224275454</v>
      </c>
      <c r="R31" s="18">
        <f t="shared" si="21"/>
        <v>0.144970294444444</v>
      </c>
      <c r="S31" s="25">
        <f t="shared" si="14"/>
        <v>0.108685868976996</v>
      </c>
      <c r="T31" s="3">
        <v>0.01</v>
      </c>
      <c r="U31" s="26">
        <f t="shared" si="22"/>
        <v>0.00108685868976996</v>
      </c>
      <c r="V31" s="25"/>
      <c r="W31" s="3"/>
      <c r="X31" s="26"/>
      <c r="Y31" s="28">
        <v>0.04</v>
      </c>
      <c r="Z31" s="3">
        <v>0.21</v>
      </c>
      <c r="AA31" s="27">
        <f t="shared" si="23"/>
        <v>0.0084</v>
      </c>
      <c r="AB31" s="3">
        <v>0.015</v>
      </c>
      <c r="AC31" s="3">
        <v>0.29</v>
      </c>
      <c r="AD31" s="27">
        <f t="shared" si="24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25"/>
        <v>0.011</v>
      </c>
      <c r="AN31" s="3">
        <v>0.015</v>
      </c>
      <c r="AO31" s="3">
        <v>0.38</v>
      </c>
      <c r="AP31" s="3">
        <f t="shared" si="26"/>
        <v>0.0057</v>
      </c>
      <c r="AQ31" s="1">
        <f t="shared" si="27"/>
        <v>0.03053685868977</v>
      </c>
      <c r="AR31" s="29">
        <f t="shared" si="28"/>
        <v>111.515611111111</v>
      </c>
      <c r="AS31" s="1">
        <f t="shared" si="29"/>
        <v>0.13</v>
      </c>
      <c r="AT31" s="2">
        <f t="shared" si="30"/>
        <v>1.96166666666667</v>
      </c>
      <c r="AU31" s="1">
        <f t="shared" si="31"/>
        <v>5818.39760141157</v>
      </c>
    </row>
    <row r="32" spans="1:47">
      <c r="A32" s="13"/>
      <c r="B32" s="13"/>
      <c r="C32" s="16">
        <v>5</v>
      </c>
      <c r="D32" s="19">
        <v>18.1142507493871</v>
      </c>
      <c r="E32" s="20">
        <f t="shared" si="15"/>
        <v>13.3131172304333</v>
      </c>
      <c r="F32" s="16" t="s">
        <v>112</v>
      </c>
      <c r="G32" s="13">
        <v>6</v>
      </c>
      <c r="H32" s="18">
        <f t="shared" si="11"/>
        <v>18.1142507493871</v>
      </c>
      <c r="I32" s="18">
        <f t="shared" si="12"/>
        <v>291.264250749387</v>
      </c>
      <c r="J32" s="18">
        <f t="shared" si="16"/>
        <v>0.159955117781521</v>
      </c>
      <c r="K32" s="18">
        <f t="shared" si="17"/>
        <v>111.515611111111</v>
      </c>
      <c r="L32" s="18">
        <f t="shared" si="18"/>
        <v>1.11515611111111</v>
      </c>
      <c r="M32" s="13" t="s">
        <v>110</v>
      </c>
      <c r="N32" s="13"/>
      <c r="O32" s="18">
        <f t="shared" si="19"/>
        <v>2.32084861414478</v>
      </c>
      <c r="P32" s="18">
        <f t="shared" si="13"/>
        <v>0.371231613428609</v>
      </c>
      <c r="Q32" s="24">
        <f t="shared" si="20"/>
        <v>0.0482601097457191</v>
      </c>
      <c r="R32" s="18">
        <f t="shared" si="21"/>
        <v>0.144970294444444</v>
      </c>
      <c r="S32" s="25">
        <f t="shared" si="14"/>
        <v>0.332896542223782</v>
      </c>
      <c r="T32" s="3">
        <v>0.01</v>
      </c>
      <c r="U32" s="26">
        <f t="shared" si="22"/>
        <v>0.00332896542223782</v>
      </c>
      <c r="V32" s="25"/>
      <c r="W32" s="3"/>
      <c r="X32" s="26"/>
      <c r="Y32" s="28">
        <v>0.04</v>
      </c>
      <c r="Z32" s="3">
        <v>0.21</v>
      </c>
      <c r="AA32" s="27">
        <f t="shared" si="23"/>
        <v>0.0084</v>
      </c>
      <c r="AB32" s="3">
        <v>0.015</v>
      </c>
      <c r="AC32" s="3">
        <v>0.29</v>
      </c>
      <c r="AD32" s="27">
        <f t="shared" si="24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25"/>
        <v>0.011</v>
      </c>
      <c r="AN32" s="3">
        <v>0.015</v>
      </c>
      <c r="AO32" s="3">
        <v>0.38</v>
      </c>
      <c r="AP32" s="3">
        <f t="shared" si="26"/>
        <v>0.0057</v>
      </c>
      <c r="AQ32" s="1">
        <f t="shared" si="27"/>
        <v>0.0327789654222378</v>
      </c>
      <c r="AR32" s="29">
        <f t="shared" si="28"/>
        <v>111.515611111111</v>
      </c>
      <c r="AS32" s="1">
        <f t="shared" si="29"/>
        <v>0.13</v>
      </c>
      <c r="AT32" s="2">
        <f t="shared" si="30"/>
        <v>1.96166666666667</v>
      </c>
      <c r="AU32" s="1">
        <f t="shared" si="31"/>
        <v>6245.60160974888</v>
      </c>
    </row>
    <row r="33" spans="1:47">
      <c r="A33" s="13"/>
      <c r="B33" s="13"/>
      <c r="C33" s="16">
        <v>6</v>
      </c>
      <c r="D33" s="19">
        <v>22.7104640336667</v>
      </c>
      <c r="E33" s="20">
        <f t="shared" si="15"/>
        <v>18.1142507493871</v>
      </c>
      <c r="F33" s="16" t="s">
        <v>110</v>
      </c>
      <c r="G33" s="13">
        <v>7</v>
      </c>
      <c r="H33" s="18">
        <f t="shared" si="11"/>
        <v>22.7104640336667</v>
      </c>
      <c r="I33" s="18">
        <f t="shared" si="12"/>
        <v>295.860464033667</v>
      </c>
      <c r="J33" s="18">
        <f t="shared" si="16"/>
        <v>0.268868217089804</v>
      </c>
      <c r="K33" s="18">
        <f t="shared" si="17"/>
        <v>111.515611111111</v>
      </c>
      <c r="L33" s="18">
        <f t="shared" si="18"/>
        <v>1.11515611111111</v>
      </c>
      <c r="M33" s="13" t="s">
        <v>110</v>
      </c>
      <c r="N33" s="13"/>
      <c r="O33" s="18">
        <f t="shared" si="19"/>
        <v>3.06477311182729</v>
      </c>
      <c r="P33" s="18">
        <f t="shared" si="13"/>
        <v>0.824020082361773</v>
      </c>
      <c r="Q33" s="24">
        <f t="shared" si="20"/>
        <v>0.107122610707031</v>
      </c>
      <c r="R33" s="18">
        <f t="shared" si="21"/>
        <v>0.144970294444444</v>
      </c>
      <c r="S33" s="25">
        <f t="shared" si="14"/>
        <v>0.738928006717142</v>
      </c>
      <c r="T33" s="3">
        <v>0.01</v>
      </c>
      <c r="U33" s="26">
        <f t="shared" si="22"/>
        <v>0.00738928006717142</v>
      </c>
      <c r="V33" s="25"/>
      <c r="W33" s="3"/>
      <c r="X33" s="26"/>
      <c r="Y33" s="28">
        <v>0.04</v>
      </c>
      <c r="Z33" s="3">
        <v>0.21</v>
      </c>
      <c r="AA33" s="27">
        <f t="shared" si="23"/>
        <v>0.0084</v>
      </c>
      <c r="AB33" s="3">
        <v>0.015</v>
      </c>
      <c r="AC33" s="3">
        <v>0.29</v>
      </c>
      <c r="AD33" s="27">
        <f t="shared" si="24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25"/>
        <v>0.011</v>
      </c>
      <c r="AN33" s="3">
        <v>0.015</v>
      </c>
      <c r="AO33" s="3">
        <v>0.38</v>
      </c>
      <c r="AP33" s="3">
        <f t="shared" si="26"/>
        <v>0.0057</v>
      </c>
      <c r="AQ33" s="1">
        <f t="shared" si="27"/>
        <v>0.0368392800671714</v>
      </c>
      <c r="AR33" s="29">
        <f t="shared" si="28"/>
        <v>111.515611111111</v>
      </c>
      <c r="AS33" s="1">
        <f t="shared" si="29"/>
        <v>0.13</v>
      </c>
      <c r="AT33" s="2">
        <f t="shared" si="30"/>
        <v>1.96166666666667</v>
      </c>
      <c r="AU33" s="1">
        <f t="shared" si="31"/>
        <v>7019.24127030023</v>
      </c>
    </row>
    <row r="34" spans="1:47">
      <c r="A34" s="13"/>
      <c r="B34" s="13"/>
      <c r="C34" s="16">
        <v>7</v>
      </c>
      <c r="D34" s="19">
        <v>24.5753693980645</v>
      </c>
      <c r="E34" s="20">
        <f t="shared" si="15"/>
        <v>22.7104640336667</v>
      </c>
      <c r="F34" s="16" t="s">
        <v>110</v>
      </c>
      <c r="G34" s="13">
        <v>8</v>
      </c>
      <c r="H34" s="18">
        <f t="shared" si="11"/>
        <v>24.5753693980645</v>
      </c>
      <c r="I34" s="18">
        <f t="shared" si="12"/>
        <v>297.725369398064</v>
      </c>
      <c r="J34" s="18">
        <f t="shared" si="16"/>
        <v>0.330420117115311</v>
      </c>
      <c r="K34" s="18">
        <f t="shared" si="17"/>
        <v>111.515611111111</v>
      </c>
      <c r="L34" s="18">
        <f t="shared" si="18"/>
        <v>1.11515611111111</v>
      </c>
      <c r="M34" s="13" t="s">
        <v>110</v>
      </c>
      <c r="N34" s="13"/>
      <c r="O34" s="18">
        <f t="shared" si="19"/>
        <v>3.35590914057662</v>
      </c>
      <c r="P34" s="18">
        <f t="shared" si="13"/>
        <v>1.10885989125767</v>
      </c>
      <c r="Q34" s="24">
        <f t="shared" si="20"/>
        <v>0.144151785863497</v>
      </c>
      <c r="R34" s="18">
        <f t="shared" si="21"/>
        <v>0.144970294444444</v>
      </c>
      <c r="S34" s="25">
        <f t="shared" si="14"/>
        <v>0.994353956553073</v>
      </c>
      <c r="T34" s="3">
        <v>0.01</v>
      </c>
      <c r="U34" s="26">
        <f t="shared" si="22"/>
        <v>0.00994353956553073</v>
      </c>
      <c r="V34" s="25"/>
      <c r="W34" s="3"/>
      <c r="X34" s="26"/>
      <c r="Y34" s="28">
        <v>0.04</v>
      </c>
      <c r="Z34" s="3">
        <v>0.21</v>
      </c>
      <c r="AA34" s="27">
        <f t="shared" si="23"/>
        <v>0.0084</v>
      </c>
      <c r="AB34" s="3">
        <v>0.015</v>
      </c>
      <c r="AC34" s="3">
        <v>0.29</v>
      </c>
      <c r="AD34" s="27">
        <f t="shared" si="24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25"/>
        <v>0.011</v>
      </c>
      <c r="AN34" s="3">
        <v>0.015</v>
      </c>
      <c r="AO34" s="3">
        <v>0.38</v>
      </c>
      <c r="AP34" s="3">
        <f t="shared" si="26"/>
        <v>0.0057</v>
      </c>
      <c r="AQ34" s="1">
        <f t="shared" si="27"/>
        <v>0.0393935395655307</v>
      </c>
      <c r="AR34" s="29">
        <f t="shared" si="28"/>
        <v>111.515611111111</v>
      </c>
      <c r="AS34" s="1">
        <f t="shared" si="29"/>
        <v>0.13</v>
      </c>
      <c r="AT34" s="2">
        <f t="shared" si="30"/>
        <v>1.96166666666667</v>
      </c>
      <c r="AU34" s="1">
        <f t="shared" si="31"/>
        <v>7505.92189091086</v>
      </c>
    </row>
    <row r="35" spans="1:47">
      <c r="A35" s="13"/>
      <c r="B35" s="13"/>
      <c r="C35" s="16">
        <v>8</v>
      </c>
      <c r="D35" s="19">
        <v>24.0049141725806</v>
      </c>
      <c r="E35" s="20">
        <f t="shared" si="15"/>
        <v>24.5753693980645</v>
      </c>
      <c r="F35" s="16" t="s">
        <v>110</v>
      </c>
      <c r="G35" s="13">
        <v>9</v>
      </c>
      <c r="H35" s="18">
        <f t="shared" si="11"/>
        <v>24.0049141725806</v>
      </c>
      <c r="I35" s="18">
        <f t="shared" si="12"/>
        <v>297.154914172581</v>
      </c>
      <c r="J35" s="18">
        <f t="shared" si="16"/>
        <v>0.310313300030747</v>
      </c>
      <c r="K35" s="18">
        <f t="shared" si="17"/>
        <v>111.515611111111</v>
      </c>
      <c r="L35" s="18">
        <f t="shared" si="18"/>
        <v>1.11515611111111</v>
      </c>
      <c r="M35" s="13" t="s">
        <v>110</v>
      </c>
      <c r="N35" s="13"/>
      <c r="O35" s="18">
        <f t="shared" si="19"/>
        <v>3.36220536043006</v>
      </c>
      <c r="P35" s="18">
        <f t="shared" si="13"/>
        <v>1.04333704077612</v>
      </c>
      <c r="Q35" s="24">
        <f t="shared" si="20"/>
        <v>0.135633815300896</v>
      </c>
      <c r="R35" s="18">
        <f t="shared" si="21"/>
        <v>0.144970294444444</v>
      </c>
      <c r="S35" s="25">
        <f t="shared" si="14"/>
        <v>0.935597294746982</v>
      </c>
      <c r="T35" s="3">
        <v>0.01</v>
      </c>
      <c r="U35" s="26">
        <f t="shared" si="22"/>
        <v>0.00935597294746982</v>
      </c>
      <c r="V35" s="25"/>
      <c r="W35" s="3"/>
      <c r="X35" s="26"/>
      <c r="Y35" s="28">
        <v>0.04</v>
      </c>
      <c r="Z35" s="3">
        <v>0.21</v>
      </c>
      <c r="AA35" s="27">
        <f t="shared" si="23"/>
        <v>0.0084</v>
      </c>
      <c r="AB35" s="3">
        <v>0.015</v>
      </c>
      <c r="AC35" s="3">
        <v>0.29</v>
      </c>
      <c r="AD35" s="27">
        <f t="shared" si="24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25"/>
        <v>0.011</v>
      </c>
      <c r="AN35" s="3">
        <v>0.015</v>
      </c>
      <c r="AO35" s="3">
        <v>0.38</v>
      </c>
      <c r="AP35" s="3">
        <f t="shared" si="26"/>
        <v>0.0057</v>
      </c>
      <c r="AQ35" s="1">
        <f t="shared" si="27"/>
        <v>0.0388059729474698</v>
      </c>
      <c r="AR35" s="29">
        <f t="shared" si="28"/>
        <v>111.515611111111</v>
      </c>
      <c r="AS35" s="1">
        <f t="shared" si="29"/>
        <v>0.13</v>
      </c>
      <c r="AT35" s="2">
        <f t="shared" si="30"/>
        <v>1.96166666666667</v>
      </c>
      <c r="AU35" s="1">
        <f t="shared" si="31"/>
        <v>7393.96878414483</v>
      </c>
    </row>
    <row r="36" spans="1:47">
      <c r="A36" s="13"/>
      <c r="B36" s="13"/>
      <c r="C36" s="16">
        <v>9</v>
      </c>
      <c r="D36" s="19">
        <v>18.3698675906667</v>
      </c>
      <c r="E36" s="20">
        <f t="shared" si="15"/>
        <v>24.0049141725806</v>
      </c>
      <c r="F36" s="16" t="s">
        <v>110</v>
      </c>
      <c r="G36" s="13">
        <v>10</v>
      </c>
      <c r="H36" s="18">
        <f t="shared" si="11"/>
        <v>18.3698675906667</v>
      </c>
      <c r="I36" s="18">
        <f t="shared" si="12"/>
        <v>291.519867590667</v>
      </c>
      <c r="J36" s="18">
        <f t="shared" si="16"/>
        <v>0.164713164036634</v>
      </c>
      <c r="K36" s="18">
        <f t="shared" si="17"/>
        <v>111.515611111111</v>
      </c>
      <c r="L36" s="18">
        <f t="shared" si="18"/>
        <v>1.11515611111111</v>
      </c>
      <c r="M36" s="13" t="s">
        <v>110</v>
      </c>
      <c r="N36" s="13"/>
      <c r="O36" s="18">
        <f t="shared" si="19"/>
        <v>3.43402443076506</v>
      </c>
      <c r="P36" s="18">
        <f t="shared" si="13"/>
        <v>0.565629029370413</v>
      </c>
      <c r="Q36" s="24">
        <f t="shared" si="20"/>
        <v>0.0735317738181537</v>
      </c>
      <c r="R36" s="18">
        <f t="shared" si="21"/>
        <v>0.144970294444444</v>
      </c>
      <c r="S36" s="25">
        <f t="shared" si="14"/>
        <v>0.507219593503223</v>
      </c>
      <c r="T36" s="3">
        <v>0.01</v>
      </c>
      <c r="U36" s="26">
        <f t="shared" si="22"/>
        <v>0.00507219593503223</v>
      </c>
      <c r="V36" s="25"/>
      <c r="W36" s="3"/>
      <c r="X36" s="26"/>
      <c r="Y36" s="28">
        <v>0.02</v>
      </c>
      <c r="Z36" s="3">
        <v>0.21</v>
      </c>
      <c r="AA36" s="27">
        <f t="shared" si="23"/>
        <v>0.0042</v>
      </c>
      <c r="AB36" s="3">
        <v>0.01</v>
      </c>
      <c r="AC36" s="3">
        <v>0.29</v>
      </c>
      <c r="AD36" s="27">
        <f t="shared" si="24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25"/>
        <v>0.011</v>
      </c>
      <c r="AN36" s="3">
        <v>0.01</v>
      </c>
      <c r="AO36" s="3">
        <v>0.38</v>
      </c>
      <c r="AP36" s="3">
        <f t="shared" si="26"/>
        <v>0.0038</v>
      </c>
      <c r="AQ36" s="1">
        <f t="shared" si="27"/>
        <v>0.0269721959350322</v>
      </c>
      <c r="AR36" s="29">
        <f t="shared" si="28"/>
        <v>111.515611111111</v>
      </c>
      <c r="AS36" s="1">
        <f t="shared" si="29"/>
        <v>0.13</v>
      </c>
      <c r="AT36" s="2">
        <f t="shared" si="30"/>
        <v>1.96166666666667</v>
      </c>
      <c r="AU36" s="1">
        <f t="shared" si="31"/>
        <v>5139.1979026896</v>
      </c>
    </row>
    <row r="37" spans="1:47">
      <c r="A37" s="13"/>
      <c r="B37" s="13"/>
      <c r="C37" s="16">
        <v>10</v>
      </c>
      <c r="D37" s="19">
        <v>10.0867692679677</v>
      </c>
      <c r="E37" s="20">
        <f t="shared" si="15"/>
        <v>18.3698675906667</v>
      </c>
      <c r="F37" s="16" t="s">
        <v>110</v>
      </c>
      <c r="G37" s="13">
        <v>11</v>
      </c>
      <c r="H37" s="18">
        <f t="shared" si="11"/>
        <v>10.0867692679677</v>
      </c>
      <c r="I37" s="18">
        <f t="shared" si="12"/>
        <v>283.236769267968</v>
      </c>
      <c r="J37" s="18">
        <f t="shared" si="16"/>
        <v>0.0620188879468226</v>
      </c>
      <c r="K37" s="18">
        <f t="shared" si="17"/>
        <v>111.515611111111</v>
      </c>
      <c r="L37" s="18">
        <f t="shared" si="18"/>
        <v>1.11515611111111</v>
      </c>
      <c r="M37" s="13" t="s">
        <v>112</v>
      </c>
      <c r="N37" s="18">
        <f>(O36-P36)*C22/100</f>
        <v>2.72497563132491</v>
      </c>
      <c r="O37" s="18">
        <f t="shared" si="19"/>
        <v>1.25857588118084</v>
      </c>
      <c r="P37" s="18">
        <f t="shared" si="13"/>
        <v>0.0780554765475282</v>
      </c>
      <c r="Q37" s="24">
        <f t="shared" si="20"/>
        <v>0.0101472119511787</v>
      </c>
      <c r="R37" s="18">
        <f t="shared" si="21"/>
        <v>0.144970294444444</v>
      </c>
      <c r="S37" s="25">
        <f t="shared" si="14"/>
        <v>0.0699951116886728</v>
      </c>
      <c r="T37" s="3">
        <v>0.01</v>
      </c>
      <c r="U37" s="26">
        <f t="shared" si="22"/>
        <v>0.000699951116886728</v>
      </c>
      <c r="V37" s="25"/>
      <c r="W37" s="3"/>
      <c r="X37" s="26"/>
      <c r="Y37" s="28">
        <v>0.02</v>
      </c>
      <c r="Z37" s="3">
        <v>0.21</v>
      </c>
      <c r="AA37" s="27">
        <f t="shared" si="23"/>
        <v>0.0042</v>
      </c>
      <c r="AB37" s="3">
        <v>0.01</v>
      </c>
      <c r="AC37" s="3">
        <v>0.29</v>
      </c>
      <c r="AD37" s="27">
        <f t="shared" si="24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25"/>
        <v>0.011</v>
      </c>
      <c r="AN37" s="3">
        <v>0.01</v>
      </c>
      <c r="AO37" s="3">
        <v>0.38</v>
      </c>
      <c r="AP37" s="3">
        <f t="shared" si="26"/>
        <v>0.0038</v>
      </c>
      <c r="AQ37" s="1">
        <f t="shared" si="27"/>
        <v>0.0225999511168867</v>
      </c>
      <c r="AR37" s="29">
        <f t="shared" si="28"/>
        <v>111.515611111111</v>
      </c>
      <c r="AS37" s="1">
        <f t="shared" si="29"/>
        <v>0.13</v>
      </c>
      <c r="AT37" s="2">
        <f t="shared" si="30"/>
        <v>1.96166666666667</v>
      </c>
      <c r="AU37" s="1">
        <f t="shared" si="31"/>
        <v>4306.12404197831</v>
      </c>
    </row>
    <row r="38" spans="1:48">
      <c r="A38" s="13"/>
      <c r="B38" s="13"/>
      <c r="C38" s="16">
        <v>11</v>
      </c>
      <c r="D38" s="19">
        <v>0.881895453866666</v>
      </c>
      <c r="E38" s="20">
        <f t="shared" si="15"/>
        <v>10.0867692679677</v>
      </c>
      <c r="F38" s="16" t="s">
        <v>112</v>
      </c>
      <c r="G38" s="13">
        <v>12</v>
      </c>
      <c r="H38" s="18">
        <f t="shared" si="11"/>
        <v>0.881895453866666</v>
      </c>
      <c r="I38" s="18">
        <f t="shared" si="12"/>
        <v>274.031895453867</v>
      </c>
      <c r="J38" s="18">
        <f t="shared" si="16"/>
        <v>0.0195446693125814</v>
      </c>
      <c r="K38" s="18">
        <f t="shared" si="17"/>
        <v>111.515611111111</v>
      </c>
      <c r="L38" s="18">
        <f t="shared" si="18"/>
        <v>1.11515611111111</v>
      </c>
      <c r="M38" s="13" t="s">
        <v>110</v>
      </c>
      <c r="N38" s="13"/>
      <c r="O38" s="18">
        <f t="shared" si="19"/>
        <v>2.29567651574443</v>
      </c>
      <c r="P38" s="18">
        <f t="shared" si="13"/>
        <v>0.0448682383488839</v>
      </c>
      <c r="Q38" s="24">
        <f t="shared" si="20"/>
        <v>0.0058328709853549</v>
      </c>
      <c r="R38" s="18">
        <f t="shared" si="21"/>
        <v>0.144970294444444</v>
      </c>
      <c r="S38" s="25">
        <f t="shared" si="14"/>
        <v>0.0402349392177732</v>
      </c>
      <c r="T38" s="3">
        <v>0.01</v>
      </c>
      <c r="U38" s="26">
        <f t="shared" si="22"/>
        <v>0.000402349392177732</v>
      </c>
      <c r="V38" s="25"/>
      <c r="W38" s="3"/>
      <c r="X38" s="26"/>
      <c r="Y38" s="28">
        <v>0.02</v>
      </c>
      <c r="Z38" s="3">
        <v>0.21</v>
      </c>
      <c r="AA38" s="27">
        <f t="shared" si="23"/>
        <v>0.0042</v>
      </c>
      <c r="AB38" s="3">
        <v>0.01</v>
      </c>
      <c r="AC38" s="3">
        <v>0.29</v>
      </c>
      <c r="AD38" s="27">
        <f t="shared" si="24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25"/>
        <v>0.011</v>
      </c>
      <c r="AN38" s="3">
        <v>0.01</v>
      </c>
      <c r="AO38" s="3">
        <v>0.38</v>
      </c>
      <c r="AP38" s="3">
        <f t="shared" si="26"/>
        <v>0.0038</v>
      </c>
      <c r="AQ38" s="1">
        <f t="shared" si="27"/>
        <v>0.0223023493921777</v>
      </c>
      <c r="AR38" s="29">
        <f t="shared" si="28"/>
        <v>111.515611111111</v>
      </c>
      <c r="AS38" s="1">
        <f t="shared" si="29"/>
        <v>0.13</v>
      </c>
      <c r="AT38" s="2">
        <f t="shared" si="30"/>
        <v>1.96166666666667</v>
      </c>
      <c r="AU38" s="1">
        <f t="shared" si="31"/>
        <v>4249.41993960766</v>
      </c>
      <c r="AV38" s="1">
        <f>SUM(AU27:AU38)</f>
        <v>64754.8143256142</v>
      </c>
    </row>
    <row r="39" spans="1:19">
      <c r="A39" s="13"/>
      <c r="B39" s="13"/>
      <c r="C39" s="16">
        <v>12</v>
      </c>
      <c r="D39" s="19">
        <v>-3.07955829712903</v>
      </c>
      <c r="E39" s="20">
        <f t="shared" si="15"/>
        <v>0.881895453866666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19:42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</row>
    <row r="4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pans="1:47">
      <c r="A42" s="13" t="s">
        <v>108</v>
      </c>
      <c r="B42" s="13">
        <f>G5</f>
        <v>92.50925</v>
      </c>
      <c r="C42" s="16" t="s">
        <v>109</v>
      </c>
      <c r="D42" s="16">
        <v>-5</v>
      </c>
      <c r="E42" s="16"/>
      <c r="F42" s="16"/>
      <c r="G42" s="13">
        <v>1</v>
      </c>
      <c r="H42" s="18">
        <f t="shared" ref="H42:H53" si="32">E43</f>
        <v>-5</v>
      </c>
      <c r="I42" s="18">
        <f t="shared" ref="I42:I53" si="33">H42+273.15</f>
        <v>268.15</v>
      </c>
      <c r="J42" s="18">
        <f t="shared" ref="J42:J53" si="34">EXP(($C$16*(I42-$C$14))/($C$17*I42*$C$14))</f>
        <v>0.00896487173486583</v>
      </c>
      <c r="K42" s="18">
        <f>$B$42/12</f>
        <v>7.70910416666667</v>
      </c>
      <c r="L42" s="18">
        <f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35">O42*J42</f>
        <v>0.000691111300448864</v>
      </c>
      <c r="Q42" s="24">
        <f>P42*$B$44</f>
        <v>8.98444690583523e-5</v>
      </c>
      <c r="R42" s="18">
        <f>L42*$B$44</f>
        <v>0.0100218354166667</v>
      </c>
      <c r="S42" s="25">
        <f t="shared" ref="S42:S53" si="36">Q42/R42</f>
        <v>0.00896487173486583</v>
      </c>
      <c r="T42" s="3">
        <v>0.01</v>
      </c>
      <c r="U42" s="26">
        <f t="shared" ref="U42:U53" si="37">S42*T42</f>
        <v>8.96487173486583e-5</v>
      </c>
      <c r="V42" s="25"/>
      <c r="W42" s="3"/>
      <c r="X42" s="26"/>
      <c r="Y42" s="28">
        <v>0.02</v>
      </c>
      <c r="Z42" s="3">
        <v>0.49</v>
      </c>
      <c r="AA42" s="27">
        <f t="shared" ref="AA42:AA53" si="38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9">AO42*AN42</f>
        <v>0.005</v>
      </c>
      <c r="AQ42" s="1">
        <f>(AP42+AM42+AD42+AA42+U42+X42+AG42+AJ42)</f>
        <v>0.0148896487173487</v>
      </c>
      <c r="AR42" s="29">
        <f>$B$42/12</f>
        <v>7.70910416666667</v>
      </c>
      <c r="AS42" s="1">
        <f>$B$44</f>
        <v>0.13</v>
      </c>
      <c r="AT42" s="2">
        <f t="shared" ref="AT42:AT53" si="40">$E$5/12</f>
        <v>8.25021917808219</v>
      </c>
      <c r="AU42" s="1">
        <f t="shared" ref="AU42:AU53" si="41">AT42*10000*AS42*0.67*AR42*AQ42</f>
        <v>824.844356049505</v>
      </c>
    </row>
    <row r="43" spans="1:47">
      <c r="A43" s="13" t="s">
        <v>111</v>
      </c>
      <c r="B43" s="13">
        <v>1</v>
      </c>
      <c r="C43" s="16">
        <v>1</v>
      </c>
      <c r="D43" s="19">
        <v>-8.26894654770968</v>
      </c>
      <c r="E43" s="20">
        <f t="shared" ref="E43:E54" si="42">D42</f>
        <v>-5</v>
      </c>
      <c r="F43" s="16" t="s">
        <v>110</v>
      </c>
      <c r="G43" s="13">
        <v>2</v>
      </c>
      <c r="H43" s="18">
        <f t="shared" si="32"/>
        <v>-8.26894654770968</v>
      </c>
      <c r="I43" s="18">
        <f t="shared" si="33"/>
        <v>264.88105345229</v>
      </c>
      <c r="J43" s="18">
        <f t="shared" si="34"/>
        <v>0.00572700794994822</v>
      </c>
      <c r="K43" s="18">
        <f t="shared" ref="K43:K53" si="43">$B$42/12</f>
        <v>7.70910416666667</v>
      </c>
      <c r="L43" s="18">
        <f t="shared" ref="L43:L53" si="44">K43*$B$43/100</f>
        <v>0.0770910416666667</v>
      </c>
      <c r="M43" s="13" t="s">
        <v>110</v>
      </c>
      <c r="N43" s="13"/>
      <c r="O43" s="18">
        <f t="shared" ref="O43:O53" si="45">L43+O42-P42-N43</f>
        <v>0.153490972032884</v>
      </c>
      <c r="P43" s="18">
        <f t="shared" si="35"/>
        <v>0.000879044017077609</v>
      </c>
      <c r="Q43" s="24">
        <f t="shared" ref="Q43:Q53" si="46">P43*$B$44</f>
        <v>0.000114275722220089</v>
      </c>
      <c r="R43" s="18">
        <f t="shared" ref="R43:R53" si="47">L43*$B$44</f>
        <v>0.0100218354166667</v>
      </c>
      <c r="S43" s="25">
        <f t="shared" si="36"/>
        <v>0.0114026740082006</v>
      </c>
      <c r="T43" s="3">
        <v>0.01</v>
      </c>
      <c r="U43" s="26">
        <f t="shared" si="37"/>
        <v>0.000114026740082006</v>
      </c>
      <c r="V43" s="25"/>
      <c r="W43" s="3"/>
      <c r="X43" s="26"/>
      <c r="Y43" s="28">
        <v>0.02</v>
      </c>
      <c r="Z43" s="3">
        <v>0.49</v>
      </c>
      <c r="AA43" s="27">
        <f t="shared" si="38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9"/>
        <v>0.005</v>
      </c>
      <c r="AQ43" s="1">
        <f t="shared" ref="AQ43:AQ53" si="48">(AP43+AM43+AD43+AA43+U43+X43+AG43+AJ43)</f>
        <v>0.014914026740082</v>
      </c>
      <c r="AR43" s="29">
        <f t="shared" ref="AR43:AR53" si="49">$B$42/12</f>
        <v>7.70910416666667</v>
      </c>
      <c r="AS43" s="1">
        <f t="shared" ref="AS43:AS53" si="50">$B$44</f>
        <v>0.13</v>
      </c>
      <c r="AT43" s="2">
        <f t="shared" si="40"/>
        <v>8.25021917808219</v>
      </c>
      <c r="AU43" s="1">
        <f t="shared" si="41"/>
        <v>826.194829445148</v>
      </c>
    </row>
    <row r="44" spans="1:47">
      <c r="A44" s="13" t="s">
        <v>73</v>
      </c>
      <c r="B44" s="13">
        <v>0.13</v>
      </c>
      <c r="C44" s="16">
        <v>2</v>
      </c>
      <c r="D44" s="19">
        <v>-2.59796630424138</v>
      </c>
      <c r="E44" s="20">
        <f t="shared" si="42"/>
        <v>-8.26894654770968</v>
      </c>
      <c r="F44" s="16" t="s">
        <v>110</v>
      </c>
      <c r="G44" s="13">
        <v>3</v>
      </c>
      <c r="H44" s="18">
        <f t="shared" si="32"/>
        <v>-2.59796630424138</v>
      </c>
      <c r="I44" s="18">
        <f t="shared" si="33"/>
        <v>270.552033695759</v>
      </c>
      <c r="J44" s="18">
        <f t="shared" si="34"/>
        <v>0.0123751748472055</v>
      </c>
      <c r="K44" s="18">
        <f t="shared" si="43"/>
        <v>7.70910416666667</v>
      </c>
      <c r="L44" s="18">
        <f t="shared" si="44"/>
        <v>0.0770910416666667</v>
      </c>
      <c r="M44" s="13" t="s">
        <v>110</v>
      </c>
      <c r="N44" s="13"/>
      <c r="O44" s="18">
        <f t="shared" si="45"/>
        <v>0.229702969682474</v>
      </c>
      <c r="P44" s="18">
        <f t="shared" si="35"/>
        <v>0.00284261441274295</v>
      </c>
      <c r="Q44" s="24">
        <f t="shared" si="46"/>
        <v>0.000369539873656584</v>
      </c>
      <c r="R44" s="18">
        <f t="shared" si="47"/>
        <v>0.0100218354166667</v>
      </c>
      <c r="S44" s="25">
        <f t="shared" si="36"/>
        <v>0.0368734726018376</v>
      </c>
      <c r="T44" s="3">
        <v>0.01</v>
      </c>
      <c r="U44" s="26">
        <f t="shared" si="37"/>
        <v>0.000368734726018376</v>
      </c>
      <c r="V44" s="25"/>
      <c r="W44" s="3"/>
      <c r="X44" s="26"/>
      <c r="Y44" s="28">
        <v>0.02</v>
      </c>
      <c r="Z44" s="3">
        <v>0.49</v>
      </c>
      <c r="AA44" s="27">
        <f t="shared" si="38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9"/>
        <v>0.005</v>
      </c>
      <c r="AQ44" s="1">
        <f t="shared" si="48"/>
        <v>0.0151687347260184</v>
      </c>
      <c r="AR44" s="29">
        <f t="shared" si="49"/>
        <v>7.70910416666667</v>
      </c>
      <c r="AS44" s="1">
        <f t="shared" si="50"/>
        <v>0.13</v>
      </c>
      <c r="AT44" s="2">
        <f t="shared" si="40"/>
        <v>8.25021917808219</v>
      </c>
      <c r="AU44" s="1">
        <f t="shared" si="41"/>
        <v>840.304930269458</v>
      </c>
    </row>
    <row r="45" spans="1:47">
      <c r="A45" s="13"/>
      <c r="B45" s="13"/>
      <c r="C45" s="16">
        <v>3</v>
      </c>
      <c r="D45" s="19">
        <v>5.86196966116129</v>
      </c>
      <c r="E45" s="20">
        <f t="shared" si="42"/>
        <v>-2.59796630424138</v>
      </c>
      <c r="F45" s="16" t="s">
        <v>110</v>
      </c>
      <c r="G45" s="13">
        <v>4</v>
      </c>
      <c r="H45" s="18">
        <f t="shared" si="32"/>
        <v>5.86196966116129</v>
      </c>
      <c r="I45" s="18">
        <f t="shared" si="33"/>
        <v>279.011969661161</v>
      </c>
      <c r="J45" s="18">
        <f t="shared" si="34"/>
        <v>0.0368518054348487</v>
      </c>
      <c r="K45" s="18">
        <f t="shared" si="43"/>
        <v>7.70910416666667</v>
      </c>
      <c r="L45" s="18">
        <f t="shared" si="44"/>
        <v>0.0770910416666667</v>
      </c>
      <c r="M45" s="13" t="s">
        <v>110</v>
      </c>
      <c r="N45" s="13"/>
      <c r="O45" s="18">
        <f t="shared" si="45"/>
        <v>0.303951396936397</v>
      </c>
      <c r="P45" s="18">
        <f t="shared" si="35"/>
        <v>0.0112011577415506</v>
      </c>
      <c r="Q45" s="24">
        <f t="shared" si="46"/>
        <v>0.00145615050640158</v>
      </c>
      <c r="R45" s="18">
        <f t="shared" si="47"/>
        <v>0.0100218354166667</v>
      </c>
      <c r="S45" s="25">
        <f t="shared" si="36"/>
        <v>0.145297786868456</v>
      </c>
      <c r="T45" s="3">
        <v>0.01</v>
      </c>
      <c r="U45" s="26">
        <f t="shared" si="37"/>
        <v>0.00145297786868456</v>
      </c>
      <c r="V45" s="25"/>
      <c r="W45" s="3"/>
      <c r="X45" s="26"/>
      <c r="Y45" s="28">
        <v>0.02</v>
      </c>
      <c r="Z45" s="3">
        <v>0.49</v>
      </c>
      <c r="AA45" s="27">
        <f t="shared" si="38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9"/>
        <v>0.005</v>
      </c>
      <c r="AQ45" s="1">
        <f t="shared" si="48"/>
        <v>0.0162529778686846</v>
      </c>
      <c r="AR45" s="29">
        <f t="shared" si="49"/>
        <v>7.70910416666667</v>
      </c>
      <c r="AS45" s="1">
        <f t="shared" si="50"/>
        <v>0.13</v>
      </c>
      <c r="AT45" s="2">
        <f t="shared" si="40"/>
        <v>8.25021917808219</v>
      </c>
      <c r="AU45" s="1">
        <f t="shared" si="41"/>
        <v>900.368928674709</v>
      </c>
    </row>
    <row r="46" spans="1:47">
      <c r="A46" s="13"/>
      <c r="B46" s="13"/>
      <c r="C46" s="16">
        <v>4</v>
      </c>
      <c r="D46" s="19">
        <v>13.3131172304333</v>
      </c>
      <c r="E46" s="20">
        <f t="shared" si="42"/>
        <v>5.86196966116129</v>
      </c>
      <c r="F46" s="16" t="s">
        <v>110</v>
      </c>
      <c r="G46" s="13">
        <v>5</v>
      </c>
      <c r="H46" s="18">
        <f t="shared" si="32"/>
        <v>13.3131172304333</v>
      </c>
      <c r="I46" s="18">
        <f t="shared" si="33"/>
        <v>286.463117230433</v>
      </c>
      <c r="J46" s="18">
        <f t="shared" si="34"/>
        <v>0.0913424067276603</v>
      </c>
      <c r="K46" s="18">
        <f t="shared" si="43"/>
        <v>7.70910416666667</v>
      </c>
      <c r="L46" s="18">
        <f t="shared" si="44"/>
        <v>0.0770910416666667</v>
      </c>
      <c r="M46" s="13" t="s">
        <v>112</v>
      </c>
      <c r="N46" s="18">
        <f>(O45-P45)*$C$22/100</f>
        <v>0.278112727235104</v>
      </c>
      <c r="O46" s="18">
        <f t="shared" si="45"/>
        <v>0.091728553626409</v>
      </c>
      <c r="P46" s="18">
        <f t="shared" si="35"/>
        <v>0.00837870685388345</v>
      </c>
      <c r="Q46" s="24">
        <f t="shared" si="46"/>
        <v>0.00108923189100485</v>
      </c>
      <c r="R46" s="18">
        <f t="shared" si="47"/>
        <v>0.0100218354166667</v>
      </c>
      <c r="S46" s="25">
        <f t="shared" si="36"/>
        <v>0.108685868976996</v>
      </c>
      <c r="T46" s="3">
        <v>0.01</v>
      </c>
      <c r="U46" s="26">
        <f t="shared" si="37"/>
        <v>0.00108685868976996</v>
      </c>
      <c r="V46" s="25"/>
      <c r="W46" s="3"/>
      <c r="X46" s="26"/>
      <c r="Y46" s="28">
        <v>0.04</v>
      </c>
      <c r="Z46" s="3">
        <v>0.49</v>
      </c>
      <c r="AA46" s="27">
        <f t="shared" si="38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9"/>
        <v>0.0075</v>
      </c>
      <c r="AQ46" s="1">
        <f t="shared" si="48"/>
        <v>0.02818685868977</v>
      </c>
      <c r="AR46" s="29">
        <f t="shared" si="49"/>
        <v>7.70910416666667</v>
      </c>
      <c r="AS46" s="1">
        <f t="shared" si="50"/>
        <v>0.13</v>
      </c>
      <c r="AT46" s="2">
        <f t="shared" si="40"/>
        <v>8.25021917808219</v>
      </c>
      <c r="AU46" s="1">
        <f t="shared" si="41"/>
        <v>1561.47211706427</v>
      </c>
    </row>
    <row r="47" spans="1:47">
      <c r="A47" s="13"/>
      <c r="B47" s="13"/>
      <c r="C47" s="16">
        <v>5</v>
      </c>
      <c r="D47" s="19">
        <v>18.1142507493871</v>
      </c>
      <c r="E47" s="20">
        <f t="shared" si="42"/>
        <v>13.3131172304333</v>
      </c>
      <c r="F47" s="16" t="s">
        <v>112</v>
      </c>
      <c r="G47" s="13">
        <v>6</v>
      </c>
      <c r="H47" s="18">
        <f t="shared" si="32"/>
        <v>18.1142507493871</v>
      </c>
      <c r="I47" s="18">
        <f t="shared" si="33"/>
        <v>291.264250749387</v>
      </c>
      <c r="J47" s="18">
        <f t="shared" si="34"/>
        <v>0.159955117781521</v>
      </c>
      <c r="K47" s="18">
        <f t="shared" si="43"/>
        <v>7.70910416666667</v>
      </c>
      <c r="L47" s="18">
        <f t="shared" si="44"/>
        <v>0.0770910416666667</v>
      </c>
      <c r="M47" s="13" t="s">
        <v>110</v>
      </c>
      <c r="N47" s="13"/>
      <c r="O47" s="18">
        <f t="shared" si="45"/>
        <v>0.160440888439192</v>
      </c>
      <c r="P47" s="18">
        <f t="shared" si="35"/>
        <v>0.0256633412072629</v>
      </c>
      <c r="Q47" s="24">
        <f t="shared" si="46"/>
        <v>0.00333623435694417</v>
      </c>
      <c r="R47" s="18">
        <f t="shared" si="47"/>
        <v>0.0100218354166667</v>
      </c>
      <c r="S47" s="25">
        <f t="shared" si="36"/>
        <v>0.332896542223782</v>
      </c>
      <c r="T47" s="3">
        <v>0.01</v>
      </c>
      <c r="U47" s="26">
        <f t="shared" si="37"/>
        <v>0.00332896542223782</v>
      </c>
      <c r="V47" s="25"/>
      <c r="W47" s="3"/>
      <c r="X47" s="26"/>
      <c r="Y47" s="28">
        <v>0.04</v>
      </c>
      <c r="Z47" s="3">
        <v>0.49</v>
      </c>
      <c r="AA47" s="27">
        <f t="shared" si="38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9"/>
        <v>0.0075</v>
      </c>
      <c r="AQ47" s="1">
        <f t="shared" si="48"/>
        <v>0.0304289654222378</v>
      </c>
      <c r="AR47" s="29">
        <f t="shared" si="49"/>
        <v>7.70910416666667</v>
      </c>
      <c r="AS47" s="1">
        <f t="shared" si="50"/>
        <v>0.13</v>
      </c>
      <c r="AT47" s="2">
        <f t="shared" si="40"/>
        <v>8.25021917808219</v>
      </c>
      <c r="AU47" s="1">
        <f t="shared" si="41"/>
        <v>1685.6784780768</v>
      </c>
    </row>
    <row r="48" spans="1:47">
      <c r="A48" s="13"/>
      <c r="B48" s="13"/>
      <c r="C48" s="16">
        <v>6</v>
      </c>
      <c r="D48" s="19">
        <v>22.7104640336667</v>
      </c>
      <c r="E48" s="20">
        <f t="shared" si="42"/>
        <v>18.1142507493871</v>
      </c>
      <c r="F48" s="16" t="s">
        <v>110</v>
      </c>
      <c r="G48" s="13">
        <v>7</v>
      </c>
      <c r="H48" s="18">
        <f t="shared" si="32"/>
        <v>22.7104640336667</v>
      </c>
      <c r="I48" s="18">
        <f t="shared" si="33"/>
        <v>295.860464033667</v>
      </c>
      <c r="J48" s="18">
        <f t="shared" si="34"/>
        <v>0.268868217089804</v>
      </c>
      <c r="K48" s="18">
        <f t="shared" si="43"/>
        <v>7.70910416666667</v>
      </c>
      <c r="L48" s="18">
        <f t="shared" si="44"/>
        <v>0.0770910416666667</v>
      </c>
      <c r="M48" s="13" t="s">
        <v>110</v>
      </c>
      <c r="N48" s="13"/>
      <c r="O48" s="18">
        <f t="shared" si="45"/>
        <v>0.211868588898596</v>
      </c>
      <c r="P48" s="18">
        <f t="shared" si="35"/>
        <v>0.0569647297544982</v>
      </c>
      <c r="Q48" s="24">
        <f t="shared" si="46"/>
        <v>0.00740541486808476</v>
      </c>
      <c r="R48" s="18">
        <f t="shared" si="47"/>
        <v>0.0100218354166667</v>
      </c>
      <c r="S48" s="25">
        <f t="shared" si="36"/>
        <v>0.738928006717142</v>
      </c>
      <c r="T48" s="3">
        <v>0.01</v>
      </c>
      <c r="U48" s="26">
        <f t="shared" si="37"/>
        <v>0.00738928006717142</v>
      </c>
      <c r="V48" s="25"/>
      <c r="W48" s="3"/>
      <c r="X48" s="26"/>
      <c r="Y48" s="28">
        <v>0.04</v>
      </c>
      <c r="Z48" s="3">
        <v>0.49</v>
      </c>
      <c r="AA48" s="27">
        <f t="shared" si="38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9"/>
        <v>0.0075</v>
      </c>
      <c r="AQ48" s="1">
        <f t="shared" si="48"/>
        <v>0.0344892800671714</v>
      </c>
      <c r="AR48" s="29">
        <f t="shared" si="49"/>
        <v>7.70910416666667</v>
      </c>
      <c r="AS48" s="1">
        <f t="shared" si="50"/>
        <v>0.13</v>
      </c>
      <c r="AT48" s="2">
        <f t="shared" si="40"/>
        <v>8.25021917808219</v>
      </c>
      <c r="AU48" s="1">
        <f t="shared" si="41"/>
        <v>1910.6084063938</v>
      </c>
    </row>
    <row r="49" spans="1:47">
      <c r="A49" s="13"/>
      <c r="B49" s="13"/>
      <c r="C49" s="16">
        <v>7</v>
      </c>
      <c r="D49" s="19">
        <v>24.5753693980645</v>
      </c>
      <c r="E49" s="20">
        <f t="shared" si="42"/>
        <v>22.7104640336667</v>
      </c>
      <c r="F49" s="16" t="s">
        <v>110</v>
      </c>
      <c r="G49" s="13">
        <v>8</v>
      </c>
      <c r="H49" s="18">
        <f t="shared" si="32"/>
        <v>24.5753693980645</v>
      </c>
      <c r="I49" s="18">
        <f t="shared" si="33"/>
        <v>297.725369398064</v>
      </c>
      <c r="J49" s="18">
        <f t="shared" si="34"/>
        <v>0.330420117115311</v>
      </c>
      <c r="K49" s="18">
        <f t="shared" si="43"/>
        <v>7.70910416666667</v>
      </c>
      <c r="L49" s="18">
        <f t="shared" si="44"/>
        <v>0.0770910416666667</v>
      </c>
      <c r="M49" s="13" t="s">
        <v>110</v>
      </c>
      <c r="N49" s="13"/>
      <c r="O49" s="18">
        <f t="shared" si="45"/>
        <v>0.231994900810764</v>
      </c>
      <c r="P49" s="18">
        <f t="shared" si="35"/>
        <v>0.0766557822960478</v>
      </c>
      <c r="Q49" s="24">
        <f t="shared" si="46"/>
        <v>0.00996525169848621</v>
      </c>
      <c r="R49" s="18">
        <f t="shared" si="47"/>
        <v>0.0100218354166667</v>
      </c>
      <c r="S49" s="25">
        <f t="shared" si="36"/>
        <v>0.994353956553072</v>
      </c>
      <c r="T49" s="3">
        <v>0.01</v>
      </c>
      <c r="U49" s="26">
        <f t="shared" si="37"/>
        <v>0.00994353956553072</v>
      </c>
      <c r="V49" s="25"/>
      <c r="W49" s="3"/>
      <c r="X49" s="26"/>
      <c r="Y49" s="28">
        <v>0.04</v>
      </c>
      <c r="Z49" s="3">
        <v>0.49</v>
      </c>
      <c r="AA49" s="27">
        <f t="shared" si="38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9"/>
        <v>0.0075</v>
      </c>
      <c r="AQ49" s="1">
        <f t="shared" si="48"/>
        <v>0.0370435395655307</v>
      </c>
      <c r="AR49" s="29">
        <f t="shared" si="49"/>
        <v>7.70910416666667</v>
      </c>
      <c r="AS49" s="1">
        <f t="shared" si="50"/>
        <v>0.13</v>
      </c>
      <c r="AT49" s="2">
        <f t="shared" si="40"/>
        <v>8.25021917808219</v>
      </c>
      <c r="AU49" s="1">
        <f t="shared" si="41"/>
        <v>2052.10714629709</v>
      </c>
    </row>
    <row r="50" spans="1:47">
      <c r="A50" s="13"/>
      <c r="B50" s="13"/>
      <c r="C50" s="16">
        <v>8</v>
      </c>
      <c r="D50" s="19">
        <v>24.0049141725806</v>
      </c>
      <c r="E50" s="20">
        <f t="shared" si="42"/>
        <v>24.5753693980645</v>
      </c>
      <c r="F50" s="16" t="s">
        <v>110</v>
      </c>
      <c r="G50" s="13">
        <v>9</v>
      </c>
      <c r="H50" s="18">
        <f t="shared" si="32"/>
        <v>24.0049141725806</v>
      </c>
      <c r="I50" s="18">
        <f t="shared" si="33"/>
        <v>297.154914172581</v>
      </c>
      <c r="J50" s="18">
        <f t="shared" si="34"/>
        <v>0.310313300030747</v>
      </c>
      <c r="K50" s="18">
        <f t="shared" si="43"/>
        <v>7.70910416666667</v>
      </c>
      <c r="L50" s="18">
        <f t="shared" si="44"/>
        <v>0.0770910416666667</v>
      </c>
      <c r="M50" s="13" t="s">
        <v>110</v>
      </c>
      <c r="N50" s="13"/>
      <c r="O50" s="18">
        <f t="shared" si="45"/>
        <v>0.232430160181383</v>
      </c>
      <c r="P50" s="18">
        <f t="shared" si="35"/>
        <v>0.0721261700325602</v>
      </c>
      <c r="Q50" s="24">
        <f t="shared" si="46"/>
        <v>0.00937640210423283</v>
      </c>
      <c r="R50" s="18">
        <f t="shared" si="47"/>
        <v>0.0100218354166667</v>
      </c>
      <c r="S50" s="25">
        <f t="shared" si="36"/>
        <v>0.935597294746982</v>
      </c>
      <c r="T50" s="3">
        <v>0.01</v>
      </c>
      <c r="U50" s="26">
        <f t="shared" si="37"/>
        <v>0.00935597294746982</v>
      </c>
      <c r="V50" s="25"/>
      <c r="W50" s="3"/>
      <c r="X50" s="26"/>
      <c r="Y50" s="28">
        <v>0.04</v>
      </c>
      <c r="Z50" s="3">
        <v>0.49</v>
      </c>
      <c r="AA50" s="27">
        <f t="shared" si="38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9"/>
        <v>0.0075</v>
      </c>
      <c r="AQ50" s="1">
        <f t="shared" si="48"/>
        <v>0.0364559729474698</v>
      </c>
      <c r="AR50" s="29">
        <f t="shared" si="49"/>
        <v>7.70910416666667</v>
      </c>
      <c r="AS50" s="1">
        <f t="shared" si="50"/>
        <v>0.13</v>
      </c>
      <c r="AT50" s="2">
        <f t="shared" si="40"/>
        <v>8.25021917808219</v>
      </c>
      <c r="AU50" s="1">
        <f t="shared" si="41"/>
        <v>2019.55762025314</v>
      </c>
    </row>
    <row r="51" spans="1:47">
      <c r="A51" s="13"/>
      <c r="B51" s="13"/>
      <c r="C51" s="16">
        <v>9</v>
      </c>
      <c r="D51" s="19">
        <v>18.3698675906667</v>
      </c>
      <c r="E51" s="20">
        <f t="shared" si="42"/>
        <v>24.0049141725806</v>
      </c>
      <c r="F51" s="16" t="s">
        <v>110</v>
      </c>
      <c r="G51" s="13">
        <v>10</v>
      </c>
      <c r="H51" s="18">
        <f t="shared" si="32"/>
        <v>18.3698675906667</v>
      </c>
      <c r="I51" s="18">
        <f t="shared" si="33"/>
        <v>291.519867590667</v>
      </c>
      <c r="J51" s="18">
        <f t="shared" si="34"/>
        <v>0.164713164036634</v>
      </c>
      <c r="K51" s="18">
        <f t="shared" si="43"/>
        <v>7.70910416666667</v>
      </c>
      <c r="L51" s="18">
        <f t="shared" si="44"/>
        <v>0.0770910416666667</v>
      </c>
      <c r="M51" s="13" t="s">
        <v>110</v>
      </c>
      <c r="N51" s="13"/>
      <c r="O51" s="18">
        <f t="shared" si="45"/>
        <v>0.23739503181549</v>
      </c>
      <c r="P51" s="18">
        <f t="shared" si="35"/>
        <v>0.0391020868169067</v>
      </c>
      <c r="Q51" s="24">
        <f t="shared" si="46"/>
        <v>0.00508327128619788</v>
      </c>
      <c r="R51" s="18">
        <f t="shared" si="47"/>
        <v>0.0100218354166667</v>
      </c>
      <c r="S51" s="25">
        <f t="shared" si="36"/>
        <v>0.507219593503224</v>
      </c>
      <c r="T51" s="3">
        <v>0.01</v>
      </c>
      <c r="U51" s="26">
        <f t="shared" si="37"/>
        <v>0.00507219593503224</v>
      </c>
      <c r="V51" s="25"/>
      <c r="W51" s="3"/>
      <c r="X51" s="26"/>
      <c r="Y51" s="28">
        <v>0.02</v>
      </c>
      <c r="Z51" s="3">
        <v>0.49</v>
      </c>
      <c r="AA51" s="27">
        <f t="shared" si="38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9"/>
        <v>0.005</v>
      </c>
      <c r="AQ51" s="1">
        <f t="shared" si="48"/>
        <v>0.0198721959350322</v>
      </c>
      <c r="AR51" s="29">
        <f t="shared" si="49"/>
        <v>7.70910416666667</v>
      </c>
      <c r="AS51" s="1">
        <f t="shared" si="50"/>
        <v>0.13</v>
      </c>
      <c r="AT51" s="2">
        <f t="shared" si="40"/>
        <v>8.25021917808219</v>
      </c>
      <c r="AU51" s="1">
        <f t="shared" si="41"/>
        <v>1100.86335617997</v>
      </c>
    </row>
    <row r="52" spans="1:47">
      <c r="A52" s="13"/>
      <c r="B52" s="13"/>
      <c r="C52" s="16">
        <v>10</v>
      </c>
      <c r="D52" s="19">
        <v>10.0867692679677</v>
      </c>
      <c r="E52" s="20">
        <f t="shared" si="42"/>
        <v>18.3698675906667</v>
      </c>
      <c r="F52" s="16" t="s">
        <v>110</v>
      </c>
      <c r="G52" s="13">
        <v>11</v>
      </c>
      <c r="H52" s="18">
        <f t="shared" si="32"/>
        <v>10.0867692679677</v>
      </c>
      <c r="I52" s="18">
        <f t="shared" si="33"/>
        <v>283.236769267968</v>
      </c>
      <c r="J52" s="18">
        <f t="shared" si="34"/>
        <v>0.0620188879468226</v>
      </c>
      <c r="K52" s="18">
        <f t="shared" si="43"/>
        <v>7.70910416666667</v>
      </c>
      <c r="L52" s="18">
        <f t="shared" si="44"/>
        <v>0.0770910416666667</v>
      </c>
      <c r="M52" s="13" t="s">
        <v>112</v>
      </c>
      <c r="N52" s="18">
        <f>(O51-P51)*$C$22/100</f>
        <v>0.188378297748654</v>
      </c>
      <c r="O52" s="18">
        <f t="shared" si="45"/>
        <v>0.0870056889165958</v>
      </c>
      <c r="P52" s="18">
        <f t="shared" si="35"/>
        <v>0.00539599607165446</v>
      </c>
      <c r="Q52" s="24">
        <f t="shared" si="46"/>
        <v>0.00070147948931508</v>
      </c>
      <c r="R52" s="18">
        <f t="shared" si="47"/>
        <v>0.0100218354166667</v>
      </c>
      <c r="S52" s="25">
        <f t="shared" si="36"/>
        <v>0.0699951116886728</v>
      </c>
      <c r="T52" s="3">
        <v>0.01</v>
      </c>
      <c r="U52" s="26">
        <f t="shared" si="37"/>
        <v>0.000699951116886728</v>
      </c>
      <c r="V52" s="25"/>
      <c r="W52" s="3"/>
      <c r="X52" s="26"/>
      <c r="Y52" s="28">
        <v>0.02</v>
      </c>
      <c r="Z52" s="3">
        <v>0.49</v>
      </c>
      <c r="AA52" s="27">
        <f t="shared" si="38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9"/>
        <v>0.005</v>
      </c>
      <c r="AQ52" s="1">
        <f t="shared" si="48"/>
        <v>0.0154999511168867</v>
      </c>
      <c r="AR52" s="29">
        <f t="shared" si="49"/>
        <v>7.70910416666667</v>
      </c>
      <c r="AS52" s="1">
        <f t="shared" si="50"/>
        <v>0.13</v>
      </c>
      <c r="AT52" s="2">
        <f t="shared" si="40"/>
        <v>8.25021917808219</v>
      </c>
      <c r="AU52" s="1">
        <f t="shared" si="41"/>
        <v>858.653379976033</v>
      </c>
    </row>
    <row r="53" spans="1:48">
      <c r="A53" s="13"/>
      <c r="B53" s="13"/>
      <c r="C53" s="16">
        <v>11</v>
      </c>
      <c r="D53" s="19">
        <v>0.881895453866666</v>
      </c>
      <c r="E53" s="20">
        <f t="shared" si="42"/>
        <v>10.0867692679677</v>
      </c>
      <c r="F53" s="16" t="s">
        <v>112</v>
      </c>
      <c r="G53" s="13">
        <v>12</v>
      </c>
      <c r="H53" s="18">
        <f t="shared" si="32"/>
        <v>0.881895453866666</v>
      </c>
      <c r="I53" s="18">
        <f t="shared" si="33"/>
        <v>274.031895453867</v>
      </c>
      <c r="J53" s="18">
        <f t="shared" si="34"/>
        <v>0.0195446693125814</v>
      </c>
      <c r="K53" s="18">
        <f t="shared" si="43"/>
        <v>7.70910416666667</v>
      </c>
      <c r="L53" s="18">
        <f t="shared" si="44"/>
        <v>0.0770910416666667</v>
      </c>
      <c r="M53" s="13" t="s">
        <v>110</v>
      </c>
      <c r="N53" s="13"/>
      <c r="O53" s="18">
        <f t="shared" si="45"/>
        <v>0.158700734511608</v>
      </c>
      <c r="P53" s="18">
        <f t="shared" si="35"/>
        <v>0.00310175337569315</v>
      </c>
      <c r="Q53" s="24">
        <f t="shared" si="46"/>
        <v>0.00040322793884011</v>
      </c>
      <c r="R53" s="18">
        <f t="shared" si="47"/>
        <v>0.0100218354166667</v>
      </c>
      <c r="S53" s="25">
        <f t="shared" si="36"/>
        <v>0.0402349392177732</v>
      </c>
      <c r="T53" s="3">
        <v>0.01</v>
      </c>
      <c r="U53" s="26">
        <f t="shared" si="37"/>
        <v>0.000402349392177732</v>
      </c>
      <c r="V53" s="25"/>
      <c r="W53" s="3"/>
      <c r="X53" s="26"/>
      <c r="Y53" s="28">
        <v>0.02</v>
      </c>
      <c r="Z53" s="3">
        <v>0.49</v>
      </c>
      <c r="AA53" s="27">
        <f t="shared" si="38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9"/>
        <v>0.005</v>
      </c>
      <c r="AQ53" s="1">
        <f t="shared" si="48"/>
        <v>0.0152023493921777</v>
      </c>
      <c r="AR53" s="29">
        <f t="shared" si="49"/>
        <v>7.70910416666667</v>
      </c>
      <c r="AS53" s="1">
        <f t="shared" si="50"/>
        <v>0.13</v>
      </c>
      <c r="AT53" s="2">
        <f t="shared" si="40"/>
        <v>8.25021917808219</v>
      </c>
      <c r="AU53" s="1">
        <f t="shared" si="41"/>
        <v>842.16708754317</v>
      </c>
      <c r="AV53" s="1">
        <f>SUM(AU42:AU53)</f>
        <v>15422.8206362231</v>
      </c>
    </row>
    <row r="54" spans="1:19">
      <c r="A54" s="13"/>
      <c r="B54" s="13"/>
      <c r="C54" s="16">
        <v>12</v>
      </c>
      <c r="D54" s="19">
        <v>-3.07955829712903</v>
      </c>
      <c r="E54" s="20">
        <f t="shared" si="42"/>
        <v>0.881895453866666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6" spans="19:46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T56" s="1"/>
    </row>
    <row r="57" spans="1:46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T57" s="1"/>
    </row>
    <row r="58" spans="1:46">
      <c r="A58" s="13" t="s">
        <v>108</v>
      </c>
      <c r="B58" s="13">
        <v>134.758</v>
      </c>
      <c r="C58" s="16" t="s">
        <v>109</v>
      </c>
      <c r="D58" s="16">
        <v>-5</v>
      </c>
      <c r="E58" s="16"/>
      <c r="F58" s="16"/>
      <c r="G58" s="13">
        <v>1</v>
      </c>
      <c r="H58" s="18">
        <f t="shared" ref="H58:H69" si="51">E59</f>
        <v>-5</v>
      </c>
      <c r="I58" s="18">
        <f t="shared" ref="I58:I69" si="52">H58+273.15</f>
        <v>268.15</v>
      </c>
      <c r="J58" s="18">
        <f t="shared" ref="J58:J69" si="53">EXP(($C$16*(I58-$C$14))/($C$17*I58*$C$14))</f>
        <v>0.00896487173486583</v>
      </c>
      <c r="K58" s="18">
        <f>$B$58/12</f>
        <v>11.2298333333333</v>
      </c>
      <c r="L58" s="18">
        <f>K58*$B$59/100</f>
        <v>3.032055</v>
      </c>
      <c r="M58" s="13" t="s">
        <v>110</v>
      </c>
      <c r="N58" s="13"/>
      <c r="O58" s="18">
        <f>L58</f>
        <v>3.032055</v>
      </c>
      <c r="P58" s="18">
        <f t="shared" ref="P58:P69" si="54">O58*J58</f>
        <v>0.0271819841680586</v>
      </c>
      <c r="Q58" s="24">
        <f>P58*$B$60</f>
        <v>0.007882775408737</v>
      </c>
      <c r="R58" s="18">
        <f>L58*$B$60</f>
        <v>0.87929595</v>
      </c>
      <c r="S58" s="25">
        <f t="shared" ref="S58:S69" si="55">Q58/R58</f>
        <v>0.00896487173486583</v>
      </c>
      <c r="T58" s="3">
        <v>0.27</v>
      </c>
      <c r="U58" s="26">
        <f t="shared" ref="U58:U69" si="56">S58*T58</f>
        <v>0.00242051536841377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7">U58*0.67*AD58+(V58+W58+X58+Y58+Z58+AA58)/1000</f>
        <v>0.226870306136083</v>
      </c>
      <c r="AC58" s="29">
        <f t="shared" ref="AC58:AC69" si="58">$B$58/12</f>
        <v>11.2298333333333</v>
      </c>
      <c r="AD58" s="1">
        <f t="shared" ref="AD58:AD69" si="59">$B$60</f>
        <v>0.29</v>
      </c>
      <c r="AE58" s="30">
        <f t="shared" ref="AE58:AE69" si="60">$E$7/12</f>
        <v>26.7558219178082</v>
      </c>
      <c r="AF58" s="1">
        <f t="shared" ref="AF58:AF69" si="61">AE58*10000*AC58*AB58</f>
        <v>681662.282671529</v>
      </c>
      <c r="AT58" s="1"/>
    </row>
    <row r="59" spans="1:46">
      <c r="A59" s="13" t="s">
        <v>111</v>
      </c>
      <c r="B59" s="13">
        <v>27</v>
      </c>
      <c r="C59" s="16">
        <v>1</v>
      </c>
      <c r="D59" s="19">
        <v>-8.26894654770968</v>
      </c>
      <c r="E59" s="20">
        <f t="shared" ref="E59:E70" si="62">D58</f>
        <v>-5</v>
      </c>
      <c r="F59" s="16" t="s">
        <v>110</v>
      </c>
      <c r="G59" s="13">
        <v>2</v>
      </c>
      <c r="H59" s="18">
        <f t="shared" si="51"/>
        <v>-8.26894654770968</v>
      </c>
      <c r="I59" s="18">
        <f t="shared" si="52"/>
        <v>264.88105345229</v>
      </c>
      <c r="J59" s="18">
        <f t="shared" si="53"/>
        <v>0.00572700794994822</v>
      </c>
      <c r="K59" s="18">
        <f t="shared" ref="K59:K69" si="63">$B$58/12</f>
        <v>11.2298333333333</v>
      </c>
      <c r="L59" s="18">
        <f t="shared" ref="L59:L69" si="64">K59*$B$59/100</f>
        <v>3.032055</v>
      </c>
      <c r="M59" s="13" t="s">
        <v>110</v>
      </c>
      <c r="N59" s="13"/>
      <c r="O59" s="18">
        <f t="shared" ref="O59:O69" si="65">L59+O58-P58-N59</f>
        <v>6.03692801583194</v>
      </c>
      <c r="P59" s="18">
        <f t="shared" si="54"/>
        <v>0.0345735347399347</v>
      </c>
      <c r="Q59" s="24">
        <f t="shared" ref="Q59:Q69" si="66">P59*$B$60</f>
        <v>0.0100263250745811</v>
      </c>
      <c r="R59" s="18">
        <f t="shared" ref="R59:R69" si="67">L59*$B$60</f>
        <v>0.87929595</v>
      </c>
      <c r="S59" s="25">
        <f t="shared" si="55"/>
        <v>0.0114026740082006</v>
      </c>
      <c r="T59" s="3">
        <v>0.27</v>
      </c>
      <c r="U59" s="26">
        <f t="shared" si="56"/>
        <v>0.00307872198221416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7"/>
        <v>0.226998195681144</v>
      </c>
      <c r="AC59" s="29">
        <f t="shared" si="58"/>
        <v>11.2298333333333</v>
      </c>
      <c r="AD59" s="1">
        <f t="shared" si="59"/>
        <v>0.29</v>
      </c>
      <c r="AE59" s="30">
        <f t="shared" si="60"/>
        <v>26.7558219178082</v>
      </c>
      <c r="AF59" s="1">
        <f t="shared" si="61"/>
        <v>682046.543973508</v>
      </c>
      <c r="AT59" s="1"/>
    </row>
    <row r="60" spans="1:46">
      <c r="A60" s="13" t="s">
        <v>73</v>
      </c>
      <c r="B60" s="13">
        <v>0.29</v>
      </c>
      <c r="C60" s="16">
        <v>2</v>
      </c>
      <c r="D60" s="19">
        <v>-2.59796630424138</v>
      </c>
      <c r="E60" s="20">
        <f t="shared" si="62"/>
        <v>-8.26894654770968</v>
      </c>
      <c r="F60" s="16" t="s">
        <v>110</v>
      </c>
      <c r="G60" s="13">
        <v>3</v>
      </c>
      <c r="H60" s="18">
        <f t="shared" si="51"/>
        <v>-2.59796630424138</v>
      </c>
      <c r="I60" s="18">
        <f t="shared" si="52"/>
        <v>270.552033695759</v>
      </c>
      <c r="J60" s="18">
        <f t="shared" si="53"/>
        <v>0.0123751748472055</v>
      </c>
      <c r="K60" s="18">
        <f t="shared" si="63"/>
        <v>11.2298333333333</v>
      </c>
      <c r="L60" s="18">
        <f t="shared" si="64"/>
        <v>3.032055</v>
      </c>
      <c r="M60" s="13" t="s">
        <v>110</v>
      </c>
      <c r="N60" s="13"/>
      <c r="O60" s="18">
        <f t="shared" si="65"/>
        <v>9.03440948109201</v>
      </c>
      <c r="P60" s="18">
        <f t="shared" si="54"/>
        <v>0.111802396969765</v>
      </c>
      <c r="Q60" s="24">
        <f t="shared" si="66"/>
        <v>0.0324226951212318</v>
      </c>
      <c r="R60" s="18">
        <f t="shared" si="67"/>
        <v>0.87929595</v>
      </c>
      <c r="S60" s="25">
        <f t="shared" si="55"/>
        <v>0.0368734726018377</v>
      </c>
      <c r="T60" s="3">
        <v>0.27</v>
      </c>
      <c r="U60" s="26">
        <f t="shared" si="56"/>
        <v>0.00995583760249617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7"/>
        <v>0.228334419246165</v>
      </c>
      <c r="AC60" s="29">
        <f t="shared" si="58"/>
        <v>11.2298333333333</v>
      </c>
      <c r="AD60" s="1">
        <f t="shared" si="59"/>
        <v>0.29</v>
      </c>
      <c r="AE60" s="30">
        <f t="shared" si="60"/>
        <v>26.7558219178082</v>
      </c>
      <c r="AF60" s="1">
        <f t="shared" si="61"/>
        <v>686061.407006951</v>
      </c>
      <c r="AT60" s="1"/>
    </row>
    <row r="61" spans="1:46">
      <c r="A61" s="13"/>
      <c r="B61" s="13"/>
      <c r="C61" s="16">
        <v>3</v>
      </c>
      <c r="D61" s="19">
        <v>5.86196966116129</v>
      </c>
      <c r="E61" s="20">
        <f t="shared" si="62"/>
        <v>-2.59796630424138</v>
      </c>
      <c r="F61" s="16" t="s">
        <v>110</v>
      </c>
      <c r="G61" s="13">
        <v>4</v>
      </c>
      <c r="H61" s="18">
        <f t="shared" si="51"/>
        <v>5.86196966116129</v>
      </c>
      <c r="I61" s="18">
        <f t="shared" si="52"/>
        <v>279.011969661161</v>
      </c>
      <c r="J61" s="18">
        <f t="shared" si="53"/>
        <v>0.0368518054348487</v>
      </c>
      <c r="K61" s="18">
        <f t="shared" si="63"/>
        <v>11.2298333333333</v>
      </c>
      <c r="L61" s="18">
        <f t="shared" si="64"/>
        <v>3.032055</v>
      </c>
      <c r="M61" s="13" t="s">
        <v>110</v>
      </c>
      <c r="N61" s="13"/>
      <c r="O61" s="18">
        <f t="shared" si="65"/>
        <v>11.9546620841222</v>
      </c>
      <c r="P61" s="18">
        <f t="shared" si="54"/>
        <v>0.440550881163435</v>
      </c>
      <c r="Q61" s="24">
        <f t="shared" si="66"/>
        <v>0.127759755537396</v>
      </c>
      <c r="R61" s="18">
        <f t="shared" si="67"/>
        <v>0.87929595</v>
      </c>
      <c r="S61" s="25">
        <f t="shared" si="55"/>
        <v>0.145297786868456</v>
      </c>
      <c r="T61" s="3">
        <v>0.27</v>
      </c>
      <c r="U61" s="26">
        <f t="shared" si="56"/>
        <v>0.039230402454483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7"/>
        <v>0.234022467196906</v>
      </c>
      <c r="AC61" s="29">
        <f t="shared" si="58"/>
        <v>11.2298333333333</v>
      </c>
      <c r="AD61" s="1">
        <f t="shared" si="59"/>
        <v>0.29</v>
      </c>
      <c r="AE61" s="30">
        <f t="shared" si="60"/>
        <v>26.7558219178082</v>
      </c>
      <c r="AF61" s="1">
        <f t="shared" si="61"/>
        <v>703151.910458388</v>
      </c>
      <c r="AT61" s="1"/>
    </row>
    <row r="62" spans="1:46">
      <c r="A62" s="13"/>
      <c r="B62" s="13"/>
      <c r="C62" s="16">
        <v>4</v>
      </c>
      <c r="D62" s="19">
        <v>13.3131172304333</v>
      </c>
      <c r="E62" s="20">
        <f t="shared" si="62"/>
        <v>5.86196966116129</v>
      </c>
      <c r="F62" s="16" t="s">
        <v>110</v>
      </c>
      <c r="G62" s="13">
        <v>5</v>
      </c>
      <c r="H62" s="18">
        <f t="shared" si="51"/>
        <v>13.3131172304333</v>
      </c>
      <c r="I62" s="18">
        <f t="shared" si="52"/>
        <v>286.463117230433</v>
      </c>
      <c r="J62" s="18">
        <f t="shared" si="53"/>
        <v>0.0913424067276603</v>
      </c>
      <c r="K62" s="18">
        <f t="shared" si="63"/>
        <v>11.2298333333333</v>
      </c>
      <c r="L62" s="18">
        <f t="shared" si="64"/>
        <v>3.032055</v>
      </c>
      <c r="M62" s="13" t="s">
        <v>112</v>
      </c>
      <c r="N62" s="18">
        <f>(O61-P61)*$C$22/100</f>
        <v>10.9384056428109</v>
      </c>
      <c r="O62" s="18">
        <f t="shared" si="65"/>
        <v>3.60776056014794</v>
      </c>
      <c r="P62" s="18">
        <f t="shared" si="54"/>
        <v>0.329541532461045</v>
      </c>
      <c r="Q62" s="24">
        <f t="shared" si="66"/>
        <v>0.095567044413703</v>
      </c>
      <c r="R62" s="18">
        <f t="shared" si="67"/>
        <v>0.87929595</v>
      </c>
      <c r="S62" s="25">
        <f t="shared" si="55"/>
        <v>0.108685868976996</v>
      </c>
      <c r="T62" s="3">
        <v>0.27</v>
      </c>
      <c r="U62" s="26">
        <f t="shared" si="56"/>
        <v>0.0293451846237888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7"/>
        <v>0.280901769372402</v>
      </c>
      <c r="AC62" s="29">
        <f t="shared" si="58"/>
        <v>11.2298333333333</v>
      </c>
      <c r="AD62" s="1">
        <f t="shared" si="59"/>
        <v>0.29</v>
      </c>
      <c r="AE62" s="30">
        <f t="shared" si="60"/>
        <v>26.7558219178082</v>
      </c>
      <c r="AF62" s="1">
        <f t="shared" si="61"/>
        <v>844007.065437678</v>
      </c>
      <c r="AT62" s="1"/>
    </row>
    <row r="63" spans="1:46">
      <c r="A63" s="13"/>
      <c r="B63" s="13"/>
      <c r="C63" s="16">
        <v>5</v>
      </c>
      <c r="D63" s="19">
        <v>18.1142507493871</v>
      </c>
      <c r="E63" s="20">
        <f t="shared" si="62"/>
        <v>13.3131172304333</v>
      </c>
      <c r="F63" s="16" t="s">
        <v>112</v>
      </c>
      <c r="G63" s="13">
        <v>6</v>
      </c>
      <c r="H63" s="18">
        <f t="shared" si="51"/>
        <v>18.1142507493871</v>
      </c>
      <c r="I63" s="18">
        <f t="shared" si="52"/>
        <v>291.264250749387</v>
      </c>
      <c r="J63" s="18">
        <f t="shared" si="53"/>
        <v>0.159955117781521</v>
      </c>
      <c r="K63" s="18">
        <f t="shared" si="63"/>
        <v>11.2298333333333</v>
      </c>
      <c r="L63" s="18">
        <f t="shared" si="64"/>
        <v>3.032055</v>
      </c>
      <c r="M63" s="13" t="s">
        <v>110</v>
      </c>
      <c r="N63" s="13"/>
      <c r="O63" s="18">
        <f t="shared" si="65"/>
        <v>6.31027402768689</v>
      </c>
      <c r="P63" s="18">
        <f t="shared" si="54"/>
        <v>1.00936062533233</v>
      </c>
      <c r="Q63" s="24">
        <f t="shared" si="66"/>
        <v>0.292714581346376</v>
      </c>
      <c r="R63" s="18">
        <f t="shared" si="67"/>
        <v>0.87929595</v>
      </c>
      <c r="S63" s="25">
        <f t="shared" si="55"/>
        <v>0.332896542223782</v>
      </c>
      <c r="T63" s="3">
        <v>0.27</v>
      </c>
      <c r="U63" s="26">
        <f t="shared" si="56"/>
        <v>0.0898820664004212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7"/>
        <v>0.292664085501602</v>
      </c>
      <c r="AC63" s="29">
        <f t="shared" si="58"/>
        <v>11.2298333333333</v>
      </c>
      <c r="AD63" s="1">
        <f t="shared" si="59"/>
        <v>0.29</v>
      </c>
      <c r="AE63" s="30">
        <f t="shared" si="60"/>
        <v>26.7558219178082</v>
      </c>
      <c r="AF63" s="1">
        <f t="shared" si="61"/>
        <v>879348.522848703</v>
      </c>
      <c r="AT63" s="1"/>
    </row>
    <row r="64" spans="1:46">
      <c r="A64" s="13"/>
      <c r="B64" s="13"/>
      <c r="C64" s="16">
        <v>6</v>
      </c>
      <c r="D64" s="19">
        <v>22.7104640336667</v>
      </c>
      <c r="E64" s="20">
        <f t="shared" si="62"/>
        <v>18.1142507493871</v>
      </c>
      <c r="F64" s="16" t="s">
        <v>110</v>
      </c>
      <c r="G64" s="13">
        <v>7</v>
      </c>
      <c r="H64" s="18">
        <f t="shared" si="51"/>
        <v>22.7104640336667</v>
      </c>
      <c r="I64" s="18">
        <f t="shared" si="52"/>
        <v>295.860464033667</v>
      </c>
      <c r="J64" s="18">
        <f t="shared" si="53"/>
        <v>0.268868217089804</v>
      </c>
      <c r="K64" s="18">
        <f t="shared" si="63"/>
        <v>11.2298333333333</v>
      </c>
      <c r="L64" s="18">
        <f t="shared" si="64"/>
        <v>3.032055</v>
      </c>
      <c r="M64" s="13" t="s">
        <v>110</v>
      </c>
      <c r="N64" s="13"/>
      <c r="O64" s="18">
        <f t="shared" si="65"/>
        <v>8.33296840235456</v>
      </c>
      <c r="P64" s="18">
        <f t="shared" si="54"/>
        <v>2.24047035740674</v>
      </c>
      <c r="Q64" s="24">
        <f t="shared" si="66"/>
        <v>0.649736403647955</v>
      </c>
      <c r="R64" s="18">
        <f t="shared" si="67"/>
        <v>0.87929595</v>
      </c>
      <c r="S64" s="25">
        <f t="shared" si="55"/>
        <v>0.738928006717141</v>
      </c>
      <c r="T64" s="3">
        <v>0.27</v>
      </c>
      <c r="U64" s="26">
        <f t="shared" si="56"/>
        <v>0.199510561813628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7"/>
        <v>0.313964902160388</v>
      </c>
      <c r="AC64" s="29">
        <f t="shared" si="58"/>
        <v>11.2298333333333</v>
      </c>
      <c r="AD64" s="1">
        <f t="shared" si="59"/>
        <v>0.29</v>
      </c>
      <c r="AE64" s="30">
        <f t="shared" si="60"/>
        <v>26.7558219178082</v>
      </c>
      <c r="AF64" s="1">
        <f t="shared" si="61"/>
        <v>943349.685247128</v>
      </c>
      <c r="AT64" s="1"/>
    </row>
    <row r="65" spans="1:46">
      <c r="A65" s="13"/>
      <c r="B65" s="13"/>
      <c r="C65" s="16">
        <v>7</v>
      </c>
      <c r="D65" s="19">
        <v>24.5753693980645</v>
      </c>
      <c r="E65" s="20">
        <f t="shared" si="62"/>
        <v>22.7104640336667</v>
      </c>
      <c r="F65" s="16" t="s">
        <v>110</v>
      </c>
      <c r="G65" s="13">
        <v>8</v>
      </c>
      <c r="H65" s="18">
        <f t="shared" si="51"/>
        <v>24.5753693980645</v>
      </c>
      <c r="I65" s="18">
        <f t="shared" si="52"/>
        <v>297.725369398064</v>
      </c>
      <c r="J65" s="18">
        <f t="shared" si="53"/>
        <v>0.330420117115311</v>
      </c>
      <c r="K65" s="18">
        <f t="shared" si="63"/>
        <v>11.2298333333333</v>
      </c>
      <c r="L65" s="18">
        <f t="shared" si="64"/>
        <v>3.032055</v>
      </c>
      <c r="M65" s="13" t="s">
        <v>110</v>
      </c>
      <c r="N65" s="13"/>
      <c r="O65" s="18">
        <f t="shared" si="65"/>
        <v>9.12455304494782</v>
      </c>
      <c r="P65" s="18">
        <f t="shared" si="54"/>
        <v>3.01493588573653</v>
      </c>
      <c r="Q65" s="24">
        <f t="shared" si="66"/>
        <v>0.874331406863594</v>
      </c>
      <c r="R65" s="18">
        <f t="shared" si="67"/>
        <v>0.87929595</v>
      </c>
      <c r="S65" s="25">
        <f t="shared" si="55"/>
        <v>0.994353956553074</v>
      </c>
      <c r="T65" s="3">
        <v>0.27</v>
      </c>
      <c r="U65" s="26">
        <f t="shared" si="56"/>
        <v>0.26847556826933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7"/>
        <v>0.327364802914731</v>
      </c>
      <c r="AC65" s="29">
        <f t="shared" si="58"/>
        <v>11.2298333333333</v>
      </c>
      <c r="AD65" s="1">
        <f t="shared" si="59"/>
        <v>0.29</v>
      </c>
      <c r="AE65" s="30">
        <f t="shared" si="60"/>
        <v>26.7558219178082</v>
      </c>
      <c r="AF65" s="1">
        <f t="shared" si="61"/>
        <v>983611.485441899</v>
      </c>
      <c r="AT65" s="1"/>
    </row>
    <row r="66" spans="1:46">
      <c r="A66" s="13"/>
      <c r="B66" s="13"/>
      <c r="C66" s="16">
        <v>8</v>
      </c>
      <c r="D66" s="19">
        <v>24.0049141725806</v>
      </c>
      <c r="E66" s="20">
        <f t="shared" si="62"/>
        <v>24.5753693980645</v>
      </c>
      <c r="F66" s="16" t="s">
        <v>110</v>
      </c>
      <c r="G66" s="13">
        <v>9</v>
      </c>
      <c r="H66" s="18">
        <f t="shared" si="51"/>
        <v>24.0049141725806</v>
      </c>
      <c r="I66" s="18">
        <f t="shared" si="52"/>
        <v>297.154914172581</v>
      </c>
      <c r="J66" s="18">
        <f t="shared" si="53"/>
        <v>0.310313300030747</v>
      </c>
      <c r="K66" s="18">
        <f t="shared" si="63"/>
        <v>11.2298333333333</v>
      </c>
      <c r="L66" s="18">
        <f t="shared" si="64"/>
        <v>3.032055</v>
      </c>
      <c r="M66" s="13" t="s">
        <v>110</v>
      </c>
      <c r="N66" s="13"/>
      <c r="O66" s="18">
        <f t="shared" si="65"/>
        <v>9.14167215921129</v>
      </c>
      <c r="P66" s="18">
        <f t="shared" si="54"/>
        <v>2.83678245552406</v>
      </c>
      <c r="Q66" s="24">
        <f t="shared" si="66"/>
        <v>0.822666912101977</v>
      </c>
      <c r="R66" s="18">
        <f t="shared" si="67"/>
        <v>0.87929595</v>
      </c>
      <c r="S66" s="25">
        <f t="shared" si="55"/>
        <v>0.935597294746981</v>
      </c>
      <c r="T66" s="3">
        <v>0.27</v>
      </c>
      <c r="U66" s="26">
        <f t="shared" si="56"/>
        <v>0.252611269581685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7"/>
        <v>0.324282369679721</v>
      </c>
      <c r="AC66" s="29">
        <f t="shared" si="58"/>
        <v>11.2298333333333</v>
      </c>
      <c r="AD66" s="1">
        <f t="shared" si="59"/>
        <v>0.29</v>
      </c>
      <c r="AE66" s="30">
        <f t="shared" si="60"/>
        <v>26.7558219178082</v>
      </c>
      <c r="AF66" s="1">
        <f t="shared" si="61"/>
        <v>974349.901099084</v>
      </c>
      <c r="AT66" s="1"/>
    </row>
    <row r="67" spans="1:46">
      <c r="A67" s="13"/>
      <c r="B67" s="13"/>
      <c r="C67" s="16">
        <v>9</v>
      </c>
      <c r="D67" s="19">
        <v>18.3698675906667</v>
      </c>
      <c r="E67" s="20">
        <f t="shared" si="62"/>
        <v>24.0049141725806</v>
      </c>
      <c r="F67" s="16" t="s">
        <v>110</v>
      </c>
      <c r="G67" s="13">
        <v>10</v>
      </c>
      <c r="H67" s="18">
        <f t="shared" si="51"/>
        <v>18.3698675906667</v>
      </c>
      <c r="I67" s="18">
        <f t="shared" si="52"/>
        <v>291.519867590667</v>
      </c>
      <c r="J67" s="18">
        <f t="shared" si="53"/>
        <v>0.164713164036634</v>
      </c>
      <c r="K67" s="18">
        <f t="shared" si="63"/>
        <v>11.2298333333333</v>
      </c>
      <c r="L67" s="18">
        <f t="shared" si="64"/>
        <v>3.032055</v>
      </c>
      <c r="M67" s="13" t="s">
        <v>110</v>
      </c>
      <c r="N67" s="13"/>
      <c r="O67" s="18">
        <f t="shared" si="65"/>
        <v>9.33694470368723</v>
      </c>
      <c r="P67" s="18">
        <f t="shared" si="54"/>
        <v>1.53791770457942</v>
      </c>
      <c r="Q67" s="24">
        <f t="shared" si="66"/>
        <v>0.445996134328032</v>
      </c>
      <c r="R67" s="18">
        <f t="shared" si="67"/>
        <v>0.87929595</v>
      </c>
      <c r="S67" s="25">
        <f t="shared" si="55"/>
        <v>0.507219593503225</v>
      </c>
      <c r="T67" s="3">
        <v>0.27</v>
      </c>
      <c r="U67" s="26">
        <f t="shared" si="56"/>
        <v>0.136949290245871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7"/>
        <v>0.253009247094773</v>
      </c>
      <c r="AC67" s="29">
        <f t="shared" si="58"/>
        <v>11.2298333333333</v>
      </c>
      <c r="AD67" s="1">
        <f t="shared" si="59"/>
        <v>0.29</v>
      </c>
      <c r="AE67" s="30">
        <f t="shared" si="60"/>
        <v>26.7558219178082</v>
      </c>
      <c r="AF67" s="1">
        <f t="shared" si="61"/>
        <v>760200.238845615</v>
      </c>
      <c r="AT67" s="1"/>
    </row>
    <row r="68" spans="1:46">
      <c r="A68" s="13"/>
      <c r="B68" s="13"/>
      <c r="C68" s="16">
        <v>10</v>
      </c>
      <c r="D68" s="19">
        <v>10.0867692679677</v>
      </c>
      <c r="E68" s="20">
        <f t="shared" si="62"/>
        <v>18.3698675906667</v>
      </c>
      <c r="F68" s="16" t="s">
        <v>110</v>
      </c>
      <c r="G68" s="13">
        <v>11</v>
      </c>
      <c r="H68" s="18">
        <f t="shared" si="51"/>
        <v>10.0867692679677</v>
      </c>
      <c r="I68" s="18">
        <f t="shared" si="52"/>
        <v>283.236769267968</v>
      </c>
      <c r="J68" s="18">
        <f t="shared" si="53"/>
        <v>0.0620188879468226</v>
      </c>
      <c r="K68" s="18">
        <f t="shared" si="63"/>
        <v>11.2298333333333</v>
      </c>
      <c r="L68" s="18">
        <f t="shared" si="64"/>
        <v>3.032055</v>
      </c>
      <c r="M68" s="13" t="s">
        <v>112</v>
      </c>
      <c r="N68" s="18">
        <f>(O67-P67)*$C$22/100</f>
        <v>7.40907564915242</v>
      </c>
      <c r="O68" s="18">
        <f t="shared" si="65"/>
        <v>3.42200634995539</v>
      </c>
      <c r="P68" s="18">
        <f t="shared" si="54"/>
        <v>0.212229028371199</v>
      </c>
      <c r="Q68" s="24">
        <f t="shared" si="66"/>
        <v>0.0615464182276476</v>
      </c>
      <c r="R68" s="18">
        <f t="shared" si="67"/>
        <v>0.87929595</v>
      </c>
      <c r="S68" s="25">
        <f t="shared" si="55"/>
        <v>0.0699951116886727</v>
      </c>
      <c r="T68" s="3">
        <v>0.27</v>
      </c>
      <c r="U68" s="26">
        <f t="shared" si="56"/>
        <v>0.0188986801559416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7"/>
        <v>0.230072013554299</v>
      </c>
      <c r="AC68" s="29">
        <f t="shared" si="58"/>
        <v>11.2298333333333</v>
      </c>
      <c r="AD68" s="1">
        <f t="shared" si="59"/>
        <v>0.29</v>
      </c>
      <c r="AE68" s="30">
        <f t="shared" si="60"/>
        <v>26.7558219178082</v>
      </c>
      <c r="AF68" s="1">
        <f t="shared" si="61"/>
        <v>691282.242305376</v>
      </c>
      <c r="AT68" s="1"/>
    </row>
    <row r="69" spans="1:46">
      <c r="A69" s="13"/>
      <c r="B69" s="13"/>
      <c r="C69" s="16">
        <v>11</v>
      </c>
      <c r="D69" s="19">
        <v>0.881895453866666</v>
      </c>
      <c r="E69" s="20">
        <f t="shared" si="62"/>
        <v>10.0867692679677</v>
      </c>
      <c r="F69" s="16" t="s">
        <v>112</v>
      </c>
      <c r="G69" s="13">
        <v>12</v>
      </c>
      <c r="H69" s="18">
        <f t="shared" si="51"/>
        <v>0.881895453866666</v>
      </c>
      <c r="I69" s="18">
        <f t="shared" si="52"/>
        <v>274.031895453867</v>
      </c>
      <c r="J69" s="18">
        <f t="shared" si="53"/>
        <v>0.0195446693125814</v>
      </c>
      <c r="K69" s="18">
        <f t="shared" si="63"/>
        <v>11.2298333333333</v>
      </c>
      <c r="L69" s="18">
        <f t="shared" si="64"/>
        <v>3.032055</v>
      </c>
      <c r="M69" s="13" t="s">
        <v>110</v>
      </c>
      <c r="N69" s="13"/>
      <c r="O69" s="18">
        <f t="shared" si="65"/>
        <v>6.24183232158419</v>
      </c>
      <c r="P69" s="18">
        <f t="shared" si="54"/>
        <v>0.121994548629945</v>
      </c>
      <c r="Q69" s="24">
        <f t="shared" si="66"/>
        <v>0.035378419102684</v>
      </c>
      <c r="R69" s="18">
        <f t="shared" si="67"/>
        <v>0.87929595</v>
      </c>
      <c r="S69" s="25">
        <f t="shared" si="55"/>
        <v>0.0402349392177731</v>
      </c>
      <c r="T69" s="3">
        <v>0.27</v>
      </c>
      <c r="U69" s="26">
        <f t="shared" si="56"/>
        <v>0.0108634335887987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7"/>
        <v>0.228510765146304</v>
      </c>
      <c r="AC69" s="29">
        <f t="shared" si="58"/>
        <v>11.2298333333333</v>
      </c>
      <c r="AD69" s="1">
        <f t="shared" si="59"/>
        <v>0.29</v>
      </c>
      <c r="AE69" s="30">
        <f t="shared" si="60"/>
        <v>26.7558219178082</v>
      </c>
      <c r="AF69" s="1">
        <f t="shared" si="61"/>
        <v>686591.261931008</v>
      </c>
      <c r="AG69" s="1">
        <f>SUM(AF58:AF69)</f>
        <v>9515662.54726687</v>
      </c>
      <c r="AT69" s="1"/>
    </row>
    <row r="70" spans="1:19">
      <c r="A70" s="13"/>
      <c r="B70" s="13"/>
      <c r="C70" s="16">
        <v>12</v>
      </c>
      <c r="D70" s="19">
        <v>-3.07955829712903</v>
      </c>
      <c r="E70" s="20">
        <f t="shared" si="62"/>
        <v>0.881895453866666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2" spans="19:45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</row>
    <row r="73" spans="1:55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BB73" s="1" t="s">
        <v>106</v>
      </c>
      <c r="BC73" s="1" t="s">
        <v>107</v>
      </c>
    </row>
    <row r="74" spans="1:55">
      <c r="A74" s="13" t="s">
        <v>108</v>
      </c>
      <c r="B74" s="13">
        <v>625.464</v>
      </c>
      <c r="C74" s="16" t="s">
        <v>109</v>
      </c>
      <c r="D74" s="16">
        <v>-5</v>
      </c>
      <c r="E74" s="16"/>
      <c r="F74" s="16"/>
      <c r="G74" s="13">
        <v>1</v>
      </c>
      <c r="H74" s="18">
        <f t="shared" ref="H74:H85" si="68">E75</f>
        <v>-5</v>
      </c>
      <c r="I74" s="18">
        <f t="shared" ref="I74:I85" si="69">H74+273.15</f>
        <v>268.15</v>
      </c>
      <c r="J74" s="18">
        <f t="shared" ref="J74:J85" si="70">EXP(($C$16*(I74-$C$14))/($C$17*I74*$C$14))</f>
        <v>0.00896487173486583</v>
      </c>
      <c r="K74" s="18">
        <f>$B$74/12</f>
        <v>52.122</v>
      </c>
      <c r="L74" s="18">
        <f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71">O74*J74</f>
        <v>0.00467267044564677</v>
      </c>
      <c r="Q74" s="24">
        <f>P74*$B$76</f>
        <v>0.00121489431586816</v>
      </c>
      <c r="R74" s="18">
        <f>L74*$B$76</f>
        <v>0.1355172</v>
      </c>
      <c r="S74" s="25">
        <f t="shared" ref="S74:S85" si="72">Q74/R74</f>
        <v>0.00896487173486583</v>
      </c>
      <c r="T74" s="3">
        <v>0.01</v>
      </c>
      <c r="U74" s="26">
        <f t="shared" ref="U74:U85" si="73">S74*T74</f>
        <v>8.96487173486583e-5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74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75">AR74*AQ74</f>
        <v>0.005</v>
      </c>
      <c r="AT74" s="2">
        <f>(AS74+AM74+AD74+AA74+U74+X74+AG74+AJ74+AP74)</f>
        <v>0.00557964871734866</v>
      </c>
      <c r="AU74" s="29">
        <f>$B$74/12</f>
        <v>52.122</v>
      </c>
      <c r="AV74" s="1">
        <f>$B$76</f>
        <v>0.26</v>
      </c>
      <c r="BB74" s="2">
        <f t="shared" ref="BB74:BB85" si="76">$E$8/12</f>
        <v>0.0175</v>
      </c>
      <c r="BC74" s="1">
        <f t="shared" ref="BC74:BC85" si="77">BB74*10000*AV74*0.67*AU74*AT74</f>
        <v>8.86572240183554</v>
      </c>
    </row>
    <row r="75" spans="1:55">
      <c r="A75" s="13" t="s">
        <v>111</v>
      </c>
      <c r="B75" s="13">
        <v>1</v>
      </c>
      <c r="C75" s="16">
        <v>1</v>
      </c>
      <c r="D75" s="19">
        <v>-8.26894654770968</v>
      </c>
      <c r="E75" s="20">
        <f t="shared" ref="E75:E86" si="78">D74</f>
        <v>-5</v>
      </c>
      <c r="F75" s="16" t="s">
        <v>110</v>
      </c>
      <c r="G75" s="13">
        <v>2</v>
      </c>
      <c r="H75" s="18">
        <f t="shared" si="68"/>
        <v>-8.26894654770968</v>
      </c>
      <c r="I75" s="18">
        <f t="shared" si="69"/>
        <v>264.88105345229</v>
      </c>
      <c r="J75" s="18">
        <f t="shared" si="70"/>
        <v>0.00572700794994822</v>
      </c>
      <c r="K75" s="18">
        <f t="shared" ref="K75:K85" si="79">$B$74/12</f>
        <v>52.122</v>
      </c>
      <c r="L75" s="18">
        <f t="shared" ref="L75:L85" si="80">K75*$B$75/100</f>
        <v>0.52122</v>
      </c>
      <c r="M75" s="13" t="s">
        <v>110</v>
      </c>
      <c r="N75" s="13"/>
      <c r="O75" s="18">
        <f t="shared" ref="O75:O85" si="81">L75+O74-P74-N75</f>
        <v>1.03776732955435</v>
      </c>
      <c r="P75" s="18">
        <f t="shared" si="71"/>
        <v>0.00594330174655432</v>
      </c>
      <c r="Q75" s="24">
        <f t="shared" ref="Q75:Q85" si="82">P75*$B$76</f>
        <v>0.00154525845410412</v>
      </c>
      <c r="R75" s="18">
        <f t="shared" ref="R75:R85" si="83">L75*$B$76</f>
        <v>0.1355172</v>
      </c>
      <c r="S75" s="25">
        <f t="shared" si="72"/>
        <v>0.0114026740082006</v>
      </c>
      <c r="T75" s="3">
        <v>0.01</v>
      </c>
      <c r="U75" s="26">
        <f t="shared" si="73"/>
        <v>0.000114026740082006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74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75"/>
        <v>0.005</v>
      </c>
      <c r="AT75" s="2">
        <f t="shared" ref="AT75:AT85" si="84">(AS75+AM75+AD75+AA75+U75+X75+AG75+AJ75+AP75)</f>
        <v>0.00560402674008201</v>
      </c>
      <c r="AU75" s="29">
        <f t="shared" ref="AU75:AU85" si="85">$B$74/12</f>
        <v>52.122</v>
      </c>
      <c r="AV75" s="1">
        <f t="shared" ref="AV75:AV85" si="86">$B$76</f>
        <v>0.26</v>
      </c>
      <c r="BB75" s="2">
        <f t="shared" si="76"/>
        <v>0.0175</v>
      </c>
      <c r="BC75" s="1">
        <f t="shared" si="77"/>
        <v>8.90445759704371</v>
      </c>
    </row>
    <row r="76" spans="1:55">
      <c r="A76" s="13" t="s">
        <v>73</v>
      </c>
      <c r="B76" s="13">
        <v>0.26</v>
      </c>
      <c r="C76" s="16">
        <v>2</v>
      </c>
      <c r="D76" s="19">
        <v>-2.59796630424138</v>
      </c>
      <c r="E76" s="20">
        <f t="shared" si="78"/>
        <v>-8.26894654770968</v>
      </c>
      <c r="F76" s="16" t="s">
        <v>110</v>
      </c>
      <c r="G76" s="13">
        <v>3</v>
      </c>
      <c r="H76" s="18">
        <f t="shared" si="68"/>
        <v>-2.59796630424138</v>
      </c>
      <c r="I76" s="18">
        <f t="shared" si="69"/>
        <v>270.552033695759</v>
      </c>
      <c r="J76" s="18">
        <f t="shared" si="70"/>
        <v>0.0123751748472055</v>
      </c>
      <c r="K76" s="18">
        <f t="shared" si="79"/>
        <v>52.122</v>
      </c>
      <c r="L76" s="18">
        <f t="shared" si="80"/>
        <v>0.52122</v>
      </c>
      <c r="M76" s="13" t="s">
        <v>110</v>
      </c>
      <c r="N76" s="13"/>
      <c r="O76" s="18">
        <f t="shared" si="81"/>
        <v>1.5530440278078</v>
      </c>
      <c r="P76" s="18">
        <f t="shared" si="71"/>
        <v>0.0192191913895298</v>
      </c>
      <c r="Q76" s="24">
        <f t="shared" si="82"/>
        <v>0.00499698976127776</v>
      </c>
      <c r="R76" s="18">
        <f t="shared" si="83"/>
        <v>0.1355172</v>
      </c>
      <c r="S76" s="25">
        <f t="shared" si="72"/>
        <v>0.0368734726018377</v>
      </c>
      <c r="T76" s="3">
        <v>0.01</v>
      </c>
      <c r="U76" s="26">
        <f t="shared" si="73"/>
        <v>0.000368734726018377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74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75"/>
        <v>0.005</v>
      </c>
      <c r="AT76" s="2">
        <f t="shared" si="84"/>
        <v>0.00585873472601838</v>
      </c>
      <c r="AU76" s="29">
        <f t="shared" si="85"/>
        <v>52.122</v>
      </c>
      <c r="AV76" s="1">
        <f t="shared" si="86"/>
        <v>0.26</v>
      </c>
      <c r="BB76" s="2">
        <f t="shared" si="76"/>
        <v>0.0175</v>
      </c>
      <c r="BC76" s="1">
        <f t="shared" si="77"/>
        <v>9.30917309280982</v>
      </c>
    </row>
    <row r="77" spans="1:55">
      <c r="A77" s="13"/>
      <c r="B77" s="13"/>
      <c r="C77" s="16">
        <v>3</v>
      </c>
      <c r="D77" s="19">
        <v>5.86196966116129</v>
      </c>
      <c r="E77" s="20">
        <f t="shared" si="78"/>
        <v>-2.59796630424138</v>
      </c>
      <c r="F77" s="16" t="s">
        <v>110</v>
      </c>
      <c r="G77" s="13">
        <v>4</v>
      </c>
      <c r="H77" s="18">
        <f t="shared" si="68"/>
        <v>5.86196966116129</v>
      </c>
      <c r="I77" s="18">
        <f t="shared" si="69"/>
        <v>279.011969661161</v>
      </c>
      <c r="J77" s="18">
        <f t="shared" si="70"/>
        <v>0.0368518054348487</v>
      </c>
      <c r="K77" s="18">
        <f t="shared" si="79"/>
        <v>52.122</v>
      </c>
      <c r="L77" s="18">
        <f t="shared" si="80"/>
        <v>0.52122</v>
      </c>
      <c r="M77" s="13" t="s">
        <v>110</v>
      </c>
      <c r="N77" s="13"/>
      <c r="O77" s="18">
        <f t="shared" si="81"/>
        <v>2.05504483641827</v>
      </c>
      <c r="P77" s="18">
        <f t="shared" si="71"/>
        <v>0.0757321124715765</v>
      </c>
      <c r="Q77" s="24">
        <f t="shared" si="82"/>
        <v>0.0196903492426099</v>
      </c>
      <c r="R77" s="18">
        <f t="shared" si="83"/>
        <v>0.1355172</v>
      </c>
      <c r="S77" s="25">
        <f t="shared" si="72"/>
        <v>0.145297786868456</v>
      </c>
      <c r="T77" s="3">
        <v>0.01</v>
      </c>
      <c r="U77" s="26">
        <f t="shared" si="73"/>
        <v>0.00145297786868456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74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75"/>
        <v>0.005</v>
      </c>
      <c r="AT77" s="2">
        <f t="shared" si="84"/>
        <v>0.00694297786868456</v>
      </c>
      <c r="AU77" s="29">
        <f t="shared" si="85"/>
        <v>52.122</v>
      </c>
      <c r="AV77" s="1">
        <f t="shared" si="86"/>
        <v>0.26</v>
      </c>
      <c r="BB77" s="2">
        <f t="shared" si="76"/>
        <v>0.0175</v>
      </c>
      <c r="BC77" s="1">
        <f t="shared" si="77"/>
        <v>11.031969491996</v>
      </c>
    </row>
    <row r="78" spans="1:55">
      <c r="A78" s="13"/>
      <c r="B78" s="13"/>
      <c r="C78" s="16">
        <v>4</v>
      </c>
      <c r="D78" s="19">
        <v>13.3131172304333</v>
      </c>
      <c r="E78" s="20">
        <f t="shared" si="78"/>
        <v>5.86196966116129</v>
      </c>
      <c r="F78" s="16" t="s">
        <v>110</v>
      </c>
      <c r="G78" s="13">
        <v>5</v>
      </c>
      <c r="H78" s="18">
        <f t="shared" si="68"/>
        <v>13.3131172304333</v>
      </c>
      <c r="I78" s="18">
        <f t="shared" si="69"/>
        <v>286.463117230433</v>
      </c>
      <c r="J78" s="18">
        <f t="shared" si="70"/>
        <v>0.0913424067276603</v>
      </c>
      <c r="K78" s="18">
        <f t="shared" si="79"/>
        <v>52.122</v>
      </c>
      <c r="L78" s="18">
        <f t="shared" si="80"/>
        <v>0.52122</v>
      </c>
      <c r="M78" s="13" t="s">
        <v>112</v>
      </c>
      <c r="N78" s="18">
        <f>(O77-P77)*$C$22/100</f>
        <v>1.88034708774936</v>
      </c>
      <c r="O78" s="18">
        <f t="shared" si="81"/>
        <v>0.620185636197335</v>
      </c>
      <c r="P78" s="18">
        <f t="shared" si="71"/>
        <v>0.0566492486281897</v>
      </c>
      <c r="Q78" s="24">
        <f t="shared" si="82"/>
        <v>0.0147288046433293</v>
      </c>
      <c r="R78" s="18">
        <f t="shared" si="83"/>
        <v>0.1355172</v>
      </c>
      <c r="S78" s="25">
        <f t="shared" si="72"/>
        <v>0.108685868976996</v>
      </c>
      <c r="T78" s="3">
        <v>0.01</v>
      </c>
      <c r="U78" s="26">
        <f t="shared" si="73"/>
        <v>0.00108685868976996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74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75"/>
        <v>0.0075</v>
      </c>
      <c r="AT78" s="2">
        <f t="shared" si="84"/>
        <v>0.01103685868977</v>
      </c>
      <c r="AU78" s="29">
        <f t="shared" si="85"/>
        <v>52.122</v>
      </c>
      <c r="AV78" s="1">
        <f t="shared" si="86"/>
        <v>0.26</v>
      </c>
      <c r="BB78" s="2">
        <f t="shared" si="76"/>
        <v>0.0175</v>
      </c>
      <c r="BC78" s="1">
        <f t="shared" si="77"/>
        <v>17.5368970859304</v>
      </c>
    </row>
    <row r="79" spans="1:55">
      <c r="A79" s="13"/>
      <c r="B79" s="13"/>
      <c r="C79" s="16">
        <v>5</v>
      </c>
      <c r="D79" s="19">
        <v>18.1142507493871</v>
      </c>
      <c r="E79" s="20">
        <f t="shared" si="78"/>
        <v>13.3131172304333</v>
      </c>
      <c r="F79" s="16" t="s">
        <v>112</v>
      </c>
      <c r="G79" s="13">
        <v>6</v>
      </c>
      <c r="H79" s="18">
        <f t="shared" si="68"/>
        <v>18.1142507493871</v>
      </c>
      <c r="I79" s="18">
        <f t="shared" si="69"/>
        <v>291.264250749387</v>
      </c>
      <c r="J79" s="18">
        <f t="shared" si="70"/>
        <v>0.159955117781521</v>
      </c>
      <c r="K79" s="18">
        <f t="shared" si="79"/>
        <v>52.122</v>
      </c>
      <c r="L79" s="18">
        <f t="shared" si="80"/>
        <v>0.52122</v>
      </c>
      <c r="M79" s="13" t="s">
        <v>110</v>
      </c>
      <c r="N79" s="13"/>
      <c r="O79" s="18">
        <f t="shared" si="81"/>
        <v>1.08475638756914</v>
      </c>
      <c r="P79" s="18">
        <f t="shared" si="71"/>
        <v>0.17351233573788</v>
      </c>
      <c r="Q79" s="24">
        <f t="shared" si="82"/>
        <v>0.0451132072918487</v>
      </c>
      <c r="R79" s="18">
        <f t="shared" si="83"/>
        <v>0.1355172</v>
      </c>
      <c r="S79" s="25">
        <f t="shared" si="72"/>
        <v>0.332896542223782</v>
      </c>
      <c r="T79" s="3">
        <v>0.01</v>
      </c>
      <c r="U79" s="26">
        <f t="shared" si="73"/>
        <v>0.00332896542223782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74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75"/>
        <v>0.0075</v>
      </c>
      <c r="AT79" s="2">
        <f t="shared" si="84"/>
        <v>0.0132789654222378</v>
      </c>
      <c r="AU79" s="29">
        <f t="shared" si="85"/>
        <v>52.122</v>
      </c>
      <c r="AV79" s="1">
        <f t="shared" si="86"/>
        <v>0.26</v>
      </c>
      <c r="BB79" s="2">
        <f t="shared" si="76"/>
        <v>0.0175</v>
      </c>
      <c r="BC79" s="1">
        <f t="shared" si="77"/>
        <v>21.0994682964692</v>
      </c>
    </row>
    <row r="80" spans="1:55">
      <c r="A80" s="13"/>
      <c r="B80" s="13"/>
      <c r="C80" s="16">
        <v>6</v>
      </c>
      <c r="D80" s="19">
        <v>22.7104640336667</v>
      </c>
      <c r="E80" s="20">
        <f t="shared" si="78"/>
        <v>18.1142507493871</v>
      </c>
      <c r="F80" s="16" t="s">
        <v>110</v>
      </c>
      <c r="G80" s="13">
        <v>7</v>
      </c>
      <c r="H80" s="18">
        <f t="shared" si="68"/>
        <v>22.7104640336667</v>
      </c>
      <c r="I80" s="18">
        <f t="shared" si="69"/>
        <v>295.860464033667</v>
      </c>
      <c r="J80" s="18">
        <f t="shared" si="70"/>
        <v>0.268868217089804</v>
      </c>
      <c r="K80" s="18">
        <f t="shared" si="79"/>
        <v>52.122</v>
      </c>
      <c r="L80" s="18">
        <f t="shared" si="80"/>
        <v>0.52122</v>
      </c>
      <c r="M80" s="13" t="s">
        <v>110</v>
      </c>
      <c r="N80" s="13"/>
      <c r="O80" s="18">
        <f t="shared" si="81"/>
        <v>1.43246405183127</v>
      </c>
      <c r="P80" s="18">
        <f t="shared" si="71"/>
        <v>0.385144055661108</v>
      </c>
      <c r="Q80" s="24">
        <f t="shared" si="82"/>
        <v>0.100137454471888</v>
      </c>
      <c r="R80" s="18">
        <f t="shared" si="83"/>
        <v>0.1355172</v>
      </c>
      <c r="S80" s="25">
        <f t="shared" si="72"/>
        <v>0.738928006717141</v>
      </c>
      <c r="T80" s="3">
        <v>0.01</v>
      </c>
      <c r="U80" s="26">
        <f t="shared" si="73"/>
        <v>0.00738928006717141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74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75"/>
        <v>0.0075</v>
      </c>
      <c r="AT80" s="2">
        <f t="shared" si="84"/>
        <v>0.0173392800671714</v>
      </c>
      <c r="AU80" s="29">
        <f t="shared" si="85"/>
        <v>52.122</v>
      </c>
      <c r="AV80" s="1">
        <f t="shared" si="86"/>
        <v>0.26</v>
      </c>
      <c r="BB80" s="2">
        <f t="shared" si="76"/>
        <v>0.0175</v>
      </c>
      <c r="BC80" s="1">
        <f t="shared" si="77"/>
        <v>27.5510612783289</v>
      </c>
    </row>
    <row r="81" spans="1:55">
      <c r="A81" s="13"/>
      <c r="B81" s="13"/>
      <c r="C81" s="16">
        <v>7</v>
      </c>
      <c r="D81" s="19">
        <v>24.5753693980645</v>
      </c>
      <c r="E81" s="20">
        <f t="shared" si="78"/>
        <v>22.7104640336667</v>
      </c>
      <c r="F81" s="16" t="s">
        <v>110</v>
      </c>
      <c r="G81" s="13">
        <v>8</v>
      </c>
      <c r="H81" s="18">
        <f t="shared" si="68"/>
        <v>24.5753693980645</v>
      </c>
      <c r="I81" s="18">
        <f t="shared" si="69"/>
        <v>297.725369398064</v>
      </c>
      <c r="J81" s="18">
        <f t="shared" si="70"/>
        <v>0.330420117115311</v>
      </c>
      <c r="K81" s="18">
        <f t="shared" si="79"/>
        <v>52.122</v>
      </c>
      <c r="L81" s="18">
        <f t="shared" si="80"/>
        <v>0.52122</v>
      </c>
      <c r="M81" s="13" t="s">
        <v>110</v>
      </c>
      <c r="N81" s="13"/>
      <c r="O81" s="18">
        <f t="shared" si="81"/>
        <v>1.56853999617016</v>
      </c>
      <c r="P81" s="18">
        <f t="shared" si="71"/>
        <v>0.518277169234593</v>
      </c>
      <c r="Q81" s="24">
        <f t="shared" si="82"/>
        <v>0.134752064000994</v>
      </c>
      <c r="R81" s="18">
        <f t="shared" si="83"/>
        <v>0.1355172</v>
      </c>
      <c r="S81" s="25">
        <f t="shared" si="72"/>
        <v>0.994353956553074</v>
      </c>
      <c r="T81" s="3">
        <v>0.01</v>
      </c>
      <c r="U81" s="26">
        <f t="shared" si="73"/>
        <v>0.00994353956553074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74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75"/>
        <v>0.0075</v>
      </c>
      <c r="AT81" s="2">
        <f t="shared" si="84"/>
        <v>0.0198935395655307</v>
      </c>
      <c r="AU81" s="29">
        <f t="shared" si="85"/>
        <v>52.122</v>
      </c>
      <c r="AV81" s="1">
        <f t="shared" si="86"/>
        <v>0.26</v>
      </c>
      <c r="BB81" s="2">
        <f t="shared" si="76"/>
        <v>0.0175</v>
      </c>
      <c r="BC81" s="1">
        <f t="shared" si="77"/>
        <v>31.6096242456165</v>
      </c>
    </row>
    <row r="82" spans="1:55">
      <c r="A82" s="13"/>
      <c r="B82" s="13"/>
      <c r="C82" s="16">
        <v>8</v>
      </c>
      <c r="D82" s="19">
        <v>24.0049141725806</v>
      </c>
      <c r="E82" s="20">
        <f t="shared" si="78"/>
        <v>24.5753693980645</v>
      </c>
      <c r="F82" s="16" t="s">
        <v>110</v>
      </c>
      <c r="G82" s="13">
        <v>9</v>
      </c>
      <c r="H82" s="18">
        <f t="shared" si="68"/>
        <v>24.0049141725806</v>
      </c>
      <c r="I82" s="18">
        <f t="shared" si="69"/>
        <v>297.154914172581</v>
      </c>
      <c r="J82" s="18">
        <f t="shared" si="70"/>
        <v>0.310313300030747</v>
      </c>
      <c r="K82" s="18">
        <f t="shared" si="79"/>
        <v>52.122</v>
      </c>
      <c r="L82" s="18">
        <f t="shared" si="80"/>
        <v>0.52122</v>
      </c>
      <c r="M82" s="13" t="s">
        <v>110</v>
      </c>
      <c r="N82" s="13"/>
      <c r="O82" s="18">
        <f t="shared" si="81"/>
        <v>1.57148282693556</v>
      </c>
      <c r="P82" s="18">
        <f t="shared" si="71"/>
        <v>0.487652021968022</v>
      </c>
      <c r="Q82" s="24">
        <f t="shared" si="82"/>
        <v>0.126789525711686</v>
      </c>
      <c r="R82" s="18">
        <f t="shared" si="83"/>
        <v>0.1355172</v>
      </c>
      <c r="S82" s="25">
        <f t="shared" si="72"/>
        <v>0.935597294746982</v>
      </c>
      <c r="T82" s="3">
        <v>0.01</v>
      </c>
      <c r="U82" s="26">
        <f t="shared" si="73"/>
        <v>0.00935597294746981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74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75"/>
        <v>0.0075</v>
      </c>
      <c r="AT82" s="2">
        <f t="shared" si="84"/>
        <v>0.0193059729474698</v>
      </c>
      <c r="AU82" s="29">
        <f t="shared" si="85"/>
        <v>52.122</v>
      </c>
      <c r="AV82" s="1">
        <f t="shared" si="86"/>
        <v>0.26</v>
      </c>
      <c r="BB82" s="2">
        <f t="shared" si="76"/>
        <v>0.0175</v>
      </c>
      <c r="BC82" s="1">
        <f t="shared" si="77"/>
        <v>30.6760166311951</v>
      </c>
    </row>
    <row r="83" spans="1:55">
      <c r="A83" s="13"/>
      <c r="B83" s="13"/>
      <c r="C83" s="16">
        <v>9</v>
      </c>
      <c r="D83" s="19">
        <v>18.3698675906667</v>
      </c>
      <c r="E83" s="20">
        <f t="shared" si="78"/>
        <v>24.0049141725806</v>
      </c>
      <c r="F83" s="16" t="s">
        <v>110</v>
      </c>
      <c r="G83" s="13">
        <v>10</v>
      </c>
      <c r="H83" s="18">
        <f t="shared" si="68"/>
        <v>18.3698675906667</v>
      </c>
      <c r="I83" s="18">
        <f t="shared" si="69"/>
        <v>291.519867590667</v>
      </c>
      <c r="J83" s="18">
        <f t="shared" si="70"/>
        <v>0.164713164036634</v>
      </c>
      <c r="K83" s="18">
        <f t="shared" si="79"/>
        <v>52.122</v>
      </c>
      <c r="L83" s="18">
        <f t="shared" si="80"/>
        <v>0.52122</v>
      </c>
      <c r="M83" s="13" t="s">
        <v>110</v>
      </c>
      <c r="N83" s="13"/>
      <c r="O83" s="18">
        <f t="shared" si="81"/>
        <v>1.60505080496754</v>
      </c>
      <c r="P83" s="18">
        <f t="shared" si="71"/>
        <v>0.264372996525751</v>
      </c>
      <c r="Q83" s="24">
        <f t="shared" si="82"/>
        <v>0.0687369790966952</v>
      </c>
      <c r="R83" s="18">
        <f t="shared" si="83"/>
        <v>0.1355172</v>
      </c>
      <c r="S83" s="25">
        <f t="shared" si="72"/>
        <v>0.507219593503225</v>
      </c>
      <c r="T83" s="3">
        <v>0.01</v>
      </c>
      <c r="U83" s="26">
        <f t="shared" si="73"/>
        <v>0.00507219593503225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74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75"/>
        <v>0.005</v>
      </c>
      <c r="AT83" s="2">
        <f t="shared" si="84"/>
        <v>0.0105621959350322</v>
      </c>
      <c r="AU83" s="29">
        <f t="shared" si="85"/>
        <v>52.122</v>
      </c>
      <c r="AV83" s="1">
        <f t="shared" si="86"/>
        <v>0.26</v>
      </c>
      <c r="BB83" s="2">
        <f t="shared" si="76"/>
        <v>0.0175</v>
      </c>
      <c r="BC83" s="1">
        <f t="shared" si="77"/>
        <v>16.7826868423874</v>
      </c>
    </row>
    <row r="84" spans="1:55">
      <c r="A84" s="13"/>
      <c r="B84" s="13"/>
      <c r="C84" s="16">
        <v>10</v>
      </c>
      <c r="D84" s="19">
        <v>10.0867692679677</v>
      </c>
      <c r="E84" s="20">
        <f t="shared" si="78"/>
        <v>18.3698675906667</v>
      </c>
      <c r="F84" s="16" t="s">
        <v>110</v>
      </c>
      <c r="G84" s="13">
        <v>11</v>
      </c>
      <c r="H84" s="18">
        <f t="shared" si="68"/>
        <v>10.0867692679677</v>
      </c>
      <c r="I84" s="18">
        <f t="shared" si="69"/>
        <v>283.236769267968</v>
      </c>
      <c r="J84" s="18">
        <f t="shared" si="70"/>
        <v>0.0620188879468226</v>
      </c>
      <c r="K84" s="18">
        <f t="shared" si="79"/>
        <v>52.122</v>
      </c>
      <c r="L84" s="18">
        <f t="shared" si="80"/>
        <v>0.52122</v>
      </c>
      <c r="M84" s="13" t="s">
        <v>112</v>
      </c>
      <c r="N84" s="18">
        <f>(O83-P83)*$C$22/100</f>
        <v>1.2736439180197</v>
      </c>
      <c r="O84" s="18">
        <f t="shared" si="81"/>
        <v>0.58825389042209</v>
      </c>
      <c r="P84" s="18">
        <f t="shared" si="71"/>
        <v>0.03648285211437</v>
      </c>
      <c r="Q84" s="24">
        <f t="shared" si="82"/>
        <v>0.00948554154973621</v>
      </c>
      <c r="R84" s="18">
        <f t="shared" si="83"/>
        <v>0.1355172</v>
      </c>
      <c r="S84" s="25">
        <f t="shared" si="72"/>
        <v>0.0699951116886728</v>
      </c>
      <c r="T84" s="3">
        <v>0.01</v>
      </c>
      <c r="U84" s="26">
        <f t="shared" si="73"/>
        <v>0.000699951116886728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74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75"/>
        <v>0.005</v>
      </c>
      <c r="AT84" s="2">
        <f t="shared" si="84"/>
        <v>0.00618995111688673</v>
      </c>
      <c r="AU84" s="29">
        <f t="shared" si="85"/>
        <v>52.122</v>
      </c>
      <c r="AV84" s="1">
        <f t="shared" si="86"/>
        <v>0.26</v>
      </c>
      <c r="BB84" s="2">
        <f t="shared" si="76"/>
        <v>0.0175</v>
      </c>
      <c r="BC84" s="1">
        <f t="shared" si="77"/>
        <v>9.83545579000657</v>
      </c>
    </row>
    <row r="85" spans="1:56">
      <c r="A85" s="13"/>
      <c r="B85" s="13"/>
      <c r="C85" s="16">
        <v>11</v>
      </c>
      <c r="D85" s="19">
        <v>0.881895453866666</v>
      </c>
      <c r="E85" s="20">
        <f t="shared" si="78"/>
        <v>10.0867692679677</v>
      </c>
      <c r="F85" s="16" t="s">
        <v>112</v>
      </c>
      <c r="G85" s="13">
        <v>12</v>
      </c>
      <c r="H85" s="18">
        <f t="shared" si="68"/>
        <v>0.881895453866666</v>
      </c>
      <c r="I85" s="18">
        <f t="shared" si="69"/>
        <v>274.031895453867</v>
      </c>
      <c r="J85" s="18">
        <f t="shared" si="70"/>
        <v>0.0195446693125814</v>
      </c>
      <c r="K85" s="18">
        <f t="shared" si="79"/>
        <v>52.122</v>
      </c>
      <c r="L85" s="18">
        <f t="shared" si="80"/>
        <v>0.52122</v>
      </c>
      <c r="M85" s="13" t="s">
        <v>110</v>
      </c>
      <c r="N85" s="13"/>
      <c r="O85" s="18">
        <f t="shared" si="81"/>
        <v>1.07299103830772</v>
      </c>
      <c r="P85" s="18">
        <f t="shared" si="71"/>
        <v>0.0209712550190877</v>
      </c>
      <c r="Q85" s="24">
        <f t="shared" si="82"/>
        <v>0.0054525263049628</v>
      </c>
      <c r="R85" s="18">
        <f t="shared" si="83"/>
        <v>0.1355172</v>
      </c>
      <c r="S85" s="25">
        <f t="shared" si="72"/>
        <v>0.0402349392177731</v>
      </c>
      <c r="T85" s="3">
        <v>0.01</v>
      </c>
      <c r="U85" s="26">
        <f t="shared" si="73"/>
        <v>0.000402349392177731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74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75"/>
        <v>0.005</v>
      </c>
      <c r="AT85" s="2">
        <f t="shared" si="84"/>
        <v>0.00589234939217773</v>
      </c>
      <c r="AU85" s="29">
        <f t="shared" si="85"/>
        <v>52.122</v>
      </c>
      <c r="AV85" s="1">
        <f t="shared" si="86"/>
        <v>0.26</v>
      </c>
      <c r="BB85" s="2">
        <f t="shared" si="76"/>
        <v>0.0175</v>
      </c>
      <c r="BC85" s="1">
        <f t="shared" si="77"/>
        <v>9.36258475255689</v>
      </c>
      <c r="BD85" s="1">
        <f>SUM(BC74:BC85)</f>
        <v>202.565117506176</v>
      </c>
    </row>
    <row r="86" spans="1:19">
      <c r="A86" s="13"/>
      <c r="B86" s="13"/>
      <c r="C86" s="16">
        <v>12</v>
      </c>
      <c r="D86" s="19">
        <v>-3.07955829712903</v>
      </c>
      <c r="E86" s="20">
        <f t="shared" si="78"/>
        <v>0.881895453866666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8" spans="19:45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</row>
    <row r="89" spans="1:58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BB89" s="1" t="s">
        <v>118</v>
      </c>
      <c r="BC89" s="1" t="s">
        <v>119</v>
      </c>
      <c r="BE89" s="1" t="s">
        <v>120</v>
      </c>
      <c r="BF89" s="1" t="s">
        <v>121</v>
      </c>
    </row>
    <row r="90" spans="1:58">
      <c r="A90" s="13" t="s">
        <v>108</v>
      </c>
      <c r="B90" s="13">
        <v>341.64</v>
      </c>
      <c r="C90" s="16" t="s">
        <v>109</v>
      </c>
      <c r="D90" s="16">
        <v>-5</v>
      </c>
      <c r="E90" s="16"/>
      <c r="F90" s="16"/>
      <c r="G90" s="13">
        <v>1</v>
      </c>
      <c r="H90" s="18">
        <f t="shared" ref="H90:H101" si="87">E91</f>
        <v>-5</v>
      </c>
      <c r="I90" s="18">
        <f t="shared" ref="I90:I101" si="88">H90+273.15</f>
        <v>268.15</v>
      </c>
      <c r="J90" s="18">
        <f t="shared" ref="J90:J101" si="89">EXP(($C$16*(I90-$C$14))/($C$17*I90*$C$14))</f>
        <v>0.00896487173486583</v>
      </c>
      <c r="K90" s="18">
        <f>$B$90/12</f>
        <v>28.47</v>
      </c>
      <c r="L90" s="18">
        <f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90">O90*J90</f>
        <v>0.0025522989829163</v>
      </c>
      <c r="Q90" s="24">
        <f t="shared" ref="Q90:Q101" si="91">P90*$B$76</f>
        <v>0.000663597735558238</v>
      </c>
      <c r="R90" s="18">
        <f t="shared" ref="R90:R101" si="92">L90*$B$76</f>
        <v>0.074022</v>
      </c>
      <c r="S90" s="25">
        <f t="shared" ref="S90:S101" si="93">Q90/R90</f>
        <v>0.00896487173486583</v>
      </c>
      <c r="T90" s="3">
        <v>0.01</v>
      </c>
      <c r="U90" s="26">
        <f t="shared" ref="U90:U101" si="94">S90*T90</f>
        <v>8.96487173486583e-5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95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96">AR90*AQ90</f>
        <v>0.005</v>
      </c>
      <c r="AT90" s="2">
        <f>(AS90+AM90+AD90+AA90+U90+X90+AG90+AJ90+AP90)</f>
        <v>0.00557964871734866</v>
      </c>
      <c r="AU90" s="29">
        <f>$B$90/12</f>
        <v>28.47</v>
      </c>
      <c r="AV90" s="1">
        <f t="shared" ref="AV90:AV101" si="97">$B$76</f>
        <v>0.26</v>
      </c>
      <c r="BB90" s="2">
        <f t="shared" ref="BB90:BB101" si="98">$E$9/12</f>
        <v>0.0241666666666667</v>
      </c>
      <c r="BC90" s="1">
        <f>BB90*10000*AV90*0.67*AU90*AT90</f>
        <v>6.68742966284914</v>
      </c>
      <c r="BE90" s="2">
        <f t="shared" ref="BE90:BE101" si="99">$E$10/12</f>
        <v>0.00416666666666667</v>
      </c>
      <c r="BF90" s="1">
        <f>BE90*10000*AV90*0.67*AU90*AT90</f>
        <v>1.15300511428433</v>
      </c>
    </row>
    <row r="91" spans="1:58">
      <c r="A91" s="13" t="s">
        <v>111</v>
      </c>
      <c r="B91" s="13">
        <v>1</v>
      </c>
      <c r="C91" s="16">
        <v>1</v>
      </c>
      <c r="D91" s="19">
        <v>-8.26894654770968</v>
      </c>
      <c r="E91" s="20">
        <f t="shared" ref="E91:E102" si="100">D90</f>
        <v>-5</v>
      </c>
      <c r="F91" s="16" t="s">
        <v>110</v>
      </c>
      <c r="G91" s="13">
        <v>2</v>
      </c>
      <c r="H91" s="18">
        <f t="shared" si="87"/>
        <v>-8.26894654770968</v>
      </c>
      <c r="I91" s="18">
        <f t="shared" si="88"/>
        <v>264.88105345229</v>
      </c>
      <c r="J91" s="18">
        <f t="shared" si="89"/>
        <v>0.00572700794994822</v>
      </c>
      <c r="K91" s="18">
        <f t="shared" ref="K91:K101" si="101">$B$90/12</f>
        <v>28.47</v>
      </c>
      <c r="L91" s="18">
        <f t="shared" ref="L91:L101" si="102">K91*$B$75/100</f>
        <v>0.2847</v>
      </c>
      <c r="M91" s="13" t="s">
        <v>110</v>
      </c>
      <c r="N91" s="13"/>
      <c r="O91" s="18">
        <f t="shared" ref="O91:O101" si="103">L91+O90-P90-N91</f>
        <v>0.566847701017084</v>
      </c>
      <c r="P91" s="18">
        <f t="shared" si="90"/>
        <v>0.00324634129013471</v>
      </c>
      <c r="Q91" s="24">
        <f t="shared" si="91"/>
        <v>0.000844048735435025</v>
      </c>
      <c r="R91" s="18">
        <f t="shared" si="92"/>
        <v>0.074022</v>
      </c>
      <c r="S91" s="25">
        <f t="shared" si="93"/>
        <v>0.0114026740082006</v>
      </c>
      <c r="T91" s="3">
        <v>0.01</v>
      </c>
      <c r="U91" s="26">
        <f t="shared" si="94"/>
        <v>0.000114026740082006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95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96"/>
        <v>0.005</v>
      </c>
      <c r="AT91" s="2">
        <f t="shared" ref="AT91:AT101" si="104">(AS91+AM91+AD91+AA91+U91+X91+AG91+AJ91+AP91)</f>
        <v>0.00560402674008201</v>
      </c>
      <c r="AU91" s="29">
        <f t="shared" ref="AU91:AU101" si="105">$B$90/12</f>
        <v>28.47</v>
      </c>
      <c r="AV91" s="1">
        <f t="shared" si="97"/>
        <v>0.26</v>
      </c>
      <c r="BB91" s="2">
        <f t="shared" si="98"/>
        <v>0.0241666666666667</v>
      </c>
      <c r="BC91" s="1">
        <f t="shared" ref="BC90:BC101" si="106">BB91*10000*AV91*0.67*AU91*AT91</f>
        <v>6.71664768724586</v>
      </c>
      <c r="BE91" s="2">
        <f t="shared" si="99"/>
        <v>0.00416666666666667</v>
      </c>
      <c r="BF91" s="1">
        <f t="shared" ref="BF91:BF101" si="107">BE91*10000*AV91*0.67*AU91*AT91</f>
        <v>1.15804270469756</v>
      </c>
    </row>
    <row r="92" spans="1:58">
      <c r="A92" s="13" t="s">
        <v>73</v>
      </c>
      <c r="B92" s="13">
        <v>0.26</v>
      </c>
      <c r="C92" s="16">
        <v>2</v>
      </c>
      <c r="D92" s="19">
        <v>-2.59796630424138</v>
      </c>
      <c r="E92" s="20">
        <f t="shared" si="100"/>
        <v>-8.26894654770968</v>
      </c>
      <c r="F92" s="16" t="s">
        <v>110</v>
      </c>
      <c r="G92" s="13">
        <v>3</v>
      </c>
      <c r="H92" s="18">
        <f t="shared" si="87"/>
        <v>-2.59796630424138</v>
      </c>
      <c r="I92" s="18">
        <f t="shared" si="88"/>
        <v>270.552033695759</v>
      </c>
      <c r="J92" s="18">
        <f t="shared" si="89"/>
        <v>0.0123751748472055</v>
      </c>
      <c r="K92" s="18">
        <f t="shared" si="101"/>
        <v>28.47</v>
      </c>
      <c r="L92" s="18">
        <f t="shared" si="102"/>
        <v>0.2847</v>
      </c>
      <c r="M92" s="13" t="s">
        <v>110</v>
      </c>
      <c r="N92" s="13"/>
      <c r="O92" s="18">
        <f t="shared" si="103"/>
        <v>0.848301359726949</v>
      </c>
      <c r="P92" s="18">
        <f t="shared" si="90"/>
        <v>0.0104978776497432</v>
      </c>
      <c r="Q92" s="24">
        <f t="shared" si="91"/>
        <v>0.00272944818893323</v>
      </c>
      <c r="R92" s="18">
        <f t="shared" si="92"/>
        <v>0.074022</v>
      </c>
      <c r="S92" s="25">
        <f t="shared" si="93"/>
        <v>0.0368734726018377</v>
      </c>
      <c r="T92" s="3">
        <v>0.01</v>
      </c>
      <c r="U92" s="26">
        <f t="shared" si="94"/>
        <v>0.000368734726018377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95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96"/>
        <v>0.005</v>
      </c>
      <c r="AT92" s="2">
        <f t="shared" si="104"/>
        <v>0.00585873472601838</v>
      </c>
      <c r="AU92" s="29">
        <f t="shared" si="105"/>
        <v>28.47</v>
      </c>
      <c r="AV92" s="1">
        <f t="shared" si="97"/>
        <v>0.26</v>
      </c>
      <c r="BB92" s="2">
        <f t="shared" si="98"/>
        <v>0.0241666666666667</v>
      </c>
      <c r="BC92" s="1">
        <f t="shared" si="106"/>
        <v>7.02192528209144</v>
      </c>
      <c r="BE92" s="2">
        <f t="shared" si="99"/>
        <v>0.00416666666666667</v>
      </c>
      <c r="BF92" s="1">
        <f t="shared" si="107"/>
        <v>1.21067677277439</v>
      </c>
    </row>
    <row r="93" spans="1:58">
      <c r="A93" s="13"/>
      <c r="B93" s="13"/>
      <c r="C93" s="16">
        <v>3</v>
      </c>
      <c r="D93" s="19">
        <v>5.86196966116129</v>
      </c>
      <c r="E93" s="20">
        <f t="shared" si="100"/>
        <v>-2.59796630424138</v>
      </c>
      <c r="F93" s="16" t="s">
        <v>110</v>
      </c>
      <c r="G93" s="13">
        <v>4</v>
      </c>
      <c r="H93" s="18">
        <f t="shared" si="87"/>
        <v>5.86196966116129</v>
      </c>
      <c r="I93" s="18">
        <f t="shared" si="88"/>
        <v>279.011969661161</v>
      </c>
      <c r="J93" s="18">
        <f t="shared" si="89"/>
        <v>0.0368518054348487</v>
      </c>
      <c r="K93" s="18">
        <f t="shared" si="101"/>
        <v>28.47</v>
      </c>
      <c r="L93" s="18">
        <f t="shared" si="102"/>
        <v>0.2847</v>
      </c>
      <c r="M93" s="13" t="s">
        <v>110</v>
      </c>
      <c r="N93" s="13"/>
      <c r="O93" s="18">
        <f t="shared" si="103"/>
        <v>1.12250348207721</v>
      </c>
      <c r="P93" s="18">
        <f t="shared" si="90"/>
        <v>0.0413662799214493</v>
      </c>
      <c r="Q93" s="24">
        <f t="shared" si="91"/>
        <v>0.0107552327795768</v>
      </c>
      <c r="R93" s="18">
        <f t="shared" si="92"/>
        <v>0.074022</v>
      </c>
      <c r="S93" s="25">
        <f t="shared" si="93"/>
        <v>0.145297786868456</v>
      </c>
      <c r="T93" s="3">
        <v>0.01</v>
      </c>
      <c r="U93" s="26">
        <f t="shared" si="94"/>
        <v>0.00145297786868456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95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96"/>
        <v>0.005</v>
      </c>
      <c r="AT93" s="2">
        <f t="shared" si="104"/>
        <v>0.00694297786868456</v>
      </c>
      <c r="AU93" s="29">
        <f t="shared" si="105"/>
        <v>28.47</v>
      </c>
      <c r="AV93" s="1">
        <f t="shared" si="97"/>
        <v>0.26</v>
      </c>
      <c r="BB93" s="2">
        <f t="shared" si="98"/>
        <v>0.0241666666666667</v>
      </c>
      <c r="BC93" s="1">
        <f t="shared" si="106"/>
        <v>8.32143357039315</v>
      </c>
      <c r="BE93" s="2">
        <f t="shared" si="99"/>
        <v>0.00416666666666667</v>
      </c>
      <c r="BF93" s="1">
        <f t="shared" si="107"/>
        <v>1.43472992592985</v>
      </c>
    </row>
    <row r="94" spans="1:58">
      <c r="A94" s="13"/>
      <c r="B94" s="13"/>
      <c r="C94" s="16">
        <v>4</v>
      </c>
      <c r="D94" s="19">
        <v>13.3131172304333</v>
      </c>
      <c r="E94" s="20">
        <f t="shared" si="100"/>
        <v>5.86196966116129</v>
      </c>
      <c r="F94" s="16" t="s">
        <v>110</v>
      </c>
      <c r="G94" s="13">
        <v>5</v>
      </c>
      <c r="H94" s="18">
        <f t="shared" si="87"/>
        <v>13.3131172304333</v>
      </c>
      <c r="I94" s="18">
        <f t="shared" si="88"/>
        <v>286.463117230433</v>
      </c>
      <c r="J94" s="18">
        <f t="shared" si="89"/>
        <v>0.0913424067276603</v>
      </c>
      <c r="K94" s="18">
        <f t="shared" si="101"/>
        <v>28.47</v>
      </c>
      <c r="L94" s="18">
        <f t="shared" si="102"/>
        <v>0.2847</v>
      </c>
      <c r="M94" s="13" t="s">
        <v>112</v>
      </c>
      <c r="N94" s="18">
        <f>(O93-P93)*$C$22/100</f>
        <v>1.02708034204797</v>
      </c>
      <c r="O94" s="18">
        <f t="shared" si="103"/>
        <v>0.338756860107788</v>
      </c>
      <c r="P94" s="18">
        <f t="shared" si="90"/>
        <v>0.0309428668977507</v>
      </c>
      <c r="Q94" s="24">
        <f t="shared" si="91"/>
        <v>0.00804514539341518</v>
      </c>
      <c r="R94" s="18">
        <f t="shared" si="92"/>
        <v>0.074022</v>
      </c>
      <c r="S94" s="25">
        <f t="shared" si="93"/>
        <v>0.108685868976996</v>
      </c>
      <c r="T94" s="3">
        <v>0.01</v>
      </c>
      <c r="U94" s="26">
        <f t="shared" si="94"/>
        <v>0.00108685868976996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95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96"/>
        <v>0.0075</v>
      </c>
      <c r="AT94" s="2">
        <f t="shared" si="104"/>
        <v>0.01103685868977</v>
      </c>
      <c r="AU94" s="29">
        <f t="shared" si="105"/>
        <v>28.47</v>
      </c>
      <c r="AV94" s="1">
        <f t="shared" si="97"/>
        <v>0.26</v>
      </c>
      <c r="BB94" s="2">
        <f t="shared" si="98"/>
        <v>0.0241666666666667</v>
      </c>
      <c r="BC94" s="1">
        <f t="shared" si="106"/>
        <v>13.2281116474505</v>
      </c>
      <c r="BE94" s="2">
        <f t="shared" si="99"/>
        <v>0.00416666666666667</v>
      </c>
      <c r="BF94" s="1">
        <f t="shared" si="107"/>
        <v>2.28070890473285</v>
      </c>
    </row>
    <row r="95" spans="1:58">
      <c r="A95" s="13"/>
      <c r="B95" s="13"/>
      <c r="C95" s="16">
        <v>5</v>
      </c>
      <c r="D95" s="19">
        <v>18.1142507493871</v>
      </c>
      <c r="E95" s="20">
        <f t="shared" si="100"/>
        <v>13.3131172304333</v>
      </c>
      <c r="F95" s="16" t="s">
        <v>112</v>
      </c>
      <c r="G95" s="13">
        <v>6</v>
      </c>
      <c r="H95" s="18">
        <f t="shared" si="87"/>
        <v>18.1142507493871</v>
      </c>
      <c r="I95" s="18">
        <f t="shared" si="88"/>
        <v>291.264250749387</v>
      </c>
      <c r="J95" s="18">
        <f t="shared" si="89"/>
        <v>0.159955117781521</v>
      </c>
      <c r="K95" s="18">
        <f t="shared" si="101"/>
        <v>28.47</v>
      </c>
      <c r="L95" s="18">
        <f t="shared" si="102"/>
        <v>0.2847</v>
      </c>
      <c r="M95" s="13" t="s">
        <v>110</v>
      </c>
      <c r="N95" s="13"/>
      <c r="O95" s="18">
        <f t="shared" si="103"/>
        <v>0.592513993210037</v>
      </c>
      <c r="P95" s="18">
        <f t="shared" si="90"/>
        <v>0.0947756455711108</v>
      </c>
      <c r="Q95" s="24">
        <f t="shared" si="91"/>
        <v>0.0246416678484888</v>
      </c>
      <c r="R95" s="18">
        <f t="shared" si="92"/>
        <v>0.074022</v>
      </c>
      <c r="S95" s="25">
        <f t="shared" si="93"/>
        <v>0.332896542223782</v>
      </c>
      <c r="T95" s="3">
        <v>0.01</v>
      </c>
      <c r="U95" s="26">
        <f t="shared" si="94"/>
        <v>0.00332896542223782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95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96"/>
        <v>0.0075</v>
      </c>
      <c r="AT95" s="2">
        <f t="shared" si="104"/>
        <v>0.0132789654222378</v>
      </c>
      <c r="AU95" s="29">
        <f t="shared" si="105"/>
        <v>28.47</v>
      </c>
      <c r="AV95" s="1">
        <f t="shared" si="97"/>
        <v>0.26</v>
      </c>
      <c r="BB95" s="2">
        <f t="shared" si="98"/>
        <v>0.0241666666666667</v>
      </c>
      <c r="BC95" s="1">
        <f t="shared" si="106"/>
        <v>15.9153652416345</v>
      </c>
      <c r="BE95" s="2">
        <f t="shared" si="99"/>
        <v>0.00416666666666667</v>
      </c>
      <c r="BF95" s="1">
        <f t="shared" si="107"/>
        <v>2.74402848993697</v>
      </c>
    </row>
    <row r="96" spans="1:58">
      <c r="A96" s="13"/>
      <c r="B96" s="13"/>
      <c r="C96" s="16">
        <v>6</v>
      </c>
      <c r="D96" s="19">
        <v>22.7104640336667</v>
      </c>
      <c r="E96" s="20">
        <f t="shared" si="100"/>
        <v>18.1142507493871</v>
      </c>
      <c r="F96" s="16" t="s">
        <v>110</v>
      </c>
      <c r="G96" s="13">
        <v>7</v>
      </c>
      <c r="H96" s="18">
        <f t="shared" si="87"/>
        <v>22.7104640336667</v>
      </c>
      <c r="I96" s="18">
        <f t="shared" si="88"/>
        <v>295.860464033667</v>
      </c>
      <c r="J96" s="18">
        <f t="shared" si="89"/>
        <v>0.268868217089804</v>
      </c>
      <c r="K96" s="18">
        <f t="shared" si="101"/>
        <v>28.47</v>
      </c>
      <c r="L96" s="18">
        <f t="shared" si="102"/>
        <v>0.2847</v>
      </c>
      <c r="M96" s="13" t="s">
        <v>110</v>
      </c>
      <c r="N96" s="13"/>
      <c r="O96" s="18">
        <f t="shared" si="103"/>
        <v>0.782438347638926</v>
      </c>
      <c r="P96" s="18">
        <f t="shared" si="90"/>
        <v>0.21037280351237</v>
      </c>
      <c r="Q96" s="24">
        <f t="shared" si="91"/>
        <v>0.0546969289132162</v>
      </c>
      <c r="R96" s="18">
        <f t="shared" si="92"/>
        <v>0.074022</v>
      </c>
      <c r="S96" s="25">
        <f t="shared" si="93"/>
        <v>0.738928006717141</v>
      </c>
      <c r="T96" s="3">
        <v>0.01</v>
      </c>
      <c r="U96" s="26">
        <f t="shared" si="94"/>
        <v>0.00738928006717141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95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96"/>
        <v>0.0075</v>
      </c>
      <c r="AT96" s="2">
        <f t="shared" si="104"/>
        <v>0.0173392800671714</v>
      </c>
      <c r="AU96" s="29">
        <f t="shared" si="105"/>
        <v>28.47</v>
      </c>
      <c r="AV96" s="1">
        <f t="shared" si="97"/>
        <v>0.26</v>
      </c>
      <c r="BB96" s="2">
        <f t="shared" si="98"/>
        <v>0.0241666666666667</v>
      </c>
      <c r="BC96" s="1">
        <f t="shared" si="106"/>
        <v>20.7818129290316</v>
      </c>
      <c r="BE96" s="2">
        <f t="shared" si="99"/>
        <v>0.00416666666666667</v>
      </c>
      <c r="BF96" s="1">
        <f t="shared" si="107"/>
        <v>3.58307119466062</v>
      </c>
    </row>
    <row r="97" spans="1:58">
      <c r="A97" s="13"/>
      <c r="B97" s="13"/>
      <c r="C97" s="16">
        <v>7</v>
      </c>
      <c r="D97" s="19">
        <v>24.5753693980645</v>
      </c>
      <c r="E97" s="20">
        <f t="shared" si="100"/>
        <v>22.7104640336667</v>
      </c>
      <c r="F97" s="16" t="s">
        <v>110</v>
      </c>
      <c r="G97" s="13">
        <v>8</v>
      </c>
      <c r="H97" s="18">
        <f t="shared" si="87"/>
        <v>24.5753693980645</v>
      </c>
      <c r="I97" s="18">
        <f t="shared" si="88"/>
        <v>297.725369398064</v>
      </c>
      <c r="J97" s="18">
        <f t="shared" si="89"/>
        <v>0.330420117115311</v>
      </c>
      <c r="K97" s="18">
        <f t="shared" si="101"/>
        <v>28.47</v>
      </c>
      <c r="L97" s="18">
        <f t="shared" si="102"/>
        <v>0.2847</v>
      </c>
      <c r="M97" s="13" t="s">
        <v>110</v>
      </c>
      <c r="N97" s="13"/>
      <c r="O97" s="18">
        <f t="shared" si="103"/>
        <v>0.856765544126556</v>
      </c>
      <c r="P97" s="18">
        <f t="shared" si="90"/>
        <v>0.28309257143066</v>
      </c>
      <c r="Q97" s="24">
        <f t="shared" si="91"/>
        <v>0.0736040685719716</v>
      </c>
      <c r="R97" s="18">
        <f t="shared" si="92"/>
        <v>0.074022</v>
      </c>
      <c r="S97" s="25">
        <f t="shared" si="93"/>
        <v>0.994353956553074</v>
      </c>
      <c r="T97" s="3">
        <v>0.01</v>
      </c>
      <c r="U97" s="26">
        <f t="shared" si="94"/>
        <v>0.00994353956553074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95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96"/>
        <v>0.0075</v>
      </c>
      <c r="AT97" s="2">
        <f t="shared" si="104"/>
        <v>0.0198935395655307</v>
      </c>
      <c r="AU97" s="29">
        <f t="shared" si="105"/>
        <v>28.47</v>
      </c>
      <c r="AV97" s="1">
        <f t="shared" si="97"/>
        <v>0.26</v>
      </c>
      <c r="BB97" s="2">
        <f t="shared" si="98"/>
        <v>0.0241666666666667</v>
      </c>
      <c r="BC97" s="1">
        <f t="shared" si="106"/>
        <v>23.8431939587784</v>
      </c>
      <c r="BE97" s="2">
        <f t="shared" si="99"/>
        <v>0.00416666666666667</v>
      </c>
      <c r="BF97" s="1">
        <f t="shared" si="107"/>
        <v>4.1108955101342</v>
      </c>
    </row>
    <row r="98" spans="1:58">
      <c r="A98" s="13"/>
      <c r="B98" s="13"/>
      <c r="C98" s="16">
        <v>8</v>
      </c>
      <c r="D98" s="19">
        <v>24.0049141725806</v>
      </c>
      <c r="E98" s="20">
        <f t="shared" si="100"/>
        <v>24.5753693980645</v>
      </c>
      <c r="F98" s="16" t="s">
        <v>110</v>
      </c>
      <c r="G98" s="13">
        <v>9</v>
      </c>
      <c r="H98" s="18">
        <f t="shared" si="87"/>
        <v>24.0049141725806</v>
      </c>
      <c r="I98" s="18">
        <f t="shared" si="88"/>
        <v>297.154914172581</v>
      </c>
      <c r="J98" s="18">
        <f t="shared" si="89"/>
        <v>0.310313300030747</v>
      </c>
      <c r="K98" s="18">
        <f t="shared" si="101"/>
        <v>28.47</v>
      </c>
      <c r="L98" s="18">
        <f t="shared" si="102"/>
        <v>0.2847</v>
      </c>
      <c r="M98" s="13" t="s">
        <v>110</v>
      </c>
      <c r="N98" s="13"/>
      <c r="O98" s="18">
        <f t="shared" si="103"/>
        <v>0.858372972695896</v>
      </c>
      <c r="P98" s="18">
        <f t="shared" si="90"/>
        <v>0.266364549814466</v>
      </c>
      <c r="Q98" s="24">
        <f t="shared" si="91"/>
        <v>0.069254782951761</v>
      </c>
      <c r="R98" s="18">
        <f t="shared" si="92"/>
        <v>0.074022</v>
      </c>
      <c r="S98" s="25">
        <f t="shared" si="93"/>
        <v>0.935597294746981</v>
      </c>
      <c r="T98" s="3">
        <v>0.01</v>
      </c>
      <c r="U98" s="26">
        <f t="shared" si="94"/>
        <v>0.00935597294746981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95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96"/>
        <v>0.0075</v>
      </c>
      <c r="AT98" s="2">
        <f t="shared" si="104"/>
        <v>0.0193059729474698</v>
      </c>
      <c r="AU98" s="29">
        <f t="shared" si="105"/>
        <v>28.47</v>
      </c>
      <c r="AV98" s="1">
        <f t="shared" si="97"/>
        <v>0.26</v>
      </c>
      <c r="BB98" s="2">
        <f t="shared" si="98"/>
        <v>0.0241666666666667</v>
      </c>
      <c r="BC98" s="1">
        <f t="shared" si="106"/>
        <v>23.1389721287726</v>
      </c>
      <c r="BE98" s="2">
        <f t="shared" si="99"/>
        <v>0.00416666666666667</v>
      </c>
      <c r="BF98" s="1">
        <f t="shared" si="107"/>
        <v>3.98947795323666</v>
      </c>
    </row>
    <row r="99" spans="1:58">
      <c r="A99" s="13"/>
      <c r="B99" s="13"/>
      <c r="C99" s="16">
        <v>9</v>
      </c>
      <c r="D99" s="19">
        <v>18.3698675906667</v>
      </c>
      <c r="E99" s="20">
        <f t="shared" si="100"/>
        <v>24.0049141725806</v>
      </c>
      <c r="F99" s="16" t="s">
        <v>110</v>
      </c>
      <c r="G99" s="13">
        <v>10</v>
      </c>
      <c r="H99" s="18">
        <f t="shared" si="87"/>
        <v>18.3698675906667</v>
      </c>
      <c r="I99" s="18">
        <f t="shared" si="88"/>
        <v>291.519867590667</v>
      </c>
      <c r="J99" s="18">
        <f t="shared" si="89"/>
        <v>0.164713164036634</v>
      </c>
      <c r="K99" s="18">
        <f t="shared" si="101"/>
        <v>28.47</v>
      </c>
      <c r="L99" s="18">
        <f t="shared" si="102"/>
        <v>0.2847</v>
      </c>
      <c r="M99" s="13" t="s">
        <v>110</v>
      </c>
      <c r="N99" s="13"/>
      <c r="O99" s="18">
        <f t="shared" si="103"/>
        <v>0.87670842288143</v>
      </c>
      <c r="P99" s="18">
        <f t="shared" si="90"/>
        <v>0.144405418270368</v>
      </c>
      <c r="Q99" s="24">
        <f t="shared" si="91"/>
        <v>0.0375454087502957</v>
      </c>
      <c r="R99" s="18">
        <f t="shared" si="92"/>
        <v>0.074022</v>
      </c>
      <c r="S99" s="25">
        <f t="shared" si="93"/>
        <v>0.507219593503225</v>
      </c>
      <c r="T99" s="3">
        <v>0.01</v>
      </c>
      <c r="U99" s="26">
        <f t="shared" si="94"/>
        <v>0.00507219593503225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95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96"/>
        <v>0.005</v>
      </c>
      <c r="AT99" s="2">
        <f t="shared" si="104"/>
        <v>0.0105621959350322</v>
      </c>
      <c r="AU99" s="29">
        <f t="shared" si="105"/>
        <v>28.47</v>
      </c>
      <c r="AV99" s="1">
        <f t="shared" si="97"/>
        <v>0.26</v>
      </c>
      <c r="BB99" s="2">
        <f t="shared" si="98"/>
        <v>0.0241666666666667</v>
      </c>
      <c r="BC99" s="1">
        <f t="shared" si="106"/>
        <v>12.6592095629853</v>
      </c>
      <c r="BE99" s="2">
        <f t="shared" si="99"/>
        <v>0.00416666666666667</v>
      </c>
      <c r="BF99" s="1">
        <f t="shared" si="107"/>
        <v>2.18262233844574</v>
      </c>
    </row>
    <row r="100" spans="1:58">
      <c r="A100" s="13"/>
      <c r="B100" s="13"/>
      <c r="C100" s="16">
        <v>10</v>
      </c>
      <c r="D100" s="19">
        <v>10.0867692679677</v>
      </c>
      <c r="E100" s="20">
        <f t="shared" si="100"/>
        <v>18.3698675906667</v>
      </c>
      <c r="F100" s="16" t="s">
        <v>110</v>
      </c>
      <c r="G100" s="13">
        <v>11</v>
      </c>
      <c r="H100" s="18">
        <f t="shared" si="87"/>
        <v>10.0867692679677</v>
      </c>
      <c r="I100" s="18">
        <f t="shared" si="88"/>
        <v>283.236769267968</v>
      </c>
      <c r="J100" s="18">
        <f t="shared" si="89"/>
        <v>0.0620188879468226</v>
      </c>
      <c r="K100" s="18">
        <f t="shared" si="101"/>
        <v>28.47</v>
      </c>
      <c r="L100" s="18">
        <f t="shared" si="102"/>
        <v>0.2847</v>
      </c>
      <c r="M100" s="13" t="s">
        <v>112</v>
      </c>
      <c r="N100" s="18">
        <f>(O99-P99)*$C$22/100</f>
        <v>0.695687854380509</v>
      </c>
      <c r="O100" s="18">
        <f t="shared" si="103"/>
        <v>0.321315150230553</v>
      </c>
      <c r="P100" s="18">
        <f t="shared" si="90"/>
        <v>0.0199276082977651</v>
      </c>
      <c r="Q100" s="24">
        <f t="shared" si="91"/>
        <v>0.00518117815741893</v>
      </c>
      <c r="R100" s="18">
        <f t="shared" si="92"/>
        <v>0.074022</v>
      </c>
      <c r="S100" s="25">
        <f t="shared" si="93"/>
        <v>0.0699951116886727</v>
      </c>
      <c r="T100" s="3">
        <v>0.01</v>
      </c>
      <c r="U100" s="26">
        <f t="shared" si="94"/>
        <v>0.000699951116886727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95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96"/>
        <v>0.005</v>
      </c>
      <c r="AT100" s="2">
        <f t="shared" si="104"/>
        <v>0.00618995111688673</v>
      </c>
      <c r="AU100" s="29">
        <f t="shared" si="105"/>
        <v>28.47</v>
      </c>
      <c r="AV100" s="1">
        <f t="shared" si="97"/>
        <v>0.26</v>
      </c>
      <c r="BB100" s="2">
        <f t="shared" si="98"/>
        <v>0.0241666666666667</v>
      </c>
      <c r="BC100" s="1">
        <f t="shared" si="106"/>
        <v>7.41890122615542</v>
      </c>
      <c r="BE100" s="2">
        <f t="shared" si="99"/>
        <v>0.00416666666666667</v>
      </c>
      <c r="BF100" s="1">
        <f t="shared" si="107"/>
        <v>1.27912090106128</v>
      </c>
    </row>
    <row r="101" spans="1:59">
      <c r="A101" s="13"/>
      <c r="B101" s="13"/>
      <c r="C101" s="16">
        <v>11</v>
      </c>
      <c r="D101" s="19">
        <v>0.881895453866666</v>
      </c>
      <c r="E101" s="20">
        <f t="shared" si="100"/>
        <v>10.0867692679677</v>
      </c>
      <c r="F101" s="16" t="s">
        <v>112</v>
      </c>
      <c r="G101" s="13">
        <v>12</v>
      </c>
      <c r="H101" s="18">
        <f t="shared" si="87"/>
        <v>0.881895453866666</v>
      </c>
      <c r="I101" s="18">
        <f t="shared" si="88"/>
        <v>274.031895453867</v>
      </c>
      <c r="J101" s="18">
        <f t="shared" si="89"/>
        <v>0.0195446693125814</v>
      </c>
      <c r="K101" s="18">
        <f t="shared" si="101"/>
        <v>28.47</v>
      </c>
      <c r="L101" s="18">
        <f t="shared" si="102"/>
        <v>0.2847</v>
      </c>
      <c r="M101" s="13" t="s">
        <v>110</v>
      </c>
      <c r="N101" s="13"/>
      <c r="O101" s="18">
        <f t="shared" si="103"/>
        <v>0.586087541932788</v>
      </c>
      <c r="P101" s="18">
        <f t="shared" si="90"/>
        <v>0.0114548871953</v>
      </c>
      <c r="Q101" s="24">
        <f t="shared" si="91"/>
        <v>0.002978270670778</v>
      </c>
      <c r="R101" s="18">
        <f t="shared" si="92"/>
        <v>0.074022</v>
      </c>
      <c r="S101" s="25">
        <f t="shared" si="93"/>
        <v>0.0402349392177731</v>
      </c>
      <c r="T101" s="3">
        <v>0.01</v>
      </c>
      <c r="U101" s="26">
        <f t="shared" si="94"/>
        <v>0.000402349392177731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95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96"/>
        <v>0.005</v>
      </c>
      <c r="AT101" s="2">
        <f t="shared" si="104"/>
        <v>0.00589234939217773</v>
      </c>
      <c r="AU101" s="29">
        <f t="shared" si="105"/>
        <v>28.47</v>
      </c>
      <c r="AV101" s="1">
        <f t="shared" si="97"/>
        <v>0.26</v>
      </c>
      <c r="BB101" s="2">
        <f t="shared" si="98"/>
        <v>0.0241666666666667</v>
      </c>
      <c r="BC101" s="1">
        <f t="shared" si="106"/>
        <v>7.06221378894347</v>
      </c>
      <c r="BD101" s="1">
        <f>SUM(BC90:BC101)</f>
        <v>152.795216686331</v>
      </c>
      <c r="BE101" s="2">
        <f t="shared" si="99"/>
        <v>0.00416666666666667</v>
      </c>
      <c r="BF101" s="1">
        <f t="shared" si="107"/>
        <v>1.21762306705922</v>
      </c>
      <c r="BG101" s="1">
        <f>SUM(BF90:BF101)</f>
        <v>26.3440028769537</v>
      </c>
    </row>
    <row r="102" spans="1:19">
      <c r="A102" s="13"/>
      <c r="B102" s="13"/>
      <c r="C102" s="16">
        <v>12</v>
      </c>
      <c r="D102" s="19">
        <v>-3.07955829712903</v>
      </c>
      <c r="E102" s="20">
        <f t="shared" si="100"/>
        <v>0.881895453866666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pane xSplit="4" topLeftCell="E1" activePane="topRight" state="frozen"/>
      <selection/>
      <selection pane="topRight" activeCell="H9" sqref="H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41</v>
      </c>
      <c r="B2" s="5" t="s">
        <v>42</v>
      </c>
      <c r="C2" s="3"/>
      <c r="D2" s="3"/>
      <c r="E2" s="7">
        <v>49.96</v>
      </c>
      <c r="F2" s="3">
        <v>1192.09</v>
      </c>
      <c r="G2" s="21">
        <f>(F2+F3+F4)/3</f>
        <v>1338.18733333333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43</v>
      </c>
      <c r="C3" s="3"/>
      <c r="D3" s="3"/>
      <c r="E3" s="9"/>
      <c r="F3" s="3">
        <v>1166.832</v>
      </c>
      <c r="G3" s="21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44</v>
      </c>
      <c r="C4" s="3"/>
      <c r="D4" s="3"/>
      <c r="E4" s="11"/>
      <c r="F4" s="3">
        <v>1655.64</v>
      </c>
      <c r="G4" s="21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 t="s">
        <v>45</v>
      </c>
      <c r="B5" s="5" t="s">
        <v>46</v>
      </c>
      <c r="C5" s="3"/>
      <c r="D5" s="3"/>
      <c r="E5" s="6">
        <v>91.2082191780822</v>
      </c>
      <c r="F5" s="3">
        <v>93.9145</v>
      </c>
      <c r="G5" s="21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47</v>
      </c>
      <c r="C6" s="3"/>
      <c r="D6" s="3"/>
      <c r="E6" s="10"/>
      <c r="F6" s="3">
        <v>91.104</v>
      </c>
      <c r="G6" s="21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48</v>
      </c>
      <c r="B7" s="5"/>
      <c r="C7" s="3"/>
      <c r="D7" s="3"/>
      <c r="E7" s="12">
        <v>411.356383561644</v>
      </c>
      <c r="F7" s="3">
        <v>134.758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49</v>
      </c>
      <c r="B8" s="5"/>
      <c r="C8" s="3"/>
      <c r="D8" s="3"/>
      <c r="E8" s="3">
        <v>0.04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50</v>
      </c>
      <c r="B9" s="5"/>
      <c r="C9" s="3"/>
      <c r="D9" s="3"/>
      <c r="E9" s="3">
        <v>0.71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51</v>
      </c>
      <c r="B10" s="5"/>
      <c r="C10" s="3"/>
      <c r="D10" s="3"/>
      <c r="E10" s="3">
        <v>0.03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52</v>
      </c>
      <c r="B11" s="5"/>
      <c r="C11" s="3"/>
      <c r="D11" s="3"/>
      <c r="E11" s="3">
        <v>0</v>
      </c>
      <c r="F11" s="3">
        <v>910.8575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AV38+AV53+AG69+AY85+AY101+BB101</f>
        <v>12525330.4365737</v>
      </c>
      <c r="J14" s="14" t="s">
        <v>35</v>
      </c>
      <c r="K14" s="14">
        <f>I14/(10000*1000)</f>
        <v>1.25253304365737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14">
        <v>8982854.14383561</v>
      </c>
      <c r="J15" s="14" t="s">
        <v>35</v>
      </c>
      <c r="K15" s="14">
        <f>I15/(10000*1000)</f>
        <v>0.898285414383561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-3</v>
      </c>
      <c r="E27" s="16"/>
      <c r="F27" s="16"/>
      <c r="G27" s="13">
        <v>1</v>
      </c>
      <c r="H27" s="18">
        <f t="shared" ref="H27:H38" si="0">E28</f>
        <v>-3</v>
      </c>
      <c r="I27" s="18">
        <f t="shared" ref="I27:I38" si="1">H27+273.15</f>
        <v>270.15</v>
      </c>
      <c r="J27" s="18">
        <f t="shared" ref="J27:J38" si="2">EXP(($C$16*(I27-$C$14))/($C$17*I27*$C$14))</f>
        <v>0.0117298241675131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0.013080585102661</v>
      </c>
      <c r="Q27" s="24">
        <f t="shared" ref="Q27:Q38" si="6">P27*$B$29</f>
        <v>0.00170047606334593</v>
      </c>
      <c r="R27" s="18">
        <f t="shared" ref="R27:R38" si="7">L27*$B$29</f>
        <v>0.144970294444444</v>
      </c>
      <c r="S27" s="25">
        <f t="shared" ref="S27:S38" si="8">Q27/R27</f>
        <v>0.0117298241675131</v>
      </c>
      <c r="T27" s="3">
        <v>0.01</v>
      </c>
      <c r="U27" s="26">
        <f t="shared" ref="U27:U38" si="9">S27*T27</f>
        <v>0.000117298241675131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0.0220172982416751</v>
      </c>
      <c r="AR27" s="29">
        <f t="shared" ref="AR27:AR38" si="15">$B$27/12</f>
        <v>111.515611111111</v>
      </c>
      <c r="AS27" s="1">
        <f t="shared" ref="AS27:AS38" si="16">$B$29</f>
        <v>0.13</v>
      </c>
      <c r="AT27" s="2">
        <f>$E$2/12</f>
        <v>4.16333333333333</v>
      </c>
      <c r="AU27" s="1">
        <f t="shared" ref="AU27:AU38" si="17">AT27*10000*AS27*0.67*AR27*AQ27</f>
        <v>8903.46452563227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-4.81975286329032</v>
      </c>
      <c r="E28" s="20">
        <f t="shared" ref="E28:E39" si="18">D27</f>
        <v>-3</v>
      </c>
      <c r="F28" s="16" t="s">
        <v>110</v>
      </c>
      <c r="G28" s="13">
        <v>2</v>
      </c>
      <c r="H28" s="18">
        <f t="shared" si="0"/>
        <v>-4.81975286329032</v>
      </c>
      <c r="I28" s="18">
        <f t="shared" si="1"/>
        <v>268.33024713671</v>
      </c>
      <c r="J28" s="18">
        <f t="shared" si="2"/>
        <v>0.0091862260935558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2.21723163711956</v>
      </c>
      <c r="P28" s="18">
        <f t="shared" si="5"/>
        <v>0.0203679911203652</v>
      </c>
      <c r="Q28" s="24">
        <f t="shared" si="6"/>
        <v>0.00264783884564747</v>
      </c>
      <c r="R28" s="18">
        <f t="shared" si="7"/>
        <v>0.144970294444444</v>
      </c>
      <c r="S28" s="25">
        <f t="shared" si="8"/>
        <v>0.0182646993702712</v>
      </c>
      <c r="T28" s="3">
        <v>0.01</v>
      </c>
      <c r="U28" s="26">
        <f t="shared" si="9"/>
        <v>0.000182646993702712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0.0220826469937027</v>
      </c>
      <c r="AR28" s="29">
        <f t="shared" si="15"/>
        <v>111.515611111111</v>
      </c>
      <c r="AS28" s="1">
        <f t="shared" si="16"/>
        <v>0.13</v>
      </c>
      <c r="AT28" s="2">
        <f t="shared" ref="AT28:AT38" si="20">$E$2/12</f>
        <v>4.16333333333333</v>
      </c>
      <c r="AU28" s="1">
        <f t="shared" si="17"/>
        <v>8929.89057886938</v>
      </c>
    </row>
    <row r="29" s="1" customFormat="1" spans="1:47">
      <c r="A29" s="13" t="s">
        <v>73</v>
      </c>
      <c r="B29" s="13">
        <v>0.13</v>
      </c>
      <c r="C29" s="16">
        <v>2</v>
      </c>
      <c r="D29" s="19">
        <v>0.606586349586207</v>
      </c>
      <c r="E29" s="20">
        <f t="shared" si="18"/>
        <v>-4.81975286329032</v>
      </c>
      <c r="F29" s="16" t="s">
        <v>110</v>
      </c>
      <c r="G29" s="13">
        <v>3</v>
      </c>
      <c r="H29" s="18">
        <f t="shared" si="0"/>
        <v>0.606586349586207</v>
      </c>
      <c r="I29" s="18">
        <f t="shared" si="1"/>
        <v>273.756586349586</v>
      </c>
      <c r="J29" s="18">
        <f t="shared" si="2"/>
        <v>0.0188586083073694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3.31201975711031</v>
      </c>
      <c r="P29" s="18">
        <f t="shared" si="5"/>
        <v>0.062460083305612</v>
      </c>
      <c r="Q29" s="24">
        <f t="shared" si="6"/>
        <v>0.00811981082972956</v>
      </c>
      <c r="R29" s="18">
        <f t="shared" si="7"/>
        <v>0.144970294444444</v>
      </c>
      <c r="S29" s="25">
        <f t="shared" si="8"/>
        <v>0.056010169951343</v>
      </c>
      <c r="T29" s="3">
        <v>0.01</v>
      </c>
      <c r="U29" s="26">
        <f t="shared" si="9"/>
        <v>0.00056010169951343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0.0224601016995134</v>
      </c>
      <c r="AR29" s="29">
        <f t="shared" si="15"/>
        <v>111.515611111111</v>
      </c>
      <c r="AS29" s="1">
        <f t="shared" si="16"/>
        <v>0.13</v>
      </c>
      <c r="AT29" s="2">
        <f t="shared" si="20"/>
        <v>4.16333333333333</v>
      </c>
      <c r="AU29" s="1">
        <f t="shared" si="17"/>
        <v>9082.52758938403</v>
      </c>
    </row>
    <row r="30" s="1" customFormat="1" spans="1:47">
      <c r="A30" s="13"/>
      <c r="B30" s="13"/>
      <c r="C30" s="16">
        <v>3</v>
      </c>
      <c r="D30" s="19">
        <v>9.09830243264516</v>
      </c>
      <c r="E30" s="20">
        <f t="shared" si="18"/>
        <v>0.606586349586207</v>
      </c>
      <c r="F30" s="16" t="s">
        <v>110</v>
      </c>
      <c r="G30" s="13">
        <v>4</v>
      </c>
      <c r="H30" s="18">
        <f t="shared" si="0"/>
        <v>9.09830243264516</v>
      </c>
      <c r="I30" s="18">
        <f t="shared" si="1"/>
        <v>282.248302432645</v>
      </c>
      <c r="J30" s="18">
        <f t="shared" si="2"/>
        <v>0.0549842722931842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4.36471578491581</v>
      </c>
      <c r="P30" s="18">
        <f t="shared" si="5"/>
        <v>0.23999072120017</v>
      </c>
      <c r="Q30" s="24">
        <f t="shared" si="6"/>
        <v>0.0311987937560221</v>
      </c>
      <c r="R30" s="18">
        <f t="shared" si="7"/>
        <v>0.144970294444444</v>
      </c>
      <c r="S30" s="25">
        <f t="shared" si="8"/>
        <v>0.215208183687439</v>
      </c>
      <c r="T30" s="3">
        <v>0.01</v>
      </c>
      <c r="U30" s="26">
        <f t="shared" si="9"/>
        <v>0.00215208183687439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0.0240520818368744</v>
      </c>
      <c r="AR30" s="29">
        <f t="shared" si="15"/>
        <v>111.515611111111</v>
      </c>
      <c r="AS30" s="1">
        <f t="shared" si="16"/>
        <v>0.13</v>
      </c>
      <c r="AT30" s="2">
        <f t="shared" si="20"/>
        <v>4.16333333333333</v>
      </c>
      <c r="AU30" s="1">
        <f t="shared" si="17"/>
        <v>9726.30043212434</v>
      </c>
    </row>
    <row r="31" s="1" customFormat="1" spans="1:47">
      <c r="A31" s="13"/>
      <c r="B31" s="13"/>
      <c r="C31" s="16">
        <v>4</v>
      </c>
      <c r="D31" s="19">
        <v>16.942681829</v>
      </c>
      <c r="E31" s="20">
        <f t="shared" si="18"/>
        <v>9.09830243264516</v>
      </c>
      <c r="F31" s="16" t="s">
        <v>110</v>
      </c>
      <c r="G31" s="13">
        <v>5</v>
      </c>
      <c r="H31" s="18">
        <f t="shared" si="0"/>
        <v>16.942681829</v>
      </c>
      <c r="I31" s="18">
        <f t="shared" si="1"/>
        <v>290.092681829</v>
      </c>
      <c r="J31" s="18">
        <f t="shared" si="2"/>
        <v>0.139754207154712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3.91848881052985</v>
      </c>
      <c r="O31" s="18">
        <f t="shared" si="19"/>
        <v>1.32139236429689</v>
      </c>
      <c r="P31" s="18">
        <f t="shared" si="5"/>
        <v>0.184670142212603</v>
      </c>
      <c r="Q31" s="24">
        <f t="shared" si="6"/>
        <v>0.0240071184876383</v>
      </c>
      <c r="R31" s="18">
        <f t="shared" si="7"/>
        <v>0.144970294444444</v>
      </c>
      <c r="S31" s="25">
        <f t="shared" si="8"/>
        <v>0.165600260243924</v>
      </c>
      <c r="T31" s="3">
        <v>0.01</v>
      </c>
      <c r="U31" s="26">
        <f t="shared" si="9"/>
        <v>0.00165600260243924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0.0311060026024392</v>
      </c>
      <c r="AR31" s="29">
        <f t="shared" si="15"/>
        <v>111.515611111111</v>
      </c>
      <c r="AS31" s="1">
        <f t="shared" si="16"/>
        <v>0.13</v>
      </c>
      <c r="AT31" s="2">
        <f t="shared" si="20"/>
        <v>4.16333333333333</v>
      </c>
      <c r="AU31" s="1">
        <f t="shared" si="17"/>
        <v>12578.7999810449</v>
      </c>
    </row>
    <row r="32" s="1" customFormat="1" spans="1:47">
      <c r="A32" s="13"/>
      <c r="B32" s="13"/>
      <c r="C32" s="16">
        <v>5</v>
      </c>
      <c r="D32" s="19">
        <v>21.4575999906452</v>
      </c>
      <c r="E32" s="20">
        <f t="shared" si="18"/>
        <v>16.942681829</v>
      </c>
      <c r="F32" s="16" t="s">
        <v>112</v>
      </c>
      <c r="G32" s="13">
        <v>6</v>
      </c>
      <c r="H32" s="18">
        <f t="shared" si="0"/>
        <v>21.4575999906452</v>
      </c>
      <c r="I32" s="18">
        <f t="shared" si="1"/>
        <v>294.607599990645</v>
      </c>
      <c r="J32" s="18">
        <f t="shared" si="2"/>
        <v>0.233753286467252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2.2518783331954</v>
      </c>
      <c r="P32" s="18">
        <f t="shared" si="5"/>
        <v>0.526383961108823</v>
      </c>
      <c r="Q32" s="24">
        <f t="shared" si="6"/>
        <v>0.0684299149441469</v>
      </c>
      <c r="R32" s="18">
        <f t="shared" si="7"/>
        <v>0.144970294444444</v>
      </c>
      <c r="S32" s="25">
        <f t="shared" si="8"/>
        <v>0.472027150157791</v>
      </c>
      <c r="T32" s="3">
        <v>0.01</v>
      </c>
      <c r="U32" s="26">
        <f t="shared" si="9"/>
        <v>0.00472027150157791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0.0341702715015779</v>
      </c>
      <c r="AR32" s="29">
        <f t="shared" si="15"/>
        <v>111.515611111111</v>
      </c>
      <c r="AS32" s="1">
        <f t="shared" si="16"/>
        <v>0.13</v>
      </c>
      <c r="AT32" s="2">
        <f t="shared" si="20"/>
        <v>4.16333333333333</v>
      </c>
      <c r="AU32" s="1">
        <f t="shared" si="17"/>
        <v>13817.9442730016</v>
      </c>
    </row>
    <row r="33" s="1" customFormat="1" spans="1:47">
      <c r="A33" s="13"/>
      <c r="B33" s="13"/>
      <c r="C33" s="16">
        <v>6</v>
      </c>
      <c r="D33" s="19">
        <v>25.6240812193333</v>
      </c>
      <c r="E33" s="20">
        <f t="shared" si="18"/>
        <v>21.4575999906452</v>
      </c>
      <c r="F33" s="16" t="s">
        <v>110</v>
      </c>
      <c r="G33" s="13">
        <v>7</v>
      </c>
      <c r="H33" s="18">
        <f t="shared" si="0"/>
        <v>25.6240812193333</v>
      </c>
      <c r="I33" s="18">
        <f t="shared" si="1"/>
        <v>298.774081219333</v>
      </c>
      <c r="J33" s="18">
        <f t="shared" si="2"/>
        <v>0.370612608386315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2.84065048319769</v>
      </c>
      <c r="P33" s="18">
        <f t="shared" si="5"/>
        <v>1.05278088509174</v>
      </c>
      <c r="Q33" s="24">
        <f t="shared" si="6"/>
        <v>0.136861515061926</v>
      </c>
      <c r="R33" s="18">
        <f t="shared" si="7"/>
        <v>0.144970294444444</v>
      </c>
      <c r="S33" s="25">
        <f t="shared" si="8"/>
        <v>0.944065924584119</v>
      </c>
      <c r="T33" s="3">
        <v>0.01</v>
      </c>
      <c r="U33" s="26">
        <f t="shared" si="9"/>
        <v>0.00944065924584119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0.0388906592458412</v>
      </c>
      <c r="AR33" s="29">
        <f t="shared" si="15"/>
        <v>111.515611111111</v>
      </c>
      <c r="AS33" s="1">
        <f t="shared" si="16"/>
        <v>0.13</v>
      </c>
      <c r="AT33" s="2">
        <f t="shared" si="20"/>
        <v>4.16333333333333</v>
      </c>
      <c r="AU33" s="1">
        <f t="shared" si="17"/>
        <v>15726.7981372203</v>
      </c>
    </row>
    <row r="34" s="1" customFormat="1" spans="1:47">
      <c r="A34" s="13"/>
      <c r="B34" s="13"/>
      <c r="C34" s="16">
        <v>7</v>
      </c>
      <c r="D34" s="19">
        <v>27.5375997558065</v>
      </c>
      <c r="E34" s="20">
        <f t="shared" si="18"/>
        <v>25.6240812193333</v>
      </c>
      <c r="F34" s="16" t="s">
        <v>110</v>
      </c>
      <c r="G34" s="13">
        <v>8</v>
      </c>
      <c r="H34" s="18">
        <f t="shared" si="0"/>
        <v>27.5375997558065</v>
      </c>
      <c r="I34" s="18">
        <f t="shared" si="1"/>
        <v>300.687599755807</v>
      </c>
      <c r="J34" s="18">
        <f t="shared" si="2"/>
        <v>0.456025340849576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2.90302570921706</v>
      </c>
      <c r="P34" s="18">
        <f t="shared" si="5"/>
        <v>1.32385328854079</v>
      </c>
      <c r="Q34" s="24">
        <f t="shared" si="6"/>
        <v>0.172100927510303</v>
      </c>
      <c r="R34" s="18">
        <f t="shared" si="7"/>
        <v>0.144970294444444</v>
      </c>
      <c r="S34" s="25">
        <f t="shared" si="8"/>
        <v>1.18714615411267</v>
      </c>
      <c r="T34" s="3">
        <v>0.01</v>
      </c>
      <c r="U34" s="26">
        <f t="shared" si="9"/>
        <v>0.0118714615411267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0.0413214615411266</v>
      </c>
      <c r="AR34" s="29">
        <f t="shared" si="15"/>
        <v>111.515611111111</v>
      </c>
      <c r="AS34" s="1">
        <f t="shared" si="16"/>
        <v>0.13</v>
      </c>
      <c r="AT34" s="2">
        <f t="shared" si="20"/>
        <v>4.16333333333333</v>
      </c>
      <c r="AU34" s="1">
        <f t="shared" si="17"/>
        <v>16709.7780545261</v>
      </c>
    </row>
    <row r="35" s="1" customFormat="1" spans="1:47">
      <c r="A35" s="13"/>
      <c r="B35" s="13"/>
      <c r="C35" s="16">
        <v>8</v>
      </c>
      <c r="D35" s="19">
        <v>26.4833639674194</v>
      </c>
      <c r="E35" s="20">
        <f t="shared" si="18"/>
        <v>27.5375997558065</v>
      </c>
      <c r="F35" s="16" t="s">
        <v>110</v>
      </c>
      <c r="G35" s="13">
        <v>9</v>
      </c>
      <c r="H35" s="18">
        <f t="shared" si="0"/>
        <v>26.4833639674194</v>
      </c>
      <c r="I35" s="18">
        <f t="shared" si="1"/>
        <v>299.633363967419</v>
      </c>
      <c r="J35" s="18">
        <f t="shared" si="2"/>
        <v>0.406919682810868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2.69432853178738</v>
      </c>
      <c r="P35" s="18">
        <f t="shared" si="5"/>
        <v>1.09637531154319</v>
      </c>
      <c r="Q35" s="24">
        <f t="shared" si="6"/>
        <v>0.142528790500615</v>
      </c>
      <c r="R35" s="18">
        <f t="shared" si="7"/>
        <v>0.144970294444444</v>
      </c>
      <c r="S35" s="25">
        <f t="shared" si="8"/>
        <v>0.983158591536384</v>
      </c>
      <c r="T35" s="3">
        <v>0.01</v>
      </c>
      <c r="U35" s="26">
        <f t="shared" si="9"/>
        <v>0.00983158591536384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0.0392815859153638</v>
      </c>
      <c r="AR35" s="29">
        <f t="shared" si="15"/>
        <v>111.515611111111</v>
      </c>
      <c r="AS35" s="1">
        <f t="shared" si="16"/>
        <v>0.13</v>
      </c>
      <c r="AT35" s="2">
        <f t="shared" si="20"/>
        <v>4.16333333333333</v>
      </c>
      <c r="AU35" s="1">
        <f t="shared" si="17"/>
        <v>15884.8830073989</v>
      </c>
    </row>
    <row r="36" s="1" customFormat="1" spans="1:47">
      <c r="A36" s="13"/>
      <c r="B36" s="13"/>
      <c r="C36" s="16">
        <v>9</v>
      </c>
      <c r="D36" s="19">
        <v>21.832341922</v>
      </c>
      <c r="E36" s="20">
        <f t="shared" si="18"/>
        <v>26.4833639674194</v>
      </c>
      <c r="F36" s="16" t="s">
        <v>110</v>
      </c>
      <c r="G36" s="13">
        <v>10</v>
      </c>
      <c r="H36" s="18">
        <f t="shared" si="0"/>
        <v>21.832341922</v>
      </c>
      <c r="I36" s="18">
        <f t="shared" si="1"/>
        <v>294.982341922</v>
      </c>
      <c r="J36" s="18">
        <f t="shared" si="2"/>
        <v>0.243776683521301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2.7131093313553</v>
      </c>
      <c r="P36" s="18">
        <f t="shared" si="5"/>
        <v>0.661392794828489</v>
      </c>
      <c r="Q36" s="24">
        <f t="shared" si="6"/>
        <v>0.0859810633277036</v>
      </c>
      <c r="R36" s="18">
        <f t="shared" si="7"/>
        <v>0.144970294444444</v>
      </c>
      <c r="S36" s="25">
        <f t="shared" si="8"/>
        <v>0.593094355345007</v>
      </c>
      <c r="T36" s="3">
        <v>0.01</v>
      </c>
      <c r="U36" s="26">
        <f t="shared" si="9"/>
        <v>0.00593094355345007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0.0278309435534501</v>
      </c>
      <c r="AR36" s="29">
        <f t="shared" si="15"/>
        <v>111.515611111111</v>
      </c>
      <c r="AS36" s="1">
        <f t="shared" si="16"/>
        <v>0.13</v>
      </c>
      <c r="AT36" s="2">
        <f t="shared" si="20"/>
        <v>4.16333333333333</v>
      </c>
      <c r="AU36" s="1">
        <f t="shared" si="17"/>
        <v>11254.4153203133</v>
      </c>
    </row>
    <row r="37" s="1" customFormat="1" spans="1:47">
      <c r="A37" s="13"/>
      <c r="B37" s="13"/>
      <c r="C37" s="16">
        <v>10</v>
      </c>
      <c r="D37" s="19">
        <v>13.5949064161613</v>
      </c>
      <c r="E37" s="20">
        <f t="shared" si="18"/>
        <v>21.832341922</v>
      </c>
      <c r="F37" s="16" t="s">
        <v>110</v>
      </c>
      <c r="G37" s="13">
        <v>11</v>
      </c>
      <c r="H37" s="18">
        <f t="shared" si="0"/>
        <v>13.5949064161613</v>
      </c>
      <c r="I37" s="18">
        <f t="shared" si="1"/>
        <v>286.744906416161</v>
      </c>
      <c r="J37" s="18">
        <f t="shared" si="2"/>
        <v>0.0944449761369923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1.94913070970047</v>
      </c>
      <c r="O37" s="18">
        <f t="shared" si="19"/>
        <v>1.21774193793745</v>
      </c>
      <c r="P37" s="18">
        <f t="shared" si="5"/>
        <v>0.115009608269517</v>
      </c>
      <c r="Q37" s="24">
        <f t="shared" si="6"/>
        <v>0.0149512490750373</v>
      </c>
      <c r="R37" s="18">
        <f t="shared" si="7"/>
        <v>0.144970294444444</v>
      </c>
      <c r="S37" s="25">
        <f t="shared" si="8"/>
        <v>0.10313319106051</v>
      </c>
      <c r="T37" s="3">
        <v>0.01</v>
      </c>
      <c r="U37" s="26">
        <f t="shared" si="9"/>
        <v>0.0010313319106051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0.0229313319106051</v>
      </c>
      <c r="AR37" s="29">
        <f t="shared" si="15"/>
        <v>111.515611111111</v>
      </c>
      <c r="AS37" s="1">
        <f t="shared" si="16"/>
        <v>0.13</v>
      </c>
      <c r="AT37" s="2">
        <f t="shared" si="20"/>
        <v>4.16333333333333</v>
      </c>
      <c r="AU37" s="1">
        <f t="shared" si="17"/>
        <v>9273.08600494472</v>
      </c>
    </row>
    <row r="38" s="1" customFormat="1" spans="1:48">
      <c r="A38" s="13"/>
      <c r="B38" s="13"/>
      <c r="C38" s="16">
        <v>11</v>
      </c>
      <c r="D38" s="19">
        <v>4.39721156883333</v>
      </c>
      <c r="E38" s="20">
        <f t="shared" si="18"/>
        <v>13.5949064161613</v>
      </c>
      <c r="F38" s="16" t="s">
        <v>112</v>
      </c>
      <c r="G38" s="13">
        <v>12</v>
      </c>
      <c r="H38" s="18">
        <f t="shared" si="0"/>
        <v>4.39721156883333</v>
      </c>
      <c r="I38" s="18">
        <f t="shared" si="1"/>
        <v>277.547211568833</v>
      </c>
      <c r="J38" s="18">
        <f t="shared" si="2"/>
        <v>0.0306530848783905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2.21788844077904</v>
      </c>
      <c r="P38" s="18">
        <f t="shared" si="5"/>
        <v>0.0679851226260012</v>
      </c>
      <c r="Q38" s="24">
        <f t="shared" si="6"/>
        <v>0.00883806594138016</v>
      </c>
      <c r="R38" s="18">
        <f t="shared" si="7"/>
        <v>0.144970294444444</v>
      </c>
      <c r="S38" s="25">
        <f t="shared" si="8"/>
        <v>0.0609646684877714</v>
      </c>
      <c r="T38" s="3">
        <v>0.01</v>
      </c>
      <c r="U38" s="26">
        <f t="shared" si="9"/>
        <v>0.000609646684877714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0.0225096466848777</v>
      </c>
      <c r="AR38" s="29">
        <f t="shared" si="15"/>
        <v>111.515611111111</v>
      </c>
      <c r="AS38" s="1">
        <f t="shared" si="16"/>
        <v>0.13</v>
      </c>
      <c r="AT38" s="2">
        <f t="shared" si="20"/>
        <v>4.16333333333333</v>
      </c>
      <c r="AU38" s="1">
        <f t="shared" si="17"/>
        <v>9102.56283688678</v>
      </c>
      <c r="AV38" s="1">
        <f>SUM(AU27:AU38)</f>
        <v>140990.450741347</v>
      </c>
    </row>
    <row r="39" s="1" customFormat="1" spans="1:46">
      <c r="A39" s="13"/>
      <c r="B39" s="13"/>
      <c r="C39" s="16">
        <v>12</v>
      </c>
      <c r="D39" s="19">
        <v>-0.746535495709677</v>
      </c>
      <c r="E39" s="20">
        <f t="shared" si="18"/>
        <v>4.39721156883333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-3</v>
      </c>
      <c r="E42" s="16"/>
      <c r="F42" s="16"/>
      <c r="G42" s="13">
        <v>1</v>
      </c>
      <c r="H42" s="18">
        <f t="shared" ref="H42:H53" si="21">E43</f>
        <v>-3</v>
      </c>
      <c r="I42" s="18">
        <f t="shared" ref="I42:I53" si="22">H42+273.15</f>
        <v>270.15</v>
      </c>
      <c r="J42" s="18">
        <f t="shared" ref="J42:J53" si="23">EXP(($C$16*(I42-$C$14))/($C$17*I42*$C$14))</f>
        <v>0.0117298241675131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0.000904264363640426</v>
      </c>
      <c r="Q42" s="24">
        <f t="shared" ref="Q42:Q53" si="27">P42*$B$44</f>
        <v>0.000117554367273255</v>
      </c>
      <c r="R42" s="18">
        <f t="shared" ref="R42:R53" si="28">L42*$B$44</f>
        <v>0.0100218354166667</v>
      </c>
      <c r="S42" s="25">
        <f t="shared" ref="S42:S53" si="29">Q42/R42</f>
        <v>0.0117298241675131</v>
      </c>
      <c r="T42" s="3">
        <v>0.01</v>
      </c>
      <c r="U42" s="26">
        <f t="shared" ref="U42:U53" si="30">S42*T42</f>
        <v>0.000117298241675131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0.0149172982416751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>$E$5/12</f>
        <v>7.60068493150685</v>
      </c>
      <c r="AU42" s="1">
        <f t="shared" ref="AU42:AU53" si="36">AT42*10000*AS42*0.67*AR42*AQ42</f>
        <v>761.316025889627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-4.81975286329032</v>
      </c>
      <c r="E43" s="20">
        <f t="shared" ref="E43:E54" si="37">D42</f>
        <v>-3</v>
      </c>
      <c r="F43" s="16" t="s">
        <v>110</v>
      </c>
      <c r="G43" s="13">
        <v>2</v>
      </c>
      <c r="H43" s="18">
        <f t="shared" si="21"/>
        <v>-4.81975286329032</v>
      </c>
      <c r="I43" s="18">
        <f t="shared" si="22"/>
        <v>268.33024713671</v>
      </c>
      <c r="J43" s="18">
        <f t="shared" si="23"/>
        <v>0.0091862260935558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0.153277818969693</v>
      </c>
      <c r="P43" s="18">
        <f t="shared" si="26"/>
        <v>0.00140804470018272</v>
      </c>
      <c r="Q43" s="24">
        <f t="shared" si="27"/>
        <v>0.000183045811023753</v>
      </c>
      <c r="R43" s="18">
        <f t="shared" si="28"/>
        <v>0.0100218354166667</v>
      </c>
      <c r="S43" s="25">
        <f t="shared" si="29"/>
        <v>0.0182646993702712</v>
      </c>
      <c r="T43" s="3">
        <v>0.01</v>
      </c>
      <c r="U43" s="26">
        <f t="shared" si="30"/>
        <v>0.000182646993702712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0.0149826469937027</v>
      </c>
      <c r="AR43" s="29">
        <f t="shared" si="34"/>
        <v>7.70910416666667</v>
      </c>
      <c r="AS43" s="1">
        <f t="shared" si="35"/>
        <v>0.13</v>
      </c>
      <c r="AT43" s="2">
        <f t="shared" ref="AT43:AT53" si="39">$E$5/12</f>
        <v>7.60068493150685</v>
      </c>
      <c r="AU43" s="1">
        <f t="shared" si="36"/>
        <v>764.651150748329</v>
      </c>
    </row>
    <row r="44" s="1" customFormat="1" spans="1:47">
      <c r="A44" s="13" t="s">
        <v>73</v>
      </c>
      <c r="B44" s="13">
        <v>0.13</v>
      </c>
      <c r="C44" s="16">
        <v>2</v>
      </c>
      <c r="D44" s="19">
        <v>0.606586349586207</v>
      </c>
      <c r="E44" s="20">
        <f t="shared" si="37"/>
        <v>-4.81975286329032</v>
      </c>
      <c r="F44" s="16" t="s">
        <v>110</v>
      </c>
      <c r="G44" s="13">
        <v>3</v>
      </c>
      <c r="H44" s="18">
        <f t="shared" si="21"/>
        <v>0.606586349586207</v>
      </c>
      <c r="I44" s="18">
        <f t="shared" si="22"/>
        <v>273.756586349586</v>
      </c>
      <c r="J44" s="18">
        <f t="shared" si="23"/>
        <v>0.0188586083073694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0.228960815936177</v>
      </c>
      <c r="P44" s="18">
        <f t="shared" si="26"/>
        <v>0.00431788234547606</v>
      </c>
      <c r="Q44" s="24">
        <f t="shared" si="27"/>
        <v>0.000561324704911888</v>
      </c>
      <c r="R44" s="18">
        <f t="shared" si="28"/>
        <v>0.0100218354166667</v>
      </c>
      <c r="S44" s="25">
        <f t="shared" si="29"/>
        <v>0.0560101699513429</v>
      </c>
      <c r="T44" s="3">
        <v>0.01</v>
      </c>
      <c r="U44" s="26">
        <f t="shared" si="30"/>
        <v>0.00056010169951343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0.0153601016995134</v>
      </c>
      <c r="AR44" s="29">
        <f t="shared" si="34"/>
        <v>7.70910416666667</v>
      </c>
      <c r="AS44" s="1">
        <f t="shared" si="35"/>
        <v>0.13</v>
      </c>
      <c r="AT44" s="2">
        <f t="shared" si="39"/>
        <v>7.60068493150685</v>
      </c>
      <c r="AU44" s="1">
        <f t="shared" si="36"/>
        <v>783.914847962503</v>
      </c>
    </row>
    <row r="45" s="1" customFormat="1" spans="1:47">
      <c r="A45" s="13"/>
      <c r="B45" s="13"/>
      <c r="C45" s="16">
        <v>3</v>
      </c>
      <c r="D45" s="19">
        <v>9.09830243264516</v>
      </c>
      <c r="E45" s="20">
        <f t="shared" si="37"/>
        <v>0.606586349586207</v>
      </c>
      <c r="F45" s="16" t="s">
        <v>110</v>
      </c>
      <c r="G45" s="13">
        <v>4</v>
      </c>
      <c r="H45" s="18">
        <f t="shared" si="21"/>
        <v>9.09830243264516</v>
      </c>
      <c r="I45" s="18">
        <f t="shared" si="22"/>
        <v>282.248302432645</v>
      </c>
      <c r="J45" s="18">
        <f t="shared" si="23"/>
        <v>0.0549842722931842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0.301733975257367</v>
      </c>
      <c r="P45" s="18">
        <f t="shared" si="26"/>
        <v>0.016590623055656</v>
      </c>
      <c r="Q45" s="24">
        <f t="shared" si="27"/>
        <v>0.00215678099723528</v>
      </c>
      <c r="R45" s="18">
        <f t="shared" si="28"/>
        <v>0.0100218354166667</v>
      </c>
      <c r="S45" s="25">
        <f t="shared" si="29"/>
        <v>0.215208183687439</v>
      </c>
      <c r="T45" s="3">
        <v>0.01</v>
      </c>
      <c r="U45" s="26">
        <f t="shared" si="30"/>
        <v>0.00215208183687439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0.0169520818368744</v>
      </c>
      <c r="AR45" s="29">
        <f t="shared" si="34"/>
        <v>7.70910416666667</v>
      </c>
      <c r="AS45" s="1">
        <f t="shared" si="35"/>
        <v>0.13</v>
      </c>
      <c r="AT45" s="2">
        <f t="shared" si="39"/>
        <v>7.60068493150685</v>
      </c>
      <c r="AU45" s="1">
        <f t="shared" si="36"/>
        <v>865.162803982102</v>
      </c>
    </row>
    <row r="46" s="1" customFormat="1" spans="1:47">
      <c r="A46" s="13"/>
      <c r="B46" s="13"/>
      <c r="C46" s="16">
        <v>4</v>
      </c>
      <c r="D46" s="19">
        <v>16.942681829</v>
      </c>
      <c r="E46" s="20">
        <f t="shared" si="37"/>
        <v>9.09830243264516</v>
      </c>
      <c r="F46" s="16" t="s">
        <v>110</v>
      </c>
      <c r="G46" s="13">
        <v>5</v>
      </c>
      <c r="H46" s="18">
        <f t="shared" si="21"/>
        <v>16.942681829</v>
      </c>
      <c r="I46" s="18">
        <f t="shared" si="22"/>
        <v>290.092681829</v>
      </c>
      <c r="J46" s="18">
        <f t="shared" si="23"/>
        <v>0.139754207154712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0.270886184591626</v>
      </c>
      <c r="O46" s="18">
        <f t="shared" si="38"/>
        <v>0.0913482092767522</v>
      </c>
      <c r="P46" s="18">
        <f t="shared" si="26"/>
        <v>0.0127662965624752</v>
      </c>
      <c r="Q46" s="24">
        <f t="shared" si="27"/>
        <v>0.00165961855312178</v>
      </c>
      <c r="R46" s="18">
        <f t="shared" si="28"/>
        <v>0.0100218354166667</v>
      </c>
      <c r="S46" s="25">
        <f t="shared" si="29"/>
        <v>0.165600260243924</v>
      </c>
      <c r="T46" s="3">
        <v>0.01</v>
      </c>
      <c r="U46" s="26">
        <f t="shared" si="30"/>
        <v>0.00165600260243924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0.0287560026024392</v>
      </c>
      <c r="AR46" s="29">
        <f t="shared" si="34"/>
        <v>7.70910416666667</v>
      </c>
      <c r="AS46" s="1">
        <f t="shared" si="35"/>
        <v>0.13</v>
      </c>
      <c r="AT46" s="2">
        <f t="shared" si="39"/>
        <v>7.60068493150685</v>
      </c>
      <c r="AU46" s="1">
        <f t="shared" si="36"/>
        <v>1467.58516636739</v>
      </c>
    </row>
    <row r="47" s="1" customFormat="1" spans="1:47">
      <c r="A47" s="13"/>
      <c r="B47" s="13"/>
      <c r="C47" s="16">
        <v>5</v>
      </c>
      <c r="D47" s="19">
        <v>21.4575999906452</v>
      </c>
      <c r="E47" s="20">
        <f t="shared" si="37"/>
        <v>16.942681829</v>
      </c>
      <c r="F47" s="16" t="s">
        <v>112</v>
      </c>
      <c r="G47" s="13">
        <v>6</v>
      </c>
      <c r="H47" s="18">
        <f t="shared" si="21"/>
        <v>21.4575999906452</v>
      </c>
      <c r="I47" s="18">
        <f t="shared" si="22"/>
        <v>294.607599990645</v>
      </c>
      <c r="J47" s="18">
        <f t="shared" si="23"/>
        <v>0.233753286467252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0.155672954380944</v>
      </c>
      <c r="P47" s="18">
        <f t="shared" si="26"/>
        <v>0.0363890647006122</v>
      </c>
      <c r="Q47" s="24">
        <f t="shared" si="27"/>
        <v>0.00473057841107958</v>
      </c>
      <c r="R47" s="18">
        <f t="shared" si="28"/>
        <v>0.0100218354166667</v>
      </c>
      <c r="S47" s="25">
        <f t="shared" si="29"/>
        <v>0.472027150157791</v>
      </c>
      <c r="T47" s="3">
        <v>0.01</v>
      </c>
      <c r="U47" s="26">
        <f t="shared" si="30"/>
        <v>0.00472027150157791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0.0318202715015779</v>
      </c>
      <c r="AR47" s="29">
        <f t="shared" si="34"/>
        <v>7.70910416666667</v>
      </c>
      <c r="AS47" s="1">
        <f t="shared" si="35"/>
        <v>0.13</v>
      </c>
      <c r="AT47" s="2">
        <f t="shared" si="39"/>
        <v>7.60068493150685</v>
      </c>
      <c r="AU47" s="1">
        <f t="shared" si="36"/>
        <v>1623.9725350956</v>
      </c>
    </row>
    <row r="48" s="1" customFormat="1" spans="1:47">
      <c r="A48" s="13"/>
      <c r="B48" s="13"/>
      <c r="C48" s="16">
        <v>6</v>
      </c>
      <c r="D48" s="19">
        <v>25.6240812193333</v>
      </c>
      <c r="E48" s="20">
        <f t="shared" si="37"/>
        <v>21.4575999906452</v>
      </c>
      <c r="F48" s="16" t="s">
        <v>110</v>
      </c>
      <c r="G48" s="13">
        <v>7</v>
      </c>
      <c r="H48" s="18">
        <f t="shared" si="21"/>
        <v>25.6240812193333</v>
      </c>
      <c r="I48" s="18">
        <f t="shared" si="22"/>
        <v>298.774081219333</v>
      </c>
      <c r="J48" s="18">
        <f t="shared" si="23"/>
        <v>0.370612608386315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0.196374931346998</v>
      </c>
      <c r="P48" s="18">
        <f t="shared" si="26"/>
        <v>0.0727790255281945</v>
      </c>
      <c r="Q48" s="24">
        <f t="shared" si="27"/>
        <v>0.00946127331866529</v>
      </c>
      <c r="R48" s="18">
        <f t="shared" si="28"/>
        <v>0.0100218354166667</v>
      </c>
      <c r="S48" s="25">
        <f t="shared" si="29"/>
        <v>0.944065924584119</v>
      </c>
      <c r="T48" s="3">
        <v>0.01</v>
      </c>
      <c r="U48" s="26">
        <f t="shared" si="30"/>
        <v>0.00944065924584119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0.0365406592458412</v>
      </c>
      <c r="AR48" s="29">
        <f t="shared" si="34"/>
        <v>7.70910416666667</v>
      </c>
      <c r="AS48" s="1">
        <f t="shared" si="35"/>
        <v>0.13</v>
      </c>
      <c r="AT48" s="2">
        <f t="shared" si="39"/>
        <v>7.60068493150685</v>
      </c>
      <c r="AU48" s="1">
        <f t="shared" si="36"/>
        <v>1864.8812291432</v>
      </c>
    </row>
    <row r="49" s="1" customFormat="1" spans="1:47">
      <c r="A49" s="13"/>
      <c r="B49" s="13"/>
      <c r="C49" s="16">
        <v>7</v>
      </c>
      <c r="D49" s="19">
        <v>27.5375997558065</v>
      </c>
      <c r="E49" s="20">
        <f t="shared" si="37"/>
        <v>25.6240812193333</v>
      </c>
      <c r="F49" s="16" t="s">
        <v>110</v>
      </c>
      <c r="G49" s="13">
        <v>8</v>
      </c>
      <c r="H49" s="18">
        <f t="shared" si="21"/>
        <v>27.5375997558065</v>
      </c>
      <c r="I49" s="18">
        <f t="shared" si="22"/>
        <v>300.687599755807</v>
      </c>
      <c r="J49" s="18">
        <f t="shared" si="23"/>
        <v>0.456025340849576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0.20068694748547</v>
      </c>
      <c r="P49" s="18">
        <f t="shared" si="26"/>
        <v>0.0915183336311226</v>
      </c>
      <c r="Q49" s="24">
        <f t="shared" si="27"/>
        <v>0.0118973833720459</v>
      </c>
      <c r="R49" s="18">
        <f t="shared" si="28"/>
        <v>0.0100218354166667</v>
      </c>
      <c r="S49" s="25">
        <f t="shared" si="29"/>
        <v>1.18714615411267</v>
      </c>
      <c r="T49" s="3">
        <v>0.01</v>
      </c>
      <c r="U49" s="26">
        <f t="shared" si="30"/>
        <v>0.0118714615411267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0.0389714615411267</v>
      </c>
      <c r="AR49" s="29">
        <f t="shared" si="34"/>
        <v>7.70910416666667</v>
      </c>
      <c r="AS49" s="1">
        <f t="shared" si="35"/>
        <v>0.13</v>
      </c>
      <c r="AT49" s="2">
        <f t="shared" si="39"/>
        <v>7.60068493150685</v>
      </c>
      <c r="AU49" s="1">
        <f t="shared" si="36"/>
        <v>1988.9391324705</v>
      </c>
    </row>
    <row r="50" s="1" customFormat="1" spans="1:47">
      <c r="A50" s="13"/>
      <c r="B50" s="13"/>
      <c r="C50" s="16">
        <v>8</v>
      </c>
      <c r="D50" s="19">
        <v>26.4833639674194</v>
      </c>
      <c r="E50" s="20">
        <f t="shared" si="37"/>
        <v>27.5375997558065</v>
      </c>
      <c r="F50" s="16" t="s">
        <v>110</v>
      </c>
      <c r="G50" s="13">
        <v>9</v>
      </c>
      <c r="H50" s="18">
        <f t="shared" si="21"/>
        <v>26.4833639674194</v>
      </c>
      <c r="I50" s="18">
        <f t="shared" si="22"/>
        <v>299.633363967419</v>
      </c>
      <c r="J50" s="18">
        <f t="shared" si="23"/>
        <v>0.406919682810868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0.186259655521014</v>
      </c>
      <c r="P50" s="18">
        <f t="shared" si="26"/>
        <v>0.0757927199450727</v>
      </c>
      <c r="Q50" s="24">
        <f t="shared" si="27"/>
        <v>0.00985305359285945</v>
      </c>
      <c r="R50" s="18">
        <f t="shared" si="28"/>
        <v>0.0100218354166667</v>
      </c>
      <c r="S50" s="25">
        <f t="shared" si="29"/>
        <v>0.983158591536385</v>
      </c>
      <c r="T50" s="3">
        <v>0.01</v>
      </c>
      <c r="U50" s="26">
        <f t="shared" si="30"/>
        <v>0.00983158591536385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0.0369315859153638</v>
      </c>
      <c r="AR50" s="29">
        <f t="shared" si="34"/>
        <v>7.70910416666667</v>
      </c>
      <c r="AS50" s="1">
        <f t="shared" si="35"/>
        <v>0.13</v>
      </c>
      <c r="AT50" s="2">
        <f t="shared" si="39"/>
        <v>7.60068493150685</v>
      </c>
      <c r="AU50" s="1">
        <f t="shared" si="36"/>
        <v>1884.83247860095</v>
      </c>
    </row>
    <row r="51" s="1" customFormat="1" spans="1:47">
      <c r="A51" s="13"/>
      <c r="B51" s="13"/>
      <c r="C51" s="16">
        <v>9</v>
      </c>
      <c r="D51" s="19">
        <v>21.832341922</v>
      </c>
      <c r="E51" s="20">
        <f t="shared" si="37"/>
        <v>26.4833639674194</v>
      </c>
      <c r="F51" s="16" t="s">
        <v>110</v>
      </c>
      <c r="G51" s="13">
        <v>10</v>
      </c>
      <c r="H51" s="18">
        <f t="shared" si="21"/>
        <v>21.832341922</v>
      </c>
      <c r="I51" s="18">
        <f t="shared" si="22"/>
        <v>294.982341922</v>
      </c>
      <c r="J51" s="18">
        <f t="shared" si="23"/>
        <v>0.243776683521301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0.187557977242608</v>
      </c>
      <c r="P51" s="18">
        <f t="shared" si="26"/>
        <v>0.0457222616601667</v>
      </c>
      <c r="Q51" s="24">
        <f t="shared" si="27"/>
        <v>0.00594389401582167</v>
      </c>
      <c r="R51" s="18">
        <f t="shared" si="28"/>
        <v>0.0100218354166667</v>
      </c>
      <c r="S51" s="25">
        <f t="shared" si="29"/>
        <v>0.593094355345007</v>
      </c>
      <c r="T51" s="3">
        <v>0.01</v>
      </c>
      <c r="U51" s="26">
        <f t="shared" si="30"/>
        <v>0.00593094355345007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0.0207309435534501</v>
      </c>
      <c r="AR51" s="29">
        <f t="shared" si="34"/>
        <v>7.70910416666667</v>
      </c>
      <c r="AS51" s="1">
        <f t="shared" si="35"/>
        <v>0.13</v>
      </c>
      <c r="AT51" s="2">
        <f t="shared" si="39"/>
        <v>7.60068493150685</v>
      </c>
      <c r="AU51" s="1">
        <f t="shared" si="36"/>
        <v>1058.0199781058</v>
      </c>
    </row>
    <row r="52" s="1" customFormat="1" spans="1:47">
      <c r="A52" s="13"/>
      <c r="B52" s="13"/>
      <c r="C52" s="16">
        <v>10</v>
      </c>
      <c r="D52" s="19">
        <v>13.5949064161613</v>
      </c>
      <c r="E52" s="20">
        <f t="shared" si="37"/>
        <v>21.832341922</v>
      </c>
      <c r="F52" s="16" t="s">
        <v>110</v>
      </c>
      <c r="G52" s="13">
        <v>11</v>
      </c>
      <c r="H52" s="18">
        <f t="shared" si="21"/>
        <v>13.5949064161613</v>
      </c>
      <c r="I52" s="18">
        <f t="shared" si="22"/>
        <v>286.744906416161</v>
      </c>
      <c r="J52" s="18">
        <f t="shared" si="23"/>
        <v>0.0944449761369923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0.13474392980332</v>
      </c>
      <c r="O52" s="18">
        <f t="shared" si="38"/>
        <v>0.0841828274457888</v>
      </c>
      <c r="P52" s="18">
        <f t="shared" si="26"/>
        <v>0.00795064512926206</v>
      </c>
      <c r="Q52" s="24">
        <f t="shared" si="27"/>
        <v>0.00103358386680407</v>
      </c>
      <c r="R52" s="18">
        <f t="shared" si="28"/>
        <v>0.0100218354166667</v>
      </c>
      <c r="S52" s="25">
        <f t="shared" si="29"/>
        <v>0.10313319106051</v>
      </c>
      <c r="T52" s="3">
        <v>0.01</v>
      </c>
      <c r="U52" s="26">
        <f t="shared" si="30"/>
        <v>0.0010313319106051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0.0158313319106051</v>
      </c>
      <c r="AR52" s="29">
        <f t="shared" si="34"/>
        <v>7.70910416666667</v>
      </c>
      <c r="AS52" s="1">
        <f t="shared" si="35"/>
        <v>0.13</v>
      </c>
      <c r="AT52" s="2">
        <f t="shared" si="39"/>
        <v>7.60068493150685</v>
      </c>
      <c r="AU52" s="1">
        <f t="shared" si="36"/>
        <v>807.964451702754</v>
      </c>
    </row>
    <row r="53" s="1" customFormat="1" spans="1:48">
      <c r="A53" s="13"/>
      <c r="B53" s="13"/>
      <c r="C53" s="16">
        <v>11</v>
      </c>
      <c r="D53" s="19">
        <v>4.39721156883333</v>
      </c>
      <c r="E53" s="20">
        <f t="shared" si="37"/>
        <v>13.5949064161613</v>
      </c>
      <c r="F53" s="16" t="s">
        <v>112</v>
      </c>
      <c r="G53" s="13">
        <v>12</v>
      </c>
      <c r="H53" s="18">
        <f t="shared" si="21"/>
        <v>4.39721156883333</v>
      </c>
      <c r="I53" s="18">
        <f t="shared" si="22"/>
        <v>277.547211568833</v>
      </c>
      <c r="J53" s="18">
        <f t="shared" si="23"/>
        <v>0.0306530848783905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0.153323223983193</v>
      </c>
      <c r="P53" s="18">
        <f t="shared" si="26"/>
        <v>0.0046998297985853</v>
      </c>
      <c r="Q53" s="24">
        <f t="shared" si="27"/>
        <v>0.00061097787381609</v>
      </c>
      <c r="R53" s="18">
        <f t="shared" si="28"/>
        <v>0.0100218354166667</v>
      </c>
      <c r="S53" s="25">
        <f t="shared" si="29"/>
        <v>0.0609646684877714</v>
      </c>
      <c r="T53" s="3">
        <v>0.01</v>
      </c>
      <c r="U53" s="26">
        <f t="shared" si="30"/>
        <v>0.000609646684877714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0.0154096466848777</v>
      </c>
      <c r="AR53" s="29">
        <f t="shared" si="34"/>
        <v>7.70910416666667</v>
      </c>
      <c r="AS53" s="1">
        <f t="shared" si="35"/>
        <v>0.13</v>
      </c>
      <c r="AT53" s="2">
        <f t="shared" si="39"/>
        <v>7.60068493150685</v>
      </c>
      <c r="AU53" s="1">
        <f t="shared" si="36"/>
        <v>786.443415183537</v>
      </c>
      <c r="AV53" s="1">
        <f>SUM(AU42:AU53)</f>
        <v>14657.6832152523</v>
      </c>
    </row>
    <row r="54" s="1" customFormat="1" spans="1:46">
      <c r="A54" s="13"/>
      <c r="B54" s="13"/>
      <c r="C54" s="16">
        <v>12</v>
      </c>
      <c r="D54" s="19">
        <v>-0.746535495709677</v>
      </c>
      <c r="E54" s="20">
        <f t="shared" si="37"/>
        <v>4.39721156883333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</row>
    <row r="57" s="1" customFormat="1" spans="1:32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</row>
    <row r="58" s="1" customFormat="1" spans="1:32">
      <c r="A58" s="13" t="s">
        <v>108</v>
      </c>
      <c r="B58" s="13">
        <v>134.758</v>
      </c>
      <c r="C58" s="16" t="s">
        <v>109</v>
      </c>
      <c r="D58" s="17">
        <v>-3</v>
      </c>
      <c r="E58" s="16"/>
      <c r="F58" s="16"/>
      <c r="G58" s="13">
        <v>1</v>
      </c>
      <c r="H58" s="18">
        <f t="shared" ref="H58:H69" si="40">E59</f>
        <v>-3</v>
      </c>
      <c r="I58" s="18">
        <f t="shared" ref="I58:I69" si="41">H58+273.15</f>
        <v>270.15</v>
      </c>
      <c r="J58" s="18">
        <f t="shared" ref="J58:J69" si="42">EXP(($C$16*(I58-$C$14))/($C$17*I58*$C$14))</f>
        <v>0.0117298241675131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110</v>
      </c>
      <c r="N58" s="13"/>
      <c r="O58" s="18">
        <f>L58</f>
        <v>3.032055</v>
      </c>
      <c r="P58" s="18">
        <f t="shared" ref="P58:P69" si="45">O58*J58</f>
        <v>0.035565472016229</v>
      </c>
      <c r="Q58" s="24">
        <f t="shared" ref="Q58:Q69" si="46">P58*$B$60</f>
        <v>0.0103139868847064</v>
      </c>
      <c r="R58" s="18">
        <f t="shared" ref="R58:R69" si="47">L58*$B$60</f>
        <v>0.87929595</v>
      </c>
      <c r="S58" s="25">
        <f t="shared" ref="S58:S69" si="48">Q58/R58</f>
        <v>0.0117298241675131</v>
      </c>
      <c r="T58" s="3">
        <v>0.27</v>
      </c>
      <c r="U58" s="26">
        <f t="shared" ref="U58:U69" si="49">S58*T58</f>
        <v>0.00316705252522854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0.227015358305652</v>
      </c>
      <c r="AC58" s="29">
        <f t="shared" ref="AC58:AC69" si="51">$B$58/12</f>
        <v>11.2298333333333</v>
      </c>
      <c r="AD58" s="1">
        <f t="shared" ref="AD58:AD69" si="52">$B$60</f>
        <v>0.29</v>
      </c>
      <c r="AE58" s="30">
        <f t="shared" ref="AE58:AE69" si="53">$E$7/12</f>
        <v>34.279698630137</v>
      </c>
      <c r="AF58" s="1">
        <f t="shared" ref="AF58:AF69" si="54">AE58*10000*AC58*AB58</f>
        <v>873907.65890862</v>
      </c>
    </row>
    <row r="59" s="1" customFormat="1" spans="1:32">
      <c r="A59" s="13" t="s">
        <v>111</v>
      </c>
      <c r="B59" s="13">
        <v>27</v>
      </c>
      <c r="C59" s="16">
        <v>1</v>
      </c>
      <c r="D59" s="19">
        <v>-4.81975286329032</v>
      </c>
      <c r="E59" s="20">
        <f t="shared" ref="E59:E70" si="55">D58</f>
        <v>-3</v>
      </c>
      <c r="F59" s="16" t="s">
        <v>110</v>
      </c>
      <c r="G59" s="13">
        <v>2</v>
      </c>
      <c r="H59" s="18">
        <f t="shared" si="40"/>
        <v>-4.81975286329032</v>
      </c>
      <c r="I59" s="18">
        <f t="shared" si="41"/>
        <v>268.33024713671</v>
      </c>
      <c r="J59" s="18">
        <f t="shared" si="42"/>
        <v>0.0091862260935558</v>
      </c>
      <c r="K59" s="18">
        <f t="shared" si="43"/>
        <v>11.2298333333333</v>
      </c>
      <c r="L59" s="18">
        <f t="shared" si="44"/>
        <v>3.032055</v>
      </c>
      <c r="M59" s="13" t="s">
        <v>110</v>
      </c>
      <c r="N59" s="13"/>
      <c r="O59" s="18">
        <f t="shared" ref="O59:O69" si="56">L59+O58-P58-N59</f>
        <v>6.02854452798377</v>
      </c>
      <c r="P59" s="18">
        <f t="shared" si="45"/>
        <v>0.0553795730491275</v>
      </c>
      <c r="Q59" s="24">
        <f t="shared" si="46"/>
        <v>0.016060076184247</v>
      </c>
      <c r="R59" s="18">
        <f t="shared" si="47"/>
        <v>0.87929595</v>
      </c>
      <c r="S59" s="25">
        <f t="shared" si="48"/>
        <v>0.0182646993702712</v>
      </c>
      <c r="T59" s="3">
        <v>0.27</v>
      </c>
      <c r="U59" s="26">
        <f t="shared" si="49"/>
        <v>0.00493146882997321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0.227358184393664</v>
      </c>
      <c r="AC59" s="29">
        <f t="shared" si="51"/>
        <v>11.2298333333333</v>
      </c>
      <c r="AD59" s="1">
        <f t="shared" si="52"/>
        <v>0.29</v>
      </c>
      <c r="AE59" s="30">
        <f t="shared" si="53"/>
        <v>34.279698630137</v>
      </c>
      <c r="AF59" s="1">
        <f t="shared" si="54"/>
        <v>875227.386112205</v>
      </c>
    </row>
    <row r="60" s="1" customFormat="1" spans="1:32">
      <c r="A60" s="13" t="s">
        <v>73</v>
      </c>
      <c r="B60" s="13">
        <v>0.29</v>
      </c>
      <c r="C60" s="16">
        <v>2</v>
      </c>
      <c r="D60" s="19">
        <v>0.606586349586207</v>
      </c>
      <c r="E60" s="20">
        <f t="shared" si="55"/>
        <v>-4.81975286329032</v>
      </c>
      <c r="F60" s="16" t="s">
        <v>110</v>
      </c>
      <c r="G60" s="13">
        <v>3</v>
      </c>
      <c r="H60" s="18">
        <f t="shared" si="40"/>
        <v>0.606586349586207</v>
      </c>
      <c r="I60" s="18">
        <f t="shared" si="41"/>
        <v>273.756586349586</v>
      </c>
      <c r="J60" s="18">
        <f t="shared" si="42"/>
        <v>0.0188586083073694</v>
      </c>
      <c r="K60" s="18">
        <f t="shared" si="43"/>
        <v>11.2298333333333</v>
      </c>
      <c r="L60" s="18">
        <f t="shared" si="44"/>
        <v>3.032055</v>
      </c>
      <c r="M60" s="13" t="s">
        <v>110</v>
      </c>
      <c r="N60" s="13"/>
      <c r="O60" s="18">
        <f t="shared" si="56"/>
        <v>9.00521995493465</v>
      </c>
      <c r="P60" s="18">
        <f t="shared" si="45"/>
        <v>0.169825915851819</v>
      </c>
      <c r="Q60" s="24">
        <f t="shared" si="46"/>
        <v>0.0492495155970274</v>
      </c>
      <c r="R60" s="18">
        <f t="shared" si="47"/>
        <v>0.87929595</v>
      </c>
      <c r="S60" s="25">
        <f t="shared" si="48"/>
        <v>0.0560101699513428</v>
      </c>
      <c r="T60" s="3">
        <v>0.27</v>
      </c>
      <c r="U60" s="26">
        <f t="shared" si="49"/>
        <v>0.0151227458868626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0.229338349525817</v>
      </c>
      <c r="AC60" s="29">
        <f t="shared" si="51"/>
        <v>11.2298333333333</v>
      </c>
      <c r="AD60" s="1">
        <f t="shared" si="52"/>
        <v>0.29</v>
      </c>
      <c r="AE60" s="30">
        <f t="shared" si="53"/>
        <v>34.279698630137</v>
      </c>
      <c r="AF60" s="1">
        <f t="shared" si="54"/>
        <v>882850.136783383</v>
      </c>
    </row>
    <row r="61" s="1" customFormat="1" spans="1:32">
      <c r="A61" s="13"/>
      <c r="B61" s="13"/>
      <c r="C61" s="16">
        <v>3</v>
      </c>
      <c r="D61" s="19">
        <v>9.09830243264516</v>
      </c>
      <c r="E61" s="20">
        <f t="shared" si="55"/>
        <v>0.606586349586207</v>
      </c>
      <c r="F61" s="16" t="s">
        <v>110</v>
      </c>
      <c r="G61" s="13">
        <v>4</v>
      </c>
      <c r="H61" s="18">
        <f t="shared" si="40"/>
        <v>9.09830243264516</v>
      </c>
      <c r="I61" s="18">
        <f t="shared" si="41"/>
        <v>282.248302432645</v>
      </c>
      <c r="J61" s="18">
        <f t="shared" si="42"/>
        <v>0.0549842722931842</v>
      </c>
      <c r="K61" s="18">
        <f t="shared" si="43"/>
        <v>11.2298333333333</v>
      </c>
      <c r="L61" s="18">
        <f t="shared" si="44"/>
        <v>3.032055</v>
      </c>
      <c r="M61" s="13" t="s">
        <v>110</v>
      </c>
      <c r="N61" s="13"/>
      <c r="O61" s="18">
        <f t="shared" si="56"/>
        <v>11.8674490390828</v>
      </c>
      <c r="P61" s="18">
        <f t="shared" si="45"/>
        <v>0.652523049390418</v>
      </c>
      <c r="Q61" s="24">
        <f t="shared" si="46"/>
        <v>0.189231684323221</v>
      </c>
      <c r="R61" s="18">
        <f t="shared" si="47"/>
        <v>0.87929595</v>
      </c>
      <c r="S61" s="25">
        <f t="shared" si="48"/>
        <v>0.215208183687439</v>
      </c>
      <c r="T61" s="3">
        <v>0.27</v>
      </c>
      <c r="U61" s="26">
        <f t="shared" si="49"/>
        <v>0.0581062095956085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0.237690036524427</v>
      </c>
      <c r="AC61" s="29">
        <f t="shared" si="51"/>
        <v>11.2298333333333</v>
      </c>
      <c r="AD61" s="1">
        <f t="shared" si="52"/>
        <v>0.29</v>
      </c>
      <c r="AE61" s="30">
        <f t="shared" si="53"/>
        <v>34.279698630137</v>
      </c>
      <c r="AF61" s="1">
        <f t="shared" si="54"/>
        <v>915000.398718816</v>
      </c>
    </row>
    <row r="62" s="1" customFormat="1" spans="1:32">
      <c r="A62" s="13"/>
      <c r="B62" s="13"/>
      <c r="C62" s="16">
        <v>4</v>
      </c>
      <c r="D62" s="19">
        <v>16.942681829</v>
      </c>
      <c r="E62" s="20">
        <f t="shared" si="55"/>
        <v>9.09830243264516</v>
      </c>
      <c r="F62" s="16" t="s">
        <v>110</v>
      </c>
      <c r="G62" s="13">
        <v>5</v>
      </c>
      <c r="H62" s="18">
        <f t="shared" si="40"/>
        <v>16.942681829</v>
      </c>
      <c r="I62" s="18">
        <f t="shared" si="41"/>
        <v>290.092681829</v>
      </c>
      <c r="J62" s="18">
        <f t="shared" si="42"/>
        <v>0.139754207154712</v>
      </c>
      <c r="K62" s="18">
        <f t="shared" si="43"/>
        <v>11.2298333333333</v>
      </c>
      <c r="L62" s="18">
        <f t="shared" si="44"/>
        <v>3.032055</v>
      </c>
      <c r="M62" s="13" t="s">
        <v>112</v>
      </c>
      <c r="N62" s="18">
        <f>(O61-P61)*$C$22/100</f>
        <v>10.6541796902078</v>
      </c>
      <c r="O62" s="18">
        <f t="shared" si="56"/>
        <v>3.59280129948462</v>
      </c>
      <c r="P62" s="18">
        <f t="shared" si="45"/>
        <v>0.502109097073893</v>
      </c>
      <c r="Q62" s="24">
        <f t="shared" si="46"/>
        <v>0.145611638151429</v>
      </c>
      <c r="R62" s="18">
        <f t="shared" si="47"/>
        <v>0.87929595</v>
      </c>
      <c r="S62" s="25">
        <f t="shared" si="48"/>
        <v>0.165600260243925</v>
      </c>
      <c r="T62" s="3">
        <v>0.27</v>
      </c>
      <c r="U62" s="26">
        <f t="shared" si="49"/>
        <v>0.0447120702658596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0.283887555252657</v>
      </c>
      <c r="AC62" s="29">
        <f t="shared" si="51"/>
        <v>11.2298333333333</v>
      </c>
      <c r="AD62" s="1">
        <f t="shared" si="52"/>
        <v>0.29</v>
      </c>
      <c r="AE62" s="30">
        <f t="shared" si="53"/>
        <v>34.279698630137</v>
      </c>
      <c r="AF62" s="1">
        <f t="shared" si="54"/>
        <v>1092840.19660957</v>
      </c>
    </row>
    <row r="63" s="1" customFormat="1" spans="1:32">
      <c r="A63" s="13"/>
      <c r="B63" s="13"/>
      <c r="C63" s="16">
        <v>5</v>
      </c>
      <c r="D63" s="19">
        <v>21.4575999906452</v>
      </c>
      <c r="E63" s="20">
        <f t="shared" si="55"/>
        <v>16.942681829</v>
      </c>
      <c r="F63" s="16" t="s">
        <v>112</v>
      </c>
      <c r="G63" s="13">
        <v>6</v>
      </c>
      <c r="H63" s="18">
        <f t="shared" si="40"/>
        <v>21.4575999906452</v>
      </c>
      <c r="I63" s="18">
        <f t="shared" si="41"/>
        <v>294.607599990645</v>
      </c>
      <c r="J63" s="18">
        <f t="shared" si="42"/>
        <v>0.233753286467252</v>
      </c>
      <c r="K63" s="18">
        <f t="shared" si="43"/>
        <v>11.2298333333333</v>
      </c>
      <c r="L63" s="18">
        <f t="shared" si="44"/>
        <v>3.032055</v>
      </c>
      <c r="M63" s="13" t="s">
        <v>110</v>
      </c>
      <c r="N63" s="13"/>
      <c r="O63" s="18">
        <f t="shared" si="56"/>
        <v>6.12274720241073</v>
      </c>
      <c r="P63" s="18">
        <f t="shared" si="45"/>
        <v>1.43121228077168</v>
      </c>
      <c r="Q63" s="24">
        <f t="shared" si="46"/>
        <v>0.415051561423788</v>
      </c>
      <c r="R63" s="18">
        <f t="shared" si="47"/>
        <v>0.87929595</v>
      </c>
      <c r="S63" s="25">
        <f t="shared" si="48"/>
        <v>0.472027150157792</v>
      </c>
      <c r="T63" s="3">
        <v>0.27</v>
      </c>
      <c r="U63" s="26">
        <f t="shared" si="49"/>
        <v>0.127447330542604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0.299963016324428</v>
      </c>
      <c r="AC63" s="29">
        <f t="shared" si="51"/>
        <v>11.2298333333333</v>
      </c>
      <c r="AD63" s="1">
        <f t="shared" si="52"/>
        <v>0.29</v>
      </c>
      <c r="AE63" s="30">
        <f t="shared" si="53"/>
        <v>34.279698630137</v>
      </c>
      <c r="AF63" s="1">
        <f t="shared" si="54"/>
        <v>1154723.53637988</v>
      </c>
    </row>
    <row r="64" s="1" customFormat="1" spans="1:32">
      <c r="A64" s="13"/>
      <c r="B64" s="13"/>
      <c r="C64" s="16">
        <v>6</v>
      </c>
      <c r="D64" s="19">
        <v>25.6240812193333</v>
      </c>
      <c r="E64" s="20">
        <f t="shared" si="55"/>
        <v>21.4575999906452</v>
      </c>
      <c r="F64" s="16" t="s">
        <v>110</v>
      </c>
      <c r="G64" s="13">
        <v>7</v>
      </c>
      <c r="H64" s="18">
        <f t="shared" si="40"/>
        <v>25.6240812193333</v>
      </c>
      <c r="I64" s="18">
        <f t="shared" si="41"/>
        <v>298.774081219333</v>
      </c>
      <c r="J64" s="18">
        <f t="shared" si="42"/>
        <v>0.370612608386315</v>
      </c>
      <c r="K64" s="18">
        <f t="shared" si="43"/>
        <v>11.2298333333333</v>
      </c>
      <c r="L64" s="18">
        <f t="shared" si="44"/>
        <v>3.032055</v>
      </c>
      <c r="M64" s="13" t="s">
        <v>110</v>
      </c>
      <c r="N64" s="13"/>
      <c r="O64" s="18">
        <f t="shared" si="56"/>
        <v>7.72358992163904</v>
      </c>
      <c r="P64" s="18">
        <f t="shared" si="45"/>
        <v>2.8624598069649</v>
      </c>
      <c r="Q64" s="24">
        <f t="shared" si="46"/>
        <v>0.830113344019821</v>
      </c>
      <c r="R64" s="18">
        <f t="shared" si="47"/>
        <v>0.87929595</v>
      </c>
      <c r="S64" s="25">
        <f t="shared" si="48"/>
        <v>0.944065924584119</v>
      </c>
      <c r="T64" s="3">
        <v>0.27</v>
      </c>
      <c r="U64" s="26">
        <f t="shared" si="49"/>
        <v>0.254897799637712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0.324726642469607</v>
      </c>
      <c r="AC64" s="29">
        <f t="shared" si="51"/>
        <v>11.2298333333333</v>
      </c>
      <c r="AD64" s="1">
        <f t="shared" si="52"/>
        <v>0.29</v>
      </c>
      <c r="AE64" s="30">
        <f t="shared" si="53"/>
        <v>34.279698630137</v>
      </c>
      <c r="AF64" s="1">
        <f t="shared" si="54"/>
        <v>1250052.42827575</v>
      </c>
    </row>
    <row r="65" s="1" customFormat="1" spans="1:32">
      <c r="A65" s="13"/>
      <c r="B65" s="13"/>
      <c r="C65" s="16">
        <v>7</v>
      </c>
      <c r="D65" s="19">
        <v>27.5375997558065</v>
      </c>
      <c r="E65" s="20">
        <f t="shared" si="55"/>
        <v>25.6240812193333</v>
      </c>
      <c r="F65" s="16" t="s">
        <v>110</v>
      </c>
      <c r="G65" s="13">
        <v>8</v>
      </c>
      <c r="H65" s="18">
        <f t="shared" si="40"/>
        <v>27.5375997558065</v>
      </c>
      <c r="I65" s="18">
        <f t="shared" si="41"/>
        <v>300.687599755807</v>
      </c>
      <c r="J65" s="18">
        <f t="shared" si="42"/>
        <v>0.456025340849576</v>
      </c>
      <c r="K65" s="18">
        <f t="shared" si="43"/>
        <v>11.2298333333333</v>
      </c>
      <c r="L65" s="18">
        <f t="shared" si="44"/>
        <v>3.032055</v>
      </c>
      <c r="M65" s="13" t="s">
        <v>110</v>
      </c>
      <c r="N65" s="13"/>
      <c r="O65" s="18">
        <f t="shared" si="56"/>
        <v>7.89318511467414</v>
      </c>
      <c r="P65" s="18">
        <f t="shared" si="45"/>
        <v>3.59949243230807</v>
      </c>
      <c r="Q65" s="24">
        <f t="shared" si="46"/>
        <v>1.04385280536934</v>
      </c>
      <c r="R65" s="18">
        <f t="shared" si="47"/>
        <v>0.87929595</v>
      </c>
      <c r="S65" s="25">
        <f t="shared" si="48"/>
        <v>1.18714615411266</v>
      </c>
      <c r="T65" s="3">
        <v>0.27</v>
      </c>
      <c r="U65" s="26">
        <f t="shared" si="49"/>
        <v>0.320529461610419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0.337478874390904</v>
      </c>
      <c r="AC65" s="29">
        <f t="shared" si="51"/>
        <v>11.2298333333333</v>
      </c>
      <c r="AD65" s="1">
        <f t="shared" si="52"/>
        <v>0.29</v>
      </c>
      <c r="AE65" s="30">
        <f t="shared" si="53"/>
        <v>34.279698630137</v>
      </c>
      <c r="AF65" s="1">
        <f t="shared" si="54"/>
        <v>1299142.82122263</v>
      </c>
    </row>
    <row r="66" s="1" customFormat="1" spans="1:32">
      <c r="A66" s="13"/>
      <c r="B66" s="13"/>
      <c r="C66" s="16">
        <v>8</v>
      </c>
      <c r="D66" s="19">
        <v>26.4833639674194</v>
      </c>
      <c r="E66" s="20">
        <f t="shared" si="55"/>
        <v>27.5375997558065</v>
      </c>
      <c r="F66" s="16" t="s">
        <v>110</v>
      </c>
      <c r="G66" s="13">
        <v>9</v>
      </c>
      <c r="H66" s="18">
        <f t="shared" si="40"/>
        <v>26.4833639674194</v>
      </c>
      <c r="I66" s="18">
        <f t="shared" si="41"/>
        <v>299.633363967419</v>
      </c>
      <c r="J66" s="18">
        <f t="shared" si="42"/>
        <v>0.406919682810868</v>
      </c>
      <c r="K66" s="18">
        <f t="shared" si="43"/>
        <v>11.2298333333333</v>
      </c>
      <c r="L66" s="18">
        <f t="shared" si="44"/>
        <v>3.032055</v>
      </c>
      <c r="M66" s="13" t="s">
        <v>110</v>
      </c>
      <c r="N66" s="13"/>
      <c r="O66" s="18">
        <f t="shared" si="56"/>
        <v>7.32574768236607</v>
      </c>
      <c r="P66" s="18">
        <f t="shared" si="45"/>
        <v>2.98099092326085</v>
      </c>
      <c r="Q66" s="24">
        <f t="shared" si="46"/>
        <v>0.864487367745648</v>
      </c>
      <c r="R66" s="18">
        <f t="shared" si="47"/>
        <v>0.87929595</v>
      </c>
      <c r="S66" s="25">
        <f t="shared" si="48"/>
        <v>0.983158591536385</v>
      </c>
      <c r="T66" s="3">
        <v>0.27</v>
      </c>
      <c r="U66" s="26">
        <f t="shared" si="49"/>
        <v>0.265452819714824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0.32677748287059</v>
      </c>
      <c r="AC66" s="29">
        <f t="shared" si="51"/>
        <v>11.2298333333333</v>
      </c>
      <c r="AD66" s="1">
        <f t="shared" si="52"/>
        <v>0.29</v>
      </c>
      <c r="AE66" s="30">
        <f t="shared" si="53"/>
        <v>34.279698630137</v>
      </c>
      <c r="AF66" s="1">
        <f t="shared" si="54"/>
        <v>1257947.24714173</v>
      </c>
    </row>
    <row r="67" s="1" customFormat="1" spans="1:32">
      <c r="A67" s="13"/>
      <c r="B67" s="13"/>
      <c r="C67" s="16">
        <v>9</v>
      </c>
      <c r="D67" s="19">
        <v>21.832341922</v>
      </c>
      <c r="E67" s="20">
        <f t="shared" si="55"/>
        <v>26.4833639674194</v>
      </c>
      <c r="F67" s="16" t="s">
        <v>110</v>
      </c>
      <c r="G67" s="13">
        <v>10</v>
      </c>
      <c r="H67" s="18">
        <f t="shared" si="40"/>
        <v>21.832341922</v>
      </c>
      <c r="I67" s="18">
        <f t="shared" si="41"/>
        <v>294.982341922</v>
      </c>
      <c r="J67" s="18">
        <f t="shared" si="42"/>
        <v>0.243776683521301</v>
      </c>
      <c r="K67" s="18">
        <f t="shared" si="43"/>
        <v>11.2298333333333</v>
      </c>
      <c r="L67" s="18">
        <f t="shared" si="44"/>
        <v>3.032055</v>
      </c>
      <c r="M67" s="13" t="s">
        <v>110</v>
      </c>
      <c r="N67" s="13"/>
      <c r="O67" s="18">
        <f t="shared" si="56"/>
        <v>7.37681175910522</v>
      </c>
      <c r="P67" s="18">
        <f t="shared" si="45"/>
        <v>1.7982947055956</v>
      </c>
      <c r="Q67" s="24">
        <f t="shared" si="46"/>
        <v>0.521505464622725</v>
      </c>
      <c r="R67" s="18">
        <f t="shared" si="47"/>
        <v>0.87929595</v>
      </c>
      <c r="S67" s="25">
        <f t="shared" si="48"/>
        <v>0.593094355345006</v>
      </c>
      <c r="T67" s="3">
        <v>0.27</v>
      </c>
      <c r="U67" s="26">
        <f t="shared" si="49"/>
        <v>0.160135475943152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0.257514322975754</v>
      </c>
      <c r="AC67" s="29">
        <f t="shared" si="51"/>
        <v>11.2298333333333</v>
      </c>
      <c r="AD67" s="1">
        <f t="shared" si="52"/>
        <v>0.29</v>
      </c>
      <c r="AE67" s="30">
        <f t="shared" si="53"/>
        <v>34.279698630137</v>
      </c>
      <c r="AF67" s="1">
        <f t="shared" si="54"/>
        <v>991315.040562948</v>
      </c>
    </row>
    <row r="68" s="1" customFormat="1" spans="1:32">
      <c r="A68" s="13"/>
      <c r="B68" s="13"/>
      <c r="C68" s="16">
        <v>10</v>
      </c>
      <c r="D68" s="19">
        <v>13.5949064161613</v>
      </c>
      <c r="E68" s="20">
        <f t="shared" si="55"/>
        <v>21.832341922</v>
      </c>
      <c r="F68" s="16" t="s">
        <v>110</v>
      </c>
      <c r="G68" s="13">
        <v>11</v>
      </c>
      <c r="H68" s="18">
        <f t="shared" si="40"/>
        <v>13.5949064161613</v>
      </c>
      <c r="I68" s="18">
        <f t="shared" si="41"/>
        <v>286.744906416161</v>
      </c>
      <c r="J68" s="18">
        <f t="shared" si="42"/>
        <v>0.0944449761369923</v>
      </c>
      <c r="K68" s="18">
        <f t="shared" si="43"/>
        <v>11.2298333333333</v>
      </c>
      <c r="L68" s="18">
        <f t="shared" si="44"/>
        <v>3.032055</v>
      </c>
      <c r="M68" s="13" t="s">
        <v>112</v>
      </c>
      <c r="N68" s="18">
        <f>(O67-P67)*$C$22/100</f>
        <v>5.29959120083413</v>
      </c>
      <c r="O68" s="18">
        <f t="shared" si="56"/>
        <v>3.31098085267548</v>
      </c>
      <c r="P68" s="18">
        <f t="shared" si="45"/>
        <v>0.312705507620974</v>
      </c>
      <c r="Q68" s="24">
        <f t="shared" si="46"/>
        <v>0.0906845972100825</v>
      </c>
      <c r="R68" s="18">
        <f t="shared" si="47"/>
        <v>0.87929595</v>
      </c>
      <c r="S68" s="25">
        <f t="shared" si="48"/>
        <v>0.10313319106051</v>
      </c>
      <c r="T68" s="3">
        <v>0.27</v>
      </c>
      <c r="U68" s="26">
        <f t="shared" si="49"/>
        <v>0.0278459615863377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0.231810470336225</v>
      </c>
      <c r="AC68" s="29">
        <f t="shared" si="51"/>
        <v>11.2298333333333</v>
      </c>
      <c r="AD68" s="1">
        <f t="shared" si="52"/>
        <v>0.29</v>
      </c>
      <c r="AE68" s="30">
        <f t="shared" si="53"/>
        <v>34.279698630137</v>
      </c>
      <c r="AF68" s="1">
        <f t="shared" si="54"/>
        <v>892366.696923135</v>
      </c>
    </row>
    <row r="69" s="1" customFormat="1" spans="1:33">
      <c r="A69" s="13"/>
      <c r="B69" s="13"/>
      <c r="C69" s="16">
        <v>11</v>
      </c>
      <c r="D69" s="19">
        <v>4.39721156883333</v>
      </c>
      <c r="E69" s="20">
        <f t="shared" si="55"/>
        <v>13.5949064161613</v>
      </c>
      <c r="F69" s="16" t="s">
        <v>112</v>
      </c>
      <c r="G69" s="13">
        <v>12</v>
      </c>
      <c r="H69" s="18">
        <f t="shared" si="40"/>
        <v>4.39721156883333</v>
      </c>
      <c r="I69" s="18">
        <f t="shared" si="41"/>
        <v>277.547211568833</v>
      </c>
      <c r="J69" s="18">
        <f t="shared" si="42"/>
        <v>0.0306530848783905</v>
      </c>
      <c r="K69" s="18">
        <f t="shared" si="43"/>
        <v>11.2298333333333</v>
      </c>
      <c r="L69" s="18">
        <f t="shared" si="44"/>
        <v>3.032055</v>
      </c>
      <c r="M69" s="13" t="s">
        <v>110</v>
      </c>
      <c r="N69" s="13"/>
      <c r="O69" s="18">
        <f t="shared" si="56"/>
        <v>6.03033034505451</v>
      </c>
      <c r="P69" s="18">
        <f t="shared" si="45"/>
        <v>0.18484822791169</v>
      </c>
      <c r="Q69" s="24">
        <f t="shared" si="46"/>
        <v>0.05360598609439</v>
      </c>
      <c r="R69" s="18">
        <f t="shared" si="47"/>
        <v>0.87929595</v>
      </c>
      <c r="S69" s="25">
        <f t="shared" si="48"/>
        <v>0.0609646684877713</v>
      </c>
      <c r="T69" s="3">
        <v>0.27</v>
      </c>
      <c r="U69" s="26">
        <f t="shared" si="49"/>
        <v>0.0164604604916983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0.229598267473537</v>
      </c>
      <c r="AC69" s="29">
        <f t="shared" si="51"/>
        <v>11.2298333333333</v>
      </c>
      <c r="AD69" s="1">
        <f t="shared" si="52"/>
        <v>0.29</v>
      </c>
      <c r="AE69" s="30">
        <f t="shared" si="53"/>
        <v>34.279698630137</v>
      </c>
      <c r="AF69" s="1">
        <f t="shared" si="54"/>
        <v>883850.704704847</v>
      </c>
      <c r="AG69" s="1">
        <f>SUM(AF58:AF69)</f>
        <v>12369224.2523435</v>
      </c>
    </row>
    <row r="70" s="1" customFormat="1" spans="1:46">
      <c r="A70" s="13"/>
      <c r="B70" s="13"/>
      <c r="C70" s="16">
        <v>12</v>
      </c>
      <c r="D70" s="19">
        <v>-0.746535495709677</v>
      </c>
      <c r="E70" s="20">
        <f t="shared" si="55"/>
        <v>4.39721156883333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v>625.464</v>
      </c>
      <c r="C74" s="16" t="s">
        <v>109</v>
      </c>
      <c r="D74" s="17">
        <v>-3</v>
      </c>
      <c r="E74" s="16"/>
      <c r="F74" s="16"/>
      <c r="G74" s="13">
        <v>1</v>
      </c>
      <c r="H74" s="18">
        <f t="shared" ref="H74:H85" si="57">E75</f>
        <v>-3</v>
      </c>
      <c r="I74" s="18">
        <f t="shared" ref="I74:I85" si="58">H74+273.15</f>
        <v>270.15</v>
      </c>
      <c r="J74" s="18">
        <f t="shared" ref="J74:J85" si="59">EXP(($C$16*(I74-$C$14))/($C$17*I74*$C$14))</f>
        <v>0.0117298241675131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0.00611381895259119</v>
      </c>
      <c r="Q74" s="24">
        <f t="shared" ref="Q74:Q85" si="63">P74*$B$76</f>
        <v>0.00158959292767371</v>
      </c>
      <c r="R74" s="18">
        <f t="shared" ref="R74:R85" si="64">L74*$B$76</f>
        <v>0.1355172</v>
      </c>
      <c r="S74" s="25">
        <f t="shared" ref="S74:S85" si="65">Q74/R74</f>
        <v>0.0117298241675131</v>
      </c>
      <c r="T74" s="3">
        <v>0.01</v>
      </c>
      <c r="U74" s="26">
        <f t="shared" ref="U74:U85" si="66">S74*T74</f>
        <v>0.000117298241675131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0.00560729824167513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0.00333333333333333</v>
      </c>
      <c r="AX74" s="1">
        <f t="shared" ref="AX74:AX85" si="72">AW74*10000*AV74*0.67*AU74*AT74</f>
        <v>1.69707729791805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-4.81975286329032</v>
      </c>
      <c r="E75" s="20">
        <f t="shared" ref="E75:E86" si="73">D74</f>
        <v>-3</v>
      </c>
      <c r="F75" s="16" t="s">
        <v>110</v>
      </c>
      <c r="G75" s="13">
        <v>2</v>
      </c>
      <c r="H75" s="18">
        <f t="shared" si="57"/>
        <v>-4.81975286329032</v>
      </c>
      <c r="I75" s="18">
        <f t="shared" si="58"/>
        <v>268.33024713671</v>
      </c>
      <c r="J75" s="18">
        <f t="shared" si="59"/>
        <v>0.0091862260935558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1.03632618104741</v>
      </c>
      <c r="P75" s="18">
        <f t="shared" si="62"/>
        <v>0.00951992660577274</v>
      </c>
      <c r="Q75" s="24">
        <f t="shared" si="63"/>
        <v>0.00247518091750091</v>
      </c>
      <c r="R75" s="18">
        <f t="shared" si="64"/>
        <v>0.1355172</v>
      </c>
      <c r="S75" s="25">
        <f t="shared" si="65"/>
        <v>0.0182646993702712</v>
      </c>
      <c r="T75" s="3">
        <v>0.01</v>
      </c>
      <c r="U75" s="26">
        <f t="shared" si="66"/>
        <v>0.000182646993702712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0.00567264699370271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0.00333333333333333</v>
      </c>
      <c r="AX75" s="1">
        <f t="shared" si="72"/>
        <v>1.71685542969085</v>
      </c>
    </row>
    <row r="76" s="1" customFormat="1" spans="1:50">
      <c r="A76" s="13" t="s">
        <v>73</v>
      </c>
      <c r="B76" s="13">
        <v>0.26</v>
      </c>
      <c r="C76" s="16">
        <v>2</v>
      </c>
      <c r="D76" s="19">
        <v>0.606586349586207</v>
      </c>
      <c r="E76" s="20">
        <f t="shared" si="73"/>
        <v>-4.81975286329032</v>
      </c>
      <c r="F76" s="16" t="s">
        <v>110</v>
      </c>
      <c r="G76" s="13">
        <v>3</v>
      </c>
      <c r="H76" s="18">
        <f t="shared" si="57"/>
        <v>0.606586349586207</v>
      </c>
      <c r="I76" s="18">
        <f t="shared" si="58"/>
        <v>273.756586349586</v>
      </c>
      <c r="J76" s="18">
        <f t="shared" si="59"/>
        <v>0.0188586083073694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1.54802625444164</v>
      </c>
      <c r="P76" s="18">
        <f t="shared" si="62"/>
        <v>0.0291936207820389</v>
      </c>
      <c r="Q76" s="24">
        <f t="shared" si="63"/>
        <v>0.00759034140333011</v>
      </c>
      <c r="R76" s="18">
        <f t="shared" si="64"/>
        <v>0.1355172</v>
      </c>
      <c r="S76" s="25">
        <f t="shared" si="65"/>
        <v>0.0560101699513428</v>
      </c>
      <c r="T76" s="3">
        <v>0.01</v>
      </c>
      <c r="U76" s="26">
        <f t="shared" si="66"/>
        <v>0.000560101699513428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0.00605010169951343</v>
      </c>
      <c r="AU76" s="29">
        <f t="shared" si="70"/>
        <v>52.122</v>
      </c>
      <c r="AV76" s="1">
        <f t="shared" si="71"/>
        <v>0.26</v>
      </c>
      <c r="AW76" s="2">
        <f t="shared" si="75"/>
        <v>0.00333333333333333</v>
      </c>
      <c r="AX76" s="1">
        <f t="shared" si="72"/>
        <v>1.83109401387437</v>
      </c>
    </row>
    <row r="77" s="1" customFormat="1" spans="1:50">
      <c r="A77" s="13"/>
      <c r="B77" s="13"/>
      <c r="C77" s="16">
        <v>3</v>
      </c>
      <c r="D77" s="19">
        <v>9.09830243264516</v>
      </c>
      <c r="E77" s="20">
        <f t="shared" si="73"/>
        <v>0.606586349586207</v>
      </c>
      <c r="F77" s="16" t="s">
        <v>110</v>
      </c>
      <c r="G77" s="13">
        <v>4</v>
      </c>
      <c r="H77" s="18">
        <f t="shared" si="57"/>
        <v>9.09830243264516</v>
      </c>
      <c r="I77" s="18">
        <f t="shared" si="58"/>
        <v>282.248302432645</v>
      </c>
      <c r="J77" s="18">
        <f t="shared" si="59"/>
        <v>0.0549842722931842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2.0400526336596</v>
      </c>
      <c r="P77" s="18">
        <f t="shared" si="62"/>
        <v>0.112170809501567</v>
      </c>
      <c r="Q77" s="24">
        <f t="shared" si="63"/>
        <v>0.0291644104704074</v>
      </c>
      <c r="R77" s="18">
        <f t="shared" si="64"/>
        <v>0.1355172</v>
      </c>
      <c r="S77" s="25">
        <f t="shared" si="65"/>
        <v>0.215208183687439</v>
      </c>
      <c r="T77" s="3">
        <v>0.01</v>
      </c>
      <c r="U77" s="26">
        <f t="shared" si="66"/>
        <v>0.00215208183687439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0.00764208183687439</v>
      </c>
      <c r="AU77" s="29">
        <f t="shared" si="70"/>
        <v>52.122</v>
      </c>
      <c r="AV77" s="1">
        <f t="shared" si="71"/>
        <v>0.26</v>
      </c>
      <c r="AW77" s="2">
        <f t="shared" si="75"/>
        <v>0.00333333333333333</v>
      </c>
      <c r="AX77" s="1">
        <f t="shared" si="72"/>
        <v>2.31291488970577</v>
      </c>
    </row>
    <row r="78" s="1" customFormat="1" spans="1:50">
      <c r="A78" s="13"/>
      <c r="B78" s="13"/>
      <c r="C78" s="16">
        <v>4</v>
      </c>
      <c r="D78" s="19">
        <v>16.942681829</v>
      </c>
      <c r="E78" s="20">
        <f t="shared" si="73"/>
        <v>9.09830243264516</v>
      </c>
      <c r="F78" s="16" t="s">
        <v>110</v>
      </c>
      <c r="G78" s="13">
        <v>5</v>
      </c>
      <c r="H78" s="18">
        <f t="shared" si="57"/>
        <v>16.942681829</v>
      </c>
      <c r="I78" s="18">
        <f t="shared" si="58"/>
        <v>290.092681829</v>
      </c>
      <c r="J78" s="18">
        <f t="shared" si="59"/>
        <v>0.139754207154712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1.83148773295013</v>
      </c>
      <c r="O78" s="18">
        <f t="shared" si="74"/>
        <v>0.617614091207902</v>
      </c>
      <c r="P78" s="18">
        <f t="shared" si="62"/>
        <v>0.0863141676443384</v>
      </c>
      <c r="Q78" s="24">
        <f t="shared" si="63"/>
        <v>0.022441683587528</v>
      </c>
      <c r="R78" s="18">
        <f t="shared" si="64"/>
        <v>0.1355172</v>
      </c>
      <c r="S78" s="25">
        <f t="shared" si="65"/>
        <v>0.165600260243925</v>
      </c>
      <c r="T78" s="3">
        <v>0.01</v>
      </c>
      <c r="U78" s="26">
        <f t="shared" si="66"/>
        <v>0.00165600260243925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0.0116060026024392</v>
      </c>
      <c r="AU78" s="29">
        <f t="shared" si="70"/>
        <v>52.122</v>
      </c>
      <c r="AV78" s="1">
        <f t="shared" si="71"/>
        <v>0.26</v>
      </c>
      <c r="AW78" s="2">
        <f t="shared" si="75"/>
        <v>0.00333333333333333</v>
      </c>
      <c r="AX78" s="1">
        <f t="shared" si="72"/>
        <v>3.51261564612144</v>
      </c>
    </row>
    <row r="79" s="1" customFormat="1" spans="1:50">
      <c r="A79" s="13"/>
      <c r="B79" s="13"/>
      <c r="C79" s="16">
        <v>5</v>
      </c>
      <c r="D79" s="19">
        <v>21.4575999906452</v>
      </c>
      <c r="E79" s="20">
        <f t="shared" si="73"/>
        <v>16.942681829</v>
      </c>
      <c r="F79" s="16" t="s">
        <v>112</v>
      </c>
      <c r="G79" s="13">
        <v>6</v>
      </c>
      <c r="H79" s="18">
        <f t="shared" si="57"/>
        <v>21.4575999906452</v>
      </c>
      <c r="I79" s="18">
        <f t="shared" si="58"/>
        <v>294.607599990645</v>
      </c>
      <c r="J79" s="18">
        <f t="shared" si="59"/>
        <v>0.233753286467252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1.05251992356356</v>
      </c>
      <c r="P79" s="18">
        <f t="shared" si="62"/>
        <v>0.246029991205244</v>
      </c>
      <c r="Q79" s="24">
        <f t="shared" si="63"/>
        <v>0.0639677977133635</v>
      </c>
      <c r="R79" s="18">
        <f t="shared" si="64"/>
        <v>0.1355172</v>
      </c>
      <c r="S79" s="25">
        <f t="shared" si="65"/>
        <v>0.472027150157792</v>
      </c>
      <c r="T79" s="3">
        <v>0.01</v>
      </c>
      <c r="U79" s="26">
        <f t="shared" si="66"/>
        <v>0.00472027150157792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0.0146702715015779</v>
      </c>
      <c r="AU79" s="29">
        <f t="shared" si="70"/>
        <v>52.122</v>
      </c>
      <c r="AV79" s="1">
        <f t="shared" si="71"/>
        <v>0.26</v>
      </c>
      <c r="AW79" s="2">
        <f t="shared" si="75"/>
        <v>0.00333333333333333</v>
      </c>
      <c r="AX79" s="1">
        <f t="shared" si="72"/>
        <v>4.44003219493178</v>
      </c>
    </row>
    <row r="80" s="1" customFormat="1" spans="1:50">
      <c r="A80" s="13"/>
      <c r="B80" s="13"/>
      <c r="C80" s="16">
        <v>6</v>
      </c>
      <c r="D80" s="19">
        <v>25.6240812193333</v>
      </c>
      <c r="E80" s="20">
        <f t="shared" si="73"/>
        <v>21.4575999906452</v>
      </c>
      <c r="F80" s="16" t="s">
        <v>110</v>
      </c>
      <c r="G80" s="13">
        <v>7</v>
      </c>
      <c r="H80" s="18">
        <f t="shared" si="57"/>
        <v>25.6240812193333</v>
      </c>
      <c r="I80" s="18">
        <f t="shared" si="58"/>
        <v>298.774081219333</v>
      </c>
      <c r="J80" s="18">
        <f t="shared" si="59"/>
        <v>0.370612608386315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1.32770993235832</v>
      </c>
      <c r="P80" s="18">
        <f t="shared" si="62"/>
        <v>0.492066041211735</v>
      </c>
      <c r="Q80" s="24">
        <f t="shared" si="63"/>
        <v>0.127937170715051</v>
      </c>
      <c r="R80" s="18">
        <f t="shared" si="64"/>
        <v>0.1355172</v>
      </c>
      <c r="S80" s="25">
        <f t="shared" si="65"/>
        <v>0.944065924584119</v>
      </c>
      <c r="T80" s="3">
        <v>0.01</v>
      </c>
      <c r="U80" s="26">
        <f t="shared" si="66"/>
        <v>0.0094406592458412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0.0193906592458412</v>
      </c>
      <c r="AU80" s="29">
        <f t="shared" si="70"/>
        <v>52.122</v>
      </c>
      <c r="AV80" s="1">
        <f t="shared" si="71"/>
        <v>0.26</v>
      </c>
      <c r="AW80" s="2">
        <f t="shared" si="75"/>
        <v>0.00333333333333333</v>
      </c>
      <c r="AX80" s="1">
        <f t="shared" si="72"/>
        <v>5.86868152530281</v>
      </c>
    </row>
    <row r="81" s="1" customFormat="1" spans="1:50">
      <c r="A81" s="13"/>
      <c r="B81" s="13"/>
      <c r="C81" s="16">
        <v>7</v>
      </c>
      <c r="D81" s="19">
        <v>27.5375997558065</v>
      </c>
      <c r="E81" s="20">
        <f t="shared" si="73"/>
        <v>25.6240812193333</v>
      </c>
      <c r="F81" s="16" t="s">
        <v>110</v>
      </c>
      <c r="G81" s="13">
        <v>8</v>
      </c>
      <c r="H81" s="18">
        <f t="shared" si="57"/>
        <v>27.5375997558065</v>
      </c>
      <c r="I81" s="18">
        <f t="shared" si="58"/>
        <v>300.687599755807</v>
      </c>
      <c r="J81" s="18">
        <f t="shared" si="59"/>
        <v>0.456025340849576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1.35686389114658</v>
      </c>
      <c r="P81" s="18">
        <f t="shared" si="62"/>
        <v>0.618764318446603</v>
      </c>
      <c r="Q81" s="24">
        <f t="shared" si="63"/>
        <v>0.160878722796117</v>
      </c>
      <c r="R81" s="18">
        <f t="shared" si="64"/>
        <v>0.1355172</v>
      </c>
      <c r="S81" s="25">
        <f t="shared" si="65"/>
        <v>1.18714615411266</v>
      </c>
      <c r="T81" s="3">
        <v>0.01</v>
      </c>
      <c r="U81" s="26">
        <f t="shared" si="66"/>
        <v>0.0118714615411266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0.0218214615411266</v>
      </c>
      <c r="AU81" s="29">
        <f t="shared" si="70"/>
        <v>52.122</v>
      </c>
      <c r="AV81" s="1">
        <f t="shared" si="71"/>
        <v>0.26</v>
      </c>
      <c r="AW81" s="2">
        <f t="shared" si="75"/>
        <v>0.00333333333333333</v>
      </c>
      <c r="AX81" s="1">
        <f t="shared" si="72"/>
        <v>6.6043761884466</v>
      </c>
    </row>
    <row r="82" s="1" customFormat="1" spans="1:50">
      <c r="A82" s="13"/>
      <c r="B82" s="13"/>
      <c r="C82" s="16">
        <v>8</v>
      </c>
      <c r="D82" s="19">
        <v>26.4833639674194</v>
      </c>
      <c r="E82" s="20">
        <f t="shared" si="73"/>
        <v>27.5375997558065</v>
      </c>
      <c r="F82" s="16" t="s">
        <v>110</v>
      </c>
      <c r="G82" s="13">
        <v>9</v>
      </c>
      <c r="H82" s="18">
        <f t="shared" si="57"/>
        <v>26.4833639674194</v>
      </c>
      <c r="I82" s="18">
        <f t="shared" si="58"/>
        <v>299.633363967419</v>
      </c>
      <c r="J82" s="18">
        <f t="shared" si="59"/>
        <v>0.406919682810868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1.25931957269998</v>
      </c>
      <c r="P82" s="18">
        <f t="shared" si="62"/>
        <v>0.512441921080595</v>
      </c>
      <c r="Q82" s="24">
        <f t="shared" si="63"/>
        <v>0.133234899480955</v>
      </c>
      <c r="R82" s="18">
        <f t="shared" si="64"/>
        <v>0.1355172</v>
      </c>
      <c r="S82" s="25">
        <f t="shared" si="65"/>
        <v>0.983158591536385</v>
      </c>
      <c r="T82" s="3">
        <v>0.01</v>
      </c>
      <c r="U82" s="26">
        <f t="shared" si="66"/>
        <v>0.00983158591536385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0.0197815859153639</v>
      </c>
      <c r="AU82" s="29">
        <f t="shared" si="70"/>
        <v>52.122</v>
      </c>
      <c r="AV82" s="1">
        <f t="shared" si="71"/>
        <v>0.26</v>
      </c>
      <c r="AW82" s="2">
        <f t="shared" si="75"/>
        <v>0.00333333333333333</v>
      </c>
      <c r="AX82" s="1">
        <f t="shared" si="72"/>
        <v>5.98699746774134</v>
      </c>
    </row>
    <row r="83" s="1" customFormat="1" spans="1:50">
      <c r="A83" s="13"/>
      <c r="B83" s="13"/>
      <c r="C83" s="16">
        <v>9</v>
      </c>
      <c r="D83" s="19">
        <v>21.832341922</v>
      </c>
      <c r="E83" s="20">
        <f t="shared" si="73"/>
        <v>26.4833639674194</v>
      </c>
      <c r="F83" s="16" t="s">
        <v>110</v>
      </c>
      <c r="G83" s="13">
        <v>10</v>
      </c>
      <c r="H83" s="18">
        <f t="shared" si="57"/>
        <v>21.832341922</v>
      </c>
      <c r="I83" s="18">
        <f t="shared" si="58"/>
        <v>294.982341922</v>
      </c>
      <c r="J83" s="18">
        <f t="shared" si="59"/>
        <v>0.243776683521301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1.26809765161939</v>
      </c>
      <c r="P83" s="18">
        <f t="shared" si="62"/>
        <v>0.309132639892924</v>
      </c>
      <c r="Q83" s="24">
        <f t="shared" si="63"/>
        <v>0.0803744863721603</v>
      </c>
      <c r="R83" s="18">
        <f t="shared" si="64"/>
        <v>0.1355172</v>
      </c>
      <c r="S83" s="25">
        <f t="shared" si="65"/>
        <v>0.593094355345006</v>
      </c>
      <c r="T83" s="3">
        <v>0.01</v>
      </c>
      <c r="U83" s="26">
        <f t="shared" si="66"/>
        <v>0.00593094355345006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0.0114209435534501</v>
      </c>
      <c r="AU83" s="29">
        <f t="shared" si="70"/>
        <v>52.122</v>
      </c>
      <c r="AV83" s="1">
        <f t="shared" si="71"/>
        <v>0.26</v>
      </c>
      <c r="AW83" s="2">
        <f t="shared" si="75"/>
        <v>0.00333333333333333</v>
      </c>
      <c r="AX83" s="1">
        <f t="shared" si="72"/>
        <v>3.45660658484492</v>
      </c>
    </row>
    <row r="84" s="1" customFormat="1" spans="1:50">
      <c r="A84" s="13"/>
      <c r="B84" s="13"/>
      <c r="C84" s="16">
        <v>10</v>
      </c>
      <c r="D84" s="19">
        <v>13.5949064161613</v>
      </c>
      <c r="E84" s="20">
        <f t="shared" si="73"/>
        <v>21.832341922</v>
      </c>
      <c r="F84" s="16" t="s">
        <v>110</v>
      </c>
      <c r="G84" s="13">
        <v>11</v>
      </c>
      <c r="H84" s="18">
        <f t="shared" si="57"/>
        <v>13.5949064161613</v>
      </c>
      <c r="I84" s="18">
        <f t="shared" si="58"/>
        <v>286.744906416161</v>
      </c>
      <c r="J84" s="18">
        <f t="shared" si="59"/>
        <v>0.0944449761369923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0.91101676114014</v>
      </c>
      <c r="O84" s="18">
        <f t="shared" si="74"/>
        <v>0.569168250586323</v>
      </c>
      <c r="P84" s="18">
        <f t="shared" si="62"/>
        <v>0.0537550818445589</v>
      </c>
      <c r="Q84" s="24">
        <f t="shared" si="63"/>
        <v>0.0139763212795853</v>
      </c>
      <c r="R84" s="18">
        <f t="shared" si="64"/>
        <v>0.1355172</v>
      </c>
      <c r="S84" s="25">
        <f t="shared" si="65"/>
        <v>0.10313319106051</v>
      </c>
      <c r="T84" s="3">
        <v>0.01</v>
      </c>
      <c r="U84" s="26">
        <f t="shared" si="66"/>
        <v>0.0010313319106051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0.0065213319106051</v>
      </c>
      <c r="AU84" s="29">
        <f t="shared" si="70"/>
        <v>52.122</v>
      </c>
      <c r="AV84" s="1">
        <f t="shared" si="71"/>
        <v>0.26</v>
      </c>
      <c r="AW84" s="2">
        <f t="shared" si="75"/>
        <v>0.00333333333333333</v>
      </c>
      <c r="AX84" s="1">
        <f t="shared" si="72"/>
        <v>1.97371423111074</v>
      </c>
    </row>
    <row r="85" s="1" customFormat="1" spans="1:51">
      <c r="A85" s="13"/>
      <c r="B85" s="13"/>
      <c r="C85" s="16">
        <v>11</v>
      </c>
      <c r="D85" s="19">
        <v>4.39721156883333</v>
      </c>
      <c r="E85" s="20">
        <f t="shared" si="73"/>
        <v>13.5949064161613</v>
      </c>
      <c r="F85" s="16" t="s">
        <v>112</v>
      </c>
      <c r="G85" s="13">
        <v>12</v>
      </c>
      <c r="H85" s="18">
        <f t="shared" si="57"/>
        <v>4.39721156883333</v>
      </c>
      <c r="I85" s="18">
        <f t="shared" si="58"/>
        <v>277.547211568833</v>
      </c>
      <c r="J85" s="18">
        <f t="shared" si="59"/>
        <v>0.0306530848783905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1.03663316874176</v>
      </c>
      <c r="P85" s="18">
        <f t="shared" si="62"/>
        <v>0.0317760045091962</v>
      </c>
      <c r="Q85" s="24">
        <f t="shared" si="63"/>
        <v>0.00826176117239101</v>
      </c>
      <c r="R85" s="18">
        <f t="shared" si="64"/>
        <v>0.1355172</v>
      </c>
      <c r="S85" s="25">
        <f t="shared" si="65"/>
        <v>0.0609646684877713</v>
      </c>
      <c r="T85" s="3">
        <v>0.01</v>
      </c>
      <c r="U85" s="26">
        <f t="shared" si="66"/>
        <v>0.000609646684877713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0.00609964668487771</v>
      </c>
      <c r="AU85" s="29">
        <f t="shared" si="70"/>
        <v>52.122</v>
      </c>
      <c r="AV85" s="1">
        <f t="shared" si="71"/>
        <v>0.26</v>
      </c>
      <c r="AW85" s="2">
        <f t="shared" si="75"/>
        <v>0.00333333333333333</v>
      </c>
      <c r="AX85" s="1">
        <f t="shared" si="72"/>
        <v>1.8460890553834</v>
      </c>
      <c r="AY85" s="1">
        <f>SUM(AX74:AX85)</f>
        <v>41.2470545250721</v>
      </c>
    </row>
    <row r="86" s="1" customFormat="1" spans="1:46">
      <c r="A86" s="13"/>
      <c r="B86" s="13"/>
      <c r="C86" s="16">
        <v>12</v>
      </c>
      <c r="D86" s="19">
        <v>-0.746535495709677</v>
      </c>
      <c r="E86" s="20">
        <f t="shared" si="73"/>
        <v>4.39721156883333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v>341.64</v>
      </c>
      <c r="C90" s="16" t="s">
        <v>109</v>
      </c>
      <c r="D90" s="17">
        <v>-3</v>
      </c>
      <c r="E90" s="16"/>
      <c r="F90" s="16"/>
      <c r="G90" s="13">
        <v>1</v>
      </c>
      <c r="H90" s="18">
        <f t="shared" ref="H90:H101" si="76">E91</f>
        <v>-3</v>
      </c>
      <c r="I90" s="18">
        <f t="shared" ref="I90:I101" si="77">H90+273.15</f>
        <v>270.15</v>
      </c>
      <c r="J90" s="18">
        <f t="shared" ref="J90:J101" si="78">EXP(($C$16*(I90-$C$14))/($C$17*I90*$C$14))</f>
        <v>0.0117298241675131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0.00333948094049099</v>
      </c>
      <c r="Q90" s="24">
        <f t="shared" ref="Q90:Q101" si="82">P90*$B$76</f>
        <v>0.000868265044527657</v>
      </c>
      <c r="R90" s="18">
        <f t="shared" ref="R90:R101" si="83">L90*$B$76</f>
        <v>0.074022</v>
      </c>
      <c r="S90" s="25">
        <f t="shared" ref="S90:S101" si="84">Q90/R90</f>
        <v>0.0117298241675131</v>
      </c>
      <c r="T90" s="3">
        <v>0.01</v>
      </c>
      <c r="U90" s="26">
        <f t="shared" ref="U90:U101" si="85">S90*T90</f>
        <v>0.000117298241675131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0.00560729824167513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0.0591666666666667</v>
      </c>
      <c r="AX90" s="1">
        <f t="shared" ref="AX90:AX101" si="91">AW90*10000*AV90*0.67*AU90*AT90</f>
        <v>16.4538061552348</v>
      </c>
      <c r="AZ90" s="2">
        <f>$E$10/12</f>
        <v>0.0025</v>
      </c>
      <c r="BA90" s="1">
        <f t="shared" ref="BA90:BA101" si="92">AZ90*10000*AV90*0.67*AU90*AT90</f>
        <v>0.695231245995838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-4.81975286329032</v>
      </c>
      <c r="E91" s="20">
        <f t="shared" ref="E91:E102" si="93">D90</f>
        <v>-3</v>
      </c>
      <c r="F91" s="16" t="s">
        <v>110</v>
      </c>
      <c r="G91" s="13">
        <v>2</v>
      </c>
      <c r="H91" s="18">
        <f t="shared" si="76"/>
        <v>-4.81975286329032</v>
      </c>
      <c r="I91" s="18">
        <f t="shared" si="77"/>
        <v>268.33024713671</v>
      </c>
      <c r="J91" s="18">
        <f t="shared" si="78"/>
        <v>0.0091862260935558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0.566060519059509</v>
      </c>
      <c r="P91" s="18">
        <f t="shared" si="81"/>
        <v>0.0051999599107162</v>
      </c>
      <c r="Q91" s="24">
        <f t="shared" si="82"/>
        <v>0.00135198957678621</v>
      </c>
      <c r="R91" s="18">
        <f t="shared" si="83"/>
        <v>0.074022</v>
      </c>
      <c r="S91" s="25">
        <f t="shared" si="84"/>
        <v>0.0182646993702712</v>
      </c>
      <c r="T91" s="3">
        <v>0.01</v>
      </c>
      <c r="U91" s="26">
        <f t="shared" si="85"/>
        <v>0.000182646993702712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0.00567264699370271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0.0591666666666667</v>
      </c>
      <c r="AX91" s="1">
        <f t="shared" si="91"/>
        <v>16.6455626218977</v>
      </c>
      <c r="AZ91" s="2">
        <f t="shared" ref="AZ91:AZ101" si="96">$E$10/12</f>
        <v>0.0025</v>
      </c>
      <c r="BA91" s="1">
        <f t="shared" si="92"/>
        <v>0.703333631911169</v>
      </c>
    </row>
    <row r="92" s="1" customFormat="1" spans="1:53">
      <c r="A92" s="13" t="s">
        <v>73</v>
      </c>
      <c r="B92" s="13">
        <v>0.26</v>
      </c>
      <c r="C92" s="16">
        <v>2</v>
      </c>
      <c r="D92" s="19">
        <v>0.606586349586207</v>
      </c>
      <c r="E92" s="20">
        <f t="shared" si="93"/>
        <v>-4.81975286329032</v>
      </c>
      <c r="F92" s="16" t="s">
        <v>110</v>
      </c>
      <c r="G92" s="13">
        <v>3</v>
      </c>
      <c r="H92" s="18">
        <f t="shared" si="76"/>
        <v>0.606586349586207</v>
      </c>
      <c r="I92" s="18">
        <f t="shared" si="77"/>
        <v>273.756586349586</v>
      </c>
      <c r="J92" s="18">
        <f t="shared" si="78"/>
        <v>0.0188586083073694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0.845560559148793</v>
      </c>
      <c r="P92" s="18">
        <f t="shared" si="81"/>
        <v>0.0159460953851473</v>
      </c>
      <c r="Q92" s="24">
        <f t="shared" si="82"/>
        <v>0.0041459848001383</v>
      </c>
      <c r="R92" s="18">
        <f t="shared" si="83"/>
        <v>0.074022</v>
      </c>
      <c r="S92" s="25">
        <f t="shared" si="84"/>
        <v>0.0560101699513428</v>
      </c>
      <c r="T92" s="3">
        <v>0.01</v>
      </c>
      <c r="U92" s="26">
        <f t="shared" si="85"/>
        <v>0.000560101699513428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0.00605010169951343</v>
      </c>
      <c r="AU92" s="29">
        <f t="shared" si="89"/>
        <v>28.47</v>
      </c>
      <c r="AV92" s="1">
        <f t="shared" si="90"/>
        <v>0.26</v>
      </c>
      <c r="AW92" s="2">
        <f t="shared" si="95"/>
        <v>0.0591666666666667</v>
      </c>
      <c r="AX92" s="1">
        <f t="shared" si="91"/>
        <v>17.7531488950215</v>
      </c>
      <c r="AZ92" s="2">
        <f t="shared" si="96"/>
        <v>0.0025</v>
      </c>
      <c r="BA92" s="1">
        <f t="shared" si="92"/>
        <v>0.750133051902317</v>
      </c>
    </row>
    <row r="93" s="1" customFormat="1" spans="1:53">
      <c r="A93" s="13"/>
      <c r="B93" s="13"/>
      <c r="C93" s="16">
        <v>3</v>
      </c>
      <c r="D93" s="19">
        <v>9.09830243264516</v>
      </c>
      <c r="E93" s="20">
        <f t="shared" si="93"/>
        <v>0.606586349586207</v>
      </c>
      <c r="F93" s="16" t="s">
        <v>110</v>
      </c>
      <c r="G93" s="13">
        <v>4</v>
      </c>
      <c r="H93" s="18">
        <f t="shared" si="76"/>
        <v>9.09830243264516</v>
      </c>
      <c r="I93" s="18">
        <f t="shared" si="77"/>
        <v>282.248302432645</v>
      </c>
      <c r="J93" s="18">
        <f t="shared" si="78"/>
        <v>0.0549842722931842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1.11431446376365</v>
      </c>
      <c r="P93" s="18">
        <f t="shared" si="81"/>
        <v>0.0612697698958139</v>
      </c>
      <c r="Q93" s="24">
        <f t="shared" si="82"/>
        <v>0.0159301401729116</v>
      </c>
      <c r="R93" s="18">
        <f t="shared" si="83"/>
        <v>0.074022</v>
      </c>
      <c r="S93" s="25">
        <f t="shared" si="84"/>
        <v>0.215208183687439</v>
      </c>
      <c r="T93" s="3">
        <v>0.01</v>
      </c>
      <c r="U93" s="26">
        <f t="shared" si="85"/>
        <v>0.00215208183687439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0.00764208183687439</v>
      </c>
      <c r="AU93" s="29">
        <f t="shared" si="89"/>
        <v>28.47</v>
      </c>
      <c r="AV93" s="1">
        <f t="shared" si="90"/>
        <v>0.26</v>
      </c>
      <c r="AW93" s="2">
        <f t="shared" si="95"/>
        <v>0.0591666666666667</v>
      </c>
      <c r="AX93" s="1">
        <f t="shared" si="91"/>
        <v>22.4245844873784</v>
      </c>
      <c r="AZ93" s="2">
        <f t="shared" si="96"/>
        <v>0.0025</v>
      </c>
      <c r="BA93" s="1">
        <f t="shared" si="92"/>
        <v>0.94751765439627</v>
      </c>
    </row>
    <row r="94" s="1" customFormat="1" spans="1:53">
      <c r="A94" s="13"/>
      <c r="B94" s="13"/>
      <c r="C94" s="16">
        <v>4</v>
      </c>
      <c r="D94" s="19">
        <v>16.942681829</v>
      </c>
      <c r="E94" s="20">
        <f t="shared" si="93"/>
        <v>9.09830243264516</v>
      </c>
      <c r="F94" s="16" t="s">
        <v>110</v>
      </c>
      <c r="G94" s="13">
        <v>5</v>
      </c>
      <c r="H94" s="18">
        <f t="shared" si="76"/>
        <v>16.942681829</v>
      </c>
      <c r="I94" s="18">
        <f t="shared" si="77"/>
        <v>290.092681829</v>
      </c>
      <c r="J94" s="18">
        <f t="shared" si="78"/>
        <v>0.139754207154712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1.00039245917444</v>
      </c>
      <c r="O94" s="18">
        <f t="shared" si="94"/>
        <v>0.337352234693391</v>
      </c>
      <c r="P94" s="18">
        <f t="shared" si="81"/>
        <v>0.0471463940914453</v>
      </c>
      <c r="Q94" s="24">
        <f t="shared" si="82"/>
        <v>0.0122580624637758</v>
      </c>
      <c r="R94" s="18">
        <f t="shared" si="83"/>
        <v>0.074022</v>
      </c>
      <c r="S94" s="25">
        <f t="shared" si="84"/>
        <v>0.165600260243925</v>
      </c>
      <c r="T94" s="3">
        <v>0.01</v>
      </c>
      <c r="U94" s="26">
        <f t="shared" si="85"/>
        <v>0.00165600260243925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0.0116060026024392</v>
      </c>
      <c r="AU94" s="29">
        <f t="shared" si="89"/>
        <v>28.47</v>
      </c>
      <c r="AV94" s="1">
        <f t="shared" si="90"/>
        <v>0.26</v>
      </c>
      <c r="AW94" s="2">
        <f t="shared" si="95"/>
        <v>0.0591666666666667</v>
      </c>
      <c r="AX94" s="1">
        <f t="shared" si="91"/>
        <v>34.0561369891817</v>
      </c>
      <c r="AZ94" s="2">
        <f t="shared" si="96"/>
        <v>0.0025</v>
      </c>
      <c r="BA94" s="1">
        <f t="shared" si="92"/>
        <v>1.43899170376824</v>
      </c>
    </row>
    <row r="95" s="1" customFormat="1" spans="1:53">
      <c r="A95" s="13"/>
      <c r="B95" s="13"/>
      <c r="C95" s="16">
        <v>5</v>
      </c>
      <c r="D95" s="19">
        <v>21.4575999906452</v>
      </c>
      <c r="E95" s="20">
        <f t="shared" si="93"/>
        <v>16.942681829</v>
      </c>
      <c r="F95" s="16" t="s">
        <v>112</v>
      </c>
      <c r="G95" s="13">
        <v>6</v>
      </c>
      <c r="H95" s="18">
        <f t="shared" si="76"/>
        <v>21.4575999906452</v>
      </c>
      <c r="I95" s="18">
        <f t="shared" si="77"/>
        <v>294.607599990645</v>
      </c>
      <c r="J95" s="18">
        <f t="shared" si="78"/>
        <v>0.233753286467252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0.574905840601946</v>
      </c>
      <c r="P95" s="18">
        <f t="shared" si="81"/>
        <v>0.134386129649923</v>
      </c>
      <c r="Q95" s="24">
        <f t="shared" si="82"/>
        <v>0.03494039370898</v>
      </c>
      <c r="R95" s="18">
        <f t="shared" si="83"/>
        <v>0.074022</v>
      </c>
      <c r="S95" s="25">
        <f t="shared" si="84"/>
        <v>0.472027150157792</v>
      </c>
      <c r="T95" s="3">
        <v>0.01</v>
      </c>
      <c r="U95" s="26">
        <f t="shared" si="85"/>
        <v>0.00472027150157792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0.0146702715015779</v>
      </c>
      <c r="AU95" s="29">
        <f t="shared" si="89"/>
        <v>28.47</v>
      </c>
      <c r="AV95" s="1">
        <f t="shared" si="90"/>
        <v>0.26</v>
      </c>
      <c r="AW95" s="2">
        <f t="shared" si="95"/>
        <v>0.0591666666666667</v>
      </c>
      <c r="AX95" s="1">
        <f t="shared" si="91"/>
        <v>43.0477911336348</v>
      </c>
      <c r="AZ95" s="2">
        <f t="shared" si="96"/>
        <v>0.0025</v>
      </c>
      <c r="BA95" s="1">
        <f t="shared" si="92"/>
        <v>1.81892075212541</v>
      </c>
    </row>
    <row r="96" s="1" customFormat="1" spans="1:53">
      <c r="A96" s="13"/>
      <c r="B96" s="13"/>
      <c r="C96" s="16">
        <v>6</v>
      </c>
      <c r="D96" s="19">
        <v>25.6240812193333</v>
      </c>
      <c r="E96" s="20">
        <f t="shared" si="93"/>
        <v>21.4575999906452</v>
      </c>
      <c r="F96" s="16" t="s">
        <v>110</v>
      </c>
      <c r="G96" s="13">
        <v>7</v>
      </c>
      <c r="H96" s="18">
        <f t="shared" si="76"/>
        <v>25.6240812193333</v>
      </c>
      <c r="I96" s="18">
        <f t="shared" si="77"/>
        <v>298.774081219333</v>
      </c>
      <c r="J96" s="18">
        <f t="shared" si="78"/>
        <v>0.370612608386315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0.725219710952023</v>
      </c>
      <c r="P96" s="18">
        <f t="shared" si="81"/>
        <v>0.268775568729099</v>
      </c>
      <c r="Q96" s="24">
        <f t="shared" si="82"/>
        <v>0.0698816478695657</v>
      </c>
      <c r="R96" s="18">
        <f t="shared" si="83"/>
        <v>0.074022</v>
      </c>
      <c r="S96" s="25">
        <f t="shared" si="84"/>
        <v>0.944065924584119</v>
      </c>
      <c r="T96" s="3">
        <v>0.01</v>
      </c>
      <c r="U96" s="26">
        <f t="shared" si="85"/>
        <v>0.00944065924584119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0.0193906592458412</v>
      </c>
      <c r="AU96" s="29">
        <f t="shared" si="89"/>
        <v>28.47</v>
      </c>
      <c r="AV96" s="1">
        <f t="shared" si="90"/>
        <v>0.26</v>
      </c>
      <c r="AW96" s="2">
        <f t="shared" si="95"/>
        <v>0.0591666666666667</v>
      </c>
      <c r="AX96" s="1">
        <f t="shared" si="91"/>
        <v>56.899086637127</v>
      </c>
      <c r="AZ96" s="2">
        <f t="shared" si="96"/>
        <v>0.0025</v>
      </c>
      <c r="BA96" s="1">
        <f t="shared" si="92"/>
        <v>2.40418675931523</v>
      </c>
    </row>
    <row r="97" s="1" customFormat="1" spans="1:53">
      <c r="A97" s="13"/>
      <c r="B97" s="13"/>
      <c r="C97" s="16">
        <v>7</v>
      </c>
      <c r="D97" s="19">
        <v>27.5375997558065</v>
      </c>
      <c r="E97" s="20">
        <f t="shared" si="93"/>
        <v>25.6240812193333</v>
      </c>
      <c r="F97" s="16" t="s">
        <v>110</v>
      </c>
      <c r="G97" s="13">
        <v>8</v>
      </c>
      <c r="H97" s="18">
        <f t="shared" si="76"/>
        <v>27.5375997558065</v>
      </c>
      <c r="I97" s="18">
        <f t="shared" si="77"/>
        <v>300.687599755807</v>
      </c>
      <c r="J97" s="18">
        <f t="shared" si="78"/>
        <v>0.456025340849576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0.741144142222924</v>
      </c>
      <c r="P97" s="18">
        <f t="shared" si="81"/>
        <v>0.337980510075875</v>
      </c>
      <c r="Q97" s="24">
        <f t="shared" si="82"/>
        <v>0.0878749326197276</v>
      </c>
      <c r="R97" s="18">
        <f t="shared" si="83"/>
        <v>0.074022</v>
      </c>
      <c r="S97" s="25">
        <f t="shared" si="84"/>
        <v>1.18714615411266</v>
      </c>
      <c r="T97" s="3">
        <v>0.01</v>
      </c>
      <c r="U97" s="26">
        <f t="shared" si="85"/>
        <v>0.0118714615411266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0.0218214615411266</v>
      </c>
      <c r="AU97" s="29">
        <f t="shared" si="89"/>
        <v>28.47</v>
      </c>
      <c r="AV97" s="1">
        <f t="shared" si="90"/>
        <v>0.26</v>
      </c>
      <c r="AW97" s="2">
        <f t="shared" si="95"/>
        <v>0.0591666666666667</v>
      </c>
      <c r="AX97" s="1">
        <f t="shared" si="91"/>
        <v>64.0319246001702</v>
      </c>
      <c r="AZ97" s="2">
        <f t="shared" si="96"/>
        <v>0.0025</v>
      </c>
      <c r="BA97" s="1">
        <f t="shared" si="92"/>
        <v>2.70557427888043</v>
      </c>
    </row>
    <row r="98" s="1" customFormat="1" spans="1:53">
      <c r="A98" s="13"/>
      <c r="B98" s="13"/>
      <c r="C98" s="16">
        <v>8</v>
      </c>
      <c r="D98" s="19">
        <v>26.4833639674194</v>
      </c>
      <c r="E98" s="20">
        <f t="shared" si="93"/>
        <v>27.5375997558065</v>
      </c>
      <c r="F98" s="16" t="s">
        <v>110</v>
      </c>
      <c r="G98" s="13">
        <v>9</v>
      </c>
      <c r="H98" s="18">
        <f t="shared" si="76"/>
        <v>26.4833639674194</v>
      </c>
      <c r="I98" s="18">
        <f t="shared" si="77"/>
        <v>299.633363967419</v>
      </c>
      <c r="J98" s="18">
        <f t="shared" si="78"/>
        <v>0.406919682810868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0.687863632147049</v>
      </c>
      <c r="P98" s="18">
        <f t="shared" si="81"/>
        <v>0.279905251010409</v>
      </c>
      <c r="Q98" s="24">
        <f t="shared" si="82"/>
        <v>0.0727753652627063</v>
      </c>
      <c r="R98" s="18">
        <f t="shared" si="83"/>
        <v>0.074022</v>
      </c>
      <c r="S98" s="25">
        <f t="shared" si="84"/>
        <v>0.983158591536385</v>
      </c>
      <c r="T98" s="3">
        <v>0.01</v>
      </c>
      <c r="U98" s="26">
        <f t="shared" si="85"/>
        <v>0.00983158591536385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0.0197815859153639</v>
      </c>
      <c r="AU98" s="29">
        <f t="shared" si="89"/>
        <v>28.47</v>
      </c>
      <c r="AV98" s="1">
        <f t="shared" si="90"/>
        <v>0.26</v>
      </c>
      <c r="AW98" s="2">
        <f t="shared" si="95"/>
        <v>0.0591666666666667</v>
      </c>
      <c r="AX98" s="1">
        <f t="shared" si="91"/>
        <v>58.0462044403913</v>
      </c>
      <c r="AZ98" s="2">
        <f t="shared" si="96"/>
        <v>0.0025</v>
      </c>
      <c r="BA98" s="1">
        <f t="shared" si="92"/>
        <v>2.45265652565034</v>
      </c>
    </row>
    <row r="99" s="1" customFormat="1" spans="1:53">
      <c r="A99" s="13"/>
      <c r="B99" s="13"/>
      <c r="C99" s="16">
        <v>9</v>
      </c>
      <c r="D99" s="19">
        <v>21.832341922</v>
      </c>
      <c r="E99" s="20">
        <f t="shared" si="93"/>
        <v>26.4833639674194</v>
      </c>
      <c r="F99" s="16" t="s">
        <v>110</v>
      </c>
      <c r="G99" s="13">
        <v>10</v>
      </c>
      <c r="H99" s="18">
        <f t="shared" si="76"/>
        <v>21.832341922</v>
      </c>
      <c r="I99" s="18">
        <f t="shared" si="77"/>
        <v>294.982341922</v>
      </c>
      <c r="J99" s="18">
        <f t="shared" si="78"/>
        <v>0.243776683521301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0.69265838113664</v>
      </c>
      <c r="P99" s="18">
        <f t="shared" si="81"/>
        <v>0.168853962966723</v>
      </c>
      <c r="Q99" s="24">
        <f t="shared" si="82"/>
        <v>0.043902030371348</v>
      </c>
      <c r="R99" s="18">
        <f t="shared" si="83"/>
        <v>0.074022</v>
      </c>
      <c r="S99" s="25">
        <f t="shared" si="84"/>
        <v>0.593094355345006</v>
      </c>
      <c r="T99" s="3">
        <v>0.01</v>
      </c>
      <c r="U99" s="26">
        <f t="shared" si="85"/>
        <v>0.00593094355345006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0.0114209435534501</v>
      </c>
      <c r="AU99" s="29">
        <f t="shared" si="89"/>
        <v>28.47</v>
      </c>
      <c r="AV99" s="1">
        <f t="shared" si="90"/>
        <v>0.26</v>
      </c>
      <c r="AW99" s="2">
        <f t="shared" si="95"/>
        <v>0.0591666666666667</v>
      </c>
      <c r="AX99" s="1">
        <f t="shared" si="91"/>
        <v>33.5131079602087</v>
      </c>
      <c r="AZ99" s="2">
        <f t="shared" si="96"/>
        <v>0.0025</v>
      </c>
      <c r="BA99" s="1">
        <f t="shared" si="92"/>
        <v>1.41604681522008</v>
      </c>
    </row>
    <row r="100" s="1" customFormat="1" spans="1:53">
      <c r="A100" s="13"/>
      <c r="B100" s="13"/>
      <c r="C100" s="16">
        <v>10</v>
      </c>
      <c r="D100" s="19">
        <v>13.5949064161613</v>
      </c>
      <c r="E100" s="20">
        <f t="shared" si="93"/>
        <v>21.832341922</v>
      </c>
      <c r="F100" s="16" t="s">
        <v>110</v>
      </c>
      <c r="G100" s="13">
        <v>11</v>
      </c>
      <c r="H100" s="18">
        <f t="shared" si="76"/>
        <v>13.5949064161613</v>
      </c>
      <c r="I100" s="18">
        <f t="shared" si="77"/>
        <v>286.744906416161</v>
      </c>
      <c r="J100" s="18">
        <f t="shared" si="78"/>
        <v>0.0944449761369923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0.497614197261421</v>
      </c>
      <c r="O100" s="18">
        <f t="shared" si="94"/>
        <v>0.310890220908496</v>
      </c>
      <c r="P100" s="18">
        <f t="shared" si="81"/>
        <v>0.0293620194949272</v>
      </c>
      <c r="Q100" s="24">
        <f t="shared" si="82"/>
        <v>0.00763412506868106</v>
      </c>
      <c r="R100" s="18">
        <f t="shared" si="83"/>
        <v>0.074022</v>
      </c>
      <c r="S100" s="25">
        <f t="shared" si="84"/>
        <v>0.10313319106051</v>
      </c>
      <c r="T100" s="3">
        <v>0.01</v>
      </c>
      <c r="U100" s="26">
        <f t="shared" si="85"/>
        <v>0.0010313319106051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0.0065213319106051</v>
      </c>
      <c r="AU100" s="29">
        <f t="shared" si="89"/>
        <v>28.47</v>
      </c>
      <c r="AV100" s="1">
        <f t="shared" si="90"/>
        <v>0.26</v>
      </c>
      <c r="AW100" s="2">
        <f t="shared" si="95"/>
        <v>0.0591666666666667</v>
      </c>
      <c r="AX100" s="1">
        <f t="shared" si="91"/>
        <v>19.135905833143</v>
      </c>
      <c r="AZ100" s="2">
        <f t="shared" si="96"/>
        <v>0.0025</v>
      </c>
      <c r="BA100" s="1">
        <f t="shared" si="92"/>
        <v>0.808559401400408</v>
      </c>
    </row>
    <row r="101" s="1" customFormat="1" spans="1:54">
      <c r="A101" s="13"/>
      <c r="B101" s="13"/>
      <c r="C101" s="16">
        <v>11</v>
      </c>
      <c r="D101" s="19">
        <v>4.39721156883333</v>
      </c>
      <c r="E101" s="20">
        <f t="shared" si="93"/>
        <v>13.5949064161613</v>
      </c>
      <c r="F101" s="16" t="s">
        <v>112</v>
      </c>
      <c r="G101" s="13">
        <v>12</v>
      </c>
      <c r="H101" s="18">
        <f t="shared" si="76"/>
        <v>4.39721156883333</v>
      </c>
      <c r="I101" s="18">
        <f t="shared" si="77"/>
        <v>277.547211568833</v>
      </c>
      <c r="J101" s="18">
        <f t="shared" si="78"/>
        <v>0.0306530848783905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0.566228201413569</v>
      </c>
      <c r="P101" s="18">
        <f t="shared" si="81"/>
        <v>0.0173566411184685</v>
      </c>
      <c r="Q101" s="24">
        <f t="shared" si="82"/>
        <v>0.00451272669080181</v>
      </c>
      <c r="R101" s="18">
        <f t="shared" si="83"/>
        <v>0.074022</v>
      </c>
      <c r="S101" s="25">
        <f t="shared" si="84"/>
        <v>0.0609646684877713</v>
      </c>
      <c r="T101" s="3">
        <v>0.01</v>
      </c>
      <c r="U101" s="26">
        <f t="shared" si="85"/>
        <v>0.000609646684877713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0.00609964668487771</v>
      </c>
      <c r="AU101" s="29">
        <f t="shared" si="89"/>
        <v>28.47</v>
      </c>
      <c r="AV101" s="1">
        <f t="shared" si="90"/>
        <v>0.26</v>
      </c>
      <c r="AW101" s="2">
        <f t="shared" si="95"/>
        <v>0.0591666666666667</v>
      </c>
      <c r="AX101" s="1">
        <f t="shared" si="91"/>
        <v>17.8985314928453</v>
      </c>
      <c r="AY101" s="1">
        <f>SUM(AX90:AX101)</f>
        <v>399.905791246234</v>
      </c>
      <c r="AZ101" s="2">
        <f t="shared" si="96"/>
        <v>0.0025</v>
      </c>
      <c r="BA101" s="1">
        <f t="shared" si="92"/>
        <v>0.75627597857093</v>
      </c>
      <c r="BB101" s="1">
        <f>SUM(BA90:BA101)</f>
        <v>16.8974277991367</v>
      </c>
    </row>
    <row r="102" s="1" customFormat="1" spans="1:46">
      <c r="A102" s="13"/>
      <c r="B102" s="13"/>
      <c r="C102" s="16">
        <v>12</v>
      </c>
      <c r="D102" s="19">
        <v>-0.746535495709677</v>
      </c>
      <c r="E102" s="20">
        <f t="shared" si="93"/>
        <v>4.39721156883333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selection activeCell="E16" sqref="E1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41</v>
      </c>
      <c r="B2" s="5" t="s">
        <v>42</v>
      </c>
      <c r="C2" s="3"/>
      <c r="D2" s="3"/>
      <c r="E2" s="6">
        <v>702.19</v>
      </c>
      <c r="F2" s="3">
        <v>1108.87</v>
      </c>
      <c r="G2" s="21">
        <f>(F2+F3+F4)/3</f>
        <v>1399.47083333333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43</v>
      </c>
      <c r="C3" s="3"/>
      <c r="D3" s="3"/>
      <c r="E3" s="8"/>
      <c r="F3" s="3">
        <v>1433.9025</v>
      </c>
      <c r="G3" s="21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44</v>
      </c>
      <c r="C4" s="3"/>
      <c r="D4" s="3"/>
      <c r="E4" s="10"/>
      <c r="F4" s="3">
        <v>1655.64</v>
      </c>
      <c r="G4" s="21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 t="s">
        <v>45</v>
      </c>
      <c r="B5" s="5" t="s">
        <v>46</v>
      </c>
      <c r="C5" s="3"/>
      <c r="D5" s="3"/>
      <c r="E5" s="6">
        <v>2793.29276712329</v>
      </c>
      <c r="F5" s="3">
        <v>91.104</v>
      </c>
      <c r="G5" s="21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47</v>
      </c>
      <c r="C6" s="3"/>
      <c r="D6" s="3"/>
      <c r="E6" s="10"/>
      <c r="F6" s="3">
        <v>93.9145</v>
      </c>
      <c r="G6" s="21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48</v>
      </c>
      <c r="B7" s="5"/>
      <c r="C7" s="3"/>
      <c r="D7" s="3"/>
      <c r="E7" s="12">
        <v>4740.79389391478</v>
      </c>
      <c r="F7" s="3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49</v>
      </c>
      <c r="B8" s="5"/>
      <c r="C8" s="3"/>
      <c r="D8" s="3"/>
      <c r="E8" s="12">
        <v>5.7438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50</v>
      </c>
      <c r="B9" s="5"/>
      <c r="C9" s="3"/>
      <c r="D9" s="3"/>
      <c r="E9" s="12">
        <v>18.3432187541609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51</v>
      </c>
      <c r="B10" s="5"/>
      <c r="C10" s="3"/>
      <c r="D10" s="3"/>
      <c r="E10" s="12">
        <v>5.61739680600231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52</v>
      </c>
      <c r="B11" s="5"/>
      <c r="C11" s="3"/>
      <c r="D11" s="3"/>
      <c r="E11" s="3">
        <v>0.03</v>
      </c>
      <c r="F11" s="3">
        <v>910.8575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AV38+AV53+AG69+AY85+AY101+BB101</f>
        <v>136507865.258866</v>
      </c>
      <c r="J14" s="14" t="s">
        <v>35</v>
      </c>
      <c r="K14" s="14">
        <f>I14/(10000*1000)</f>
        <v>13.6507865258866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38">
        <v>95407594.385262</v>
      </c>
      <c r="J15" s="14" t="s">
        <v>35</v>
      </c>
      <c r="K15" s="14">
        <f>I15/(10000*1000)</f>
        <v>9.5407594385262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1399.47083333333</v>
      </c>
      <c r="C27" s="16" t="s">
        <v>109</v>
      </c>
      <c r="D27" s="17">
        <v>-6</v>
      </c>
      <c r="E27" s="16"/>
      <c r="F27" s="16"/>
      <c r="G27" s="13">
        <v>1</v>
      </c>
      <c r="H27" s="18">
        <f t="shared" ref="H27:H38" si="0">E28</f>
        <v>-6</v>
      </c>
      <c r="I27" s="18">
        <f t="shared" ref="I27:I38" si="1">H27+273.15</f>
        <v>267.15</v>
      </c>
      <c r="J27" s="18">
        <f t="shared" ref="J27:J38" si="2">EXP(($C$16*(I27-$C$14))/($C$17*I27*$C$14))</f>
        <v>0.00782554968707708</v>
      </c>
      <c r="K27" s="18">
        <f t="shared" ref="K27:K38" si="3">$B$27/12</f>
        <v>116.622569444444</v>
      </c>
      <c r="L27" s="18">
        <f t="shared" ref="L27:L38" si="4">K27*$B$28/100</f>
        <v>1.16622569444444</v>
      </c>
      <c r="M27" s="13" t="s">
        <v>110</v>
      </c>
      <c r="N27" s="13"/>
      <c r="O27" s="18">
        <f>L27</f>
        <v>1.16622569444444</v>
      </c>
      <c r="P27" s="18">
        <f t="shared" ref="P27:P38" si="5">O27*J27</f>
        <v>0.00912635711822097</v>
      </c>
      <c r="Q27" s="24">
        <f t="shared" ref="Q27:Q38" si="6">P27*$B$29</f>
        <v>0.00219032570837303</v>
      </c>
      <c r="R27" s="18">
        <f t="shared" ref="R27:R38" si="7">L27*$B$29</f>
        <v>0.279894166666667</v>
      </c>
      <c r="S27" s="25">
        <f t="shared" ref="S27:S38" si="8">Q27/R27</f>
        <v>0.00782554968707708</v>
      </c>
      <c r="T27" s="3">
        <v>0.01</v>
      </c>
      <c r="U27" s="26">
        <f t="shared" ref="U27:U38" si="9">S27*T27</f>
        <v>7.82554968707708e-5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0.0219782554968708</v>
      </c>
      <c r="AR27" s="29">
        <f t="shared" ref="AR27:AR38" si="15">$B$27/12</f>
        <v>116.622569444444</v>
      </c>
      <c r="AS27" s="1">
        <f t="shared" ref="AS27:AS38" si="16">$B$29</f>
        <v>0.24</v>
      </c>
      <c r="AT27" s="2">
        <f>$E$2/12</f>
        <v>58.5158333333333</v>
      </c>
      <c r="AU27" s="1">
        <f t="shared" ref="AU27:AU38" si="17">AT27*10000*AS27*0.67*AR27*AQ27</f>
        <v>241176.652019735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-9.23353522758065</v>
      </c>
      <c r="E28" s="20">
        <f t="shared" ref="E28:E39" si="18">D27</f>
        <v>-6</v>
      </c>
      <c r="F28" s="16" t="s">
        <v>110</v>
      </c>
      <c r="G28" s="13">
        <v>2</v>
      </c>
      <c r="H28" s="18">
        <f t="shared" si="0"/>
        <v>-9.23353522758065</v>
      </c>
      <c r="I28" s="18">
        <f t="shared" si="1"/>
        <v>263.916464772419</v>
      </c>
      <c r="J28" s="18">
        <f t="shared" si="2"/>
        <v>0.00500702703263841</v>
      </c>
      <c r="K28" s="18">
        <f t="shared" si="3"/>
        <v>116.622569444444</v>
      </c>
      <c r="L28" s="18">
        <f t="shared" si="4"/>
        <v>1.16622569444444</v>
      </c>
      <c r="M28" s="13" t="s">
        <v>110</v>
      </c>
      <c r="N28" s="13"/>
      <c r="O28" s="18">
        <f t="shared" ref="O28:O38" si="19">L28+O27-P27-N28</f>
        <v>2.32332503177067</v>
      </c>
      <c r="P28" s="18">
        <f t="shared" si="5"/>
        <v>0.0116329512396812</v>
      </c>
      <c r="Q28" s="24">
        <f t="shared" si="6"/>
        <v>0.00279190829752349</v>
      </c>
      <c r="R28" s="18">
        <f t="shared" si="7"/>
        <v>0.279894166666667</v>
      </c>
      <c r="S28" s="25">
        <f t="shared" si="8"/>
        <v>0.00997487132644837</v>
      </c>
      <c r="T28" s="3">
        <v>0.01</v>
      </c>
      <c r="U28" s="26">
        <f t="shared" si="9"/>
        <v>9.97487132644837e-5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0.0219997487132645</v>
      </c>
      <c r="AR28" s="29">
        <f t="shared" si="15"/>
        <v>116.622569444444</v>
      </c>
      <c r="AS28" s="1">
        <f t="shared" si="16"/>
        <v>0.24</v>
      </c>
      <c r="AT28" s="2">
        <f t="shared" ref="AT28:AT38" si="20">$E$2/12</f>
        <v>58.5158333333333</v>
      </c>
      <c r="AU28" s="1">
        <f t="shared" si="17"/>
        <v>241412.506133438</v>
      </c>
    </row>
    <row r="29" s="1" customFormat="1" spans="1:47">
      <c r="A29" s="13" t="s">
        <v>73</v>
      </c>
      <c r="B29" s="13">
        <v>0.24</v>
      </c>
      <c r="C29" s="16">
        <v>2</v>
      </c>
      <c r="D29" s="19">
        <v>-3.34034752872414</v>
      </c>
      <c r="E29" s="20">
        <f t="shared" si="18"/>
        <v>-9.23353522758065</v>
      </c>
      <c r="F29" s="16" t="s">
        <v>110</v>
      </c>
      <c r="G29" s="13">
        <v>3</v>
      </c>
      <c r="H29" s="18">
        <f t="shared" si="0"/>
        <v>-3.34034752872414</v>
      </c>
      <c r="I29" s="18">
        <f t="shared" si="1"/>
        <v>269.809652471276</v>
      </c>
      <c r="J29" s="18">
        <f t="shared" si="2"/>
        <v>0.0112084707226954</v>
      </c>
      <c r="K29" s="18">
        <f t="shared" si="3"/>
        <v>116.622569444444</v>
      </c>
      <c r="L29" s="18">
        <f t="shared" si="4"/>
        <v>1.16622569444444</v>
      </c>
      <c r="M29" s="13" t="s">
        <v>110</v>
      </c>
      <c r="N29" s="13"/>
      <c r="O29" s="18">
        <f t="shared" si="19"/>
        <v>3.47791777497543</v>
      </c>
      <c r="P29" s="18">
        <f t="shared" si="5"/>
        <v>0.0389821395567541</v>
      </c>
      <c r="Q29" s="24">
        <f t="shared" si="6"/>
        <v>0.00935571349362097</v>
      </c>
      <c r="R29" s="18">
        <f t="shared" si="7"/>
        <v>0.279894166666667</v>
      </c>
      <c r="S29" s="25">
        <f t="shared" si="8"/>
        <v>0.0334258966703044</v>
      </c>
      <c r="T29" s="3">
        <v>0.01</v>
      </c>
      <c r="U29" s="26">
        <f t="shared" si="9"/>
        <v>0.000334258966703044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0.022234258966703</v>
      </c>
      <c r="AR29" s="29">
        <f t="shared" si="15"/>
        <v>116.622569444444</v>
      </c>
      <c r="AS29" s="1">
        <f t="shared" si="16"/>
        <v>0.24</v>
      </c>
      <c r="AT29" s="2">
        <f t="shared" si="20"/>
        <v>58.5158333333333</v>
      </c>
      <c r="AU29" s="1">
        <f t="shared" si="17"/>
        <v>243985.885890383</v>
      </c>
    </row>
    <row r="30" s="1" customFormat="1" spans="1:47">
      <c r="A30" s="13"/>
      <c r="B30" s="13"/>
      <c r="C30" s="16">
        <v>3</v>
      </c>
      <c r="D30" s="19">
        <v>5.56838137854839</v>
      </c>
      <c r="E30" s="20">
        <f t="shared" si="18"/>
        <v>-3.34034752872414</v>
      </c>
      <c r="F30" s="16" t="s">
        <v>110</v>
      </c>
      <c r="G30" s="13">
        <v>4</v>
      </c>
      <c r="H30" s="18">
        <f t="shared" si="0"/>
        <v>5.56838137854839</v>
      </c>
      <c r="I30" s="18">
        <f t="shared" si="1"/>
        <v>278.718381378548</v>
      </c>
      <c r="J30" s="18">
        <f t="shared" si="2"/>
        <v>0.03552175809473</v>
      </c>
      <c r="K30" s="18">
        <f t="shared" si="3"/>
        <v>116.622569444444</v>
      </c>
      <c r="L30" s="18">
        <f t="shared" si="4"/>
        <v>1.16622569444444</v>
      </c>
      <c r="M30" s="13" t="s">
        <v>110</v>
      </c>
      <c r="N30" s="13"/>
      <c r="O30" s="18">
        <f t="shared" si="19"/>
        <v>4.60516132986312</v>
      </c>
      <c r="P30" s="18">
        <f t="shared" si="5"/>
        <v>0.163583426746603</v>
      </c>
      <c r="Q30" s="24">
        <f t="shared" si="6"/>
        <v>0.0392600224191847</v>
      </c>
      <c r="R30" s="18">
        <f t="shared" si="7"/>
        <v>0.279894166666667</v>
      </c>
      <c r="S30" s="25">
        <f t="shared" si="8"/>
        <v>0.140267383514071</v>
      </c>
      <c r="T30" s="3">
        <v>0.01</v>
      </c>
      <c r="U30" s="26">
        <f t="shared" si="9"/>
        <v>0.00140267383514071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0.0233026738351407</v>
      </c>
      <c r="AR30" s="29">
        <f t="shared" si="15"/>
        <v>116.622569444444</v>
      </c>
      <c r="AS30" s="1">
        <f t="shared" si="16"/>
        <v>0.24</v>
      </c>
      <c r="AT30" s="2">
        <f t="shared" si="20"/>
        <v>58.5158333333333</v>
      </c>
      <c r="AU30" s="1">
        <f t="shared" si="17"/>
        <v>255710.05212253</v>
      </c>
    </row>
    <row r="31" s="1" customFormat="1" spans="1:47">
      <c r="A31" s="13"/>
      <c r="B31" s="13"/>
      <c r="C31" s="16">
        <v>4</v>
      </c>
      <c r="D31" s="19">
        <v>13.2316695756333</v>
      </c>
      <c r="E31" s="20">
        <f t="shared" si="18"/>
        <v>5.56838137854839</v>
      </c>
      <c r="F31" s="16" t="s">
        <v>110</v>
      </c>
      <c r="G31" s="13">
        <v>5</v>
      </c>
      <c r="H31" s="18">
        <f t="shared" si="0"/>
        <v>13.2316695756333</v>
      </c>
      <c r="I31" s="18">
        <f t="shared" si="1"/>
        <v>286.381669575633</v>
      </c>
      <c r="J31" s="18">
        <f t="shared" si="2"/>
        <v>0.0904636767312946</v>
      </c>
      <c r="K31" s="18">
        <f t="shared" si="3"/>
        <v>116.622569444444</v>
      </c>
      <c r="L31" s="18">
        <f t="shared" si="4"/>
        <v>1.16622569444444</v>
      </c>
      <c r="M31" s="13" t="s">
        <v>112</v>
      </c>
      <c r="N31" s="18">
        <f>(O30-P30)*C22/100</f>
        <v>4.21949900796069</v>
      </c>
      <c r="O31" s="18">
        <f t="shared" si="19"/>
        <v>1.38830458960027</v>
      </c>
      <c r="P31" s="18">
        <f t="shared" si="5"/>
        <v>0.125591137598172</v>
      </c>
      <c r="Q31" s="24">
        <f t="shared" si="6"/>
        <v>0.0301418730235612</v>
      </c>
      <c r="R31" s="18">
        <f t="shared" si="7"/>
        <v>0.279894166666667</v>
      </c>
      <c r="S31" s="25">
        <f t="shared" si="8"/>
        <v>0.107690250863491</v>
      </c>
      <c r="T31" s="3">
        <v>0.01</v>
      </c>
      <c r="U31" s="26">
        <f t="shared" si="9"/>
        <v>0.00107690250863491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0.0305269025086349</v>
      </c>
      <c r="AR31" s="29">
        <f t="shared" si="15"/>
        <v>116.622569444444</v>
      </c>
      <c r="AS31" s="1">
        <f t="shared" si="16"/>
        <v>0.24</v>
      </c>
      <c r="AT31" s="2">
        <f t="shared" si="20"/>
        <v>58.5158333333333</v>
      </c>
      <c r="AU31" s="1">
        <f t="shared" si="17"/>
        <v>334984.555285275</v>
      </c>
    </row>
    <row r="32" s="1" customFormat="1" spans="1:47">
      <c r="A32" s="13"/>
      <c r="B32" s="13"/>
      <c r="C32" s="16">
        <v>5</v>
      </c>
      <c r="D32" s="19">
        <v>17.6510197287097</v>
      </c>
      <c r="E32" s="20">
        <f t="shared" si="18"/>
        <v>13.2316695756333</v>
      </c>
      <c r="F32" s="16" t="s">
        <v>112</v>
      </c>
      <c r="G32" s="13">
        <v>6</v>
      </c>
      <c r="H32" s="18">
        <f t="shared" si="0"/>
        <v>17.6510197287097</v>
      </c>
      <c r="I32" s="18">
        <f t="shared" si="1"/>
        <v>290.80101972871</v>
      </c>
      <c r="J32" s="18">
        <f t="shared" si="2"/>
        <v>0.151660118203775</v>
      </c>
      <c r="K32" s="18">
        <f t="shared" si="3"/>
        <v>116.622569444444</v>
      </c>
      <c r="L32" s="18">
        <f t="shared" si="4"/>
        <v>1.16622569444444</v>
      </c>
      <c r="M32" s="13" t="s">
        <v>110</v>
      </c>
      <c r="N32" s="13"/>
      <c r="O32" s="18">
        <f t="shared" si="19"/>
        <v>2.42893914644654</v>
      </c>
      <c r="P32" s="18">
        <f t="shared" si="5"/>
        <v>0.368373198059859</v>
      </c>
      <c r="Q32" s="24">
        <f t="shared" si="6"/>
        <v>0.0884095675343662</v>
      </c>
      <c r="R32" s="18">
        <f t="shared" si="7"/>
        <v>0.279894166666667</v>
      </c>
      <c r="S32" s="25">
        <f t="shared" si="8"/>
        <v>0.315867846005006</v>
      </c>
      <c r="T32" s="3">
        <v>0.01</v>
      </c>
      <c r="U32" s="26">
        <f t="shared" si="9"/>
        <v>0.00315867846005006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0.0326086784600501</v>
      </c>
      <c r="AR32" s="29">
        <f t="shared" si="15"/>
        <v>116.622569444444</v>
      </c>
      <c r="AS32" s="1">
        <f t="shared" si="16"/>
        <v>0.24</v>
      </c>
      <c r="AT32" s="2">
        <f t="shared" si="20"/>
        <v>58.5158333333333</v>
      </c>
      <c r="AU32" s="1">
        <f t="shared" si="17"/>
        <v>357828.759380044</v>
      </c>
    </row>
    <row r="33" s="1" customFormat="1" spans="1:47">
      <c r="A33" s="13"/>
      <c r="B33" s="13"/>
      <c r="C33" s="16">
        <v>6</v>
      </c>
      <c r="D33" s="19">
        <v>21.9835030566667</v>
      </c>
      <c r="E33" s="20">
        <f t="shared" si="18"/>
        <v>17.6510197287097</v>
      </c>
      <c r="F33" s="16" t="s">
        <v>110</v>
      </c>
      <c r="G33" s="13">
        <v>7</v>
      </c>
      <c r="H33" s="18">
        <f t="shared" si="0"/>
        <v>21.9835030566667</v>
      </c>
      <c r="I33" s="18">
        <f t="shared" si="1"/>
        <v>295.133503056667</v>
      </c>
      <c r="J33" s="18">
        <f t="shared" si="2"/>
        <v>0.247933011471477</v>
      </c>
      <c r="K33" s="18">
        <f t="shared" si="3"/>
        <v>116.622569444444</v>
      </c>
      <c r="L33" s="18">
        <f t="shared" si="4"/>
        <v>1.16622569444444</v>
      </c>
      <c r="M33" s="13" t="s">
        <v>110</v>
      </c>
      <c r="N33" s="13"/>
      <c r="O33" s="18">
        <f t="shared" si="19"/>
        <v>3.22679164283113</v>
      </c>
      <c r="P33" s="18">
        <f t="shared" si="5"/>
        <v>0.800028169398116</v>
      </c>
      <c r="Q33" s="24">
        <f t="shared" si="6"/>
        <v>0.192006760655548</v>
      </c>
      <c r="R33" s="18">
        <f t="shared" si="7"/>
        <v>0.279894166666667</v>
      </c>
      <c r="S33" s="25">
        <f t="shared" si="8"/>
        <v>0.685997721718202</v>
      </c>
      <c r="T33" s="3">
        <v>0.01</v>
      </c>
      <c r="U33" s="26">
        <f t="shared" si="9"/>
        <v>0.00685997721718202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0.036309977217182</v>
      </c>
      <c r="AR33" s="29">
        <f t="shared" si="15"/>
        <v>116.622569444444</v>
      </c>
      <c r="AS33" s="1">
        <f t="shared" si="16"/>
        <v>0.24</v>
      </c>
      <c r="AT33" s="2">
        <f t="shared" si="20"/>
        <v>58.5158333333333</v>
      </c>
      <c r="AU33" s="1">
        <f t="shared" si="17"/>
        <v>398444.669159462</v>
      </c>
    </row>
    <row r="34" s="1" customFormat="1" spans="1:47">
      <c r="A34" s="13"/>
      <c r="B34" s="13"/>
      <c r="C34" s="16">
        <v>7</v>
      </c>
      <c r="D34" s="19">
        <v>24.0305657696774</v>
      </c>
      <c r="E34" s="20">
        <f t="shared" si="18"/>
        <v>21.9835030566667</v>
      </c>
      <c r="F34" s="16" t="s">
        <v>110</v>
      </c>
      <c r="G34" s="13">
        <v>8</v>
      </c>
      <c r="H34" s="18">
        <f t="shared" si="0"/>
        <v>24.0305657696774</v>
      </c>
      <c r="I34" s="18">
        <f t="shared" si="1"/>
        <v>297.180565769677</v>
      </c>
      <c r="J34" s="18">
        <f t="shared" si="2"/>
        <v>0.311192204244553</v>
      </c>
      <c r="K34" s="18">
        <f t="shared" si="3"/>
        <v>116.622569444444</v>
      </c>
      <c r="L34" s="18">
        <f t="shared" si="4"/>
        <v>1.16622569444444</v>
      </c>
      <c r="M34" s="13" t="s">
        <v>110</v>
      </c>
      <c r="N34" s="13"/>
      <c r="O34" s="18">
        <f t="shared" si="19"/>
        <v>3.59298916787746</v>
      </c>
      <c r="P34" s="18">
        <f t="shared" si="5"/>
        <v>1.11811021897859</v>
      </c>
      <c r="Q34" s="24">
        <f t="shared" si="6"/>
        <v>0.268346452554861</v>
      </c>
      <c r="R34" s="18">
        <f t="shared" si="7"/>
        <v>0.279894166666667</v>
      </c>
      <c r="S34" s="25">
        <f t="shared" si="8"/>
        <v>0.958742569560022</v>
      </c>
      <c r="T34" s="3">
        <v>0.01</v>
      </c>
      <c r="U34" s="26">
        <f t="shared" si="9"/>
        <v>0.00958742569560022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0.0390374256956002</v>
      </c>
      <c r="AR34" s="29">
        <f t="shared" si="15"/>
        <v>116.622569444444</v>
      </c>
      <c r="AS34" s="1">
        <f t="shared" si="16"/>
        <v>0.24</v>
      </c>
      <c r="AT34" s="2">
        <f t="shared" si="20"/>
        <v>58.5158333333333</v>
      </c>
      <c r="AU34" s="1">
        <f t="shared" si="17"/>
        <v>428374.10976838</v>
      </c>
    </row>
    <row r="35" s="1" customFormat="1" spans="1:47">
      <c r="A35" s="13"/>
      <c r="B35" s="13"/>
      <c r="C35" s="16">
        <v>8</v>
      </c>
      <c r="D35" s="19">
        <v>23.3763257654839</v>
      </c>
      <c r="E35" s="20">
        <f t="shared" si="18"/>
        <v>24.0305657696774</v>
      </c>
      <c r="F35" s="16" t="s">
        <v>110</v>
      </c>
      <c r="G35" s="13">
        <v>9</v>
      </c>
      <c r="H35" s="18">
        <f t="shared" si="0"/>
        <v>23.3763257654839</v>
      </c>
      <c r="I35" s="18">
        <f t="shared" si="1"/>
        <v>296.526325765484</v>
      </c>
      <c r="J35" s="18">
        <f t="shared" si="2"/>
        <v>0.289490431226128</v>
      </c>
      <c r="K35" s="18">
        <f t="shared" si="3"/>
        <v>116.622569444444</v>
      </c>
      <c r="L35" s="18">
        <f t="shared" si="4"/>
        <v>1.16622569444444</v>
      </c>
      <c r="M35" s="13" t="s">
        <v>110</v>
      </c>
      <c r="N35" s="13"/>
      <c r="O35" s="18">
        <f t="shared" si="19"/>
        <v>3.64110464334331</v>
      </c>
      <c r="P35" s="18">
        <f t="shared" si="5"/>
        <v>1.05406495334091</v>
      </c>
      <c r="Q35" s="24">
        <f t="shared" si="6"/>
        <v>0.252975588801819</v>
      </c>
      <c r="R35" s="18">
        <f t="shared" si="7"/>
        <v>0.279894166666667</v>
      </c>
      <c r="S35" s="25">
        <f t="shared" si="8"/>
        <v>0.903825870380122</v>
      </c>
      <c r="T35" s="3">
        <v>0.01</v>
      </c>
      <c r="U35" s="26">
        <f t="shared" si="9"/>
        <v>0.00903825870380122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0.0384882587038012</v>
      </c>
      <c r="AR35" s="29">
        <f t="shared" si="15"/>
        <v>116.622569444444</v>
      </c>
      <c r="AS35" s="1">
        <f t="shared" si="16"/>
        <v>0.24</v>
      </c>
      <c r="AT35" s="2">
        <f t="shared" si="20"/>
        <v>58.5158333333333</v>
      </c>
      <c r="AU35" s="1">
        <f t="shared" si="17"/>
        <v>422347.869127912</v>
      </c>
    </row>
    <row r="36" s="1" customFormat="1" spans="1:47">
      <c r="A36" s="13"/>
      <c r="B36" s="13"/>
      <c r="C36" s="16">
        <v>9</v>
      </c>
      <c r="D36" s="19">
        <v>18.146201651</v>
      </c>
      <c r="E36" s="20">
        <f t="shared" si="18"/>
        <v>23.3763257654839</v>
      </c>
      <c r="F36" s="16" t="s">
        <v>110</v>
      </c>
      <c r="G36" s="13">
        <v>10</v>
      </c>
      <c r="H36" s="18">
        <f t="shared" si="0"/>
        <v>18.146201651</v>
      </c>
      <c r="I36" s="18">
        <f t="shared" si="1"/>
        <v>291.296201651</v>
      </c>
      <c r="J36" s="18">
        <f t="shared" si="2"/>
        <v>0.160542703832299</v>
      </c>
      <c r="K36" s="18">
        <f t="shared" si="3"/>
        <v>116.622569444444</v>
      </c>
      <c r="L36" s="18">
        <f t="shared" si="4"/>
        <v>1.16622569444444</v>
      </c>
      <c r="M36" s="13" t="s">
        <v>110</v>
      </c>
      <c r="N36" s="13"/>
      <c r="O36" s="18">
        <f t="shared" si="19"/>
        <v>3.75326538444685</v>
      </c>
      <c r="P36" s="18">
        <f t="shared" si="5"/>
        <v>0.60255937301927</v>
      </c>
      <c r="Q36" s="24">
        <f t="shared" si="6"/>
        <v>0.144614249524625</v>
      </c>
      <c r="R36" s="18">
        <f t="shared" si="7"/>
        <v>0.279894166666667</v>
      </c>
      <c r="S36" s="25">
        <f t="shared" si="8"/>
        <v>0.516674753342929</v>
      </c>
      <c r="T36" s="3">
        <v>0.01</v>
      </c>
      <c r="U36" s="26">
        <f t="shared" si="9"/>
        <v>0.00516674753342929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0.0270667475334293</v>
      </c>
      <c r="AR36" s="29">
        <f t="shared" si="15"/>
        <v>116.622569444444</v>
      </c>
      <c r="AS36" s="1">
        <f t="shared" si="16"/>
        <v>0.24</v>
      </c>
      <c r="AT36" s="2">
        <f t="shared" si="20"/>
        <v>58.5158333333333</v>
      </c>
      <c r="AU36" s="1">
        <f t="shared" si="17"/>
        <v>297014.817764099</v>
      </c>
    </row>
    <row r="37" s="1" customFormat="1" spans="1:47">
      <c r="A37" s="13"/>
      <c r="B37" s="13"/>
      <c r="C37" s="16">
        <v>10</v>
      </c>
      <c r="D37" s="19">
        <v>10.3233958707742</v>
      </c>
      <c r="E37" s="20">
        <f t="shared" si="18"/>
        <v>18.146201651</v>
      </c>
      <c r="F37" s="16" t="s">
        <v>110</v>
      </c>
      <c r="G37" s="13">
        <v>11</v>
      </c>
      <c r="H37" s="18">
        <f t="shared" si="0"/>
        <v>10.3233958707742</v>
      </c>
      <c r="I37" s="18">
        <f t="shared" si="1"/>
        <v>283.473395870774</v>
      </c>
      <c r="J37" s="18">
        <f t="shared" si="2"/>
        <v>0.0638243462816367</v>
      </c>
      <c r="K37" s="18">
        <f t="shared" si="3"/>
        <v>116.622569444444</v>
      </c>
      <c r="L37" s="18">
        <f t="shared" si="4"/>
        <v>1.16622569444444</v>
      </c>
      <c r="M37" s="13" t="s">
        <v>112</v>
      </c>
      <c r="N37" s="18">
        <f>(O36-P36)*C22/100</f>
        <v>2.9931707108562</v>
      </c>
      <c r="O37" s="18">
        <f t="shared" si="19"/>
        <v>1.32376099501582</v>
      </c>
      <c r="P37" s="18">
        <f t="shared" si="5"/>
        <v>0.0844881801400138</v>
      </c>
      <c r="Q37" s="24">
        <f t="shared" si="6"/>
        <v>0.0202771632336033</v>
      </c>
      <c r="R37" s="18">
        <f t="shared" si="7"/>
        <v>0.279894166666667</v>
      </c>
      <c r="S37" s="25">
        <f t="shared" si="8"/>
        <v>0.0724458229161736</v>
      </c>
      <c r="T37" s="3">
        <v>0.01</v>
      </c>
      <c r="U37" s="26">
        <f t="shared" si="9"/>
        <v>0.000724458229161736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0.0226244582291617</v>
      </c>
      <c r="AR37" s="29">
        <f t="shared" si="15"/>
        <v>116.622569444444</v>
      </c>
      <c r="AS37" s="1">
        <f t="shared" si="16"/>
        <v>0.24</v>
      </c>
      <c r="AT37" s="2">
        <f t="shared" si="20"/>
        <v>58.5158333333333</v>
      </c>
      <c r="AU37" s="1">
        <f t="shared" si="17"/>
        <v>248267.706699763</v>
      </c>
    </row>
    <row r="38" s="1" customFormat="1" spans="1:48">
      <c r="A38" s="13"/>
      <c r="B38" s="13"/>
      <c r="C38" s="16">
        <v>11</v>
      </c>
      <c r="D38" s="19">
        <v>1.2853391188</v>
      </c>
      <c r="E38" s="20">
        <f t="shared" si="18"/>
        <v>10.3233958707742</v>
      </c>
      <c r="F38" s="16" t="s">
        <v>112</v>
      </c>
      <c r="G38" s="13">
        <v>12</v>
      </c>
      <c r="H38" s="18">
        <f t="shared" si="0"/>
        <v>1.2853391188</v>
      </c>
      <c r="I38" s="18">
        <f t="shared" si="1"/>
        <v>274.4353391188</v>
      </c>
      <c r="J38" s="18">
        <f t="shared" si="2"/>
        <v>0.020592709155324</v>
      </c>
      <c r="K38" s="18">
        <f t="shared" si="3"/>
        <v>116.622569444444</v>
      </c>
      <c r="L38" s="18">
        <f t="shared" si="4"/>
        <v>1.16622569444444</v>
      </c>
      <c r="M38" s="13" t="s">
        <v>110</v>
      </c>
      <c r="N38" s="13"/>
      <c r="O38" s="18">
        <f t="shared" si="19"/>
        <v>2.40549850932025</v>
      </c>
      <c r="P38" s="18">
        <f t="shared" si="5"/>
        <v>0.0495357311759974</v>
      </c>
      <c r="Q38" s="24">
        <f t="shared" si="6"/>
        <v>0.0118885754822394</v>
      </c>
      <c r="R38" s="18">
        <f t="shared" si="7"/>
        <v>0.279894166666667</v>
      </c>
      <c r="S38" s="25">
        <f t="shared" si="8"/>
        <v>0.0424752527850921</v>
      </c>
      <c r="T38" s="3">
        <v>0.01</v>
      </c>
      <c r="U38" s="26">
        <f t="shared" si="9"/>
        <v>0.000424752527850921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0.0223247525278509</v>
      </c>
      <c r="AR38" s="29">
        <f t="shared" si="15"/>
        <v>116.622569444444</v>
      </c>
      <c r="AS38" s="1">
        <f t="shared" si="16"/>
        <v>0.24</v>
      </c>
      <c r="AT38" s="2">
        <f t="shared" si="20"/>
        <v>58.5158333333333</v>
      </c>
      <c r="AU38" s="1">
        <f t="shared" si="17"/>
        <v>244978.909841265</v>
      </c>
      <c r="AV38" s="1">
        <f>SUM(AU27:AU38)</f>
        <v>3714526.49319229</v>
      </c>
    </row>
    <row r="39" s="1" customFormat="1" spans="1:46">
      <c r="A39" s="13"/>
      <c r="B39" s="13"/>
      <c r="C39" s="16">
        <v>12</v>
      </c>
      <c r="D39" s="19">
        <v>-3.44171661987097</v>
      </c>
      <c r="E39" s="20">
        <f t="shared" si="18"/>
        <v>1.2853391188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-6</v>
      </c>
      <c r="E42" s="16"/>
      <c r="F42" s="16"/>
      <c r="G42" s="13">
        <v>1</v>
      </c>
      <c r="H42" s="18">
        <f t="shared" ref="H42:H53" si="21">E43</f>
        <v>-6</v>
      </c>
      <c r="I42" s="18">
        <f t="shared" ref="I42:I53" si="22">H42+273.15</f>
        <v>267.15</v>
      </c>
      <c r="J42" s="18">
        <f t="shared" ref="J42:J53" si="23">EXP(($C$16*(I42-$C$14))/($C$17*I42*$C$14))</f>
        <v>0.00782554968707708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0.00060327977699103</v>
      </c>
      <c r="Q42" s="24">
        <f t="shared" ref="Q42:Q53" si="27">P42*$B$44</f>
        <v>0.000108590359858385</v>
      </c>
      <c r="R42" s="18">
        <f t="shared" ref="R42:R53" si="28">L42*$B$44</f>
        <v>0.0138763875</v>
      </c>
      <c r="S42" s="25">
        <f t="shared" ref="S42:S53" si="29">Q42/R42</f>
        <v>0.00782554968707708</v>
      </c>
      <c r="T42" s="3">
        <v>0.01</v>
      </c>
      <c r="U42" s="26">
        <f t="shared" ref="U42:U53" si="30">S42*T42</f>
        <v>7.82554968707708e-5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0.0148782554968708</v>
      </c>
      <c r="AR42" s="29">
        <f t="shared" ref="AR42:AR53" si="34">$B$42/12</f>
        <v>7.70910416666667</v>
      </c>
      <c r="AS42" s="1">
        <f t="shared" ref="AS42:AS53" si="35">$B$44</f>
        <v>0.18</v>
      </c>
      <c r="AT42" s="2">
        <f>$E$5/12</f>
        <v>232.774397260274</v>
      </c>
      <c r="AU42" s="1">
        <f t="shared" ref="AU42:AU53" si="36">AT42*10000*AS42*0.67*AR42*AQ42</f>
        <v>32198.7079470431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-9.23353522758065</v>
      </c>
      <c r="E43" s="20">
        <f t="shared" ref="E43:E54" si="37">D42</f>
        <v>-6</v>
      </c>
      <c r="F43" s="16" t="s">
        <v>110</v>
      </c>
      <c r="G43" s="13">
        <v>2</v>
      </c>
      <c r="H43" s="18">
        <f t="shared" si="21"/>
        <v>-9.23353522758065</v>
      </c>
      <c r="I43" s="18">
        <f t="shared" si="22"/>
        <v>263.916464772419</v>
      </c>
      <c r="J43" s="18">
        <f t="shared" si="23"/>
        <v>0.00500702703263841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0.153578803556342</v>
      </c>
      <c r="P43" s="18">
        <f t="shared" si="26"/>
        <v>0.00076897322104687</v>
      </c>
      <c r="Q43" s="24">
        <f t="shared" si="27"/>
        <v>0.000138415179788437</v>
      </c>
      <c r="R43" s="18">
        <f t="shared" si="28"/>
        <v>0.0138763875</v>
      </c>
      <c r="S43" s="25">
        <f t="shared" si="29"/>
        <v>0.00997487132644837</v>
      </c>
      <c r="T43" s="3">
        <v>0.01</v>
      </c>
      <c r="U43" s="26">
        <f t="shared" si="30"/>
        <v>9.97487132644837e-5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0.0148997487132645</v>
      </c>
      <c r="AR43" s="29">
        <f t="shared" si="34"/>
        <v>7.70910416666667</v>
      </c>
      <c r="AS43" s="1">
        <f t="shared" si="35"/>
        <v>0.18</v>
      </c>
      <c r="AT43" s="2">
        <f t="shared" ref="AT43:AT53" si="39">$E$5/12</f>
        <v>232.774397260274</v>
      </c>
      <c r="AU43" s="1">
        <f t="shared" si="36"/>
        <v>32245.2223920766</v>
      </c>
    </row>
    <row r="44" s="1" customFormat="1" spans="1:47">
      <c r="A44" s="13" t="s">
        <v>73</v>
      </c>
      <c r="B44" s="13">
        <v>0.18</v>
      </c>
      <c r="C44" s="16">
        <v>2</v>
      </c>
      <c r="D44" s="19">
        <v>-3.34034752872414</v>
      </c>
      <c r="E44" s="20">
        <f t="shared" si="37"/>
        <v>-9.23353522758065</v>
      </c>
      <c r="F44" s="16" t="s">
        <v>110</v>
      </c>
      <c r="G44" s="13">
        <v>3</v>
      </c>
      <c r="H44" s="18">
        <f t="shared" si="21"/>
        <v>-3.34034752872414</v>
      </c>
      <c r="I44" s="18">
        <f t="shared" si="22"/>
        <v>269.809652471276</v>
      </c>
      <c r="J44" s="18">
        <f t="shared" si="23"/>
        <v>0.0112084707226954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0.229900872001962</v>
      </c>
      <c r="P44" s="18">
        <f t="shared" si="26"/>
        <v>0.00257683719295613</v>
      </c>
      <c r="Q44" s="24">
        <f t="shared" si="27"/>
        <v>0.000463830694732104</v>
      </c>
      <c r="R44" s="18">
        <f t="shared" si="28"/>
        <v>0.0138763875</v>
      </c>
      <c r="S44" s="25">
        <f t="shared" si="29"/>
        <v>0.0334258966703044</v>
      </c>
      <c r="T44" s="3">
        <v>0.01</v>
      </c>
      <c r="U44" s="26">
        <f t="shared" si="30"/>
        <v>0.000334258966703044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0.015134258966703</v>
      </c>
      <c r="AR44" s="29">
        <f t="shared" si="34"/>
        <v>7.70910416666667</v>
      </c>
      <c r="AS44" s="1">
        <f t="shared" si="35"/>
        <v>0.18</v>
      </c>
      <c r="AT44" s="2">
        <f t="shared" si="39"/>
        <v>232.774397260274</v>
      </c>
      <c r="AU44" s="1">
        <f t="shared" si="36"/>
        <v>32752.7366744226</v>
      </c>
    </row>
    <row r="45" s="1" customFormat="1" spans="1:47">
      <c r="A45" s="13"/>
      <c r="B45" s="13"/>
      <c r="C45" s="16">
        <v>3</v>
      </c>
      <c r="D45" s="19">
        <v>5.56838137854839</v>
      </c>
      <c r="E45" s="20">
        <f t="shared" si="37"/>
        <v>-3.34034752872414</v>
      </c>
      <c r="F45" s="16" t="s">
        <v>110</v>
      </c>
      <c r="G45" s="13">
        <v>4</v>
      </c>
      <c r="H45" s="18">
        <f t="shared" si="21"/>
        <v>5.56838137854839</v>
      </c>
      <c r="I45" s="18">
        <f t="shared" si="22"/>
        <v>278.718381378548</v>
      </c>
      <c r="J45" s="18">
        <f t="shared" si="23"/>
        <v>0.03552175809473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0.304415076475673</v>
      </c>
      <c r="P45" s="18">
        <f t="shared" si="26"/>
        <v>0.0108133587069576</v>
      </c>
      <c r="Q45" s="24">
        <f t="shared" si="27"/>
        <v>0.00194640456725236</v>
      </c>
      <c r="R45" s="18">
        <f t="shared" si="28"/>
        <v>0.0138763875</v>
      </c>
      <c r="S45" s="25">
        <f t="shared" si="29"/>
        <v>0.140267383514071</v>
      </c>
      <c r="T45" s="3">
        <v>0.01</v>
      </c>
      <c r="U45" s="26">
        <f t="shared" si="30"/>
        <v>0.00140267383514071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0.0162026738351407</v>
      </c>
      <c r="AR45" s="29">
        <f t="shared" si="34"/>
        <v>7.70910416666667</v>
      </c>
      <c r="AS45" s="1">
        <f t="shared" si="35"/>
        <v>0.18</v>
      </c>
      <c r="AT45" s="2">
        <f t="shared" si="39"/>
        <v>232.774397260274</v>
      </c>
      <c r="AU45" s="1">
        <f t="shared" si="36"/>
        <v>35064.9417795398</v>
      </c>
    </row>
    <row r="46" s="1" customFormat="1" spans="1:47">
      <c r="A46" s="13"/>
      <c r="B46" s="13"/>
      <c r="C46" s="16">
        <v>4</v>
      </c>
      <c r="D46" s="19">
        <v>13.2316695756333</v>
      </c>
      <c r="E46" s="20">
        <f t="shared" si="37"/>
        <v>5.56838137854839</v>
      </c>
      <c r="F46" s="16" t="s">
        <v>110</v>
      </c>
      <c r="G46" s="13">
        <v>5</v>
      </c>
      <c r="H46" s="18">
        <f t="shared" si="21"/>
        <v>13.2316695756333</v>
      </c>
      <c r="I46" s="18">
        <f t="shared" si="22"/>
        <v>286.381669575633</v>
      </c>
      <c r="J46" s="18">
        <f t="shared" si="23"/>
        <v>0.0904636767312946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0.278921631880279</v>
      </c>
      <c r="O46" s="18">
        <f t="shared" si="38"/>
        <v>0.0917711275551024</v>
      </c>
      <c r="P46" s="18">
        <f t="shared" si="26"/>
        <v>0.00830195361641119</v>
      </c>
      <c r="Q46" s="24">
        <f t="shared" si="27"/>
        <v>0.00149435165095401</v>
      </c>
      <c r="R46" s="18">
        <f t="shared" si="28"/>
        <v>0.0138763875</v>
      </c>
      <c r="S46" s="25">
        <f t="shared" si="29"/>
        <v>0.107690250863491</v>
      </c>
      <c r="T46" s="3">
        <v>0.01</v>
      </c>
      <c r="U46" s="26">
        <f t="shared" si="30"/>
        <v>0.00107690250863491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0.0281769025086349</v>
      </c>
      <c r="AR46" s="29">
        <f t="shared" si="34"/>
        <v>7.70910416666667</v>
      </c>
      <c r="AS46" s="1">
        <f t="shared" si="35"/>
        <v>0.18</v>
      </c>
      <c r="AT46" s="2">
        <f t="shared" si="39"/>
        <v>232.774397260274</v>
      </c>
      <c r="AU46" s="1">
        <f t="shared" si="36"/>
        <v>60978.913483416</v>
      </c>
    </row>
    <row r="47" s="1" customFormat="1" spans="1:47">
      <c r="A47" s="13"/>
      <c r="B47" s="13"/>
      <c r="C47" s="16">
        <v>5</v>
      </c>
      <c r="D47" s="19">
        <v>17.6510197287097</v>
      </c>
      <c r="E47" s="20">
        <f t="shared" si="37"/>
        <v>13.2316695756333</v>
      </c>
      <c r="F47" s="16" t="s">
        <v>112</v>
      </c>
      <c r="G47" s="13">
        <v>6</v>
      </c>
      <c r="H47" s="18">
        <f t="shared" si="21"/>
        <v>17.6510197287097</v>
      </c>
      <c r="I47" s="18">
        <f t="shared" si="22"/>
        <v>290.80101972871</v>
      </c>
      <c r="J47" s="18">
        <f t="shared" si="23"/>
        <v>0.151660118203775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0.160560215605358</v>
      </c>
      <c r="P47" s="18">
        <f t="shared" si="26"/>
        <v>0.0243505812775322</v>
      </c>
      <c r="Q47" s="24">
        <f t="shared" si="27"/>
        <v>0.00438310462995579</v>
      </c>
      <c r="R47" s="18">
        <f t="shared" si="28"/>
        <v>0.0138763875</v>
      </c>
      <c r="S47" s="25">
        <f t="shared" si="29"/>
        <v>0.315867846005006</v>
      </c>
      <c r="T47" s="3">
        <v>0.01</v>
      </c>
      <c r="U47" s="26">
        <f t="shared" si="30"/>
        <v>0.00315867846005006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0.0302586784600501</v>
      </c>
      <c r="AR47" s="29">
        <f t="shared" si="34"/>
        <v>7.70910416666667</v>
      </c>
      <c r="AS47" s="1">
        <f t="shared" si="35"/>
        <v>0.18</v>
      </c>
      <c r="AT47" s="2">
        <f t="shared" si="39"/>
        <v>232.774397260274</v>
      </c>
      <c r="AU47" s="1">
        <f t="shared" si="36"/>
        <v>65484.1792980064</v>
      </c>
    </row>
    <row r="48" s="1" customFormat="1" spans="1:47">
      <c r="A48" s="13"/>
      <c r="B48" s="13"/>
      <c r="C48" s="16">
        <v>6</v>
      </c>
      <c r="D48" s="19">
        <v>21.9835030566667</v>
      </c>
      <c r="E48" s="20">
        <f t="shared" si="37"/>
        <v>17.6510197287097</v>
      </c>
      <c r="F48" s="16" t="s">
        <v>110</v>
      </c>
      <c r="G48" s="13">
        <v>7</v>
      </c>
      <c r="H48" s="18">
        <f t="shared" si="21"/>
        <v>21.9835030566667</v>
      </c>
      <c r="I48" s="18">
        <f t="shared" si="22"/>
        <v>295.133503056667</v>
      </c>
      <c r="J48" s="18">
        <f t="shared" si="23"/>
        <v>0.247933011471477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0.213300675994492</v>
      </c>
      <c r="P48" s="18">
        <f t="shared" si="26"/>
        <v>0.0528842789482163</v>
      </c>
      <c r="Q48" s="24">
        <f t="shared" si="27"/>
        <v>0.00951917021067893</v>
      </c>
      <c r="R48" s="18">
        <f t="shared" si="28"/>
        <v>0.0138763875</v>
      </c>
      <c r="S48" s="25">
        <f t="shared" si="29"/>
        <v>0.685997721718202</v>
      </c>
      <c r="T48" s="3">
        <v>0.01</v>
      </c>
      <c r="U48" s="26">
        <f t="shared" si="30"/>
        <v>0.00685997721718202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0.033959977217182</v>
      </c>
      <c r="AR48" s="29">
        <f t="shared" si="34"/>
        <v>7.70910416666667</v>
      </c>
      <c r="AS48" s="1">
        <f t="shared" si="35"/>
        <v>0.18</v>
      </c>
      <c r="AT48" s="2">
        <f t="shared" si="39"/>
        <v>232.774397260274</v>
      </c>
      <c r="AU48" s="1">
        <f t="shared" si="36"/>
        <v>73494.3279159483</v>
      </c>
    </row>
    <row r="49" s="1" customFormat="1" spans="1:47">
      <c r="A49" s="13"/>
      <c r="B49" s="13"/>
      <c r="C49" s="16">
        <v>7</v>
      </c>
      <c r="D49" s="19">
        <v>24.0305657696774</v>
      </c>
      <c r="E49" s="20">
        <f t="shared" si="37"/>
        <v>21.9835030566667</v>
      </c>
      <c r="F49" s="16" t="s">
        <v>110</v>
      </c>
      <c r="G49" s="13">
        <v>8</v>
      </c>
      <c r="H49" s="18">
        <f t="shared" si="21"/>
        <v>24.0305657696774</v>
      </c>
      <c r="I49" s="18">
        <f t="shared" si="22"/>
        <v>297.180565769677</v>
      </c>
      <c r="J49" s="18">
        <f t="shared" si="23"/>
        <v>0.311192204244553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0.237507438712943</v>
      </c>
      <c r="P49" s="18">
        <f t="shared" si="26"/>
        <v>0.0739104633775587</v>
      </c>
      <c r="Q49" s="24">
        <f t="shared" si="27"/>
        <v>0.0133038834079606</v>
      </c>
      <c r="R49" s="18">
        <f t="shared" si="28"/>
        <v>0.0138763875</v>
      </c>
      <c r="S49" s="25">
        <f t="shared" si="29"/>
        <v>0.958742569560022</v>
      </c>
      <c r="T49" s="3">
        <v>0.01</v>
      </c>
      <c r="U49" s="26">
        <f t="shared" si="30"/>
        <v>0.00958742569560022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0.0366874256956002</v>
      </c>
      <c r="AR49" s="29">
        <f t="shared" si="34"/>
        <v>7.70910416666667</v>
      </c>
      <c r="AS49" s="1">
        <f t="shared" si="35"/>
        <v>0.18</v>
      </c>
      <c r="AT49" s="2">
        <f t="shared" si="39"/>
        <v>232.774397260274</v>
      </c>
      <c r="AU49" s="1">
        <f t="shared" si="36"/>
        <v>79396.9229490599</v>
      </c>
    </row>
    <row r="50" s="1" customFormat="1" spans="1:47">
      <c r="A50" s="13"/>
      <c r="B50" s="13"/>
      <c r="C50" s="16">
        <v>8</v>
      </c>
      <c r="D50" s="19">
        <v>23.3763257654839</v>
      </c>
      <c r="E50" s="20">
        <f t="shared" si="37"/>
        <v>24.0305657696774</v>
      </c>
      <c r="F50" s="16" t="s">
        <v>110</v>
      </c>
      <c r="G50" s="13">
        <v>9</v>
      </c>
      <c r="H50" s="18">
        <f t="shared" si="21"/>
        <v>23.3763257654839</v>
      </c>
      <c r="I50" s="18">
        <f t="shared" si="22"/>
        <v>296.526325765484</v>
      </c>
      <c r="J50" s="18">
        <f t="shared" si="23"/>
        <v>0.289490431226128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0.240688017002051</v>
      </c>
      <c r="P50" s="18">
        <f t="shared" si="26"/>
        <v>0.0696768778328853</v>
      </c>
      <c r="Q50" s="24">
        <f t="shared" si="27"/>
        <v>0.0125418380099193</v>
      </c>
      <c r="R50" s="18">
        <f t="shared" si="28"/>
        <v>0.0138763875</v>
      </c>
      <c r="S50" s="25">
        <f t="shared" si="29"/>
        <v>0.903825870380122</v>
      </c>
      <c r="T50" s="3">
        <v>0.01</v>
      </c>
      <c r="U50" s="26">
        <f t="shared" si="30"/>
        <v>0.00903825870380122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0.0361382587038012</v>
      </c>
      <c r="AR50" s="29">
        <f t="shared" si="34"/>
        <v>7.70910416666667</v>
      </c>
      <c r="AS50" s="1">
        <f t="shared" si="35"/>
        <v>0.18</v>
      </c>
      <c r="AT50" s="2">
        <f t="shared" si="39"/>
        <v>232.774397260274</v>
      </c>
      <c r="AU50" s="1">
        <f t="shared" si="36"/>
        <v>78208.445739026</v>
      </c>
    </row>
    <row r="51" s="1" customFormat="1" spans="1:47">
      <c r="A51" s="13"/>
      <c r="B51" s="13"/>
      <c r="C51" s="16">
        <v>9</v>
      </c>
      <c r="D51" s="19">
        <v>18.146201651</v>
      </c>
      <c r="E51" s="20">
        <f t="shared" si="37"/>
        <v>23.3763257654839</v>
      </c>
      <c r="F51" s="16" t="s">
        <v>110</v>
      </c>
      <c r="G51" s="13">
        <v>10</v>
      </c>
      <c r="H51" s="18">
        <f t="shared" si="21"/>
        <v>18.146201651</v>
      </c>
      <c r="I51" s="18">
        <f t="shared" si="22"/>
        <v>291.296201651</v>
      </c>
      <c r="J51" s="18">
        <f t="shared" si="23"/>
        <v>0.160542703832299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0.248102180835832</v>
      </c>
      <c r="P51" s="18">
        <f t="shared" si="26"/>
        <v>0.0398309949380745</v>
      </c>
      <c r="Q51" s="24">
        <f t="shared" si="27"/>
        <v>0.0071695790888534</v>
      </c>
      <c r="R51" s="18">
        <f t="shared" si="28"/>
        <v>0.0138763875</v>
      </c>
      <c r="S51" s="25">
        <f t="shared" si="29"/>
        <v>0.516674753342929</v>
      </c>
      <c r="T51" s="3">
        <v>0.01</v>
      </c>
      <c r="U51" s="26">
        <f t="shared" si="30"/>
        <v>0.00516674753342929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0.0199667475334293</v>
      </c>
      <c r="AR51" s="29">
        <f t="shared" si="34"/>
        <v>7.70910416666667</v>
      </c>
      <c r="AS51" s="1">
        <f t="shared" si="35"/>
        <v>0.18</v>
      </c>
      <c r="AT51" s="2">
        <f t="shared" si="39"/>
        <v>232.774397260274</v>
      </c>
      <c r="AU51" s="1">
        <f t="shared" si="36"/>
        <v>43210.9444965809</v>
      </c>
    </row>
    <row r="52" s="1" customFormat="1" spans="1:47">
      <c r="A52" s="13"/>
      <c r="B52" s="13"/>
      <c r="C52" s="16">
        <v>10</v>
      </c>
      <c r="D52" s="19">
        <v>10.3233958707742</v>
      </c>
      <c r="E52" s="20">
        <f t="shared" si="37"/>
        <v>18.146201651</v>
      </c>
      <c r="F52" s="16" t="s">
        <v>110</v>
      </c>
      <c r="G52" s="13">
        <v>11</v>
      </c>
      <c r="H52" s="18">
        <f t="shared" si="21"/>
        <v>10.3233958707742</v>
      </c>
      <c r="I52" s="18">
        <f t="shared" si="22"/>
        <v>283.473395870774</v>
      </c>
      <c r="J52" s="18">
        <f t="shared" si="23"/>
        <v>0.0638243462816367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0.19785762660287</v>
      </c>
      <c r="O52" s="18">
        <f t="shared" si="38"/>
        <v>0.0875046009615545</v>
      </c>
      <c r="P52" s="18">
        <f t="shared" si="26"/>
        <v>0.0055849239530067</v>
      </c>
      <c r="Q52" s="24">
        <f t="shared" si="27"/>
        <v>0.00100528631154121</v>
      </c>
      <c r="R52" s="18">
        <f t="shared" si="28"/>
        <v>0.0138763875</v>
      </c>
      <c r="S52" s="25">
        <f t="shared" si="29"/>
        <v>0.0724458229161737</v>
      </c>
      <c r="T52" s="3">
        <v>0.01</v>
      </c>
      <c r="U52" s="26">
        <f t="shared" si="30"/>
        <v>0.000724458229161737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0.0155244582291617</v>
      </c>
      <c r="AR52" s="29">
        <f t="shared" si="34"/>
        <v>7.70910416666667</v>
      </c>
      <c r="AS52" s="1">
        <f t="shared" si="35"/>
        <v>0.18</v>
      </c>
      <c r="AT52" s="2">
        <f t="shared" si="39"/>
        <v>232.774397260274</v>
      </c>
      <c r="AU52" s="1">
        <f t="shared" si="36"/>
        <v>33597.1846068903</v>
      </c>
    </row>
    <row r="53" s="1" customFormat="1" spans="1:48">
      <c r="A53" s="13"/>
      <c r="B53" s="13"/>
      <c r="C53" s="16">
        <v>11</v>
      </c>
      <c r="D53" s="19">
        <v>1.2853391188</v>
      </c>
      <c r="E53" s="20">
        <f t="shared" si="37"/>
        <v>10.3233958707742</v>
      </c>
      <c r="F53" s="16" t="s">
        <v>112</v>
      </c>
      <c r="G53" s="13">
        <v>12</v>
      </c>
      <c r="H53" s="18">
        <f t="shared" si="21"/>
        <v>1.2853391188</v>
      </c>
      <c r="I53" s="18">
        <f t="shared" si="22"/>
        <v>274.4353391188</v>
      </c>
      <c r="J53" s="18">
        <f t="shared" si="23"/>
        <v>0.020592709155324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0.159010718675215</v>
      </c>
      <c r="P53" s="18">
        <f t="shared" si="26"/>
        <v>0.00327446148225774</v>
      </c>
      <c r="Q53" s="24">
        <f t="shared" si="27"/>
        <v>0.000589403066806393</v>
      </c>
      <c r="R53" s="18">
        <f t="shared" si="28"/>
        <v>0.0138763875</v>
      </c>
      <c r="S53" s="25">
        <f t="shared" si="29"/>
        <v>0.0424752527850922</v>
      </c>
      <c r="T53" s="3">
        <v>0.01</v>
      </c>
      <c r="U53" s="26">
        <f t="shared" si="30"/>
        <v>0.000424752527850922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0.0152247525278509</v>
      </c>
      <c r="AR53" s="29">
        <f t="shared" si="34"/>
        <v>7.70910416666667</v>
      </c>
      <c r="AS53" s="1">
        <f t="shared" si="35"/>
        <v>0.18</v>
      </c>
      <c r="AT53" s="2">
        <f t="shared" si="39"/>
        <v>232.774397260274</v>
      </c>
      <c r="AU53" s="1">
        <f t="shared" si="36"/>
        <v>32948.5778970109</v>
      </c>
      <c r="AV53" s="1">
        <f>SUM(AU42:AU53)</f>
        <v>599581.105179021</v>
      </c>
    </row>
    <row r="54" s="1" customFormat="1" spans="1:46">
      <c r="A54" s="13"/>
      <c r="B54" s="13"/>
      <c r="C54" s="16">
        <v>12</v>
      </c>
      <c r="D54" s="19">
        <v>-3.44171661987097</v>
      </c>
      <c r="E54" s="20">
        <f t="shared" si="37"/>
        <v>1.2853391188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</row>
    <row r="57" s="1" customFormat="1" spans="1:32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</row>
    <row r="58" s="1" customFormat="1" spans="1:32">
      <c r="A58" s="13" t="s">
        <v>108</v>
      </c>
      <c r="B58" s="13">
        <f>F7</f>
        <v>122.786</v>
      </c>
      <c r="C58" s="16" t="s">
        <v>109</v>
      </c>
      <c r="D58" s="17">
        <v>-6</v>
      </c>
      <c r="E58" s="16"/>
      <c r="F58" s="16"/>
      <c r="G58" s="13">
        <v>1</v>
      </c>
      <c r="H58" s="18">
        <f t="shared" ref="H58:H69" si="40">E59</f>
        <v>-6</v>
      </c>
      <c r="I58" s="18">
        <f t="shared" ref="I58:I69" si="41">H58+273.15</f>
        <v>267.15</v>
      </c>
      <c r="J58" s="18">
        <f t="shared" ref="J58:J69" si="42">EXP(($C$16*(I58-$C$14))/($C$17*I58*$C$14))</f>
        <v>0.00782554968707708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0.0216195287372425</v>
      </c>
      <c r="Q58" s="24">
        <f t="shared" ref="Q58:Q69" si="46">P58*$B$60</f>
        <v>0.00972878793175914</v>
      </c>
      <c r="R58" s="18">
        <f t="shared" ref="R58:R69" si="47">L58*$B$60</f>
        <v>1.24320825</v>
      </c>
      <c r="S58" s="25">
        <f t="shared" ref="S58:S69" si="48">Q58/R58</f>
        <v>0.00782554968707708</v>
      </c>
      <c r="T58" s="3">
        <v>0.27</v>
      </c>
      <c r="U58" s="26">
        <f t="shared" ref="U58:U69" si="49">S58*T58</f>
        <v>0.00211289841551081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0.227037038872277</v>
      </c>
      <c r="AC58" s="29">
        <f t="shared" ref="AC58:AC69" si="51">$B$58/12</f>
        <v>10.2321666666667</v>
      </c>
      <c r="AD58" s="1">
        <f t="shared" ref="AD58:AD69" si="52">$B$60</f>
        <v>0.45</v>
      </c>
      <c r="AE58" s="30">
        <f t="shared" ref="AE58:AE69" si="53">$E$7/12</f>
        <v>395.066157826232</v>
      </c>
      <c r="AF58" s="1">
        <f t="shared" ref="AF58:AF69" si="54">AE58*10000*AC58*AB58</f>
        <v>9177706.14370101</v>
      </c>
    </row>
    <row r="59" s="1" customFormat="1" spans="1:32">
      <c r="A59" s="13" t="s">
        <v>111</v>
      </c>
      <c r="B59" s="13">
        <v>27</v>
      </c>
      <c r="C59" s="16">
        <v>1</v>
      </c>
      <c r="D59" s="19">
        <v>-9.23353522758065</v>
      </c>
      <c r="E59" s="20">
        <f t="shared" ref="E59:E70" si="55">D58</f>
        <v>-6</v>
      </c>
      <c r="F59" s="16" t="s">
        <v>110</v>
      </c>
      <c r="G59" s="13">
        <v>2</v>
      </c>
      <c r="H59" s="18">
        <f t="shared" si="40"/>
        <v>-9.23353522758065</v>
      </c>
      <c r="I59" s="18">
        <f t="shared" si="41"/>
        <v>263.916464772419</v>
      </c>
      <c r="J59" s="18">
        <f t="shared" si="42"/>
        <v>0.00500702703263841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5.50375047126276</v>
      </c>
      <c r="P59" s="18">
        <f t="shared" si="45"/>
        <v>0.027557427390509</v>
      </c>
      <c r="Q59" s="24">
        <f t="shared" si="46"/>
        <v>0.0124008423257291</v>
      </c>
      <c r="R59" s="18">
        <f t="shared" si="47"/>
        <v>1.24320825</v>
      </c>
      <c r="S59" s="25">
        <f t="shared" si="48"/>
        <v>0.00997487132644837</v>
      </c>
      <c r="T59" s="3">
        <v>0.27</v>
      </c>
      <c r="U59" s="26">
        <f t="shared" si="49"/>
        <v>0.00269321525814106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0.22721200440033</v>
      </c>
      <c r="AC59" s="29">
        <f t="shared" si="51"/>
        <v>10.2321666666667</v>
      </c>
      <c r="AD59" s="1">
        <f t="shared" si="52"/>
        <v>0.45</v>
      </c>
      <c r="AE59" s="30">
        <f t="shared" si="53"/>
        <v>395.066157826232</v>
      </c>
      <c r="AF59" s="1">
        <f t="shared" si="54"/>
        <v>9184778.92006263</v>
      </c>
    </row>
    <row r="60" s="1" customFormat="1" spans="1:32">
      <c r="A60" s="13" t="s">
        <v>73</v>
      </c>
      <c r="B60" s="13">
        <v>0.45</v>
      </c>
      <c r="C60" s="16">
        <v>2</v>
      </c>
      <c r="D60" s="19">
        <v>-3.34034752872414</v>
      </c>
      <c r="E60" s="20">
        <f t="shared" si="55"/>
        <v>-9.23353522758065</v>
      </c>
      <c r="F60" s="16" t="s">
        <v>110</v>
      </c>
      <c r="G60" s="13">
        <v>3</v>
      </c>
      <c r="H60" s="18">
        <f t="shared" si="40"/>
        <v>-3.34034752872414</v>
      </c>
      <c r="I60" s="18">
        <f t="shared" si="41"/>
        <v>269.809652471276</v>
      </c>
      <c r="J60" s="18">
        <f t="shared" si="42"/>
        <v>0.0112084707226954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8.23887804387225</v>
      </c>
      <c r="P60" s="18">
        <f t="shared" si="45"/>
        <v>0.0923452233426</v>
      </c>
      <c r="Q60" s="24">
        <f t="shared" si="46"/>
        <v>0.04155535050417</v>
      </c>
      <c r="R60" s="18">
        <f t="shared" si="47"/>
        <v>1.24320825</v>
      </c>
      <c r="S60" s="25">
        <f t="shared" si="48"/>
        <v>0.0334258966703045</v>
      </c>
      <c r="T60" s="3">
        <v>0.27</v>
      </c>
      <c r="U60" s="26">
        <f t="shared" si="49"/>
        <v>0.0090249921009822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0.229121035118446</v>
      </c>
      <c r="AC60" s="29">
        <f t="shared" si="51"/>
        <v>10.2321666666667</v>
      </c>
      <c r="AD60" s="1">
        <f t="shared" si="52"/>
        <v>0.45</v>
      </c>
      <c r="AE60" s="30">
        <f t="shared" si="53"/>
        <v>395.066157826232</v>
      </c>
      <c r="AF60" s="1">
        <f t="shared" si="54"/>
        <v>9261949.24890941</v>
      </c>
    </row>
    <row r="61" s="1" customFormat="1" spans="1:32">
      <c r="A61" s="13"/>
      <c r="B61" s="13"/>
      <c r="C61" s="16">
        <v>3</v>
      </c>
      <c r="D61" s="19">
        <v>5.56838137854839</v>
      </c>
      <c r="E61" s="20">
        <f t="shared" si="55"/>
        <v>-3.34034752872414</v>
      </c>
      <c r="F61" s="16" t="s">
        <v>110</v>
      </c>
      <c r="G61" s="13">
        <v>4</v>
      </c>
      <c r="H61" s="18">
        <f t="shared" si="40"/>
        <v>5.56838137854839</v>
      </c>
      <c r="I61" s="18">
        <f t="shared" si="41"/>
        <v>278.718381378548</v>
      </c>
      <c r="J61" s="18">
        <f t="shared" si="42"/>
        <v>0.03552175809473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10.9092178205296</v>
      </c>
      <c r="P61" s="18">
        <f t="shared" si="45"/>
        <v>0.387514596423572</v>
      </c>
      <c r="Q61" s="24">
        <f t="shared" si="46"/>
        <v>0.174381568390607</v>
      </c>
      <c r="R61" s="18">
        <f t="shared" si="47"/>
        <v>1.24320825</v>
      </c>
      <c r="S61" s="25">
        <f t="shared" si="48"/>
        <v>0.140267383514071</v>
      </c>
      <c r="T61" s="3">
        <v>0.27</v>
      </c>
      <c r="U61" s="26">
        <f t="shared" si="49"/>
        <v>0.0378721935487992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0.237818466354963</v>
      </c>
      <c r="AC61" s="29">
        <f t="shared" si="51"/>
        <v>10.2321666666667</v>
      </c>
      <c r="AD61" s="1">
        <f t="shared" si="52"/>
        <v>0.45</v>
      </c>
      <c r="AE61" s="30">
        <f t="shared" si="53"/>
        <v>395.066157826232</v>
      </c>
      <c r="AF61" s="1">
        <f t="shared" si="54"/>
        <v>9613532.71075461</v>
      </c>
    </row>
    <row r="62" s="1" customFormat="1" spans="1:32">
      <c r="A62" s="13"/>
      <c r="B62" s="13"/>
      <c r="C62" s="16">
        <v>4</v>
      </c>
      <c r="D62" s="19">
        <v>13.2316695756333</v>
      </c>
      <c r="E62" s="20">
        <f t="shared" si="55"/>
        <v>5.56838137854839</v>
      </c>
      <c r="F62" s="16" t="s">
        <v>110</v>
      </c>
      <c r="G62" s="13">
        <v>5</v>
      </c>
      <c r="H62" s="18">
        <f t="shared" si="40"/>
        <v>13.2316695756333</v>
      </c>
      <c r="I62" s="18">
        <f t="shared" si="41"/>
        <v>286.381669575633</v>
      </c>
      <c r="J62" s="18">
        <f t="shared" si="42"/>
        <v>0.0904636767312946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9.99561806290077</v>
      </c>
      <c r="O62" s="18">
        <f t="shared" si="56"/>
        <v>3.2887701612053</v>
      </c>
      <c r="P62" s="18">
        <f t="shared" si="45"/>
        <v>0.297514240706804</v>
      </c>
      <c r="Q62" s="24">
        <f t="shared" si="46"/>
        <v>0.133881408318062</v>
      </c>
      <c r="R62" s="18">
        <f t="shared" si="47"/>
        <v>1.24320825</v>
      </c>
      <c r="S62" s="25">
        <f t="shared" si="48"/>
        <v>0.107690250863491</v>
      </c>
      <c r="T62" s="3">
        <v>0.27</v>
      </c>
      <c r="U62" s="26">
        <f t="shared" si="49"/>
        <v>0.0290763677331426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0.283966524871543</v>
      </c>
      <c r="AC62" s="29">
        <f t="shared" si="51"/>
        <v>10.2321666666667</v>
      </c>
      <c r="AD62" s="1">
        <f t="shared" si="52"/>
        <v>0.45</v>
      </c>
      <c r="AE62" s="30">
        <f t="shared" si="53"/>
        <v>395.066157826232</v>
      </c>
      <c r="AF62" s="1">
        <f t="shared" si="54"/>
        <v>11479013.8774895</v>
      </c>
    </row>
    <row r="63" s="1" customFormat="1" spans="1:32">
      <c r="A63" s="13"/>
      <c r="B63" s="13"/>
      <c r="C63" s="16">
        <v>5</v>
      </c>
      <c r="D63" s="19">
        <v>17.6510197287097</v>
      </c>
      <c r="E63" s="20">
        <f t="shared" si="55"/>
        <v>13.2316695756333</v>
      </c>
      <c r="F63" s="16" t="s">
        <v>112</v>
      </c>
      <c r="G63" s="13">
        <v>6</v>
      </c>
      <c r="H63" s="18">
        <f t="shared" si="40"/>
        <v>17.6510197287097</v>
      </c>
      <c r="I63" s="18">
        <f t="shared" si="41"/>
        <v>290.80101972871</v>
      </c>
      <c r="J63" s="18">
        <f t="shared" si="42"/>
        <v>0.151660118203775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5.7539409204985</v>
      </c>
      <c r="P63" s="18">
        <f t="shared" si="45"/>
        <v>0.87264336014034</v>
      </c>
      <c r="Q63" s="24">
        <f t="shared" si="46"/>
        <v>0.392689512063153</v>
      </c>
      <c r="R63" s="18">
        <f t="shared" si="47"/>
        <v>1.24320825</v>
      </c>
      <c r="S63" s="25">
        <f t="shared" si="48"/>
        <v>0.315867846005006</v>
      </c>
      <c r="T63" s="3">
        <v>0.27</v>
      </c>
      <c r="U63" s="26">
        <f t="shared" si="49"/>
        <v>0.0852843184213517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0.300913222004038</v>
      </c>
      <c r="AC63" s="29">
        <f t="shared" si="51"/>
        <v>10.2321666666667</v>
      </c>
      <c r="AD63" s="1">
        <f t="shared" si="52"/>
        <v>0.45</v>
      </c>
      <c r="AE63" s="30">
        <f t="shared" si="53"/>
        <v>395.066157826232</v>
      </c>
      <c r="AF63" s="1">
        <f t="shared" si="54"/>
        <v>12164064.2426673</v>
      </c>
    </row>
    <row r="64" s="1" customFormat="1" spans="1:32">
      <c r="A64" s="13"/>
      <c r="B64" s="13"/>
      <c r="C64" s="16">
        <v>6</v>
      </c>
      <c r="D64" s="19">
        <v>21.9835030566667</v>
      </c>
      <c r="E64" s="20">
        <f t="shared" si="55"/>
        <v>17.6510197287097</v>
      </c>
      <c r="F64" s="16" t="s">
        <v>110</v>
      </c>
      <c r="G64" s="13">
        <v>7</v>
      </c>
      <c r="H64" s="18">
        <f t="shared" si="40"/>
        <v>21.9835030566667</v>
      </c>
      <c r="I64" s="18">
        <f t="shared" si="41"/>
        <v>295.133503056667</v>
      </c>
      <c r="J64" s="18">
        <f t="shared" si="42"/>
        <v>0.247933011471477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7.64398256035816</v>
      </c>
      <c r="P64" s="18">
        <f t="shared" si="45"/>
        <v>1.89519561582505</v>
      </c>
      <c r="Q64" s="24">
        <f t="shared" si="46"/>
        <v>0.852838027121272</v>
      </c>
      <c r="R64" s="18">
        <f t="shared" si="47"/>
        <v>1.24320825</v>
      </c>
      <c r="S64" s="25">
        <f t="shared" si="48"/>
        <v>0.685997721718202</v>
      </c>
      <c r="T64" s="3">
        <v>0.27</v>
      </c>
      <c r="U64" s="26">
        <f t="shared" si="49"/>
        <v>0.185219384863914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0.33104364453647</v>
      </c>
      <c r="AC64" s="29">
        <f t="shared" si="51"/>
        <v>10.2321666666667</v>
      </c>
      <c r="AD64" s="1">
        <f t="shared" si="52"/>
        <v>0.45</v>
      </c>
      <c r="AE64" s="30">
        <f t="shared" si="53"/>
        <v>395.066157826232</v>
      </c>
      <c r="AF64" s="1">
        <f t="shared" si="54"/>
        <v>13382051.2520194</v>
      </c>
    </row>
    <row r="65" s="1" customFormat="1" spans="1:32">
      <c r="A65" s="13"/>
      <c r="B65" s="13"/>
      <c r="C65" s="16">
        <v>7</v>
      </c>
      <c r="D65" s="19">
        <v>24.0305657696774</v>
      </c>
      <c r="E65" s="20">
        <f t="shared" si="55"/>
        <v>21.9835030566667</v>
      </c>
      <c r="F65" s="16" t="s">
        <v>110</v>
      </c>
      <c r="G65" s="13">
        <v>8</v>
      </c>
      <c r="H65" s="18">
        <f t="shared" si="40"/>
        <v>24.0305657696774</v>
      </c>
      <c r="I65" s="18">
        <f t="shared" si="41"/>
        <v>297.180565769677</v>
      </c>
      <c r="J65" s="18">
        <f t="shared" si="42"/>
        <v>0.311192204244553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8.51147194453311</v>
      </c>
      <c r="P65" s="18">
        <f t="shared" si="45"/>
        <v>2.64870371578493</v>
      </c>
      <c r="Q65" s="24">
        <f t="shared" si="46"/>
        <v>1.19191667210322</v>
      </c>
      <c r="R65" s="18">
        <f t="shared" si="47"/>
        <v>1.24320825</v>
      </c>
      <c r="S65" s="25">
        <f t="shared" si="48"/>
        <v>0.958742569560023</v>
      </c>
      <c r="T65" s="3">
        <v>0.27</v>
      </c>
      <c r="U65" s="26">
        <f t="shared" si="49"/>
        <v>0.258860493781206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0.353246438875034</v>
      </c>
      <c r="AC65" s="29">
        <f t="shared" si="51"/>
        <v>10.2321666666667</v>
      </c>
      <c r="AD65" s="1">
        <f t="shared" si="52"/>
        <v>0.45</v>
      </c>
      <c r="AE65" s="30">
        <f t="shared" si="53"/>
        <v>395.066157826232</v>
      </c>
      <c r="AF65" s="1">
        <f t="shared" si="54"/>
        <v>14279573.1850949</v>
      </c>
    </row>
    <row r="66" s="1" customFormat="1" spans="1:32">
      <c r="A66" s="13"/>
      <c r="B66" s="13"/>
      <c r="C66" s="16">
        <v>8</v>
      </c>
      <c r="D66" s="19">
        <v>23.3763257654839</v>
      </c>
      <c r="E66" s="20">
        <f t="shared" si="55"/>
        <v>24.0305657696774</v>
      </c>
      <c r="F66" s="16" t="s">
        <v>110</v>
      </c>
      <c r="G66" s="13">
        <v>9</v>
      </c>
      <c r="H66" s="18">
        <f t="shared" si="40"/>
        <v>23.3763257654839</v>
      </c>
      <c r="I66" s="18">
        <f t="shared" si="41"/>
        <v>296.526325765484</v>
      </c>
      <c r="J66" s="18">
        <f t="shared" si="42"/>
        <v>0.289490431226128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8.62545322874818</v>
      </c>
      <c r="P66" s="18">
        <f t="shared" si="45"/>
        <v>2.49698617471111</v>
      </c>
      <c r="Q66" s="24">
        <f t="shared" si="46"/>
        <v>1.12364377862</v>
      </c>
      <c r="R66" s="18">
        <f t="shared" si="47"/>
        <v>1.24320825</v>
      </c>
      <c r="S66" s="25">
        <f t="shared" si="48"/>
        <v>0.903825870380123</v>
      </c>
      <c r="T66" s="3">
        <v>0.27</v>
      </c>
      <c r="U66" s="26">
        <f t="shared" si="49"/>
        <v>0.244032985002633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0.348775944978294</v>
      </c>
      <c r="AC66" s="29">
        <f t="shared" si="51"/>
        <v>10.2321666666667</v>
      </c>
      <c r="AD66" s="1">
        <f t="shared" si="52"/>
        <v>0.45</v>
      </c>
      <c r="AE66" s="30">
        <f t="shared" si="53"/>
        <v>395.066157826232</v>
      </c>
      <c r="AF66" s="1">
        <f t="shared" si="54"/>
        <v>14098858.7100238</v>
      </c>
    </row>
    <row r="67" s="1" customFormat="1" spans="1:32">
      <c r="A67" s="13"/>
      <c r="B67" s="13"/>
      <c r="C67" s="16">
        <v>9</v>
      </c>
      <c r="D67" s="19">
        <v>18.146201651</v>
      </c>
      <c r="E67" s="20">
        <f t="shared" si="55"/>
        <v>23.3763257654839</v>
      </c>
      <c r="F67" s="16" t="s">
        <v>110</v>
      </c>
      <c r="G67" s="13">
        <v>10</v>
      </c>
      <c r="H67" s="18">
        <f t="shared" si="40"/>
        <v>18.146201651</v>
      </c>
      <c r="I67" s="18">
        <f t="shared" si="41"/>
        <v>291.296201651</v>
      </c>
      <c r="J67" s="18">
        <f t="shared" si="42"/>
        <v>0.160542703832299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8.89115205403707</v>
      </c>
      <c r="P67" s="18">
        <f t="shared" si="45"/>
        <v>1.42740959093921</v>
      </c>
      <c r="Q67" s="24">
        <f t="shared" si="46"/>
        <v>0.642334315922645</v>
      </c>
      <c r="R67" s="18">
        <f t="shared" si="47"/>
        <v>1.24320825</v>
      </c>
      <c r="S67" s="25">
        <f t="shared" si="48"/>
        <v>0.516674753342929</v>
      </c>
      <c r="T67" s="3">
        <v>0.27</v>
      </c>
      <c r="U67" s="26">
        <f t="shared" si="49"/>
        <v>0.139502183402591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0.268459908295881</v>
      </c>
      <c r="AC67" s="29">
        <f t="shared" si="51"/>
        <v>10.2321666666667</v>
      </c>
      <c r="AD67" s="1">
        <f t="shared" si="52"/>
        <v>0.45</v>
      </c>
      <c r="AE67" s="30">
        <f t="shared" si="53"/>
        <v>395.066157826232</v>
      </c>
      <c r="AF67" s="1">
        <f t="shared" si="54"/>
        <v>10852177.0806331</v>
      </c>
    </row>
    <row r="68" s="1" customFormat="1" spans="1:32">
      <c r="A68" s="13"/>
      <c r="B68" s="13"/>
      <c r="C68" s="16">
        <v>10</v>
      </c>
      <c r="D68" s="19">
        <v>10.3233958707742</v>
      </c>
      <c r="E68" s="20">
        <f t="shared" si="55"/>
        <v>18.146201651</v>
      </c>
      <c r="F68" s="16" t="s">
        <v>110</v>
      </c>
      <c r="G68" s="13">
        <v>11</v>
      </c>
      <c r="H68" s="18">
        <f t="shared" si="40"/>
        <v>10.3233958707742</v>
      </c>
      <c r="I68" s="18">
        <f t="shared" si="41"/>
        <v>283.473395870774</v>
      </c>
      <c r="J68" s="18">
        <f t="shared" si="42"/>
        <v>0.0638243462816367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7.09055533994297</v>
      </c>
      <c r="O68" s="18">
        <f t="shared" si="56"/>
        <v>3.13587212315489</v>
      </c>
      <c r="P68" s="18">
        <f t="shared" si="45"/>
        <v>0.200144988283169</v>
      </c>
      <c r="Q68" s="24">
        <f t="shared" si="46"/>
        <v>0.0900652447274261</v>
      </c>
      <c r="R68" s="18">
        <f t="shared" si="47"/>
        <v>1.24320825</v>
      </c>
      <c r="S68" s="25">
        <f t="shared" si="48"/>
        <v>0.0724458229161737</v>
      </c>
      <c r="T68" s="3">
        <v>0.27</v>
      </c>
      <c r="U68" s="26">
        <f t="shared" si="49"/>
        <v>0.0195603721873669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0.232297452214491</v>
      </c>
      <c r="AC68" s="29">
        <f t="shared" si="51"/>
        <v>10.2321666666667</v>
      </c>
      <c r="AD68" s="1">
        <f t="shared" si="52"/>
        <v>0.45</v>
      </c>
      <c r="AE68" s="30">
        <f t="shared" si="53"/>
        <v>395.066157826232</v>
      </c>
      <c r="AF68" s="1">
        <f t="shared" si="54"/>
        <v>9390352.18634258</v>
      </c>
    </row>
    <row r="69" s="1" customFormat="1" spans="1:33">
      <c r="A69" s="13"/>
      <c r="B69" s="13"/>
      <c r="C69" s="16">
        <v>11</v>
      </c>
      <c r="D69" s="19">
        <v>1.2853391188</v>
      </c>
      <c r="E69" s="20">
        <f t="shared" si="55"/>
        <v>10.3233958707742</v>
      </c>
      <c r="F69" s="16" t="s">
        <v>112</v>
      </c>
      <c r="G69" s="13">
        <v>12</v>
      </c>
      <c r="H69" s="18">
        <f t="shared" si="40"/>
        <v>1.2853391188</v>
      </c>
      <c r="I69" s="18">
        <f t="shared" si="41"/>
        <v>274.4353391188</v>
      </c>
      <c r="J69" s="18">
        <f t="shared" si="42"/>
        <v>0.020592709155324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5.69841213487172</v>
      </c>
      <c r="P69" s="18">
        <f t="shared" si="45"/>
        <v>0.117345743740582</v>
      </c>
      <c r="Q69" s="24">
        <f t="shared" si="46"/>
        <v>0.0528055846832621</v>
      </c>
      <c r="R69" s="18">
        <f t="shared" si="47"/>
        <v>1.24320825</v>
      </c>
      <c r="S69" s="25">
        <f t="shared" si="48"/>
        <v>0.0424752527850922</v>
      </c>
      <c r="T69" s="3">
        <v>0.27</v>
      </c>
      <c r="U69" s="26">
        <f t="shared" si="49"/>
        <v>0.0114683182519749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0.22985769795297</v>
      </c>
      <c r="AC69" s="29">
        <f t="shared" si="51"/>
        <v>10.2321666666667</v>
      </c>
      <c r="AD69" s="1">
        <f t="shared" si="52"/>
        <v>0.45</v>
      </c>
      <c r="AE69" s="30">
        <f t="shared" si="53"/>
        <v>395.066157826232</v>
      </c>
      <c r="AF69" s="1">
        <f t="shared" si="54"/>
        <v>9291727.98041433</v>
      </c>
      <c r="AG69" s="1">
        <f>SUM(AF58:AF69)</f>
        <v>132175785.538113</v>
      </c>
    </row>
    <row r="70" s="1" customFormat="1" spans="1:46">
      <c r="A70" s="13"/>
      <c r="B70" s="13"/>
      <c r="C70" s="16">
        <v>12</v>
      </c>
      <c r="D70" s="19">
        <v>-3.44171661987097</v>
      </c>
      <c r="E70" s="20">
        <f t="shared" si="55"/>
        <v>1.2853391188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-6</v>
      </c>
      <c r="E74" s="16"/>
      <c r="F74" s="16"/>
      <c r="G74" s="13">
        <v>1</v>
      </c>
      <c r="H74" s="18">
        <f t="shared" ref="H74:H85" si="57">E75</f>
        <v>-6</v>
      </c>
      <c r="I74" s="18">
        <f t="shared" ref="I74:I85" si="58">H74+273.15</f>
        <v>267.15</v>
      </c>
      <c r="J74" s="18">
        <f t="shared" ref="J74:J85" si="59">EXP(($C$16*(I74-$C$14))/($C$17*I74*$C$14))</f>
        <v>0.00782554968707708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0.00407883300789832</v>
      </c>
      <c r="Q74" s="24">
        <f t="shared" ref="Q74:Q85" si="63">P74*$B$76</f>
        <v>0.00106049658205356</v>
      </c>
      <c r="R74" s="18">
        <f t="shared" ref="R74:R85" si="64">L74*$B$76</f>
        <v>0.1355172</v>
      </c>
      <c r="S74" s="25">
        <f t="shared" ref="S74:S85" si="65">Q74/R74</f>
        <v>0.00782554968707708</v>
      </c>
      <c r="T74" s="3">
        <v>0.01</v>
      </c>
      <c r="U74" s="26">
        <f t="shared" ref="U74:U85" si="66">S74*T74</f>
        <v>7.82554968707708e-5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0.00556825549687077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0.47865</v>
      </c>
      <c r="AX74" s="1">
        <f t="shared" ref="AX74:AX85" si="72">AW74*10000*AV74*0.67*AU74*AT74</f>
        <v>241.995026423474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-9.23353522758065</v>
      </c>
      <c r="E75" s="20">
        <f t="shared" ref="E75:E86" si="73">D74</f>
        <v>-6</v>
      </c>
      <c r="F75" s="16" t="s">
        <v>110</v>
      </c>
      <c r="G75" s="13">
        <v>2</v>
      </c>
      <c r="H75" s="18">
        <f t="shared" si="57"/>
        <v>-9.23353522758065</v>
      </c>
      <c r="I75" s="18">
        <f t="shared" si="58"/>
        <v>263.916464772419</v>
      </c>
      <c r="J75" s="18">
        <f t="shared" si="59"/>
        <v>0.00500702703263841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1.0383611669921</v>
      </c>
      <c r="P75" s="18">
        <f t="shared" si="62"/>
        <v>0.00519910243277142</v>
      </c>
      <c r="Q75" s="24">
        <f t="shared" si="63"/>
        <v>0.00135176663252057</v>
      </c>
      <c r="R75" s="18">
        <f t="shared" si="64"/>
        <v>0.1355172</v>
      </c>
      <c r="S75" s="25">
        <f t="shared" si="65"/>
        <v>0.00997487132644837</v>
      </c>
      <c r="T75" s="3">
        <v>0.01</v>
      </c>
      <c r="U75" s="26">
        <f t="shared" si="66"/>
        <v>9.97487132644837e-5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0.00558974871326448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0.47865</v>
      </c>
      <c r="AX75" s="1">
        <f t="shared" si="72"/>
        <v>242.929116368169</v>
      </c>
    </row>
    <row r="76" s="1" customFormat="1" spans="1:50">
      <c r="A76" s="13" t="s">
        <v>73</v>
      </c>
      <c r="B76" s="13">
        <v>0.26</v>
      </c>
      <c r="C76" s="16">
        <v>2</v>
      </c>
      <c r="D76" s="19">
        <v>-3.34034752872414</v>
      </c>
      <c r="E76" s="20">
        <f t="shared" si="73"/>
        <v>-9.23353522758065</v>
      </c>
      <c r="F76" s="16" t="s">
        <v>110</v>
      </c>
      <c r="G76" s="13">
        <v>3</v>
      </c>
      <c r="H76" s="18">
        <f t="shared" si="57"/>
        <v>-3.34034752872414</v>
      </c>
      <c r="I76" s="18">
        <f t="shared" si="58"/>
        <v>269.809652471276</v>
      </c>
      <c r="J76" s="18">
        <f t="shared" si="59"/>
        <v>0.0112084707226954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1.55438206455933</v>
      </c>
      <c r="P76" s="18">
        <f t="shared" si="62"/>
        <v>0.0174222458624961</v>
      </c>
      <c r="Q76" s="24">
        <f t="shared" si="63"/>
        <v>0.00452978392424898</v>
      </c>
      <c r="R76" s="18">
        <f t="shared" si="64"/>
        <v>0.1355172</v>
      </c>
      <c r="S76" s="25">
        <f t="shared" si="65"/>
        <v>0.0334258966703045</v>
      </c>
      <c r="T76" s="3">
        <v>0.01</v>
      </c>
      <c r="U76" s="26">
        <f t="shared" si="66"/>
        <v>0.000334258966703045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0.00582425896670304</v>
      </c>
      <c r="AU76" s="29">
        <f t="shared" si="70"/>
        <v>52.122</v>
      </c>
      <c r="AV76" s="1">
        <f t="shared" si="71"/>
        <v>0.26</v>
      </c>
      <c r="AW76" s="2">
        <f t="shared" si="75"/>
        <v>0.47865</v>
      </c>
      <c r="AX76" s="1">
        <f t="shared" si="72"/>
        <v>253.120874811964</v>
      </c>
    </row>
    <row r="77" s="1" customFormat="1" spans="1:50">
      <c r="A77" s="13"/>
      <c r="B77" s="13"/>
      <c r="C77" s="16">
        <v>3</v>
      </c>
      <c r="D77" s="19">
        <v>5.56838137854839</v>
      </c>
      <c r="E77" s="20">
        <f t="shared" si="73"/>
        <v>-3.34034752872414</v>
      </c>
      <c r="F77" s="16" t="s">
        <v>110</v>
      </c>
      <c r="G77" s="13">
        <v>4</v>
      </c>
      <c r="H77" s="18">
        <f t="shared" si="57"/>
        <v>5.56838137854839</v>
      </c>
      <c r="I77" s="18">
        <f t="shared" si="58"/>
        <v>278.718381378548</v>
      </c>
      <c r="J77" s="18">
        <f t="shared" si="59"/>
        <v>0.03552175809473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2.05817981869683</v>
      </c>
      <c r="P77" s="18">
        <f t="shared" si="62"/>
        <v>0.0731101656352042</v>
      </c>
      <c r="Q77" s="24">
        <f t="shared" si="63"/>
        <v>0.0190086430651531</v>
      </c>
      <c r="R77" s="18">
        <f t="shared" si="64"/>
        <v>0.1355172</v>
      </c>
      <c r="S77" s="25">
        <f t="shared" si="65"/>
        <v>0.140267383514071</v>
      </c>
      <c r="T77" s="3">
        <v>0.01</v>
      </c>
      <c r="U77" s="26">
        <f t="shared" si="66"/>
        <v>0.00140267383514071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0.00689267383514071</v>
      </c>
      <c r="AU77" s="29">
        <f t="shared" si="70"/>
        <v>52.122</v>
      </c>
      <c r="AV77" s="1">
        <f t="shared" si="71"/>
        <v>0.26</v>
      </c>
      <c r="AW77" s="2">
        <f t="shared" si="75"/>
        <v>0.47865</v>
      </c>
      <c r="AX77" s="1">
        <f t="shared" si="72"/>
        <v>299.553924528182</v>
      </c>
    </row>
    <row r="78" s="1" customFormat="1" spans="1:50">
      <c r="A78" s="13"/>
      <c r="B78" s="13"/>
      <c r="C78" s="16">
        <v>4</v>
      </c>
      <c r="D78" s="19">
        <v>13.2316695756333</v>
      </c>
      <c r="E78" s="20">
        <f t="shared" si="73"/>
        <v>5.56838137854839</v>
      </c>
      <c r="F78" s="16" t="s">
        <v>110</v>
      </c>
      <c r="G78" s="13">
        <v>5</v>
      </c>
      <c r="H78" s="18">
        <f t="shared" si="57"/>
        <v>13.2316695756333</v>
      </c>
      <c r="I78" s="18">
        <f t="shared" si="58"/>
        <v>286.381669575633</v>
      </c>
      <c r="J78" s="18">
        <f t="shared" si="59"/>
        <v>0.0904636767312946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1.88581617040855</v>
      </c>
      <c r="O78" s="18">
        <f t="shared" si="74"/>
        <v>0.620473482653082</v>
      </c>
      <c r="P78" s="18">
        <f t="shared" si="62"/>
        <v>0.0561303125550689</v>
      </c>
      <c r="Q78" s="24">
        <f t="shared" si="63"/>
        <v>0.0145938812643179</v>
      </c>
      <c r="R78" s="18">
        <f t="shared" si="64"/>
        <v>0.1355172</v>
      </c>
      <c r="S78" s="25">
        <f t="shared" si="65"/>
        <v>0.107690250863491</v>
      </c>
      <c r="T78" s="3">
        <v>0.01</v>
      </c>
      <c r="U78" s="26">
        <f t="shared" si="66"/>
        <v>0.00107690250863491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0.0110269025086349</v>
      </c>
      <c r="AU78" s="29">
        <f t="shared" si="70"/>
        <v>52.122</v>
      </c>
      <c r="AV78" s="1">
        <f t="shared" si="71"/>
        <v>0.26</v>
      </c>
      <c r="AW78" s="2">
        <f t="shared" si="75"/>
        <v>0.47865</v>
      </c>
      <c r="AX78" s="1">
        <f t="shared" si="72"/>
        <v>479.226494805381</v>
      </c>
    </row>
    <row r="79" s="1" customFormat="1" spans="1:50">
      <c r="A79" s="13"/>
      <c r="B79" s="13"/>
      <c r="C79" s="16">
        <v>5</v>
      </c>
      <c r="D79" s="19">
        <v>17.6510197287097</v>
      </c>
      <c r="E79" s="20">
        <f t="shared" si="73"/>
        <v>13.2316695756333</v>
      </c>
      <c r="F79" s="16" t="s">
        <v>112</v>
      </c>
      <c r="G79" s="13">
        <v>6</v>
      </c>
      <c r="H79" s="18">
        <f t="shared" si="57"/>
        <v>17.6510197287097</v>
      </c>
      <c r="I79" s="18">
        <f t="shared" si="58"/>
        <v>290.80101972871</v>
      </c>
      <c r="J79" s="18">
        <f t="shared" si="59"/>
        <v>0.151660118203775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1.08556317009801</v>
      </c>
      <c r="P79" s="18">
        <f t="shared" si="62"/>
        <v>0.164636638694729</v>
      </c>
      <c r="Q79" s="24">
        <f t="shared" si="63"/>
        <v>0.0428055260606296</v>
      </c>
      <c r="R79" s="18">
        <f t="shared" si="64"/>
        <v>0.1355172</v>
      </c>
      <c r="S79" s="25">
        <f t="shared" si="65"/>
        <v>0.315867846005006</v>
      </c>
      <c r="T79" s="3">
        <v>0.01</v>
      </c>
      <c r="U79" s="26">
        <f t="shared" si="66"/>
        <v>0.00315867846005006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0.0131086784600501</v>
      </c>
      <c r="AU79" s="29">
        <f t="shared" si="70"/>
        <v>52.122</v>
      </c>
      <c r="AV79" s="1">
        <f t="shared" si="71"/>
        <v>0.26</v>
      </c>
      <c r="AW79" s="2">
        <f t="shared" si="75"/>
        <v>0.47865</v>
      </c>
      <c r="AX79" s="1">
        <f t="shared" si="72"/>
        <v>569.699970143137</v>
      </c>
    </row>
    <row r="80" s="1" customFormat="1" spans="1:50">
      <c r="A80" s="13"/>
      <c r="B80" s="13"/>
      <c r="C80" s="16">
        <v>6</v>
      </c>
      <c r="D80" s="19">
        <v>21.9835030566667</v>
      </c>
      <c r="E80" s="20">
        <f t="shared" si="73"/>
        <v>17.6510197287097</v>
      </c>
      <c r="F80" s="16" t="s">
        <v>110</v>
      </c>
      <c r="G80" s="13">
        <v>7</v>
      </c>
      <c r="H80" s="18">
        <f t="shared" si="57"/>
        <v>21.9835030566667</v>
      </c>
      <c r="I80" s="18">
        <f t="shared" si="58"/>
        <v>295.133503056667</v>
      </c>
      <c r="J80" s="18">
        <f t="shared" si="59"/>
        <v>0.247933011471477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1.44214653140328</v>
      </c>
      <c r="P80" s="18">
        <f t="shared" si="62"/>
        <v>0.357555732513961</v>
      </c>
      <c r="Q80" s="24">
        <f t="shared" si="63"/>
        <v>0.0929644904536299</v>
      </c>
      <c r="R80" s="18">
        <f t="shared" si="64"/>
        <v>0.1355172</v>
      </c>
      <c r="S80" s="25">
        <f t="shared" si="65"/>
        <v>0.685997721718202</v>
      </c>
      <c r="T80" s="3">
        <v>0.01</v>
      </c>
      <c r="U80" s="26">
        <f t="shared" si="66"/>
        <v>0.00685997721718202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0.016809977217182</v>
      </c>
      <c r="AU80" s="29">
        <f t="shared" si="70"/>
        <v>52.122</v>
      </c>
      <c r="AV80" s="1">
        <f t="shared" si="71"/>
        <v>0.26</v>
      </c>
      <c r="AW80" s="2">
        <f t="shared" si="75"/>
        <v>0.47865</v>
      </c>
      <c r="AX80" s="1">
        <f t="shared" si="72"/>
        <v>730.557511798091</v>
      </c>
    </row>
    <row r="81" s="1" customFormat="1" spans="1:50">
      <c r="A81" s="13"/>
      <c r="B81" s="13"/>
      <c r="C81" s="16">
        <v>7</v>
      </c>
      <c r="D81" s="19">
        <v>24.0305657696774</v>
      </c>
      <c r="E81" s="20">
        <f t="shared" si="73"/>
        <v>21.9835030566667</v>
      </c>
      <c r="F81" s="16" t="s">
        <v>110</v>
      </c>
      <c r="G81" s="13">
        <v>8</v>
      </c>
      <c r="H81" s="18">
        <f t="shared" si="57"/>
        <v>24.0305657696774</v>
      </c>
      <c r="I81" s="18">
        <f t="shared" si="58"/>
        <v>297.180565769677</v>
      </c>
      <c r="J81" s="18">
        <f t="shared" si="59"/>
        <v>0.311192204244553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1.60581079888932</v>
      </c>
      <c r="P81" s="18">
        <f t="shared" si="62"/>
        <v>0.499715802106075</v>
      </c>
      <c r="Q81" s="24">
        <f t="shared" si="63"/>
        <v>0.129926108547579</v>
      </c>
      <c r="R81" s="18">
        <f t="shared" si="64"/>
        <v>0.1355172</v>
      </c>
      <c r="S81" s="25">
        <f t="shared" si="65"/>
        <v>0.958742569560022</v>
      </c>
      <c r="T81" s="3">
        <v>0.01</v>
      </c>
      <c r="U81" s="26">
        <f t="shared" si="66"/>
        <v>0.00958742569560022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0.0195374256956002</v>
      </c>
      <c r="AU81" s="29">
        <f t="shared" si="70"/>
        <v>52.122</v>
      </c>
      <c r="AV81" s="1">
        <f t="shared" si="71"/>
        <v>0.26</v>
      </c>
      <c r="AW81" s="2">
        <f t="shared" si="75"/>
        <v>0.47865</v>
      </c>
      <c r="AX81" s="1">
        <f t="shared" si="72"/>
        <v>849.091757752573</v>
      </c>
    </row>
    <row r="82" s="1" customFormat="1" spans="1:50">
      <c r="A82" s="13"/>
      <c r="B82" s="13"/>
      <c r="C82" s="16">
        <v>8</v>
      </c>
      <c r="D82" s="19">
        <v>23.3763257654839</v>
      </c>
      <c r="E82" s="20">
        <f t="shared" si="73"/>
        <v>24.0305657696774</v>
      </c>
      <c r="F82" s="16" t="s">
        <v>110</v>
      </c>
      <c r="G82" s="13">
        <v>9</v>
      </c>
      <c r="H82" s="18">
        <f t="shared" si="57"/>
        <v>23.3763257654839</v>
      </c>
      <c r="I82" s="18">
        <f t="shared" si="58"/>
        <v>296.526325765484</v>
      </c>
      <c r="J82" s="18">
        <f t="shared" si="59"/>
        <v>0.289490431226128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1.62731499678325</v>
      </c>
      <c r="P82" s="18">
        <f t="shared" si="62"/>
        <v>0.471092120159527</v>
      </c>
      <c r="Q82" s="24">
        <f t="shared" si="63"/>
        <v>0.122483951241477</v>
      </c>
      <c r="R82" s="18">
        <f t="shared" si="64"/>
        <v>0.1355172</v>
      </c>
      <c r="S82" s="25">
        <f t="shared" si="65"/>
        <v>0.903825870380122</v>
      </c>
      <c r="T82" s="3">
        <v>0.01</v>
      </c>
      <c r="U82" s="26">
        <f t="shared" si="66"/>
        <v>0.00903825870380122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0.0189882587038012</v>
      </c>
      <c r="AU82" s="29">
        <f t="shared" si="70"/>
        <v>52.122</v>
      </c>
      <c r="AV82" s="1">
        <f t="shared" si="71"/>
        <v>0.26</v>
      </c>
      <c r="AW82" s="2">
        <f t="shared" si="75"/>
        <v>0.47865</v>
      </c>
      <c r="AX82" s="1">
        <f t="shared" si="72"/>
        <v>825.225094168982</v>
      </c>
    </row>
    <row r="83" s="1" customFormat="1" spans="1:50">
      <c r="A83" s="13"/>
      <c r="B83" s="13"/>
      <c r="C83" s="16">
        <v>9</v>
      </c>
      <c r="D83" s="19">
        <v>18.146201651</v>
      </c>
      <c r="E83" s="20">
        <f t="shared" si="73"/>
        <v>23.3763257654839</v>
      </c>
      <c r="F83" s="16" t="s">
        <v>110</v>
      </c>
      <c r="G83" s="13">
        <v>10</v>
      </c>
      <c r="H83" s="18">
        <f t="shared" si="57"/>
        <v>18.146201651</v>
      </c>
      <c r="I83" s="18">
        <f t="shared" si="58"/>
        <v>291.296201651</v>
      </c>
      <c r="J83" s="18">
        <f t="shared" si="59"/>
        <v>0.160542703832299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1.67744287662372</v>
      </c>
      <c r="P83" s="18">
        <f t="shared" si="62"/>
        <v>0.269301214937402</v>
      </c>
      <c r="Q83" s="24">
        <f t="shared" si="63"/>
        <v>0.0700183158837244</v>
      </c>
      <c r="R83" s="18">
        <f t="shared" si="64"/>
        <v>0.1355172</v>
      </c>
      <c r="S83" s="25">
        <f t="shared" si="65"/>
        <v>0.516674753342929</v>
      </c>
      <c r="T83" s="3">
        <v>0.01</v>
      </c>
      <c r="U83" s="26">
        <f t="shared" si="66"/>
        <v>0.00516674753342929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0.0106567475334293</v>
      </c>
      <c r="AU83" s="29">
        <f t="shared" si="70"/>
        <v>52.122</v>
      </c>
      <c r="AV83" s="1">
        <f t="shared" si="71"/>
        <v>0.26</v>
      </c>
      <c r="AW83" s="2">
        <f t="shared" si="75"/>
        <v>0.47865</v>
      </c>
      <c r="AX83" s="1">
        <f t="shared" si="72"/>
        <v>463.139649822064</v>
      </c>
    </row>
    <row r="84" s="1" customFormat="1" spans="1:50">
      <c r="A84" s="13"/>
      <c r="B84" s="13"/>
      <c r="C84" s="16">
        <v>10</v>
      </c>
      <c r="D84" s="19">
        <v>10.3233958707742</v>
      </c>
      <c r="E84" s="20">
        <f t="shared" si="73"/>
        <v>18.146201651</v>
      </c>
      <c r="F84" s="16" t="s">
        <v>110</v>
      </c>
      <c r="G84" s="13">
        <v>11</v>
      </c>
      <c r="H84" s="18">
        <f t="shared" si="57"/>
        <v>10.3233958707742</v>
      </c>
      <c r="I84" s="18">
        <f t="shared" si="58"/>
        <v>283.473395870774</v>
      </c>
      <c r="J84" s="18">
        <f t="shared" si="59"/>
        <v>0.0638243462816367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1.337734578602</v>
      </c>
      <c r="O84" s="18">
        <f t="shared" si="74"/>
        <v>0.591627083084316</v>
      </c>
      <c r="P84" s="18">
        <f t="shared" si="62"/>
        <v>0.037760211820368</v>
      </c>
      <c r="Q84" s="24">
        <f t="shared" si="63"/>
        <v>0.00981765507329569</v>
      </c>
      <c r="R84" s="18">
        <f t="shared" si="64"/>
        <v>0.1355172</v>
      </c>
      <c r="S84" s="25">
        <f t="shared" si="65"/>
        <v>0.0724458229161737</v>
      </c>
      <c r="T84" s="3">
        <v>0.01</v>
      </c>
      <c r="U84" s="26">
        <f t="shared" si="66"/>
        <v>0.000724458229161737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0.00621445822916174</v>
      </c>
      <c r="AU84" s="29">
        <f t="shared" si="70"/>
        <v>52.122</v>
      </c>
      <c r="AV84" s="1">
        <f t="shared" si="71"/>
        <v>0.26</v>
      </c>
      <c r="AW84" s="2">
        <f t="shared" si="75"/>
        <v>0.47865</v>
      </c>
      <c r="AX84" s="1">
        <f t="shared" si="72"/>
        <v>270.078839632755</v>
      </c>
    </row>
    <row r="85" s="1" customFormat="1" spans="1:51">
      <c r="A85" s="13"/>
      <c r="B85" s="13"/>
      <c r="C85" s="16">
        <v>11</v>
      </c>
      <c r="D85" s="19">
        <v>1.2853391188</v>
      </c>
      <c r="E85" s="20">
        <f t="shared" si="73"/>
        <v>10.3233958707742</v>
      </c>
      <c r="F85" s="16" t="s">
        <v>112</v>
      </c>
      <c r="G85" s="13">
        <v>12</v>
      </c>
      <c r="H85" s="18">
        <f t="shared" si="57"/>
        <v>1.2853391188</v>
      </c>
      <c r="I85" s="18">
        <f t="shared" si="58"/>
        <v>274.4353391188</v>
      </c>
      <c r="J85" s="18">
        <f t="shared" si="59"/>
        <v>0.020592709155324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1.07508687126395</v>
      </c>
      <c r="P85" s="18">
        <f t="shared" si="62"/>
        <v>0.0221389512566457</v>
      </c>
      <c r="Q85" s="24">
        <f t="shared" si="63"/>
        <v>0.00575612732672789</v>
      </c>
      <c r="R85" s="18">
        <f t="shared" si="64"/>
        <v>0.1355172</v>
      </c>
      <c r="S85" s="25">
        <f t="shared" si="65"/>
        <v>0.0424752527850922</v>
      </c>
      <c r="T85" s="3">
        <v>0.01</v>
      </c>
      <c r="U85" s="26">
        <f t="shared" si="66"/>
        <v>0.000424752527850922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0.00591475252785092</v>
      </c>
      <c r="AU85" s="29">
        <f t="shared" si="70"/>
        <v>52.122</v>
      </c>
      <c r="AV85" s="1">
        <f t="shared" si="71"/>
        <v>0.26</v>
      </c>
      <c r="AW85" s="2">
        <f t="shared" si="75"/>
        <v>0.47865</v>
      </c>
      <c r="AX85" s="1">
        <f t="shared" si="72"/>
        <v>257.053702918261</v>
      </c>
      <c r="AY85" s="1">
        <f>SUM(AX74:AX85)</f>
        <v>5481.67196317303</v>
      </c>
    </row>
    <row r="86" s="1" customFormat="1" spans="1:46">
      <c r="A86" s="13"/>
      <c r="B86" s="13"/>
      <c r="C86" s="16">
        <v>12</v>
      </c>
      <c r="D86" s="19">
        <v>-3.44171661987097</v>
      </c>
      <c r="E86" s="20">
        <f t="shared" si="73"/>
        <v>1.2853391188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-6</v>
      </c>
      <c r="E90" s="16"/>
      <c r="F90" s="16"/>
      <c r="G90" s="13">
        <v>1</v>
      </c>
      <c r="H90" s="18">
        <f t="shared" ref="H90:H101" si="76">E91</f>
        <v>-6</v>
      </c>
      <c r="I90" s="18">
        <f t="shared" ref="I90:I101" si="77">H90+273.15</f>
        <v>267.15</v>
      </c>
      <c r="J90" s="18">
        <f t="shared" ref="J90:J101" si="78">EXP(($C$16*(I90-$C$14))/($C$17*I90*$C$14))</f>
        <v>0.00782554968707708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0.00222793399591084</v>
      </c>
      <c r="Q90" s="24">
        <f t="shared" ref="Q90:Q101" si="82">P90*$B$76</f>
        <v>0.00057926283893682</v>
      </c>
      <c r="R90" s="18">
        <f t="shared" ref="R90:R101" si="83">L90*$B$76</f>
        <v>0.074022</v>
      </c>
      <c r="S90" s="25">
        <f t="shared" ref="S90:S101" si="84">Q90/R90</f>
        <v>0.00782554968707708</v>
      </c>
      <c r="T90" s="3">
        <v>0.01</v>
      </c>
      <c r="U90" s="26">
        <f t="shared" ref="U90:U101" si="85">S90*T90</f>
        <v>7.82554968707708e-5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0.00556825549687077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1.52860156284674</v>
      </c>
      <c r="AX90" s="1">
        <f t="shared" ref="AX90:AX101" si="91">AW90*10000*AV90*0.67*AU90*AT90</f>
        <v>422.132773872664</v>
      </c>
      <c r="AZ90" s="2">
        <f>$E$10/12</f>
        <v>0.468116400500192</v>
      </c>
      <c r="BA90" s="1">
        <f t="shared" ref="BA90:BA101" si="92">AZ90*10000*AV90*0.67*AU90*AT90</f>
        <v>129.273238652475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-9.23353522758065</v>
      </c>
      <c r="E91" s="20">
        <f t="shared" ref="E91:E102" si="93">D90</f>
        <v>-6</v>
      </c>
      <c r="F91" s="16" t="s">
        <v>110</v>
      </c>
      <c r="G91" s="13">
        <v>2</v>
      </c>
      <c r="H91" s="18">
        <f t="shared" si="76"/>
        <v>-9.23353522758065</v>
      </c>
      <c r="I91" s="18">
        <f t="shared" si="77"/>
        <v>263.916464772419</v>
      </c>
      <c r="J91" s="18">
        <f t="shared" si="78"/>
        <v>0.00500702703263841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0.567172066004089</v>
      </c>
      <c r="P91" s="18">
        <f t="shared" si="81"/>
        <v>0.00283984586663985</v>
      </c>
      <c r="Q91" s="24">
        <f t="shared" si="82"/>
        <v>0.000738359925326361</v>
      </c>
      <c r="R91" s="18">
        <f t="shared" si="83"/>
        <v>0.074022</v>
      </c>
      <c r="S91" s="25">
        <f t="shared" si="84"/>
        <v>0.00997487132644837</v>
      </c>
      <c r="T91" s="3">
        <v>0.01</v>
      </c>
      <c r="U91" s="26">
        <f t="shared" si="85"/>
        <v>9.97487132644837e-5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0.00558974871326448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1.52860156284674</v>
      </c>
      <c r="AX91" s="1">
        <f t="shared" si="91"/>
        <v>423.76218744049</v>
      </c>
      <c r="AZ91" s="2">
        <f t="shared" ref="AZ91:AZ101" si="96">$E$10/12</f>
        <v>0.468116400500192</v>
      </c>
      <c r="BA91" s="1">
        <f t="shared" si="92"/>
        <v>129.772227553727</v>
      </c>
    </row>
    <row r="92" s="1" customFormat="1" spans="1:53">
      <c r="A92" s="13" t="s">
        <v>73</v>
      </c>
      <c r="B92" s="13">
        <v>0.33</v>
      </c>
      <c r="C92" s="16">
        <v>2</v>
      </c>
      <c r="D92" s="19">
        <v>-3.34034752872414</v>
      </c>
      <c r="E92" s="20">
        <f t="shared" si="93"/>
        <v>-9.23353522758065</v>
      </c>
      <c r="F92" s="16" t="s">
        <v>110</v>
      </c>
      <c r="G92" s="13">
        <v>3</v>
      </c>
      <c r="H92" s="18">
        <f t="shared" si="76"/>
        <v>-3.34034752872414</v>
      </c>
      <c r="I92" s="18">
        <f t="shared" si="77"/>
        <v>269.809652471276</v>
      </c>
      <c r="J92" s="18">
        <f t="shared" si="78"/>
        <v>0.0112084707226954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0.849032220137449</v>
      </c>
      <c r="P92" s="18">
        <f t="shared" si="81"/>
        <v>0.00951635278203568</v>
      </c>
      <c r="Q92" s="24">
        <f t="shared" si="82"/>
        <v>0.00247425172332928</v>
      </c>
      <c r="R92" s="18">
        <f t="shared" si="83"/>
        <v>0.074022</v>
      </c>
      <c r="S92" s="25">
        <f t="shared" si="84"/>
        <v>0.0334258966703045</v>
      </c>
      <c r="T92" s="3">
        <v>0.01</v>
      </c>
      <c r="U92" s="26">
        <f t="shared" si="85"/>
        <v>0.000334258966703045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0.00582425896670304</v>
      </c>
      <c r="AU92" s="29">
        <f t="shared" si="89"/>
        <v>28.47</v>
      </c>
      <c r="AV92" s="1">
        <f t="shared" si="90"/>
        <v>0.26</v>
      </c>
      <c r="AW92" s="2">
        <f t="shared" si="95"/>
        <v>1.52860156284674</v>
      </c>
      <c r="AX92" s="1">
        <f t="shared" si="91"/>
        <v>441.540549773403</v>
      </c>
      <c r="AZ92" s="2">
        <f t="shared" si="96"/>
        <v>0.468116400500192</v>
      </c>
      <c r="BA92" s="1">
        <f t="shared" si="92"/>
        <v>135.216643668658</v>
      </c>
    </row>
    <row r="93" s="1" customFormat="1" spans="1:53">
      <c r="A93" s="13"/>
      <c r="B93" s="13"/>
      <c r="C93" s="16">
        <v>3</v>
      </c>
      <c r="D93" s="19">
        <v>5.56838137854839</v>
      </c>
      <c r="E93" s="20">
        <f t="shared" si="93"/>
        <v>-3.34034752872414</v>
      </c>
      <c r="F93" s="16" t="s">
        <v>110</v>
      </c>
      <c r="G93" s="13">
        <v>4</v>
      </c>
      <c r="H93" s="18">
        <f t="shared" si="76"/>
        <v>5.56838137854839</v>
      </c>
      <c r="I93" s="18">
        <f t="shared" si="77"/>
        <v>278.718381378548</v>
      </c>
      <c r="J93" s="18">
        <f t="shared" si="78"/>
        <v>0.03552175809473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1.12421586735541</v>
      </c>
      <c r="P93" s="18">
        <f t="shared" si="81"/>
        <v>0.0399341240864561</v>
      </c>
      <c r="Q93" s="24">
        <f t="shared" si="82"/>
        <v>0.0103828722624786</v>
      </c>
      <c r="R93" s="18">
        <f t="shared" si="83"/>
        <v>0.074022</v>
      </c>
      <c r="S93" s="25">
        <f t="shared" si="84"/>
        <v>0.140267383514071</v>
      </c>
      <c r="T93" s="3">
        <v>0.01</v>
      </c>
      <c r="U93" s="26">
        <f t="shared" si="85"/>
        <v>0.00140267383514071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0.00689267383514071</v>
      </c>
      <c r="AU93" s="29">
        <f t="shared" si="89"/>
        <v>28.47</v>
      </c>
      <c r="AV93" s="1">
        <f t="shared" si="90"/>
        <v>0.26</v>
      </c>
      <c r="AW93" s="2">
        <f t="shared" si="95"/>
        <v>1.52860156284674</v>
      </c>
      <c r="AX93" s="1">
        <f t="shared" si="91"/>
        <v>522.537718871309</v>
      </c>
      <c r="AZ93" s="2">
        <f t="shared" si="96"/>
        <v>0.468116400500192</v>
      </c>
      <c r="BA93" s="1">
        <f t="shared" si="92"/>
        <v>160.021082032705</v>
      </c>
    </row>
    <row r="94" s="1" customFormat="1" spans="1:53">
      <c r="A94" s="13"/>
      <c r="B94" s="13"/>
      <c r="C94" s="16">
        <v>4</v>
      </c>
      <c r="D94" s="19">
        <v>13.2316695756333</v>
      </c>
      <c r="E94" s="20">
        <f t="shared" si="93"/>
        <v>5.56838137854839</v>
      </c>
      <c r="F94" s="16" t="s">
        <v>110</v>
      </c>
      <c r="G94" s="13">
        <v>5</v>
      </c>
      <c r="H94" s="18">
        <f t="shared" si="76"/>
        <v>13.2316695756333</v>
      </c>
      <c r="I94" s="18">
        <f t="shared" si="77"/>
        <v>286.381669575633</v>
      </c>
      <c r="J94" s="18">
        <f t="shared" si="78"/>
        <v>0.0904636767312946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1.03006765610551</v>
      </c>
      <c r="O94" s="18">
        <f t="shared" si="94"/>
        <v>0.338914087163448</v>
      </c>
      <c r="P94" s="18">
        <f t="shared" si="81"/>
        <v>0.0306594144208359</v>
      </c>
      <c r="Q94" s="24">
        <f t="shared" si="82"/>
        <v>0.00797144774941734</v>
      </c>
      <c r="R94" s="18">
        <f t="shared" si="83"/>
        <v>0.074022</v>
      </c>
      <c r="S94" s="25">
        <f t="shared" si="84"/>
        <v>0.107690250863491</v>
      </c>
      <c r="T94" s="3">
        <v>0.01</v>
      </c>
      <c r="U94" s="26">
        <f t="shared" si="85"/>
        <v>0.00107690250863491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0.0110269025086349</v>
      </c>
      <c r="AU94" s="29">
        <f t="shared" si="89"/>
        <v>28.47</v>
      </c>
      <c r="AV94" s="1">
        <f t="shared" si="90"/>
        <v>0.26</v>
      </c>
      <c r="AW94" s="2">
        <f t="shared" si="95"/>
        <v>1.52860156284674</v>
      </c>
      <c r="AX94" s="1">
        <f t="shared" si="91"/>
        <v>835.95606304513</v>
      </c>
      <c r="AZ94" s="2">
        <f t="shared" si="96"/>
        <v>0.468116400500192</v>
      </c>
      <c r="BA94" s="1">
        <f t="shared" si="92"/>
        <v>256.001794529261</v>
      </c>
    </row>
    <row r="95" s="1" customFormat="1" spans="1:53">
      <c r="A95" s="13"/>
      <c r="B95" s="13"/>
      <c r="C95" s="16">
        <v>5</v>
      </c>
      <c r="D95" s="19">
        <v>17.6510197287097</v>
      </c>
      <c r="E95" s="20">
        <f t="shared" si="93"/>
        <v>13.2316695756333</v>
      </c>
      <c r="F95" s="16" t="s">
        <v>112</v>
      </c>
      <c r="G95" s="13">
        <v>6</v>
      </c>
      <c r="H95" s="18">
        <f t="shared" si="76"/>
        <v>17.6510197287097</v>
      </c>
      <c r="I95" s="18">
        <f t="shared" si="77"/>
        <v>290.80101972871</v>
      </c>
      <c r="J95" s="18">
        <f t="shared" si="78"/>
        <v>0.151660118203775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0.592954672742612</v>
      </c>
      <c r="P95" s="18">
        <f t="shared" si="81"/>
        <v>0.0899275757576252</v>
      </c>
      <c r="Q95" s="24">
        <f t="shared" si="82"/>
        <v>0.0233811696969826</v>
      </c>
      <c r="R95" s="18">
        <f t="shared" si="83"/>
        <v>0.074022</v>
      </c>
      <c r="S95" s="25">
        <f t="shared" si="84"/>
        <v>0.315867846005006</v>
      </c>
      <c r="T95" s="3">
        <v>0.01</v>
      </c>
      <c r="U95" s="26">
        <f t="shared" si="85"/>
        <v>0.00315867846005006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0.0131086784600501</v>
      </c>
      <c r="AU95" s="29">
        <f t="shared" si="89"/>
        <v>28.47</v>
      </c>
      <c r="AV95" s="1">
        <f t="shared" si="90"/>
        <v>0.26</v>
      </c>
      <c r="AW95" s="2">
        <f t="shared" si="95"/>
        <v>1.52860156284674</v>
      </c>
      <c r="AX95" s="1">
        <f t="shared" si="91"/>
        <v>993.776740894078</v>
      </c>
      <c r="AZ95" s="2">
        <f t="shared" si="96"/>
        <v>0.468116400500192</v>
      </c>
      <c r="BA95" s="1">
        <f t="shared" si="92"/>
        <v>304.332536453641</v>
      </c>
    </row>
    <row r="96" s="1" customFormat="1" spans="1:53">
      <c r="A96" s="13"/>
      <c r="B96" s="13"/>
      <c r="C96" s="16">
        <v>6</v>
      </c>
      <c r="D96" s="19">
        <v>21.9835030566667</v>
      </c>
      <c r="E96" s="20">
        <f t="shared" si="93"/>
        <v>17.6510197287097</v>
      </c>
      <c r="F96" s="16" t="s">
        <v>110</v>
      </c>
      <c r="G96" s="13">
        <v>7</v>
      </c>
      <c r="H96" s="18">
        <f t="shared" si="76"/>
        <v>21.9835030566667</v>
      </c>
      <c r="I96" s="18">
        <f t="shared" si="77"/>
        <v>295.133503056667</v>
      </c>
      <c r="J96" s="18">
        <f t="shared" si="78"/>
        <v>0.247933011471477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0.787727096984987</v>
      </c>
      <c r="P96" s="18">
        <f t="shared" si="81"/>
        <v>0.195303551373172</v>
      </c>
      <c r="Q96" s="24">
        <f t="shared" si="82"/>
        <v>0.0507789233570247</v>
      </c>
      <c r="R96" s="18">
        <f t="shared" si="83"/>
        <v>0.074022</v>
      </c>
      <c r="S96" s="25">
        <f t="shared" si="84"/>
        <v>0.685997721718202</v>
      </c>
      <c r="T96" s="3">
        <v>0.01</v>
      </c>
      <c r="U96" s="26">
        <f t="shared" si="85"/>
        <v>0.00685997721718202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0.016809977217182</v>
      </c>
      <c r="AU96" s="29">
        <f t="shared" si="89"/>
        <v>28.47</v>
      </c>
      <c r="AV96" s="1">
        <f t="shared" si="90"/>
        <v>0.26</v>
      </c>
      <c r="AW96" s="2">
        <f t="shared" si="95"/>
        <v>1.52860156284674</v>
      </c>
      <c r="AX96" s="1">
        <f t="shared" si="91"/>
        <v>1274.37440961772</v>
      </c>
      <c r="AZ96" s="2">
        <f t="shared" si="96"/>
        <v>0.468116400500192</v>
      </c>
      <c r="BA96" s="1">
        <f t="shared" si="92"/>
        <v>390.262299882011</v>
      </c>
    </row>
    <row r="97" s="1" customFormat="1" spans="1:53">
      <c r="A97" s="13"/>
      <c r="B97" s="13"/>
      <c r="C97" s="16">
        <v>7</v>
      </c>
      <c r="D97" s="19">
        <v>24.0305657696774</v>
      </c>
      <c r="E97" s="20">
        <f t="shared" si="93"/>
        <v>21.9835030566667</v>
      </c>
      <c r="F97" s="16" t="s">
        <v>110</v>
      </c>
      <c r="G97" s="13">
        <v>8</v>
      </c>
      <c r="H97" s="18">
        <f t="shared" si="76"/>
        <v>24.0305657696774</v>
      </c>
      <c r="I97" s="18">
        <f t="shared" si="77"/>
        <v>297.180565769677</v>
      </c>
      <c r="J97" s="18">
        <f t="shared" si="78"/>
        <v>0.311192204244553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0.877123545611814</v>
      </c>
      <c r="P97" s="18">
        <f t="shared" si="81"/>
        <v>0.272954009553738</v>
      </c>
      <c r="Q97" s="24">
        <f t="shared" si="82"/>
        <v>0.070968042483972</v>
      </c>
      <c r="R97" s="18">
        <f t="shared" si="83"/>
        <v>0.074022</v>
      </c>
      <c r="S97" s="25">
        <f t="shared" si="84"/>
        <v>0.958742569560022</v>
      </c>
      <c r="T97" s="3">
        <v>0.01</v>
      </c>
      <c r="U97" s="26">
        <f t="shared" si="85"/>
        <v>0.00958742569560022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0.0195374256956002</v>
      </c>
      <c r="AU97" s="29">
        <f t="shared" si="89"/>
        <v>28.47</v>
      </c>
      <c r="AV97" s="1">
        <f t="shared" si="90"/>
        <v>0.26</v>
      </c>
      <c r="AW97" s="2">
        <f t="shared" si="95"/>
        <v>1.52860156284674</v>
      </c>
      <c r="AX97" s="1">
        <f t="shared" si="91"/>
        <v>1481.14390725239</v>
      </c>
      <c r="AZ97" s="2">
        <f t="shared" si="96"/>
        <v>0.468116400500192</v>
      </c>
      <c r="BA97" s="1">
        <f t="shared" si="92"/>
        <v>453.583046974351</v>
      </c>
    </row>
    <row r="98" s="1" customFormat="1" spans="1:53">
      <c r="A98" s="13"/>
      <c r="B98" s="13"/>
      <c r="C98" s="16">
        <v>8</v>
      </c>
      <c r="D98" s="19">
        <v>23.3763257654839</v>
      </c>
      <c r="E98" s="20">
        <f t="shared" si="93"/>
        <v>24.0305657696774</v>
      </c>
      <c r="F98" s="16" t="s">
        <v>110</v>
      </c>
      <c r="G98" s="13">
        <v>9</v>
      </c>
      <c r="H98" s="18">
        <f t="shared" si="76"/>
        <v>23.3763257654839</v>
      </c>
      <c r="I98" s="18">
        <f t="shared" si="77"/>
        <v>296.526325765484</v>
      </c>
      <c r="J98" s="18">
        <f t="shared" si="78"/>
        <v>0.289490431226128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0.888869536058076</v>
      </c>
      <c r="P98" s="18">
        <f t="shared" si="81"/>
        <v>0.257319225297221</v>
      </c>
      <c r="Q98" s="24">
        <f t="shared" si="82"/>
        <v>0.0669029985772774</v>
      </c>
      <c r="R98" s="18">
        <f t="shared" si="83"/>
        <v>0.074022</v>
      </c>
      <c r="S98" s="25">
        <f t="shared" si="84"/>
        <v>0.903825870380122</v>
      </c>
      <c r="T98" s="3">
        <v>0.01</v>
      </c>
      <c r="U98" s="26">
        <f t="shared" si="85"/>
        <v>0.00903825870380122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0.0189882587038012</v>
      </c>
      <c r="AU98" s="29">
        <f t="shared" si="89"/>
        <v>28.47</v>
      </c>
      <c r="AV98" s="1">
        <f t="shared" si="90"/>
        <v>0.26</v>
      </c>
      <c r="AW98" s="2">
        <f t="shared" si="95"/>
        <v>1.52860156284674</v>
      </c>
      <c r="AX98" s="1">
        <f t="shared" si="91"/>
        <v>1439.51122971134</v>
      </c>
      <c r="AZ98" s="2">
        <f t="shared" si="96"/>
        <v>0.468116400500192</v>
      </c>
      <c r="BA98" s="1">
        <f t="shared" si="92"/>
        <v>440.833525040455</v>
      </c>
    </row>
    <row r="99" s="1" customFormat="1" spans="1:53">
      <c r="A99" s="13"/>
      <c r="B99" s="13"/>
      <c r="C99" s="16">
        <v>9</v>
      </c>
      <c r="D99" s="19">
        <v>18.146201651</v>
      </c>
      <c r="E99" s="20">
        <f t="shared" si="93"/>
        <v>23.3763257654839</v>
      </c>
      <c r="F99" s="16" t="s">
        <v>110</v>
      </c>
      <c r="G99" s="13">
        <v>10</v>
      </c>
      <c r="H99" s="18">
        <f t="shared" si="76"/>
        <v>18.146201651</v>
      </c>
      <c r="I99" s="18">
        <f t="shared" si="77"/>
        <v>291.296201651</v>
      </c>
      <c r="J99" s="18">
        <f t="shared" si="78"/>
        <v>0.160542703832299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0.916250310760856</v>
      </c>
      <c r="P99" s="18">
        <f t="shared" si="81"/>
        <v>0.147097302276732</v>
      </c>
      <c r="Q99" s="24">
        <f t="shared" si="82"/>
        <v>0.0382452985919503</v>
      </c>
      <c r="R99" s="18">
        <f t="shared" si="83"/>
        <v>0.074022</v>
      </c>
      <c r="S99" s="25">
        <f t="shared" si="84"/>
        <v>0.516674753342929</v>
      </c>
      <c r="T99" s="3">
        <v>0.01</v>
      </c>
      <c r="U99" s="26">
        <f t="shared" si="85"/>
        <v>0.00516674753342929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0.0106567475334293</v>
      </c>
      <c r="AU99" s="29">
        <f t="shared" si="89"/>
        <v>28.47</v>
      </c>
      <c r="AV99" s="1">
        <f t="shared" si="90"/>
        <v>0.26</v>
      </c>
      <c r="AW99" s="2">
        <f t="shared" si="95"/>
        <v>1.52860156284674</v>
      </c>
      <c r="AX99" s="1">
        <f t="shared" si="91"/>
        <v>807.894393365258</v>
      </c>
      <c r="AZ99" s="2">
        <f t="shared" si="96"/>
        <v>0.468116400500192</v>
      </c>
      <c r="BA99" s="1">
        <f t="shared" si="92"/>
        <v>247.408235473817</v>
      </c>
    </row>
    <row r="100" s="1" customFormat="1" spans="1:53">
      <c r="A100" s="13"/>
      <c r="B100" s="13"/>
      <c r="C100" s="16">
        <v>10</v>
      </c>
      <c r="D100" s="19">
        <v>10.3233958707742</v>
      </c>
      <c r="E100" s="20">
        <f t="shared" si="93"/>
        <v>18.146201651</v>
      </c>
      <c r="F100" s="16" t="s">
        <v>110</v>
      </c>
      <c r="G100" s="13">
        <v>11</v>
      </c>
      <c r="H100" s="18">
        <f t="shared" si="76"/>
        <v>10.3233958707742</v>
      </c>
      <c r="I100" s="18">
        <f t="shared" si="77"/>
        <v>283.473395870774</v>
      </c>
      <c r="J100" s="18">
        <f t="shared" si="78"/>
        <v>0.0638243462816367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0.730695358059917</v>
      </c>
      <c r="O100" s="18">
        <f t="shared" si="94"/>
        <v>0.323157650424206</v>
      </c>
      <c r="P100" s="18">
        <f t="shared" si="81"/>
        <v>0.0206253257842346</v>
      </c>
      <c r="Q100" s="24">
        <f t="shared" si="82"/>
        <v>0.005362584703901</v>
      </c>
      <c r="R100" s="18">
        <f t="shared" si="83"/>
        <v>0.074022</v>
      </c>
      <c r="S100" s="25">
        <f t="shared" si="84"/>
        <v>0.0724458229161736</v>
      </c>
      <c r="T100" s="3">
        <v>0.01</v>
      </c>
      <c r="U100" s="26">
        <f t="shared" si="85"/>
        <v>0.000724458229161736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0.00621445822916174</v>
      </c>
      <c r="AU100" s="29">
        <f t="shared" si="89"/>
        <v>28.47</v>
      </c>
      <c r="AV100" s="1">
        <f t="shared" si="90"/>
        <v>0.26</v>
      </c>
      <c r="AW100" s="2">
        <f t="shared" si="95"/>
        <v>1.52860156284674</v>
      </c>
      <c r="AX100" s="1">
        <f t="shared" si="91"/>
        <v>471.121788837832</v>
      </c>
      <c r="AZ100" s="2">
        <f t="shared" si="96"/>
        <v>0.468116400500192</v>
      </c>
      <c r="BA100" s="1">
        <f t="shared" si="92"/>
        <v>144.275553125343</v>
      </c>
    </row>
    <row r="101" s="1" customFormat="1" spans="1:54">
      <c r="A101" s="13"/>
      <c r="B101" s="13"/>
      <c r="C101" s="16">
        <v>11</v>
      </c>
      <c r="D101" s="19">
        <v>1.2853391188</v>
      </c>
      <c r="E101" s="20">
        <f t="shared" si="93"/>
        <v>10.3233958707742</v>
      </c>
      <c r="F101" s="16" t="s">
        <v>112</v>
      </c>
      <c r="G101" s="13">
        <v>12</v>
      </c>
      <c r="H101" s="18">
        <f t="shared" si="76"/>
        <v>1.2853391188</v>
      </c>
      <c r="I101" s="18">
        <f t="shared" si="77"/>
        <v>274.4353391188</v>
      </c>
      <c r="J101" s="18">
        <f t="shared" si="78"/>
        <v>0.020592709155324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0.587232324639972</v>
      </c>
      <c r="P101" s="18">
        <f t="shared" si="81"/>
        <v>0.0120927044679157</v>
      </c>
      <c r="Q101" s="24">
        <f t="shared" si="82"/>
        <v>0.00314410316165809</v>
      </c>
      <c r="R101" s="18">
        <f t="shared" si="83"/>
        <v>0.074022</v>
      </c>
      <c r="S101" s="25">
        <f t="shared" si="84"/>
        <v>0.0424752527850922</v>
      </c>
      <c r="T101" s="3">
        <v>0.01</v>
      </c>
      <c r="U101" s="26">
        <f t="shared" si="85"/>
        <v>0.000424752527850922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0.00591475252785092</v>
      </c>
      <c r="AU101" s="29">
        <f t="shared" si="89"/>
        <v>28.47</v>
      </c>
      <c r="AV101" s="1">
        <f t="shared" si="90"/>
        <v>0.26</v>
      </c>
      <c r="AW101" s="2">
        <f t="shared" si="95"/>
        <v>1.52860156284674</v>
      </c>
      <c r="AX101" s="1">
        <f t="shared" si="91"/>
        <v>448.400920675283</v>
      </c>
      <c r="AY101" s="1">
        <f>SUM(AX90:AX101)</f>
        <v>9562.1526833569</v>
      </c>
      <c r="AZ101" s="2">
        <f t="shared" si="96"/>
        <v>0.468116400500192</v>
      </c>
      <c r="BA101" s="1">
        <f t="shared" si="92"/>
        <v>137.317552244666</v>
      </c>
      <c r="BB101" s="1">
        <f>SUM(BA90:BA101)</f>
        <v>2928.29773563111</v>
      </c>
    </row>
    <row r="102" s="1" customFormat="1" spans="1:46">
      <c r="A102" s="13"/>
      <c r="B102" s="13"/>
      <c r="C102" s="16">
        <v>12</v>
      </c>
      <c r="D102" s="19">
        <v>-3.44171661987097</v>
      </c>
      <c r="E102" s="20">
        <f t="shared" si="93"/>
        <v>1.2853391188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selection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/>
      <c r="B2" s="5" t="s">
        <v>42</v>
      </c>
      <c r="C2" s="3"/>
      <c r="D2" s="3"/>
      <c r="E2" s="6">
        <v>146.82</v>
      </c>
      <c r="F2" s="12">
        <v>1166.832</v>
      </c>
      <c r="G2" s="44">
        <f>(F2+F3+F4)/3</f>
        <v>1338.18733333333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43</v>
      </c>
      <c r="C3" s="3"/>
      <c r="D3" s="3"/>
      <c r="E3" s="8"/>
      <c r="F3" s="12">
        <v>1192.09</v>
      </c>
      <c r="G3" s="44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44</v>
      </c>
      <c r="C4" s="3"/>
      <c r="D4" s="3"/>
      <c r="E4" s="10"/>
      <c r="F4" s="12">
        <v>1655.64</v>
      </c>
      <c r="G4" s="4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46</v>
      </c>
      <c r="C5" s="3"/>
      <c r="D5" s="3"/>
      <c r="E5" s="6">
        <v>1350.48</v>
      </c>
      <c r="F5" s="12">
        <v>91.104</v>
      </c>
      <c r="G5" s="44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47</v>
      </c>
      <c r="C6" s="3"/>
      <c r="D6" s="3"/>
      <c r="E6" s="10"/>
      <c r="F6" s="12">
        <v>93.9145</v>
      </c>
      <c r="G6" s="44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48</v>
      </c>
      <c r="B7" s="5"/>
      <c r="C7" s="3"/>
      <c r="D7" s="3"/>
      <c r="E7" s="12">
        <v>1063.97073770807</v>
      </c>
      <c r="F7" s="12">
        <v>122.786</v>
      </c>
      <c r="G7" s="30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49</v>
      </c>
      <c r="B8" s="5"/>
      <c r="C8" s="3"/>
      <c r="D8" s="3"/>
      <c r="E8" s="12">
        <v>1.0902</v>
      </c>
      <c r="F8" s="12">
        <v>625.464</v>
      </c>
      <c r="G8" s="30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50</v>
      </c>
      <c r="B9" s="5"/>
      <c r="C9" s="3"/>
      <c r="D9" s="3"/>
      <c r="E9" s="12">
        <v>12.4829866478783</v>
      </c>
      <c r="F9" s="12">
        <v>341.64</v>
      </c>
      <c r="G9" s="30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51</v>
      </c>
      <c r="B10" s="5"/>
      <c r="C10" s="3"/>
      <c r="D10" s="3"/>
      <c r="E10" s="12">
        <v>4.3257662808169</v>
      </c>
      <c r="F10" s="12">
        <v>341.64</v>
      </c>
      <c r="G10" s="3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52</v>
      </c>
      <c r="B11" s="5"/>
      <c r="C11" s="3"/>
      <c r="D11" s="3"/>
      <c r="E11" s="12">
        <v>0</v>
      </c>
      <c r="F11" s="12">
        <v>910.8575</v>
      </c>
      <c r="G11" s="30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AV38+AV53+BB68+AY85+AY101+BB101+AG69</f>
        <v>28635566.5385743</v>
      </c>
      <c r="J14" s="14" t="s">
        <v>35</v>
      </c>
      <c r="K14" s="14">
        <f>I14/(10000*1000)</f>
        <v>2.86355665385743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38">
        <v>21799580.8029053</v>
      </c>
      <c r="J15" s="14" t="s">
        <v>35</v>
      </c>
      <c r="K15" s="14">
        <f>I15/(10000*1000)</f>
        <v>2.17995808029053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-4</v>
      </c>
      <c r="E27" s="16"/>
      <c r="F27" s="16"/>
      <c r="G27" s="13">
        <v>1</v>
      </c>
      <c r="H27" s="18">
        <f t="shared" ref="H27:H38" si="0">E28</f>
        <v>-4</v>
      </c>
      <c r="I27" s="18">
        <f t="shared" ref="I27:I38" si="1">H27+273.15</f>
        <v>269.15</v>
      </c>
      <c r="J27" s="18">
        <f t="shared" ref="J27:J38" si="2">EXP(($C$16*(I27-$C$14))/($C$17*I27*$C$14))</f>
        <v>0.0102597002578668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0.0114411674407284</v>
      </c>
      <c r="Q27" s="24">
        <f t="shared" ref="Q27:Q38" si="6">P27*$B$29</f>
        <v>0.00148735176729469</v>
      </c>
      <c r="R27" s="18">
        <f t="shared" ref="R27:R38" si="7">L27*$B$29</f>
        <v>0.144970294444444</v>
      </c>
      <c r="S27" s="25">
        <f t="shared" ref="S27:S38" si="8">Q27/R27</f>
        <v>0.0102597002578668</v>
      </c>
      <c r="T27" s="3">
        <v>0.01</v>
      </c>
      <c r="U27" s="26">
        <f t="shared" ref="U27:U38" si="9">S27*T27</f>
        <v>0.000102597002578668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0.0220025970025787</v>
      </c>
      <c r="AR27" s="29">
        <f t="shared" ref="AR27:AR38" si="15">$B$27/12</f>
        <v>111.515611111111</v>
      </c>
      <c r="AS27" s="1">
        <f t="shared" ref="AS27:AS38" si="16">$B$29</f>
        <v>0.13</v>
      </c>
      <c r="AT27" s="2">
        <f>$E$2/12</f>
        <v>12.235</v>
      </c>
      <c r="AU27" s="1">
        <f t="shared" ref="AU27:AU38" si="17">AT27*10000*AS27*0.67*AR27*AQ27</f>
        <v>26147.5945276882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-8.15328237967742</v>
      </c>
      <c r="E28" s="20">
        <f t="shared" ref="E28:E39" si="18">D27</f>
        <v>-4</v>
      </c>
      <c r="F28" s="16" t="s">
        <v>110</v>
      </c>
      <c r="G28" s="13">
        <v>2</v>
      </c>
      <c r="H28" s="18">
        <f t="shared" si="0"/>
        <v>-8.15328237967742</v>
      </c>
      <c r="I28" s="18">
        <f t="shared" si="1"/>
        <v>264.996717620323</v>
      </c>
      <c r="J28" s="18">
        <f t="shared" si="2"/>
        <v>0.00581963538806965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2.21887105478149</v>
      </c>
      <c r="P28" s="18">
        <f t="shared" si="5"/>
        <v>0.0129130205119698</v>
      </c>
      <c r="Q28" s="24">
        <f t="shared" si="6"/>
        <v>0.00167869266655608</v>
      </c>
      <c r="R28" s="18">
        <f t="shared" si="7"/>
        <v>0.144970294444444</v>
      </c>
      <c r="S28" s="25">
        <f t="shared" si="8"/>
        <v>0.0115795630614476</v>
      </c>
      <c r="T28" s="3">
        <v>0.01</v>
      </c>
      <c r="U28" s="26">
        <f t="shared" si="9"/>
        <v>0.000115795630614476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0.0220157956306145</v>
      </c>
      <c r="AR28" s="29">
        <f t="shared" si="15"/>
        <v>111.515611111111</v>
      </c>
      <c r="AS28" s="1">
        <f t="shared" si="16"/>
        <v>0.13</v>
      </c>
      <c r="AT28" s="2">
        <f t="shared" ref="AT28:AT38" si="20">$E$2/12</f>
        <v>12.235</v>
      </c>
      <c r="AU28" s="1">
        <f t="shared" si="17"/>
        <v>26163.2796022347</v>
      </c>
    </row>
    <row r="29" s="1" customFormat="1" spans="1:47">
      <c r="A29" s="13" t="s">
        <v>73</v>
      </c>
      <c r="B29" s="13">
        <v>0.13</v>
      </c>
      <c r="C29" s="16">
        <v>2</v>
      </c>
      <c r="D29" s="19">
        <v>-3.26981668741379</v>
      </c>
      <c r="E29" s="20">
        <f t="shared" si="18"/>
        <v>-8.15328237967742</v>
      </c>
      <c r="F29" s="16" t="s">
        <v>110</v>
      </c>
      <c r="G29" s="13">
        <v>3</v>
      </c>
      <c r="H29" s="18">
        <f t="shared" si="0"/>
        <v>-3.26981668741379</v>
      </c>
      <c r="I29" s="18">
        <f t="shared" si="1"/>
        <v>269.880183312586</v>
      </c>
      <c r="J29" s="18">
        <f t="shared" si="2"/>
        <v>0.0113146799568535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3.32111414538064</v>
      </c>
      <c r="P29" s="18">
        <f t="shared" si="5"/>
        <v>0.0375773436551609</v>
      </c>
      <c r="Q29" s="24">
        <f t="shared" si="6"/>
        <v>0.00488505467517092</v>
      </c>
      <c r="R29" s="18">
        <f t="shared" si="7"/>
        <v>0.144970294444444</v>
      </c>
      <c r="S29" s="25">
        <f t="shared" si="8"/>
        <v>0.033696935595609</v>
      </c>
      <c r="T29" s="3">
        <v>0.01</v>
      </c>
      <c r="U29" s="26">
        <f t="shared" si="9"/>
        <v>0.00033696935595609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0.0222369693559561</v>
      </c>
      <c r="AR29" s="29">
        <f t="shared" si="15"/>
        <v>111.515611111111</v>
      </c>
      <c r="AS29" s="1">
        <f t="shared" si="16"/>
        <v>0.13</v>
      </c>
      <c r="AT29" s="2">
        <f t="shared" si="20"/>
        <v>12.235</v>
      </c>
      <c r="AU29" s="1">
        <f t="shared" si="17"/>
        <v>26426.1195247099</v>
      </c>
    </row>
    <row r="30" s="1" customFormat="1" spans="1:47">
      <c r="A30" s="13"/>
      <c r="B30" s="13"/>
      <c r="C30" s="16">
        <v>3</v>
      </c>
      <c r="D30" s="19">
        <v>4.97044997080645</v>
      </c>
      <c r="E30" s="20">
        <f t="shared" si="18"/>
        <v>-3.26981668741379</v>
      </c>
      <c r="F30" s="16" t="s">
        <v>110</v>
      </c>
      <c r="G30" s="13">
        <v>4</v>
      </c>
      <c r="H30" s="18">
        <f t="shared" si="0"/>
        <v>4.97044997080645</v>
      </c>
      <c r="I30" s="18">
        <f t="shared" si="1"/>
        <v>278.120449970806</v>
      </c>
      <c r="J30" s="18">
        <f t="shared" si="2"/>
        <v>0.0329516210418407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4.39869291283659</v>
      </c>
      <c r="P30" s="18">
        <f t="shared" si="5"/>
        <v>0.144944061943222</v>
      </c>
      <c r="Q30" s="24">
        <f t="shared" si="6"/>
        <v>0.0188427280526188</v>
      </c>
      <c r="R30" s="18">
        <f t="shared" si="7"/>
        <v>0.144970294444444</v>
      </c>
      <c r="S30" s="25">
        <f t="shared" si="8"/>
        <v>0.129976476386614</v>
      </c>
      <c r="T30" s="3">
        <v>0.01</v>
      </c>
      <c r="U30" s="26">
        <f t="shared" si="9"/>
        <v>0.00129976476386614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0.0231997647638661</v>
      </c>
      <c r="AR30" s="29">
        <f t="shared" si="15"/>
        <v>111.515611111111</v>
      </c>
      <c r="AS30" s="1">
        <f t="shared" si="16"/>
        <v>0.13</v>
      </c>
      <c r="AT30" s="2">
        <f t="shared" si="20"/>
        <v>12.235</v>
      </c>
      <c r="AU30" s="1">
        <f t="shared" si="17"/>
        <v>27570.2928209895</v>
      </c>
    </row>
    <row r="31" s="1" customFormat="1" spans="1:47">
      <c r="A31" s="13"/>
      <c r="B31" s="13"/>
      <c r="C31" s="16">
        <v>4</v>
      </c>
      <c r="D31" s="19">
        <v>12.7322370494333</v>
      </c>
      <c r="E31" s="20">
        <f t="shared" si="18"/>
        <v>4.97044997080645</v>
      </c>
      <c r="F31" s="16" t="s">
        <v>110</v>
      </c>
      <c r="G31" s="13">
        <v>5</v>
      </c>
      <c r="H31" s="18">
        <f t="shared" si="0"/>
        <v>12.7322370494333</v>
      </c>
      <c r="I31" s="18">
        <f t="shared" si="1"/>
        <v>285.882237049433</v>
      </c>
      <c r="J31" s="18">
        <f t="shared" si="2"/>
        <v>0.0852469209566172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4.0410614083487</v>
      </c>
      <c r="O31" s="18">
        <f t="shared" si="19"/>
        <v>1.32784355365578</v>
      </c>
      <c r="P31" s="18">
        <f t="shared" si="5"/>
        <v>0.113194574461248</v>
      </c>
      <c r="Q31" s="24">
        <f t="shared" si="6"/>
        <v>0.0147152946799622</v>
      </c>
      <c r="R31" s="18">
        <f t="shared" si="7"/>
        <v>0.144970294444444</v>
      </c>
      <c r="S31" s="25">
        <f t="shared" si="8"/>
        <v>0.101505585929547</v>
      </c>
      <c r="T31" s="3">
        <v>0.01</v>
      </c>
      <c r="U31" s="26">
        <f t="shared" si="9"/>
        <v>0.00101505585929547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0.0304650558592955</v>
      </c>
      <c r="AR31" s="29">
        <f t="shared" si="15"/>
        <v>111.515611111111</v>
      </c>
      <c r="AS31" s="1">
        <f t="shared" si="16"/>
        <v>0.13</v>
      </c>
      <c r="AT31" s="2">
        <f t="shared" si="20"/>
        <v>12.235</v>
      </c>
      <c r="AU31" s="1">
        <f t="shared" si="17"/>
        <v>36204.2684224444</v>
      </c>
    </row>
    <row r="32" s="1" customFormat="1" spans="1:47">
      <c r="A32" s="13"/>
      <c r="B32" s="13"/>
      <c r="C32" s="16">
        <v>5</v>
      </c>
      <c r="D32" s="19">
        <v>15.6682133022258</v>
      </c>
      <c r="E32" s="20">
        <f t="shared" si="18"/>
        <v>12.7322370494333</v>
      </c>
      <c r="F32" s="16" t="s">
        <v>112</v>
      </c>
      <c r="G32" s="13">
        <v>6</v>
      </c>
      <c r="H32" s="18">
        <f t="shared" si="0"/>
        <v>15.6682133022258</v>
      </c>
      <c r="I32" s="18">
        <f t="shared" si="1"/>
        <v>288.818213302226</v>
      </c>
      <c r="J32" s="18">
        <f t="shared" si="2"/>
        <v>0.120515154337017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2.32980509030564</v>
      </c>
      <c r="P32" s="18">
        <f t="shared" si="5"/>
        <v>0.280776820033352</v>
      </c>
      <c r="Q32" s="24">
        <f t="shared" si="6"/>
        <v>0.0365009866043358</v>
      </c>
      <c r="R32" s="18">
        <f t="shared" si="7"/>
        <v>0.144970294444444</v>
      </c>
      <c r="S32" s="25">
        <f t="shared" si="8"/>
        <v>0.251782523752297</v>
      </c>
      <c r="T32" s="3">
        <v>0.01</v>
      </c>
      <c r="U32" s="26">
        <f t="shared" si="9"/>
        <v>0.00251782523752297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0.031967825237523</v>
      </c>
      <c r="AR32" s="29">
        <f t="shared" si="15"/>
        <v>111.515611111111</v>
      </c>
      <c r="AS32" s="1">
        <f t="shared" si="16"/>
        <v>0.13</v>
      </c>
      <c r="AT32" s="2">
        <f t="shared" si="20"/>
        <v>12.235</v>
      </c>
      <c r="AU32" s="1">
        <f t="shared" si="17"/>
        <v>37990.139625099</v>
      </c>
    </row>
    <row r="33" s="1" customFormat="1" spans="1:47">
      <c r="A33" s="13"/>
      <c r="B33" s="13"/>
      <c r="C33" s="16">
        <v>6</v>
      </c>
      <c r="D33" s="19">
        <v>20.0959323786667</v>
      </c>
      <c r="E33" s="20">
        <f t="shared" si="18"/>
        <v>15.6682133022258</v>
      </c>
      <c r="F33" s="16" t="s">
        <v>110</v>
      </c>
      <c r="G33" s="13">
        <v>7</v>
      </c>
      <c r="H33" s="18">
        <f t="shared" si="0"/>
        <v>20.0959323786667</v>
      </c>
      <c r="I33" s="18">
        <f t="shared" si="1"/>
        <v>293.245932378667</v>
      </c>
      <c r="J33" s="18">
        <f t="shared" si="2"/>
        <v>0.20049727738362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3.1641843813834</v>
      </c>
      <c r="P33" s="18">
        <f t="shared" si="5"/>
        <v>0.634410353607146</v>
      </c>
      <c r="Q33" s="24">
        <f t="shared" si="6"/>
        <v>0.082473345968929</v>
      </c>
      <c r="R33" s="18">
        <f t="shared" si="7"/>
        <v>0.144970294444444</v>
      </c>
      <c r="S33" s="25">
        <f t="shared" si="8"/>
        <v>0.568898244188463</v>
      </c>
      <c r="T33" s="3">
        <v>0.01</v>
      </c>
      <c r="U33" s="26">
        <f t="shared" si="9"/>
        <v>0.00568898244188463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0.0351389824418846</v>
      </c>
      <c r="AR33" s="29">
        <f t="shared" si="15"/>
        <v>111.515611111111</v>
      </c>
      <c r="AS33" s="1">
        <f t="shared" si="16"/>
        <v>0.13</v>
      </c>
      <c r="AT33" s="2">
        <f t="shared" si="20"/>
        <v>12.235</v>
      </c>
      <c r="AU33" s="1">
        <f t="shared" si="17"/>
        <v>41758.7007978318</v>
      </c>
    </row>
    <row r="34" s="1" customFormat="1" spans="1:47">
      <c r="A34" s="13"/>
      <c r="B34" s="13"/>
      <c r="C34" s="16">
        <v>7</v>
      </c>
      <c r="D34" s="19">
        <v>22.3046072148387</v>
      </c>
      <c r="E34" s="20">
        <f t="shared" si="18"/>
        <v>20.0959323786667</v>
      </c>
      <c r="F34" s="16" t="s">
        <v>110</v>
      </c>
      <c r="G34" s="13">
        <v>8</v>
      </c>
      <c r="H34" s="18">
        <f t="shared" si="0"/>
        <v>22.3046072148387</v>
      </c>
      <c r="I34" s="18">
        <f t="shared" si="1"/>
        <v>295.454607214839</v>
      </c>
      <c r="J34" s="18">
        <f t="shared" si="2"/>
        <v>0.256983997536294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3.64493013888737</v>
      </c>
      <c r="P34" s="18">
        <f t="shared" si="5"/>
        <v>0.936688717831795</v>
      </c>
      <c r="Q34" s="24">
        <f t="shared" si="6"/>
        <v>0.121769533318133</v>
      </c>
      <c r="R34" s="18">
        <f t="shared" si="7"/>
        <v>0.144970294444444</v>
      </c>
      <c r="S34" s="25">
        <f t="shared" si="8"/>
        <v>0.839961964516792</v>
      </c>
      <c r="T34" s="3">
        <v>0.01</v>
      </c>
      <c r="U34" s="26">
        <f t="shared" si="9"/>
        <v>0.00839961964516792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0.0378496196451679</v>
      </c>
      <c r="AR34" s="29">
        <f t="shared" si="15"/>
        <v>111.515611111111</v>
      </c>
      <c r="AS34" s="1">
        <f t="shared" si="16"/>
        <v>0.13</v>
      </c>
      <c r="AT34" s="2">
        <f t="shared" si="20"/>
        <v>12.235</v>
      </c>
      <c r="AU34" s="1">
        <f t="shared" si="17"/>
        <v>44979.9861076892</v>
      </c>
    </row>
    <row r="35" s="1" customFormat="1" spans="1:47">
      <c r="A35" s="13"/>
      <c r="B35" s="13"/>
      <c r="C35" s="16">
        <v>8</v>
      </c>
      <c r="D35" s="19">
        <v>21.9429255583871</v>
      </c>
      <c r="E35" s="20">
        <f t="shared" si="18"/>
        <v>22.3046072148387</v>
      </c>
      <c r="F35" s="16" t="s">
        <v>110</v>
      </c>
      <c r="G35" s="13">
        <v>9</v>
      </c>
      <c r="H35" s="18">
        <f t="shared" si="0"/>
        <v>21.9429255583871</v>
      </c>
      <c r="I35" s="18">
        <f t="shared" si="1"/>
        <v>295.092925558387</v>
      </c>
      <c r="J35" s="18">
        <f t="shared" si="2"/>
        <v>0.246810803485486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3.82339753216668</v>
      </c>
      <c r="P35" s="18">
        <f t="shared" si="5"/>
        <v>0.943655816958484</v>
      </c>
      <c r="Q35" s="24">
        <f t="shared" si="6"/>
        <v>0.122675256204603</v>
      </c>
      <c r="R35" s="18">
        <f t="shared" si="7"/>
        <v>0.144970294444444</v>
      </c>
      <c r="S35" s="25">
        <f t="shared" si="8"/>
        <v>0.846209609180414</v>
      </c>
      <c r="T35" s="3">
        <v>0.01</v>
      </c>
      <c r="U35" s="26">
        <f t="shared" si="9"/>
        <v>0.00846209609180414</v>
      </c>
      <c r="V35" s="25"/>
      <c r="W35" s="3"/>
      <c r="X35" s="26"/>
      <c r="Y35" s="28">
        <v>0.02</v>
      </c>
      <c r="Z35" s="3">
        <v>0.21</v>
      </c>
      <c r="AA35" s="27">
        <f t="shared" si="10"/>
        <v>0.0042</v>
      </c>
      <c r="AB35" s="3">
        <v>0.01</v>
      </c>
      <c r="AC35" s="3">
        <v>0.29</v>
      </c>
      <c r="AD35" s="27">
        <f t="shared" si="11"/>
        <v>0.0029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0.0303620960918041</v>
      </c>
      <c r="AR35" s="29">
        <f t="shared" si="15"/>
        <v>111.515611111111</v>
      </c>
      <c r="AS35" s="1">
        <f t="shared" si="16"/>
        <v>0.13</v>
      </c>
      <c r="AT35" s="2">
        <f t="shared" si="20"/>
        <v>12.235</v>
      </c>
      <c r="AU35" s="1">
        <f t="shared" si="17"/>
        <v>36081.9123999843</v>
      </c>
    </row>
    <row r="36" s="1" customFormat="1" spans="1:47">
      <c r="A36" s="13"/>
      <c r="B36" s="13"/>
      <c r="C36" s="16">
        <v>9</v>
      </c>
      <c r="D36" s="19">
        <v>16.8223410253333</v>
      </c>
      <c r="E36" s="20">
        <f t="shared" si="18"/>
        <v>21.9429255583871</v>
      </c>
      <c r="F36" s="16" t="s">
        <v>110</v>
      </c>
      <c r="G36" s="13">
        <v>10</v>
      </c>
      <c r="H36" s="18">
        <f t="shared" si="0"/>
        <v>16.8223410253333</v>
      </c>
      <c r="I36" s="18">
        <f t="shared" si="1"/>
        <v>289.972341025333</v>
      </c>
      <c r="J36" s="18">
        <f t="shared" si="2"/>
        <v>0.137820997412469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3.99489782631931</v>
      </c>
      <c r="P36" s="18">
        <f t="shared" si="5"/>
        <v>0.550580802984232</v>
      </c>
      <c r="Q36" s="24">
        <f t="shared" si="6"/>
        <v>0.0715755043879501</v>
      </c>
      <c r="R36" s="18">
        <f t="shared" si="7"/>
        <v>0.144970294444444</v>
      </c>
      <c r="S36" s="25">
        <f t="shared" si="8"/>
        <v>0.493725315674097</v>
      </c>
      <c r="T36" s="3">
        <v>0.01</v>
      </c>
      <c r="U36" s="26">
        <f t="shared" si="9"/>
        <v>0.00493725315674097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0.026837253156741</v>
      </c>
      <c r="AR36" s="29">
        <f t="shared" si="15"/>
        <v>111.515611111111</v>
      </c>
      <c r="AS36" s="1">
        <f t="shared" si="16"/>
        <v>0.13</v>
      </c>
      <c r="AT36" s="2">
        <f t="shared" si="20"/>
        <v>12.235</v>
      </c>
      <c r="AU36" s="1">
        <f t="shared" si="17"/>
        <v>31893.0357946901</v>
      </c>
    </row>
    <row r="37" s="1" customFormat="1" spans="1:47">
      <c r="A37" s="13"/>
      <c r="B37" s="13"/>
      <c r="C37" s="16">
        <v>10</v>
      </c>
      <c r="D37" s="19">
        <v>9.98835725764516</v>
      </c>
      <c r="E37" s="20">
        <f t="shared" si="18"/>
        <v>16.8223410253333</v>
      </c>
      <c r="F37" s="16" t="s">
        <v>110</v>
      </c>
      <c r="G37" s="13">
        <v>11</v>
      </c>
      <c r="H37" s="18">
        <f t="shared" si="0"/>
        <v>9.98835725764516</v>
      </c>
      <c r="I37" s="18">
        <f t="shared" si="1"/>
        <v>283.138357257645</v>
      </c>
      <c r="J37" s="18">
        <f t="shared" si="2"/>
        <v>0.0612822611904073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3.27210117216832</v>
      </c>
      <c r="O37" s="18">
        <f t="shared" si="19"/>
        <v>1.28737196227786</v>
      </c>
      <c r="P37" s="18">
        <f t="shared" si="5"/>
        <v>0.0788930648415193</v>
      </c>
      <c r="Q37" s="24">
        <f t="shared" si="6"/>
        <v>0.0102560984293975</v>
      </c>
      <c r="R37" s="18">
        <f t="shared" si="7"/>
        <v>0.144970294444444</v>
      </c>
      <c r="S37" s="25">
        <f t="shared" si="8"/>
        <v>0.0707462067915427</v>
      </c>
      <c r="T37" s="3">
        <v>0.01</v>
      </c>
      <c r="U37" s="26">
        <f t="shared" si="9"/>
        <v>0.000707462067915427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0.0226074620679154</v>
      </c>
      <c r="AR37" s="29">
        <f t="shared" si="15"/>
        <v>111.515611111111</v>
      </c>
      <c r="AS37" s="1">
        <f t="shared" si="16"/>
        <v>0.13</v>
      </c>
      <c r="AT37" s="2">
        <f t="shared" si="20"/>
        <v>12.235</v>
      </c>
      <c r="AU37" s="1">
        <f t="shared" si="17"/>
        <v>26866.4081509407</v>
      </c>
    </row>
    <row r="38" s="1" customFormat="1" spans="1:48">
      <c r="A38" s="13"/>
      <c r="B38" s="13"/>
      <c r="C38" s="16">
        <v>11</v>
      </c>
      <c r="D38" s="19">
        <v>2.45666729636667</v>
      </c>
      <c r="E38" s="20">
        <f t="shared" si="18"/>
        <v>9.98835725764516</v>
      </c>
      <c r="F38" s="16" t="s">
        <v>112</v>
      </c>
      <c r="G38" s="13">
        <v>12</v>
      </c>
      <c r="H38" s="18">
        <f t="shared" si="0"/>
        <v>2.45666729636667</v>
      </c>
      <c r="I38" s="18">
        <f t="shared" si="1"/>
        <v>275.606667296367</v>
      </c>
      <c r="J38" s="18">
        <f t="shared" si="2"/>
        <v>0.0239441571025223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2.32363500854746</v>
      </c>
      <c r="P38" s="18">
        <f t="shared" si="5"/>
        <v>0.0556374816935811</v>
      </c>
      <c r="Q38" s="24">
        <f t="shared" si="6"/>
        <v>0.00723287262016554</v>
      </c>
      <c r="R38" s="18">
        <f t="shared" si="7"/>
        <v>0.144970294444444</v>
      </c>
      <c r="S38" s="25">
        <f t="shared" si="8"/>
        <v>0.0498921013293335</v>
      </c>
      <c r="T38" s="3">
        <v>0.01</v>
      </c>
      <c r="U38" s="26">
        <f t="shared" si="9"/>
        <v>0.000498921013293335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0.0223989210132933</v>
      </c>
      <c r="AR38" s="29">
        <f t="shared" si="15"/>
        <v>111.515611111111</v>
      </c>
      <c r="AS38" s="1">
        <f t="shared" si="16"/>
        <v>0.13</v>
      </c>
      <c r="AT38" s="2">
        <f t="shared" si="20"/>
        <v>12.235</v>
      </c>
      <c r="AU38" s="1">
        <f t="shared" si="17"/>
        <v>26618.5807268418</v>
      </c>
      <c r="AV38" s="1">
        <f>SUM(AU27:AU38)</f>
        <v>388700.318501144</v>
      </c>
    </row>
    <row r="39" s="1" customFormat="1" spans="1:46">
      <c r="A39" s="13"/>
      <c r="B39" s="13"/>
      <c r="C39" s="16">
        <v>12</v>
      </c>
      <c r="D39" s="19">
        <v>-2.2120087616129</v>
      </c>
      <c r="E39" s="20">
        <f t="shared" si="18"/>
        <v>2.45666729636667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-4</v>
      </c>
      <c r="E42" s="16"/>
      <c r="F42" s="16"/>
      <c r="G42" s="13">
        <v>1</v>
      </c>
      <c r="H42" s="18">
        <f t="shared" ref="H42:H53" si="21">E43</f>
        <v>-4</v>
      </c>
      <c r="I42" s="18">
        <f t="shared" ref="I42:I53" si="22">H42+273.15</f>
        <v>269.15</v>
      </c>
      <c r="J42" s="18">
        <f t="shared" ref="J42:J53" si="23">EXP(($C$16*(I42-$C$14))/($C$17*I42*$C$14))</f>
        <v>0.0102597002578668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0.00079093098006672</v>
      </c>
      <c r="Q42" s="24">
        <f t="shared" ref="Q42:Q53" si="27">P42*$B$44</f>
        <v>0.000102821027408674</v>
      </c>
      <c r="R42" s="18">
        <f t="shared" ref="R42:R53" si="28">L42*$B$44</f>
        <v>0.0100218354166667</v>
      </c>
      <c r="S42" s="25">
        <f t="shared" ref="S42:S53" si="29">Q42/R42</f>
        <v>0.0102597002578668</v>
      </c>
      <c r="T42" s="3">
        <v>0.01</v>
      </c>
      <c r="U42" s="26">
        <f t="shared" ref="U42:U53" si="30">S42*T42</f>
        <v>0.000102597002578668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0.0149025970025787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>$E$5/12</f>
        <v>112.54</v>
      </c>
      <c r="AU42" s="1">
        <f t="shared" ref="AU42:AU53" si="36">AT42*10000*AS42*0.67*AR42*AQ42</f>
        <v>11261.3624653068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-8.15328237967742</v>
      </c>
      <c r="E43" s="20">
        <f t="shared" ref="E43:E54" si="37">D42</f>
        <v>-4</v>
      </c>
      <c r="F43" s="16" t="s">
        <v>110</v>
      </c>
      <c r="G43" s="13">
        <v>2</v>
      </c>
      <c r="H43" s="18">
        <f t="shared" si="21"/>
        <v>-8.15328237967742</v>
      </c>
      <c r="I43" s="18">
        <f t="shared" si="22"/>
        <v>264.996717620323</v>
      </c>
      <c r="J43" s="18">
        <f t="shared" si="23"/>
        <v>0.00581963538806965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0.153391152353267</v>
      </c>
      <c r="P43" s="18">
        <f t="shared" si="26"/>
        <v>0.000892680578451854</v>
      </c>
      <c r="Q43" s="24">
        <f t="shared" si="27"/>
        <v>0.000116048475198741</v>
      </c>
      <c r="R43" s="18">
        <f t="shared" si="28"/>
        <v>0.0100218354166667</v>
      </c>
      <c r="S43" s="25">
        <f t="shared" si="29"/>
        <v>0.0115795630614476</v>
      </c>
      <c r="T43" s="3">
        <v>0.01</v>
      </c>
      <c r="U43" s="26">
        <f t="shared" si="30"/>
        <v>0.000115795630614476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0.0149157956306145</v>
      </c>
      <c r="AR43" s="29">
        <f t="shared" si="34"/>
        <v>7.70910416666667</v>
      </c>
      <c r="AS43" s="1">
        <f t="shared" si="35"/>
        <v>0.13</v>
      </c>
      <c r="AT43" s="2">
        <f t="shared" ref="AT43:AT53" si="39">$E$5/12</f>
        <v>112.54</v>
      </c>
      <c r="AU43" s="1">
        <f t="shared" si="36"/>
        <v>11271.3361990346</v>
      </c>
    </row>
    <row r="44" s="1" customFormat="1" spans="1:47">
      <c r="A44" s="13" t="s">
        <v>73</v>
      </c>
      <c r="B44" s="13">
        <v>0.13</v>
      </c>
      <c r="C44" s="16">
        <v>2</v>
      </c>
      <c r="D44" s="19">
        <v>-3.26981668741379</v>
      </c>
      <c r="E44" s="20">
        <f t="shared" si="37"/>
        <v>-8.15328237967742</v>
      </c>
      <c r="F44" s="16" t="s">
        <v>110</v>
      </c>
      <c r="G44" s="13">
        <v>3</v>
      </c>
      <c r="H44" s="18">
        <f t="shared" si="21"/>
        <v>-3.26981668741379</v>
      </c>
      <c r="I44" s="18">
        <f t="shared" si="22"/>
        <v>269.880183312586</v>
      </c>
      <c r="J44" s="18">
        <f t="shared" si="23"/>
        <v>0.0113146799568535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0.229589513441481</v>
      </c>
      <c r="P44" s="18">
        <f t="shared" si="26"/>
        <v>0.00259773186604008</v>
      </c>
      <c r="Q44" s="24">
        <f t="shared" si="27"/>
        <v>0.00033770514258521</v>
      </c>
      <c r="R44" s="18">
        <f t="shared" si="28"/>
        <v>0.0100218354166667</v>
      </c>
      <c r="S44" s="25">
        <f t="shared" si="29"/>
        <v>0.033696935595609</v>
      </c>
      <c r="T44" s="3">
        <v>0.01</v>
      </c>
      <c r="U44" s="26">
        <f t="shared" si="30"/>
        <v>0.00033696935595609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0.0151369693559561</v>
      </c>
      <c r="AR44" s="29">
        <f t="shared" si="34"/>
        <v>7.70910416666667</v>
      </c>
      <c r="AS44" s="1">
        <f t="shared" si="35"/>
        <v>0.13</v>
      </c>
      <c r="AT44" s="2">
        <f t="shared" si="39"/>
        <v>112.54</v>
      </c>
      <c r="AU44" s="1">
        <f t="shared" si="36"/>
        <v>11438.469316064</v>
      </c>
    </row>
    <row r="45" s="1" customFormat="1" spans="1:47">
      <c r="A45" s="13"/>
      <c r="B45" s="13"/>
      <c r="C45" s="16">
        <v>3</v>
      </c>
      <c r="D45" s="19">
        <v>4.97044997080645</v>
      </c>
      <c r="E45" s="20">
        <f t="shared" si="37"/>
        <v>-3.26981668741379</v>
      </c>
      <c r="F45" s="16" t="s">
        <v>110</v>
      </c>
      <c r="G45" s="13">
        <v>4</v>
      </c>
      <c r="H45" s="18">
        <f t="shared" si="21"/>
        <v>4.97044997080645</v>
      </c>
      <c r="I45" s="18">
        <f t="shared" si="22"/>
        <v>278.120449970806</v>
      </c>
      <c r="J45" s="18">
        <f t="shared" si="23"/>
        <v>0.0329516210418407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0.304082823242108</v>
      </c>
      <c r="P45" s="18">
        <f t="shared" si="26"/>
        <v>0.010020021956807</v>
      </c>
      <c r="Q45" s="24">
        <f t="shared" si="27"/>
        <v>0.00130260285438491</v>
      </c>
      <c r="R45" s="18">
        <f t="shared" si="28"/>
        <v>0.0100218354166667</v>
      </c>
      <c r="S45" s="25">
        <f t="shared" si="29"/>
        <v>0.129976476386614</v>
      </c>
      <c r="T45" s="3">
        <v>0.01</v>
      </c>
      <c r="U45" s="26">
        <f t="shared" si="30"/>
        <v>0.00129976476386614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0.0160997647638661</v>
      </c>
      <c r="AR45" s="29">
        <f t="shared" si="34"/>
        <v>7.70910416666667</v>
      </c>
      <c r="AS45" s="1">
        <f t="shared" si="35"/>
        <v>0.13</v>
      </c>
      <c r="AT45" s="2">
        <f t="shared" si="39"/>
        <v>112.54</v>
      </c>
      <c r="AU45" s="1">
        <f t="shared" si="36"/>
        <v>12166.0195589198</v>
      </c>
    </row>
    <row r="46" s="1" customFormat="1" spans="1:47">
      <c r="A46" s="13"/>
      <c r="B46" s="13"/>
      <c r="C46" s="16">
        <v>4</v>
      </c>
      <c r="D46" s="19">
        <v>12.7322370494333</v>
      </c>
      <c r="E46" s="20">
        <f t="shared" si="37"/>
        <v>4.97044997080645</v>
      </c>
      <c r="F46" s="16" t="s">
        <v>110</v>
      </c>
      <c r="G46" s="13">
        <v>5</v>
      </c>
      <c r="H46" s="18">
        <f t="shared" si="21"/>
        <v>12.7322370494333</v>
      </c>
      <c r="I46" s="18">
        <f t="shared" si="22"/>
        <v>285.882237049433</v>
      </c>
      <c r="J46" s="18">
        <f t="shared" si="23"/>
        <v>0.0852469209566172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0.279359661221036</v>
      </c>
      <c r="O46" s="18">
        <f t="shared" si="38"/>
        <v>0.0917941817309317</v>
      </c>
      <c r="P46" s="18">
        <f t="shared" si="26"/>
        <v>0.00782517135429409</v>
      </c>
      <c r="Q46" s="24">
        <f t="shared" si="27"/>
        <v>0.00101727227605823</v>
      </c>
      <c r="R46" s="18">
        <f t="shared" si="28"/>
        <v>0.0100218354166667</v>
      </c>
      <c r="S46" s="25">
        <f t="shared" si="29"/>
        <v>0.101505585929547</v>
      </c>
      <c r="T46" s="3">
        <v>0.01</v>
      </c>
      <c r="U46" s="26">
        <f t="shared" si="30"/>
        <v>0.00101505585929547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0.0281150558592955</v>
      </c>
      <c r="AR46" s="29">
        <f t="shared" si="34"/>
        <v>7.70910416666667</v>
      </c>
      <c r="AS46" s="1">
        <f t="shared" si="35"/>
        <v>0.13</v>
      </c>
      <c r="AT46" s="2">
        <f t="shared" si="39"/>
        <v>112.54</v>
      </c>
      <c r="AU46" s="1">
        <f t="shared" si="36"/>
        <v>21245.5476524722</v>
      </c>
    </row>
    <row r="47" s="1" customFormat="1" spans="1:47">
      <c r="A47" s="13"/>
      <c r="B47" s="13"/>
      <c r="C47" s="16">
        <v>5</v>
      </c>
      <c r="D47" s="19">
        <v>15.6682133022258</v>
      </c>
      <c r="E47" s="20">
        <f t="shared" si="37"/>
        <v>12.7322370494333</v>
      </c>
      <c r="F47" s="16" t="s">
        <v>112</v>
      </c>
      <c r="G47" s="13">
        <v>6</v>
      </c>
      <c r="H47" s="18">
        <f t="shared" si="21"/>
        <v>15.6682133022258</v>
      </c>
      <c r="I47" s="18">
        <f t="shared" si="22"/>
        <v>288.818213302226</v>
      </c>
      <c r="J47" s="18">
        <f t="shared" si="23"/>
        <v>0.120515154337017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0.161060052043304</v>
      </c>
      <c r="P47" s="18">
        <f t="shared" si="26"/>
        <v>0.0194101770295268</v>
      </c>
      <c r="Q47" s="24">
        <f t="shared" si="27"/>
        <v>0.00252332301383849</v>
      </c>
      <c r="R47" s="18">
        <f t="shared" si="28"/>
        <v>0.0100218354166667</v>
      </c>
      <c r="S47" s="25">
        <f t="shared" si="29"/>
        <v>0.251782523752297</v>
      </c>
      <c r="T47" s="3">
        <v>0.01</v>
      </c>
      <c r="U47" s="26">
        <f t="shared" si="30"/>
        <v>0.00251782523752297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0.029617825237523</v>
      </c>
      <c r="AR47" s="29">
        <f t="shared" si="34"/>
        <v>7.70910416666667</v>
      </c>
      <c r="AS47" s="1">
        <f t="shared" si="35"/>
        <v>0.13</v>
      </c>
      <c r="AT47" s="2">
        <f t="shared" si="39"/>
        <v>112.54</v>
      </c>
      <c r="AU47" s="1">
        <f t="shared" si="36"/>
        <v>22381.1370176718</v>
      </c>
    </row>
    <row r="48" s="1" customFormat="1" spans="1:47">
      <c r="A48" s="13"/>
      <c r="B48" s="13"/>
      <c r="C48" s="16">
        <v>6</v>
      </c>
      <c r="D48" s="19">
        <v>20.0959323786667</v>
      </c>
      <c r="E48" s="20">
        <f t="shared" si="37"/>
        <v>15.6682133022258</v>
      </c>
      <c r="F48" s="16" t="s">
        <v>110</v>
      </c>
      <c r="G48" s="13">
        <v>7</v>
      </c>
      <c r="H48" s="18">
        <f t="shared" si="21"/>
        <v>20.0959323786667</v>
      </c>
      <c r="I48" s="18">
        <f t="shared" si="22"/>
        <v>293.245932378667</v>
      </c>
      <c r="J48" s="18">
        <f t="shared" si="23"/>
        <v>0.20049727738362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0.218740916680444</v>
      </c>
      <c r="P48" s="18">
        <f t="shared" si="26"/>
        <v>0.0438569582468263</v>
      </c>
      <c r="Q48" s="24">
        <f t="shared" si="27"/>
        <v>0.00570140457208742</v>
      </c>
      <c r="R48" s="18">
        <f t="shared" si="28"/>
        <v>0.0100218354166667</v>
      </c>
      <c r="S48" s="25">
        <f t="shared" si="29"/>
        <v>0.568898244188463</v>
      </c>
      <c r="T48" s="3">
        <v>0.01</v>
      </c>
      <c r="U48" s="26">
        <f t="shared" si="30"/>
        <v>0.00568898244188463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0.0327889824418846</v>
      </c>
      <c r="AR48" s="29">
        <f t="shared" si="34"/>
        <v>7.70910416666667</v>
      </c>
      <c r="AS48" s="1">
        <f t="shared" si="35"/>
        <v>0.13</v>
      </c>
      <c r="AT48" s="2">
        <f t="shared" si="39"/>
        <v>112.54</v>
      </c>
      <c r="AU48" s="1">
        <f t="shared" si="36"/>
        <v>24777.4677180595</v>
      </c>
    </row>
    <row r="49" s="1" customFormat="1" spans="1:47">
      <c r="A49" s="13"/>
      <c r="B49" s="13"/>
      <c r="C49" s="16">
        <v>7</v>
      </c>
      <c r="D49" s="19">
        <v>22.3046072148387</v>
      </c>
      <c r="E49" s="20">
        <f t="shared" si="37"/>
        <v>20.0959323786667</v>
      </c>
      <c r="F49" s="16" t="s">
        <v>110</v>
      </c>
      <c r="G49" s="13">
        <v>8</v>
      </c>
      <c r="H49" s="18">
        <f t="shared" si="21"/>
        <v>22.3046072148387</v>
      </c>
      <c r="I49" s="18">
        <f t="shared" si="22"/>
        <v>295.454607214839</v>
      </c>
      <c r="J49" s="18">
        <f t="shared" si="23"/>
        <v>0.256983997536294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0.251975000100285</v>
      </c>
      <c r="P49" s="18">
        <f t="shared" si="26"/>
        <v>0.0647535428049792</v>
      </c>
      <c r="Q49" s="24">
        <f t="shared" si="27"/>
        <v>0.00841796056464729</v>
      </c>
      <c r="R49" s="18">
        <f t="shared" si="28"/>
        <v>0.0100218354166667</v>
      </c>
      <c r="S49" s="25">
        <f t="shared" si="29"/>
        <v>0.839961964516792</v>
      </c>
      <c r="T49" s="3">
        <v>0.01</v>
      </c>
      <c r="U49" s="26">
        <f t="shared" si="30"/>
        <v>0.00839961964516792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0.0354996196451679</v>
      </c>
      <c r="AR49" s="29">
        <f t="shared" si="34"/>
        <v>7.70910416666667</v>
      </c>
      <c r="AS49" s="1">
        <f t="shared" si="35"/>
        <v>0.13</v>
      </c>
      <c r="AT49" s="2">
        <f t="shared" si="39"/>
        <v>112.54</v>
      </c>
      <c r="AU49" s="1">
        <f t="shared" si="36"/>
        <v>26825.7998344575</v>
      </c>
    </row>
    <row r="50" s="1" customFormat="1" spans="1:47">
      <c r="A50" s="13"/>
      <c r="B50" s="13"/>
      <c r="C50" s="16">
        <v>8</v>
      </c>
      <c r="D50" s="19">
        <v>21.9429255583871</v>
      </c>
      <c r="E50" s="20">
        <f t="shared" si="37"/>
        <v>22.3046072148387</v>
      </c>
      <c r="F50" s="16" t="s">
        <v>110</v>
      </c>
      <c r="G50" s="13">
        <v>9</v>
      </c>
      <c r="H50" s="18">
        <f t="shared" si="21"/>
        <v>21.9429255583871</v>
      </c>
      <c r="I50" s="18">
        <f t="shared" si="22"/>
        <v>295.092925558387</v>
      </c>
      <c r="J50" s="18">
        <f t="shared" si="23"/>
        <v>0.246810803485486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0.264312498961972</v>
      </c>
      <c r="P50" s="18">
        <f t="shared" si="26"/>
        <v>0.065235180240061</v>
      </c>
      <c r="Q50" s="24">
        <f t="shared" si="27"/>
        <v>0.00848057343120793</v>
      </c>
      <c r="R50" s="18">
        <f t="shared" si="28"/>
        <v>0.0100218354166667</v>
      </c>
      <c r="S50" s="25">
        <f t="shared" si="29"/>
        <v>0.846209609180414</v>
      </c>
      <c r="T50" s="3">
        <v>0.01</v>
      </c>
      <c r="U50" s="26">
        <f t="shared" si="30"/>
        <v>0.00846209609180414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0.0232620960918041</v>
      </c>
      <c r="AR50" s="29">
        <f t="shared" si="34"/>
        <v>7.70910416666667</v>
      </c>
      <c r="AS50" s="1">
        <f t="shared" si="35"/>
        <v>0.13</v>
      </c>
      <c r="AT50" s="2">
        <f t="shared" si="39"/>
        <v>112.54</v>
      </c>
      <c r="AU50" s="1">
        <f t="shared" si="36"/>
        <v>17578.3385773147</v>
      </c>
    </row>
    <row r="51" s="1" customFormat="1" spans="1:47">
      <c r="A51" s="13"/>
      <c r="B51" s="13"/>
      <c r="C51" s="16">
        <v>9</v>
      </c>
      <c r="D51" s="19">
        <v>16.8223410253333</v>
      </c>
      <c r="E51" s="20">
        <f t="shared" si="37"/>
        <v>21.9429255583871</v>
      </c>
      <c r="F51" s="16" t="s">
        <v>110</v>
      </c>
      <c r="G51" s="13">
        <v>10</v>
      </c>
      <c r="H51" s="18">
        <f t="shared" si="21"/>
        <v>16.8223410253333</v>
      </c>
      <c r="I51" s="18">
        <f t="shared" si="22"/>
        <v>289.972341025333</v>
      </c>
      <c r="J51" s="18">
        <f t="shared" si="23"/>
        <v>0.137820997412469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0.276168360388578</v>
      </c>
      <c r="P51" s="18">
        <f t="shared" si="26"/>
        <v>0.03806179888252</v>
      </c>
      <c r="Q51" s="24">
        <f t="shared" si="27"/>
        <v>0.0049480338547276</v>
      </c>
      <c r="R51" s="18">
        <f t="shared" si="28"/>
        <v>0.0100218354166667</v>
      </c>
      <c r="S51" s="25">
        <f t="shared" si="29"/>
        <v>0.493725315674097</v>
      </c>
      <c r="T51" s="3">
        <v>0.01</v>
      </c>
      <c r="U51" s="26">
        <f t="shared" si="30"/>
        <v>0.00493725315674097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0.019737253156741</v>
      </c>
      <c r="AR51" s="29">
        <f t="shared" si="34"/>
        <v>7.70910416666667</v>
      </c>
      <c r="AS51" s="1">
        <f t="shared" si="35"/>
        <v>0.13</v>
      </c>
      <c r="AT51" s="2">
        <f t="shared" si="39"/>
        <v>112.54</v>
      </c>
      <c r="AU51" s="1">
        <f t="shared" si="36"/>
        <v>14914.7401509362</v>
      </c>
    </row>
    <row r="52" s="1" customFormat="1" spans="1:47">
      <c r="A52" s="13"/>
      <c r="B52" s="13"/>
      <c r="C52" s="16">
        <v>10</v>
      </c>
      <c r="D52" s="19">
        <v>9.98835725764516</v>
      </c>
      <c r="E52" s="20">
        <f t="shared" si="37"/>
        <v>16.8223410253333</v>
      </c>
      <c r="F52" s="16" t="s">
        <v>110</v>
      </c>
      <c r="G52" s="13">
        <v>11</v>
      </c>
      <c r="H52" s="18">
        <f t="shared" si="21"/>
        <v>9.98835725764516</v>
      </c>
      <c r="I52" s="18">
        <f t="shared" si="22"/>
        <v>283.138357257645</v>
      </c>
      <c r="J52" s="18">
        <f t="shared" si="23"/>
        <v>0.0612822611904073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0.226201233430755</v>
      </c>
      <c r="O52" s="18">
        <f t="shared" si="38"/>
        <v>0.0889963697419696</v>
      </c>
      <c r="P52" s="18">
        <f t="shared" si="26"/>
        <v>0.00545389877552544</v>
      </c>
      <c r="Q52" s="24">
        <f t="shared" si="27"/>
        <v>0.000709006840818307</v>
      </c>
      <c r="R52" s="18">
        <f t="shared" si="28"/>
        <v>0.0100218354166667</v>
      </c>
      <c r="S52" s="25">
        <f t="shared" si="29"/>
        <v>0.0707462067915428</v>
      </c>
      <c r="T52" s="3">
        <v>0.01</v>
      </c>
      <c r="U52" s="26">
        <f t="shared" si="30"/>
        <v>0.000707462067915428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0.0155074620679154</v>
      </c>
      <c r="AR52" s="29">
        <f t="shared" si="34"/>
        <v>7.70910416666667</v>
      </c>
      <c r="AS52" s="1">
        <f t="shared" si="35"/>
        <v>0.13</v>
      </c>
      <c r="AT52" s="2">
        <f t="shared" si="39"/>
        <v>112.54</v>
      </c>
      <c r="AU52" s="1">
        <f t="shared" si="36"/>
        <v>11718.4374799623</v>
      </c>
    </row>
    <row r="53" s="1" customFormat="1" spans="1:48">
      <c r="A53" s="13"/>
      <c r="B53" s="13"/>
      <c r="C53" s="16">
        <v>11</v>
      </c>
      <c r="D53" s="19">
        <v>2.45666729636667</v>
      </c>
      <c r="E53" s="20">
        <f t="shared" si="37"/>
        <v>9.98835725764516</v>
      </c>
      <c r="F53" s="16" t="s">
        <v>112</v>
      </c>
      <c r="G53" s="13">
        <v>12</v>
      </c>
      <c r="H53" s="18">
        <f t="shared" si="21"/>
        <v>2.45666729636667</v>
      </c>
      <c r="I53" s="18">
        <f t="shared" si="22"/>
        <v>275.606667296367</v>
      </c>
      <c r="J53" s="18">
        <f t="shared" si="23"/>
        <v>0.0239441571025223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0.160633512633111</v>
      </c>
      <c r="P53" s="18">
        <f t="shared" si="26"/>
        <v>0.00384623406241721</v>
      </c>
      <c r="Q53" s="24">
        <f t="shared" si="27"/>
        <v>0.000500010428114237</v>
      </c>
      <c r="R53" s="18">
        <f t="shared" si="28"/>
        <v>0.0100218354166667</v>
      </c>
      <c r="S53" s="25">
        <f t="shared" si="29"/>
        <v>0.0498921013293335</v>
      </c>
      <c r="T53" s="3">
        <v>0.01</v>
      </c>
      <c r="U53" s="26">
        <f t="shared" si="30"/>
        <v>0.000498921013293335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0.0152989210132933</v>
      </c>
      <c r="AR53" s="29">
        <f t="shared" si="34"/>
        <v>7.70910416666667</v>
      </c>
      <c r="AS53" s="1">
        <f t="shared" si="35"/>
        <v>0.13</v>
      </c>
      <c r="AT53" s="2">
        <f t="shared" si="39"/>
        <v>112.54</v>
      </c>
      <c r="AU53" s="1">
        <f t="shared" si="36"/>
        <v>11560.850422848</v>
      </c>
      <c r="AV53" s="1">
        <f>SUM(AU42:AU53)</f>
        <v>197139.506393047</v>
      </c>
    </row>
    <row r="54" s="1" customFormat="1" spans="1:46">
      <c r="A54" s="13"/>
      <c r="B54" s="13"/>
      <c r="C54" s="16">
        <v>12</v>
      </c>
      <c r="D54" s="19">
        <v>-2.2120087616129</v>
      </c>
      <c r="E54" s="20">
        <f t="shared" si="37"/>
        <v>2.45666729636667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37:51"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="1" customFormat="1" spans="19:51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 s="1" customFormat="1" spans="1:52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s="30"/>
    </row>
    <row r="58" s="1" customFormat="1" spans="1:52">
      <c r="A58" s="13" t="s">
        <v>108</v>
      </c>
      <c r="B58" s="13">
        <f>F7</f>
        <v>122.786</v>
      </c>
      <c r="C58" s="16" t="s">
        <v>109</v>
      </c>
      <c r="D58" s="17">
        <v>-4</v>
      </c>
      <c r="E58" s="16"/>
      <c r="F58" s="16"/>
      <c r="G58" s="13">
        <v>1</v>
      </c>
      <c r="H58" s="18">
        <f t="shared" ref="H58:H69" si="40">E59</f>
        <v>-4</v>
      </c>
      <c r="I58" s="18">
        <f t="shared" ref="I58:I69" si="41">H58+273.15</f>
        <v>269.15</v>
      </c>
      <c r="J58" s="18">
        <f t="shared" ref="J58:J69" si="42">EXP(($C$16*(I58-$C$14))/($C$17*I58*$C$14))</f>
        <v>0.0102597002578668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0.0283443200069047</v>
      </c>
      <c r="Q58" s="24">
        <f t="shared" ref="Q58:Q69" si="46">P58*$B$60</f>
        <v>0.00821985280200237</v>
      </c>
      <c r="R58" s="18">
        <f t="shared" ref="R58:R69" si="47">L58*$B$60</f>
        <v>0.80117865</v>
      </c>
      <c r="S58" s="25">
        <f t="shared" ref="S58:S69" si="48">Q58/R58</f>
        <v>0.0102597002578668</v>
      </c>
      <c r="T58" s="3">
        <v>0.27</v>
      </c>
      <c r="U58" s="26">
        <f t="shared" ref="U58:U69" si="49">S58*T58</f>
        <v>0.00277011906962404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0.226938234135228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88.6642281423392</v>
      </c>
      <c r="AF58" s="1">
        <f t="shared" ref="AF58:AF69" si="54">AE58*10000*AC58*AB58</f>
        <v>2058845.29587231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30"/>
    </row>
    <row r="59" s="1" customFormat="1" spans="1:52">
      <c r="A59" s="13" t="s">
        <v>111</v>
      </c>
      <c r="B59" s="13">
        <v>27</v>
      </c>
      <c r="C59" s="16">
        <v>1</v>
      </c>
      <c r="D59" s="19">
        <v>-8.15328237967742</v>
      </c>
      <c r="E59" s="20">
        <f t="shared" ref="E59:E70" si="55">D58</f>
        <v>-4</v>
      </c>
      <c r="F59" s="16" t="s">
        <v>110</v>
      </c>
      <c r="G59" s="13">
        <v>2</v>
      </c>
      <c r="H59" s="18">
        <f t="shared" si="40"/>
        <v>-8.15328237967742</v>
      </c>
      <c r="I59" s="18">
        <f t="shared" si="41"/>
        <v>264.996717620323</v>
      </c>
      <c r="J59" s="18">
        <f t="shared" si="42"/>
        <v>0.00581963538806965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5.49702567999309</v>
      </c>
      <c r="P59" s="18">
        <f t="shared" si="45"/>
        <v>0.0319906851764154</v>
      </c>
      <c r="Q59" s="24">
        <f t="shared" si="46"/>
        <v>0.00927729870116048</v>
      </c>
      <c r="R59" s="18">
        <f t="shared" si="47"/>
        <v>0.80117865</v>
      </c>
      <c r="S59" s="25">
        <f t="shared" si="48"/>
        <v>0.0115795630614476</v>
      </c>
      <c r="T59" s="3">
        <v>0.27</v>
      </c>
      <c r="U59" s="26">
        <f t="shared" si="49"/>
        <v>0.00312648202659086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0.227007475457767</v>
      </c>
      <c r="AC59" s="29">
        <f t="shared" si="51"/>
        <v>10.2321666666667</v>
      </c>
      <c r="AD59" s="1">
        <f t="shared" si="52"/>
        <v>0.29</v>
      </c>
      <c r="AE59" s="30">
        <f t="shared" si="53"/>
        <v>88.6642281423392</v>
      </c>
      <c r="AF59" s="1">
        <f t="shared" si="54"/>
        <v>2059473.47195613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s="30"/>
    </row>
    <row r="60" s="1" customFormat="1" spans="1:52">
      <c r="A60" s="13" t="s">
        <v>73</v>
      </c>
      <c r="B60" s="13">
        <v>0.29</v>
      </c>
      <c r="C60" s="16">
        <v>2</v>
      </c>
      <c r="D60" s="19">
        <v>-3.26981668741379</v>
      </c>
      <c r="E60" s="20">
        <f t="shared" si="55"/>
        <v>-8.15328237967742</v>
      </c>
      <c r="F60" s="16" t="s">
        <v>110</v>
      </c>
      <c r="G60" s="13">
        <v>3</v>
      </c>
      <c r="H60" s="18">
        <f t="shared" si="40"/>
        <v>-3.26981668741379</v>
      </c>
      <c r="I60" s="18">
        <f t="shared" si="41"/>
        <v>269.880183312586</v>
      </c>
      <c r="J60" s="18">
        <f t="shared" si="42"/>
        <v>0.0113146799568535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8.22771999481668</v>
      </c>
      <c r="P60" s="18">
        <f t="shared" si="45"/>
        <v>0.093094018515955</v>
      </c>
      <c r="Q60" s="24">
        <f t="shared" si="46"/>
        <v>0.026997265369627</v>
      </c>
      <c r="R60" s="18">
        <f t="shared" si="47"/>
        <v>0.80117865</v>
      </c>
      <c r="S60" s="25">
        <f t="shared" si="48"/>
        <v>0.033696935595609</v>
      </c>
      <c r="T60" s="3">
        <v>0.27</v>
      </c>
      <c r="U60" s="26">
        <f t="shared" si="49"/>
        <v>0.00909817261081443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0.228167774938281</v>
      </c>
      <c r="AC60" s="29">
        <f t="shared" si="51"/>
        <v>10.2321666666667</v>
      </c>
      <c r="AD60" s="1">
        <f t="shared" si="52"/>
        <v>0.29</v>
      </c>
      <c r="AE60" s="30">
        <f t="shared" si="53"/>
        <v>88.6642281423392</v>
      </c>
      <c r="AF60" s="1">
        <f t="shared" si="54"/>
        <v>2070000.0239775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30"/>
    </row>
    <row r="61" s="1" customFormat="1" spans="1:52">
      <c r="A61" s="13"/>
      <c r="B61" s="13"/>
      <c r="C61" s="16">
        <v>3</v>
      </c>
      <c r="D61" s="19">
        <v>4.97044997080645</v>
      </c>
      <c r="E61" s="20">
        <f t="shared" si="55"/>
        <v>-3.26981668741379</v>
      </c>
      <c r="F61" s="16" t="s">
        <v>110</v>
      </c>
      <c r="G61" s="13">
        <v>4</v>
      </c>
      <c r="H61" s="18">
        <f t="shared" si="40"/>
        <v>4.97044997080645</v>
      </c>
      <c r="I61" s="18">
        <f t="shared" si="41"/>
        <v>278.120449970806</v>
      </c>
      <c r="J61" s="18">
        <f t="shared" si="42"/>
        <v>0.0329516210418407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10.8973109763007</v>
      </c>
      <c r="P61" s="18">
        <f t="shared" si="45"/>
        <v>0.359084061666152</v>
      </c>
      <c r="Q61" s="24">
        <f t="shared" si="46"/>
        <v>0.104134377883184</v>
      </c>
      <c r="R61" s="18">
        <f t="shared" si="47"/>
        <v>0.80117865</v>
      </c>
      <c r="S61" s="25">
        <f t="shared" si="48"/>
        <v>0.129976476386614</v>
      </c>
      <c r="T61" s="3">
        <v>0.27</v>
      </c>
      <c r="U61" s="26">
        <f t="shared" si="49"/>
        <v>0.0350936486243858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0.233218695927718</v>
      </c>
      <c r="AC61" s="29">
        <f t="shared" si="51"/>
        <v>10.2321666666667</v>
      </c>
      <c r="AD61" s="1">
        <f t="shared" si="52"/>
        <v>0.29</v>
      </c>
      <c r="AE61" s="30">
        <f t="shared" si="53"/>
        <v>88.6642281423392</v>
      </c>
      <c r="AF61" s="1">
        <f t="shared" si="54"/>
        <v>2115823.35100986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30"/>
    </row>
    <row r="62" s="1" customFormat="1" spans="1:52">
      <c r="A62" s="13"/>
      <c r="B62" s="13"/>
      <c r="C62" s="16">
        <v>4</v>
      </c>
      <c r="D62" s="19">
        <v>12.7322370494333</v>
      </c>
      <c r="E62" s="20">
        <f t="shared" si="55"/>
        <v>4.97044997080645</v>
      </c>
      <c r="F62" s="16" t="s">
        <v>110</v>
      </c>
      <c r="G62" s="13">
        <v>5</v>
      </c>
      <c r="H62" s="18">
        <f t="shared" si="40"/>
        <v>12.7322370494333</v>
      </c>
      <c r="I62" s="18">
        <f t="shared" si="41"/>
        <v>285.882237049433</v>
      </c>
      <c r="J62" s="18">
        <f t="shared" si="42"/>
        <v>0.0852469209566172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10.0113155689028</v>
      </c>
      <c r="O62" s="18">
        <f t="shared" si="56"/>
        <v>3.28959634573173</v>
      </c>
      <c r="P62" s="18">
        <f t="shared" si="45"/>
        <v>0.280427959663769</v>
      </c>
      <c r="Q62" s="24">
        <f t="shared" si="46"/>
        <v>0.0813241083024931</v>
      </c>
      <c r="R62" s="18">
        <f t="shared" si="47"/>
        <v>0.80117865</v>
      </c>
      <c r="S62" s="25">
        <f t="shared" si="48"/>
        <v>0.101505585929547</v>
      </c>
      <c r="T62" s="3">
        <v>0.27</v>
      </c>
      <c r="U62" s="26">
        <f t="shared" si="49"/>
        <v>0.0274065082009776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0.28052508454345</v>
      </c>
      <c r="AC62" s="29">
        <f t="shared" si="51"/>
        <v>10.2321666666667</v>
      </c>
      <c r="AD62" s="1">
        <f t="shared" si="52"/>
        <v>0.29</v>
      </c>
      <c r="AE62" s="30">
        <f t="shared" si="53"/>
        <v>88.6642281423392</v>
      </c>
      <c r="AF62" s="1">
        <f t="shared" si="54"/>
        <v>2544999.75681625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30"/>
    </row>
    <row r="63" s="1" customFormat="1" spans="1:52">
      <c r="A63" s="13"/>
      <c r="B63" s="13"/>
      <c r="C63" s="16">
        <v>5</v>
      </c>
      <c r="D63" s="19">
        <v>15.6682133022258</v>
      </c>
      <c r="E63" s="20">
        <f t="shared" si="55"/>
        <v>12.7322370494333</v>
      </c>
      <c r="F63" s="16" t="s">
        <v>112</v>
      </c>
      <c r="G63" s="13">
        <v>6</v>
      </c>
      <c r="H63" s="18">
        <f t="shared" si="40"/>
        <v>15.6682133022258</v>
      </c>
      <c r="I63" s="18">
        <f t="shared" si="41"/>
        <v>288.818213302226</v>
      </c>
      <c r="J63" s="18">
        <f t="shared" si="42"/>
        <v>0.120515154337017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5.77185338606796</v>
      </c>
      <c r="P63" s="18">
        <f t="shared" si="45"/>
        <v>0.695595801632614</v>
      </c>
      <c r="Q63" s="24">
        <f t="shared" si="46"/>
        <v>0.201722782473458</v>
      </c>
      <c r="R63" s="18">
        <f t="shared" si="47"/>
        <v>0.80117865</v>
      </c>
      <c r="S63" s="25">
        <f t="shared" si="48"/>
        <v>0.251782523752297</v>
      </c>
      <c r="T63" s="3">
        <v>0.27</v>
      </c>
      <c r="U63" s="26">
        <f t="shared" si="49"/>
        <v>0.0679812814131202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0.288408762978569</v>
      </c>
      <c r="AC63" s="29">
        <f t="shared" si="51"/>
        <v>10.2321666666667</v>
      </c>
      <c r="AD63" s="1">
        <f t="shared" si="52"/>
        <v>0.29</v>
      </c>
      <c r="AE63" s="30">
        <f t="shared" si="53"/>
        <v>88.6642281423392</v>
      </c>
      <c r="AF63" s="1">
        <f t="shared" si="54"/>
        <v>2616522.62876494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30"/>
    </row>
    <row r="64" s="1" customFormat="1" spans="1:52">
      <c r="A64" s="13"/>
      <c r="B64" s="13"/>
      <c r="C64" s="16">
        <v>6</v>
      </c>
      <c r="D64" s="19">
        <v>20.0959323786667</v>
      </c>
      <c r="E64" s="20">
        <f t="shared" si="55"/>
        <v>15.6682133022258</v>
      </c>
      <c r="F64" s="16" t="s">
        <v>110</v>
      </c>
      <c r="G64" s="13">
        <v>7</v>
      </c>
      <c r="H64" s="18">
        <f t="shared" si="40"/>
        <v>20.0959323786667</v>
      </c>
      <c r="I64" s="18">
        <f t="shared" si="41"/>
        <v>293.245932378667</v>
      </c>
      <c r="J64" s="18">
        <f t="shared" si="42"/>
        <v>0.20049727738362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7.83894258443534</v>
      </c>
      <c r="P64" s="18">
        <f t="shared" si="45"/>
        <v>1.5716866457458</v>
      </c>
      <c r="Q64" s="24">
        <f t="shared" si="46"/>
        <v>0.455789127266283</v>
      </c>
      <c r="R64" s="18">
        <f t="shared" si="47"/>
        <v>0.80117865</v>
      </c>
      <c r="S64" s="25">
        <f t="shared" si="48"/>
        <v>0.568898244188463</v>
      </c>
      <c r="T64" s="3">
        <v>0.27</v>
      </c>
      <c r="U64" s="26">
        <f t="shared" si="49"/>
        <v>0.153602525930885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0.305044970788371</v>
      </c>
      <c r="AC64" s="29">
        <f t="shared" si="51"/>
        <v>10.2321666666667</v>
      </c>
      <c r="AD64" s="1">
        <f t="shared" si="52"/>
        <v>0.29</v>
      </c>
      <c r="AE64" s="30">
        <f t="shared" si="53"/>
        <v>88.6642281423392</v>
      </c>
      <c r="AF64" s="1">
        <f t="shared" si="54"/>
        <v>2767450.82436355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30"/>
    </row>
    <row r="65" s="1" customFormat="1" spans="1:52">
      <c r="A65" s="13"/>
      <c r="B65" s="13"/>
      <c r="C65" s="16">
        <v>7</v>
      </c>
      <c r="D65" s="19">
        <v>22.3046072148387</v>
      </c>
      <c r="E65" s="20">
        <f t="shared" si="55"/>
        <v>20.0959323786667</v>
      </c>
      <c r="F65" s="16" t="s">
        <v>110</v>
      </c>
      <c r="G65" s="13">
        <v>8</v>
      </c>
      <c r="H65" s="18">
        <f t="shared" si="40"/>
        <v>22.3046072148387</v>
      </c>
      <c r="I65" s="18">
        <f t="shared" si="41"/>
        <v>295.454607214839</v>
      </c>
      <c r="J65" s="18">
        <f t="shared" si="42"/>
        <v>0.256983997536294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9.02994093868954</v>
      </c>
      <c r="P65" s="18">
        <f t="shared" si="45"/>
        <v>2.32055031994107</v>
      </c>
      <c r="Q65" s="24">
        <f t="shared" si="46"/>
        <v>0.672959592782911</v>
      </c>
      <c r="R65" s="18">
        <f t="shared" si="47"/>
        <v>0.80117865</v>
      </c>
      <c r="S65" s="25">
        <f t="shared" si="48"/>
        <v>0.839961964516792</v>
      </c>
      <c r="T65" s="3">
        <v>0.27</v>
      </c>
      <c r="U65" s="26">
        <f t="shared" si="49"/>
        <v>0.226789730419534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0.319265244620515</v>
      </c>
      <c r="AC65" s="29">
        <f t="shared" si="51"/>
        <v>10.2321666666667</v>
      </c>
      <c r="AD65" s="1">
        <f t="shared" si="52"/>
        <v>0.29</v>
      </c>
      <c r="AE65" s="30">
        <f t="shared" si="53"/>
        <v>88.6642281423392</v>
      </c>
      <c r="AF65" s="1">
        <f t="shared" si="54"/>
        <v>2896461.01075585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30"/>
    </row>
    <row r="66" s="1" customFormat="1" spans="1:52">
      <c r="A66" s="13"/>
      <c r="B66" s="13"/>
      <c r="C66" s="16">
        <v>8</v>
      </c>
      <c r="D66" s="19">
        <v>21.9429255583871</v>
      </c>
      <c r="E66" s="20">
        <f t="shared" si="55"/>
        <v>22.3046072148387</v>
      </c>
      <c r="F66" s="16" t="s">
        <v>110</v>
      </c>
      <c r="G66" s="13">
        <v>9</v>
      </c>
      <c r="H66" s="18">
        <f t="shared" si="40"/>
        <v>21.9429255583871</v>
      </c>
      <c r="I66" s="18">
        <f t="shared" si="41"/>
        <v>295.092925558387</v>
      </c>
      <c r="J66" s="18">
        <f t="shared" si="42"/>
        <v>0.246810803485486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9.47207561874847</v>
      </c>
      <c r="P66" s="18">
        <f t="shared" si="45"/>
        <v>2.33781059413859</v>
      </c>
      <c r="Q66" s="24">
        <f t="shared" si="46"/>
        <v>0.677965072300191</v>
      </c>
      <c r="R66" s="18">
        <f t="shared" si="47"/>
        <v>0.80117865</v>
      </c>
      <c r="S66" s="25">
        <f t="shared" si="48"/>
        <v>0.846209609180414</v>
      </c>
      <c r="T66" s="3">
        <v>0.27</v>
      </c>
      <c r="U66" s="26">
        <f t="shared" si="49"/>
        <v>0.228476594478712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0.270793002307214</v>
      </c>
      <c r="AC66" s="29">
        <f t="shared" si="51"/>
        <v>10.2321666666667</v>
      </c>
      <c r="AD66" s="1">
        <f t="shared" si="52"/>
        <v>0.29</v>
      </c>
      <c r="AE66" s="30">
        <f t="shared" si="53"/>
        <v>88.6642281423392</v>
      </c>
      <c r="AF66" s="1">
        <f t="shared" si="54"/>
        <v>2456707.66356246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30"/>
    </row>
    <row r="67" s="1" customFormat="1" spans="1:52">
      <c r="A67" s="13"/>
      <c r="B67" s="13"/>
      <c r="C67" s="16">
        <v>9</v>
      </c>
      <c r="D67" s="19">
        <v>16.8223410253333</v>
      </c>
      <c r="E67" s="20">
        <f t="shared" si="55"/>
        <v>21.9429255583871</v>
      </c>
      <c r="F67" s="16" t="s">
        <v>110</v>
      </c>
      <c r="G67" s="13">
        <v>10</v>
      </c>
      <c r="H67" s="18">
        <f t="shared" si="40"/>
        <v>16.8223410253333</v>
      </c>
      <c r="I67" s="18">
        <f t="shared" si="41"/>
        <v>289.972341025333</v>
      </c>
      <c r="J67" s="18">
        <f t="shared" si="42"/>
        <v>0.137820997412469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9.89695002460988</v>
      </c>
      <c r="P67" s="18">
        <f t="shared" si="45"/>
        <v>1.36400752373309</v>
      </c>
      <c r="Q67" s="24">
        <f t="shared" si="46"/>
        <v>0.395562181882597</v>
      </c>
      <c r="R67" s="18">
        <f t="shared" si="47"/>
        <v>0.80117865</v>
      </c>
      <c r="S67" s="25">
        <f t="shared" si="48"/>
        <v>0.493725315674097</v>
      </c>
      <c r="T67" s="3">
        <v>0.27</v>
      </c>
      <c r="U67" s="26">
        <f t="shared" si="49"/>
        <v>0.133305835232006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0.252301323785579</v>
      </c>
      <c r="AC67" s="29">
        <f t="shared" si="51"/>
        <v>10.2321666666667</v>
      </c>
      <c r="AD67" s="1">
        <f t="shared" si="52"/>
        <v>0.29</v>
      </c>
      <c r="AE67" s="30">
        <f t="shared" si="53"/>
        <v>88.6642281423392</v>
      </c>
      <c r="AF67" s="1">
        <f t="shared" si="54"/>
        <v>2288946.13372538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30"/>
    </row>
    <row r="68" s="1" customFormat="1" spans="1:52">
      <c r="A68" s="13"/>
      <c r="B68" s="13"/>
      <c r="C68" s="16">
        <v>10</v>
      </c>
      <c r="D68" s="19">
        <v>9.98835725764516</v>
      </c>
      <c r="E68" s="20">
        <f t="shared" si="55"/>
        <v>16.8223410253333</v>
      </c>
      <c r="F68" s="16" t="s">
        <v>110</v>
      </c>
      <c r="G68" s="13">
        <v>11</v>
      </c>
      <c r="H68" s="18">
        <f t="shared" si="40"/>
        <v>9.98835725764516</v>
      </c>
      <c r="I68" s="18">
        <f t="shared" si="41"/>
        <v>283.138357257645</v>
      </c>
      <c r="J68" s="18">
        <f t="shared" si="42"/>
        <v>0.0612822611904073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8.10629537583294</v>
      </c>
      <c r="O68" s="18">
        <f t="shared" si="56"/>
        <v>3.18933212504384</v>
      </c>
      <c r="P68" s="18">
        <f t="shared" si="45"/>
        <v>0.195449484309893</v>
      </c>
      <c r="Q68" s="24">
        <f t="shared" si="46"/>
        <v>0.056680350449869</v>
      </c>
      <c r="R68" s="18">
        <f t="shared" si="47"/>
        <v>0.80117865</v>
      </c>
      <c r="S68" s="25">
        <f t="shared" si="48"/>
        <v>0.0707462067915428</v>
      </c>
      <c r="T68" s="3">
        <v>0.27</v>
      </c>
      <c r="U68" s="26">
        <f t="shared" si="49"/>
        <v>0.0191014758337165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0.230111416754491</v>
      </c>
      <c r="AC68" s="29">
        <f t="shared" si="51"/>
        <v>10.2321666666667</v>
      </c>
      <c r="AD68" s="1">
        <f t="shared" si="52"/>
        <v>0.29</v>
      </c>
      <c r="AE68" s="30">
        <f t="shared" si="53"/>
        <v>88.6642281423392</v>
      </c>
      <c r="AF68" s="1">
        <f t="shared" si="54"/>
        <v>2087633.2704219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30"/>
    </row>
    <row r="69" s="1" customFormat="1" spans="1:33">
      <c r="A69" s="13"/>
      <c r="B69" s="13"/>
      <c r="C69" s="16">
        <v>11</v>
      </c>
      <c r="D69" s="19">
        <v>2.45666729636667</v>
      </c>
      <c r="E69" s="20">
        <f t="shared" si="55"/>
        <v>9.98835725764516</v>
      </c>
      <c r="F69" s="16" t="s">
        <v>112</v>
      </c>
      <c r="G69" s="13">
        <v>12</v>
      </c>
      <c r="H69" s="18">
        <f t="shared" si="40"/>
        <v>2.45666729636667</v>
      </c>
      <c r="I69" s="18">
        <f t="shared" si="41"/>
        <v>275.606667296367</v>
      </c>
      <c r="J69" s="18">
        <f t="shared" si="42"/>
        <v>0.0239441571025223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5.75656764073394</v>
      </c>
      <c r="P69" s="18">
        <f t="shared" si="45"/>
        <v>0.13783615996103</v>
      </c>
      <c r="Q69" s="24">
        <f t="shared" si="46"/>
        <v>0.0399724863886986</v>
      </c>
      <c r="R69" s="18">
        <f t="shared" si="47"/>
        <v>0.80117865</v>
      </c>
      <c r="S69" s="25">
        <f t="shared" si="48"/>
        <v>0.0498921013293335</v>
      </c>
      <c r="T69" s="3">
        <v>0.27</v>
      </c>
      <c r="U69" s="26">
        <f t="shared" si="49"/>
        <v>0.01347086735892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0.229017389527838</v>
      </c>
      <c r="AC69" s="29">
        <f t="shared" si="51"/>
        <v>10.2321666666667</v>
      </c>
      <c r="AD69" s="1">
        <f t="shared" si="52"/>
        <v>0.29</v>
      </c>
      <c r="AE69" s="30">
        <f t="shared" si="53"/>
        <v>88.6642281423392</v>
      </c>
      <c r="AF69" s="1">
        <f t="shared" si="54"/>
        <v>2077707.95828693</v>
      </c>
      <c r="AG69" s="1">
        <f>SUM(AF58:AF69)</f>
        <v>28040571.3895131</v>
      </c>
    </row>
    <row r="70" s="1" customFormat="1" spans="1:46">
      <c r="A70" s="13"/>
      <c r="B70" s="13"/>
      <c r="C70" s="16">
        <v>12</v>
      </c>
      <c r="D70" s="19">
        <v>-2.2120087616129</v>
      </c>
      <c r="E70" s="20">
        <f t="shared" si="55"/>
        <v>2.45666729636667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-4</v>
      </c>
      <c r="E74" s="16"/>
      <c r="F74" s="16"/>
      <c r="G74" s="13">
        <v>1</v>
      </c>
      <c r="H74" s="18">
        <f t="shared" ref="H74:H85" si="57">E75</f>
        <v>-4</v>
      </c>
      <c r="I74" s="18">
        <f t="shared" ref="I74:I85" si="58">H74+273.15</f>
        <v>269.15</v>
      </c>
      <c r="J74" s="18">
        <f t="shared" ref="J74:J85" si="59">EXP(($C$16*(I74-$C$14))/($C$17*I74*$C$14))</f>
        <v>0.0102597002578668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0.00534756096840533</v>
      </c>
      <c r="Q74" s="24">
        <f t="shared" ref="Q74:Q85" si="63">P74*$B$76</f>
        <v>0.00139036585178539</v>
      </c>
      <c r="R74" s="18">
        <f t="shared" ref="R74:R85" si="64">L74*$B$76</f>
        <v>0.1355172</v>
      </c>
      <c r="S74" s="25">
        <f t="shared" ref="S74:S85" si="65">Q74/R74</f>
        <v>0.0102597002578668</v>
      </c>
      <c r="T74" s="3">
        <v>0.01</v>
      </c>
      <c r="U74" s="26">
        <f t="shared" ref="U74:U85" si="66">S74*T74</f>
        <v>0.000102597002578668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0.00559259700257867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0.09085</v>
      </c>
      <c r="AX74" s="1">
        <f t="shared" ref="AX74:AX85" si="72">AW74*10000*AV74*0.67*AU74*AT74</f>
        <v>46.1325732297985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-8.15328237967742</v>
      </c>
      <c r="E75" s="20">
        <f t="shared" ref="E75:E86" si="73">D74</f>
        <v>-4</v>
      </c>
      <c r="F75" s="16" t="s">
        <v>110</v>
      </c>
      <c r="G75" s="13">
        <v>2</v>
      </c>
      <c r="H75" s="18">
        <f t="shared" si="57"/>
        <v>-8.15328237967742</v>
      </c>
      <c r="I75" s="18">
        <f t="shared" si="58"/>
        <v>264.996717620323</v>
      </c>
      <c r="J75" s="18">
        <f t="shared" si="59"/>
        <v>0.00581963538806965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1.03709243903159</v>
      </c>
      <c r="P75" s="18">
        <f t="shared" si="62"/>
        <v>0.00603549985888773</v>
      </c>
      <c r="Q75" s="24">
        <f t="shared" si="63"/>
        <v>0.00156922996331081</v>
      </c>
      <c r="R75" s="18">
        <f t="shared" si="64"/>
        <v>0.1355172</v>
      </c>
      <c r="S75" s="25">
        <f t="shared" si="65"/>
        <v>0.0115795630614476</v>
      </c>
      <c r="T75" s="3">
        <v>0.01</v>
      </c>
      <c r="U75" s="26">
        <f t="shared" si="66"/>
        <v>0.000115795630614476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0.00560579563061448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0.09085</v>
      </c>
      <c r="AX75" s="1">
        <f t="shared" si="72"/>
        <v>46.2414469201635</v>
      </c>
    </row>
    <row r="76" s="1" customFormat="1" spans="1:50">
      <c r="A76" s="13" t="s">
        <v>73</v>
      </c>
      <c r="B76" s="13">
        <v>0.26</v>
      </c>
      <c r="C76" s="16">
        <v>2</v>
      </c>
      <c r="D76" s="19">
        <v>-3.26981668741379</v>
      </c>
      <c r="E76" s="20">
        <f t="shared" si="73"/>
        <v>-8.15328237967742</v>
      </c>
      <c r="F76" s="16" t="s">
        <v>110</v>
      </c>
      <c r="G76" s="13">
        <v>3</v>
      </c>
      <c r="H76" s="18">
        <f t="shared" si="57"/>
        <v>-3.26981668741379</v>
      </c>
      <c r="I76" s="18">
        <f t="shared" si="58"/>
        <v>269.880183312586</v>
      </c>
      <c r="J76" s="18">
        <f t="shared" si="59"/>
        <v>0.0113146799568535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1.55227693917271</v>
      </c>
      <c r="P76" s="18">
        <f t="shared" si="62"/>
        <v>0.0175635167711433</v>
      </c>
      <c r="Q76" s="24">
        <f t="shared" si="63"/>
        <v>0.00456651436049727</v>
      </c>
      <c r="R76" s="18">
        <f t="shared" si="64"/>
        <v>0.1355172</v>
      </c>
      <c r="S76" s="25">
        <f t="shared" si="65"/>
        <v>0.033696935595609</v>
      </c>
      <c r="T76" s="3">
        <v>0.01</v>
      </c>
      <c r="U76" s="26">
        <f t="shared" si="66"/>
        <v>0.00033696935595609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0.00582696935595609</v>
      </c>
      <c r="AU76" s="29">
        <f t="shared" si="70"/>
        <v>52.122</v>
      </c>
      <c r="AV76" s="1">
        <f t="shared" si="71"/>
        <v>0.26</v>
      </c>
      <c r="AW76" s="2">
        <f t="shared" si="75"/>
        <v>0.09085</v>
      </c>
      <c r="AX76" s="1">
        <f t="shared" si="72"/>
        <v>48.0658789463089</v>
      </c>
    </row>
    <row r="77" s="1" customFormat="1" spans="1:50">
      <c r="A77" s="13"/>
      <c r="B77" s="13"/>
      <c r="C77" s="16">
        <v>3</v>
      </c>
      <c r="D77" s="19">
        <v>4.97044997080645</v>
      </c>
      <c r="E77" s="20">
        <f t="shared" si="73"/>
        <v>-3.26981668741379</v>
      </c>
      <c r="F77" s="16" t="s">
        <v>110</v>
      </c>
      <c r="G77" s="13">
        <v>4</v>
      </c>
      <c r="H77" s="18">
        <f t="shared" si="57"/>
        <v>4.97044997080645</v>
      </c>
      <c r="I77" s="18">
        <f t="shared" si="58"/>
        <v>278.120449970806</v>
      </c>
      <c r="J77" s="18">
        <f t="shared" si="59"/>
        <v>0.0329516210418407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2.05593342240156</v>
      </c>
      <c r="P77" s="18">
        <f t="shared" si="62"/>
        <v>0.0677463390222309</v>
      </c>
      <c r="Q77" s="24">
        <f t="shared" si="63"/>
        <v>0.01761404814578</v>
      </c>
      <c r="R77" s="18">
        <f t="shared" si="64"/>
        <v>0.1355172</v>
      </c>
      <c r="S77" s="25">
        <f t="shared" si="65"/>
        <v>0.129976476386614</v>
      </c>
      <c r="T77" s="3">
        <v>0.01</v>
      </c>
      <c r="U77" s="26">
        <f t="shared" si="66"/>
        <v>0.00129976476386614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0.00678976476386614</v>
      </c>
      <c r="AU77" s="29">
        <f t="shared" si="70"/>
        <v>52.122</v>
      </c>
      <c r="AV77" s="1">
        <f t="shared" si="71"/>
        <v>0.26</v>
      </c>
      <c r="AW77" s="2">
        <f t="shared" si="75"/>
        <v>0.09085</v>
      </c>
      <c r="AX77" s="1">
        <f t="shared" si="72"/>
        <v>56.0078475237416</v>
      </c>
    </row>
    <row r="78" s="1" customFormat="1" spans="1:50">
      <c r="A78" s="13"/>
      <c r="B78" s="13"/>
      <c r="C78" s="16">
        <v>4</v>
      </c>
      <c r="D78" s="19">
        <v>12.7322370494333</v>
      </c>
      <c r="E78" s="20">
        <f t="shared" si="73"/>
        <v>4.97044997080645</v>
      </c>
      <c r="F78" s="16" t="s">
        <v>110</v>
      </c>
      <c r="G78" s="13">
        <v>5</v>
      </c>
      <c r="H78" s="18">
        <f t="shared" si="57"/>
        <v>12.7322370494333</v>
      </c>
      <c r="I78" s="18">
        <f t="shared" si="58"/>
        <v>285.882237049433</v>
      </c>
      <c r="J78" s="18">
        <f t="shared" si="59"/>
        <v>0.0852469209566172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1.88877772921037</v>
      </c>
      <c r="O78" s="18">
        <f t="shared" si="74"/>
        <v>0.620629354168967</v>
      </c>
      <c r="P78" s="18">
        <f t="shared" si="62"/>
        <v>0.0529067414981983</v>
      </c>
      <c r="Q78" s="24">
        <f t="shared" si="63"/>
        <v>0.0137557527895316</v>
      </c>
      <c r="R78" s="18">
        <f t="shared" si="64"/>
        <v>0.1355172</v>
      </c>
      <c r="S78" s="25">
        <f t="shared" si="65"/>
        <v>0.101505585929547</v>
      </c>
      <c r="T78" s="3">
        <v>0.01</v>
      </c>
      <c r="U78" s="26">
        <f t="shared" si="66"/>
        <v>0.00101505585929547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0.0109650558592955</v>
      </c>
      <c r="AU78" s="29">
        <f t="shared" si="70"/>
        <v>52.122</v>
      </c>
      <c r="AV78" s="1">
        <f t="shared" si="71"/>
        <v>0.26</v>
      </c>
      <c r="AW78" s="2">
        <f t="shared" si="75"/>
        <v>0.09085</v>
      </c>
      <c r="AX78" s="1">
        <f t="shared" si="72"/>
        <v>90.4492567879539</v>
      </c>
    </row>
    <row r="79" s="1" customFormat="1" spans="1:50">
      <c r="A79" s="13"/>
      <c r="B79" s="13"/>
      <c r="C79" s="16">
        <v>5</v>
      </c>
      <c r="D79" s="19">
        <v>15.6682133022258</v>
      </c>
      <c r="E79" s="20">
        <f t="shared" si="73"/>
        <v>12.7322370494333</v>
      </c>
      <c r="F79" s="16" t="s">
        <v>112</v>
      </c>
      <c r="G79" s="13">
        <v>6</v>
      </c>
      <c r="H79" s="18">
        <f t="shared" si="57"/>
        <v>15.6682133022258</v>
      </c>
      <c r="I79" s="18">
        <f t="shared" si="58"/>
        <v>288.818213302226</v>
      </c>
      <c r="J79" s="18">
        <f t="shared" si="59"/>
        <v>0.120515154337017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1.08894261267077</v>
      </c>
      <c r="P79" s="18">
        <f t="shared" si="62"/>
        <v>0.131234087030172</v>
      </c>
      <c r="Q79" s="24">
        <f t="shared" si="63"/>
        <v>0.0341208626278448</v>
      </c>
      <c r="R79" s="18">
        <f t="shared" si="64"/>
        <v>0.1355172</v>
      </c>
      <c r="S79" s="25">
        <f t="shared" si="65"/>
        <v>0.251782523752297</v>
      </c>
      <c r="T79" s="3">
        <v>0.01</v>
      </c>
      <c r="U79" s="26">
        <f t="shared" si="66"/>
        <v>0.00251782523752297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0.012467825237523</v>
      </c>
      <c r="AU79" s="29">
        <f t="shared" si="70"/>
        <v>52.122</v>
      </c>
      <c r="AV79" s="1">
        <f t="shared" si="71"/>
        <v>0.26</v>
      </c>
      <c r="AW79" s="2">
        <f t="shared" si="75"/>
        <v>0.09085</v>
      </c>
      <c r="AX79" s="1">
        <f t="shared" si="72"/>
        <v>102.845397320986</v>
      </c>
    </row>
    <row r="80" s="1" customFormat="1" spans="1:50">
      <c r="A80" s="13"/>
      <c r="B80" s="13"/>
      <c r="C80" s="16">
        <v>6</v>
      </c>
      <c r="D80" s="19">
        <v>20.0959323786667</v>
      </c>
      <c r="E80" s="20">
        <f t="shared" si="73"/>
        <v>15.6682133022258</v>
      </c>
      <c r="F80" s="16" t="s">
        <v>110</v>
      </c>
      <c r="G80" s="13">
        <v>7</v>
      </c>
      <c r="H80" s="18">
        <f t="shared" si="57"/>
        <v>20.0959323786667</v>
      </c>
      <c r="I80" s="18">
        <f t="shared" si="58"/>
        <v>293.245932378667</v>
      </c>
      <c r="J80" s="18">
        <f t="shared" si="59"/>
        <v>0.20049727738362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1.4789285256406</v>
      </c>
      <c r="P80" s="18">
        <f t="shared" si="62"/>
        <v>0.296521142835911</v>
      </c>
      <c r="Q80" s="24">
        <f t="shared" si="63"/>
        <v>0.0770954971373368</v>
      </c>
      <c r="R80" s="18">
        <f t="shared" si="64"/>
        <v>0.1355172</v>
      </c>
      <c r="S80" s="25">
        <f t="shared" si="65"/>
        <v>0.568898244188463</v>
      </c>
      <c r="T80" s="3">
        <v>0.01</v>
      </c>
      <c r="U80" s="26">
        <f t="shared" si="66"/>
        <v>0.00568898244188463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0.0156389824418846</v>
      </c>
      <c r="AU80" s="29">
        <f t="shared" si="70"/>
        <v>52.122</v>
      </c>
      <c r="AV80" s="1">
        <f t="shared" si="71"/>
        <v>0.26</v>
      </c>
      <c r="AW80" s="2">
        <f t="shared" si="75"/>
        <v>0.09085</v>
      </c>
      <c r="AX80" s="1">
        <f t="shared" si="72"/>
        <v>129.003842473741</v>
      </c>
    </row>
    <row r="81" s="1" customFormat="1" spans="1:50">
      <c r="A81" s="13"/>
      <c r="B81" s="13"/>
      <c r="C81" s="16">
        <v>7</v>
      </c>
      <c r="D81" s="19">
        <v>22.3046072148387</v>
      </c>
      <c r="E81" s="20">
        <f t="shared" si="73"/>
        <v>20.0959323786667</v>
      </c>
      <c r="F81" s="16" t="s">
        <v>110</v>
      </c>
      <c r="G81" s="13">
        <v>8</v>
      </c>
      <c r="H81" s="18">
        <f t="shared" si="57"/>
        <v>22.3046072148387</v>
      </c>
      <c r="I81" s="18">
        <f t="shared" si="58"/>
        <v>295.454607214839</v>
      </c>
      <c r="J81" s="18">
        <f t="shared" si="59"/>
        <v>0.256983997536294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1.70362738280469</v>
      </c>
      <c r="P81" s="18">
        <f t="shared" si="62"/>
        <v>0.437804975145442</v>
      </c>
      <c r="Q81" s="24">
        <f t="shared" si="63"/>
        <v>0.113829293537815</v>
      </c>
      <c r="R81" s="18">
        <f t="shared" si="64"/>
        <v>0.1355172</v>
      </c>
      <c r="S81" s="25">
        <f t="shared" si="65"/>
        <v>0.839961964516792</v>
      </c>
      <c r="T81" s="3">
        <v>0.01</v>
      </c>
      <c r="U81" s="26">
        <f t="shared" si="66"/>
        <v>0.00839961964516792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0.0183496196451679</v>
      </c>
      <c r="AU81" s="29">
        <f t="shared" si="70"/>
        <v>52.122</v>
      </c>
      <c r="AV81" s="1">
        <f t="shared" si="71"/>
        <v>0.26</v>
      </c>
      <c r="AW81" s="2">
        <f t="shared" si="75"/>
        <v>0.09085</v>
      </c>
      <c r="AX81" s="1">
        <f t="shared" si="72"/>
        <v>151.36352067373</v>
      </c>
    </row>
    <row r="82" s="1" customFormat="1" spans="1:50">
      <c r="A82" s="13"/>
      <c r="B82" s="13"/>
      <c r="C82" s="16">
        <v>8</v>
      </c>
      <c r="D82" s="19">
        <v>21.9429255583871</v>
      </c>
      <c r="E82" s="20">
        <f t="shared" si="73"/>
        <v>22.3046072148387</v>
      </c>
      <c r="F82" s="16" t="s">
        <v>110</v>
      </c>
      <c r="G82" s="13">
        <v>9</v>
      </c>
      <c r="H82" s="18">
        <f t="shared" si="57"/>
        <v>21.9429255583871</v>
      </c>
      <c r="I82" s="18">
        <f t="shared" si="58"/>
        <v>295.092925558387</v>
      </c>
      <c r="J82" s="18">
        <f t="shared" si="59"/>
        <v>0.246810803485486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1.78704240765924</v>
      </c>
      <c r="P82" s="18">
        <f t="shared" si="62"/>
        <v>0.441061372497015</v>
      </c>
      <c r="Q82" s="24">
        <f t="shared" si="63"/>
        <v>0.114675956849224</v>
      </c>
      <c r="R82" s="18">
        <f t="shared" si="64"/>
        <v>0.1355172</v>
      </c>
      <c r="S82" s="25">
        <f t="shared" si="65"/>
        <v>0.846209609180414</v>
      </c>
      <c r="T82" s="3">
        <v>0.01</v>
      </c>
      <c r="U82" s="26">
        <f t="shared" si="66"/>
        <v>0.00846209609180414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0.0139520960918041</v>
      </c>
      <c r="AU82" s="29">
        <f t="shared" si="70"/>
        <v>52.122</v>
      </c>
      <c r="AV82" s="1">
        <f t="shared" si="71"/>
        <v>0.26</v>
      </c>
      <c r="AW82" s="2">
        <f t="shared" si="75"/>
        <v>0.09085</v>
      </c>
      <c r="AX82" s="1">
        <f t="shared" si="72"/>
        <v>115.088946041984</v>
      </c>
    </row>
    <row r="83" s="1" customFormat="1" spans="1:50">
      <c r="A83" s="13"/>
      <c r="B83" s="13"/>
      <c r="C83" s="16">
        <v>9</v>
      </c>
      <c r="D83" s="19">
        <v>16.8223410253333</v>
      </c>
      <c r="E83" s="20">
        <f t="shared" si="73"/>
        <v>21.9429255583871</v>
      </c>
      <c r="F83" s="16" t="s">
        <v>110</v>
      </c>
      <c r="G83" s="13">
        <v>10</v>
      </c>
      <c r="H83" s="18">
        <f t="shared" si="57"/>
        <v>16.8223410253333</v>
      </c>
      <c r="I83" s="18">
        <f t="shared" si="58"/>
        <v>289.972341025333</v>
      </c>
      <c r="J83" s="18">
        <f t="shared" si="59"/>
        <v>0.137820997412469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1.86720103516223</v>
      </c>
      <c r="P83" s="18">
        <f t="shared" si="62"/>
        <v>0.257339509035653</v>
      </c>
      <c r="Q83" s="24">
        <f t="shared" si="63"/>
        <v>0.0669082723492698</v>
      </c>
      <c r="R83" s="18">
        <f t="shared" si="64"/>
        <v>0.1355172</v>
      </c>
      <c r="S83" s="25">
        <f t="shared" si="65"/>
        <v>0.493725315674097</v>
      </c>
      <c r="T83" s="3">
        <v>0.01</v>
      </c>
      <c r="U83" s="26">
        <f t="shared" si="66"/>
        <v>0.00493725315674097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0.010427253156741</v>
      </c>
      <c r="AU83" s="29">
        <f t="shared" si="70"/>
        <v>52.122</v>
      </c>
      <c r="AV83" s="1">
        <f t="shared" si="71"/>
        <v>0.26</v>
      </c>
      <c r="AW83" s="2">
        <f t="shared" si="75"/>
        <v>0.09085</v>
      </c>
      <c r="AX83" s="1">
        <f t="shared" si="72"/>
        <v>86.0129953252848</v>
      </c>
    </row>
    <row r="84" s="1" customFormat="1" spans="1:50">
      <c r="A84" s="13"/>
      <c r="B84" s="13"/>
      <c r="C84" s="16">
        <v>10</v>
      </c>
      <c r="D84" s="19">
        <v>9.98835725764516</v>
      </c>
      <c r="E84" s="20">
        <f t="shared" si="73"/>
        <v>16.8223410253333</v>
      </c>
      <c r="F84" s="16" t="s">
        <v>110</v>
      </c>
      <c r="G84" s="13">
        <v>11</v>
      </c>
      <c r="H84" s="18">
        <f t="shared" si="57"/>
        <v>9.98835725764516</v>
      </c>
      <c r="I84" s="18">
        <f t="shared" si="58"/>
        <v>283.138357257645</v>
      </c>
      <c r="J84" s="18">
        <f t="shared" si="59"/>
        <v>0.0612822611904073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1.52936844982025</v>
      </c>
      <c r="O84" s="18">
        <f t="shared" si="74"/>
        <v>0.601713076306329</v>
      </c>
      <c r="P84" s="18">
        <f t="shared" si="62"/>
        <v>0.0368743379038879</v>
      </c>
      <c r="Q84" s="24">
        <f t="shared" si="63"/>
        <v>0.00958732785501086</v>
      </c>
      <c r="R84" s="18">
        <f t="shared" si="64"/>
        <v>0.1355172</v>
      </c>
      <c r="S84" s="25">
        <f t="shared" si="65"/>
        <v>0.0707462067915428</v>
      </c>
      <c r="T84" s="3">
        <v>0.01</v>
      </c>
      <c r="U84" s="26">
        <f t="shared" si="66"/>
        <v>0.000707462067915428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0.00619746206791543</v>
      </c>
      <c r="AU84" s="29">
        <f t="shared" si="70"/>
        <v>52.122</v>
      </c>
      <c r="AV84" s="1">
        <f t="shared" si="71"/>
        <v>0.26</v>
      </c>
      <c r="AW84" s="2">
        <f t="shared" si="75"/>
        <v>0.09085</v>
      </c>
      <c r="AX84" s="1">
        <f t="shared" si="72"/>
        <v>51.1220230163518</v>
      </c>
    </row>
    <row r="85" s="1" customFormat="1" spans="1:51">
      <c r="A85" s="13"/>
      <c r="B85" s="13"/>
      <c r="C85" s="16">
        <v>11</v>
      </c>
      <c r="D85" s="19">
        <v>2.45666729636667</v>
      </c>
      <c r="E85" s="20">
        <f t="shared" si="73"/>
        <v>9.98835725764516</v>
      </c>
      <c r="F85" s="16" t="s">
        <v>112</v>
      </c>
      <c r="G85" s="13">
        <v>12</v>
      </c>
      <c r="H85" s="18">
        <f t="shared" si="57"/>
        <v>2.45666729636667</v>
      </c>
      <c r="I85" s="18">
        <f t="shared" si="58"/>
        <v>275.606667296367</v>
      </c>
      <c r="J85" s="18">
        <f t="shared" si="59"/>
        <v>0.0239441571025223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1.08605873840244</v>
      </c>
      <c r="P85" s="18">
        <f t="shared" si="62"/>
        <v>0.0260047610548752</v>
      </c>
      <c r="Q85" s="24">
        <f t="shared" si="63"/>
        <v>0.00676123787426756</v>
      </c>
      <c r="R85" s="18">
        <f t="shared" si="64"/>
        <v>0.1355172</v>
      </c>
      <c r="S85" s="25">
        <f t="shared" si="65"/>
        <v>0.0498921013293335</v>
      </c>
      <c r="T85" s="3">
        <v>0.01</v>
      </c>
      <c r="U85" s="26">
        <f t="shared" si="66"/>
        <v>0.000498921013293335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0.00598892101329334</v>
      </c>
      <c r="AU85" s="29">
        <f t="shared" si="70"/>
        <v>52.122</v>
      </c>
      <c r="AV85" s="1">
        <f t="shared" si="71"/>
        <v>0.26</v>
      </c>
      <c r="AW85" s="2">
        <f t="shared" si="75"/>
        <v>0.09085</v>
      </c>
      <c r="AX85" s="1">
        <f t="shared" si="72"/>
        <v>49.4017961755233</v>
      </c>
      <c r="AY85" s="1">
        <f>SUM(AX74:AX85)</f>
        <v>971.735524435568</v>
      </c>
    </row>
    <row r="86" s="1" customFormat="1" spans="1:46">
      <c r="A86" s="13"/>
      <c r="B86" s="13"/>
      <c r="C86" s="16">
        <v>12</v>
      </c>
      <c r="D86" s="19">
        <v>-2.2120087616129</v>
      </c>
      <c r="E86" s="20">
        <f t="shared" si="73"/>
        <v>2.45666729636667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-4</v>
      </c>
      <c r="E90" s="16"/>
      <c r="F90" s="16"/>
      <c r="G90" s="13">
        <v>1</v>
      </c>
      <c r="H90" s="18">
        <f t="shared" ref="H90:H101" si="76">E91</f>
        <v>-4</v>
      </c>
      <c r="I90" s="18">
        <f t="shared" ref="I90:I101" si="77">H90+273.15</f>
        <v>269.15</v>
      </c>
      <c r="J90" s="18">
        <f t="shared" ref="J90:J101" si="78">EXP(($C$16*(I90-$C$14))/($C$17*I90*$C$14))</f>
        <v>0.0102597002578668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0.00292093666341468</v>
      </c>
      <c r="Q90" s="24">
        <f t="shared" ref="Q90:Q101" si="82">P90*$B$76</f>
        <v>0.000759443532487816</v>
      </c>
      <c r="R90" s="18">
        <f t="shared" ref="R90:R101" si="83">L90*$B$76</f>
        <v>0.074022</v>
      </c>
      <c r="S90" s="25">
        <f t="shared" ref="S90:S101" si="84">Q90/R90</f>
        <v>0.0102597002578668</v>
      </c>
      <c r="T90" s="3">
        <v>0.01</v>
      </c>
      <c r="U90" s="26">
        <f t="shared" ref="U90:U101" si="85">S90*T90</f>
        <v>0.000102597002578668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0.00559259700257867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1.04024888732319</v>
      </c>
      <c r="AX90" s="1">
        <f t="shared" ref="AX90:AX101" si="91">AW90*10000*AV90*0.67*AU90*AT90</f>
        <v>288.526962271126</v>
      </c>
      <c r="AZ90" s="2">
        <f>$E$10/12</f>
        <v>0.360480523401408</v>
      </c>
      <c r="BA90" s="1">
        <f t="shared" ref="BA90:BA101" si="92">AZ90*10000*AV90*0.67*AU90*AT90</f>
        <v>99.9841015380003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-8.15328237967742</v>
      </c>
      <c r="E91" s="20">
        <f t="shared" ref="E91:E102" si="93">D90</f>
        <v>-4</v>
      </c>
      <c r="F91" s="16" t="s">
        <v>110</v>
      </c>
      <c r="G91" s="13">
        <v>2</v>
      </c>
      <c r="H91" s="18">
        <f t="shared" si="76"/>
        <v>-8.15328237967742</v>
      </c>
      <c r="I91" s="18">
        <f t="shared" si="77"/>
        <v>264.996717620323</v>
      </c>
      <c r="J91" s="18">
        <f t="shared" si="78"/>
        <v>0.00581963538806965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0.566479063336585</v>
      </c>
      <c r="P91" s="18">
        <f t="shared" si="81"/>
        <v>0.00329670160359414</v>
      </c>
      <c r="Q91" s="24">
        <f t="shared" si="82"/>
        <v>0.000857142416934477</v>
      </c>
      <c r="R91" s="18">
        <f t="shared" si="83"/>
        <v>0.074022</v>
      </c>
      <c r="S91" s="25">
        <f t="shared" si="84"/>
        <v>0.0115795630614476</v>
      </c>
      <c r="T91" s="3">
        <v>0.01</v>
      </c>
      <c r="U91" s="26">
        <f t="shared" si="85"/>
        <v>0.000115795630614476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0.00560579563061448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1.04024888732319</v>
      </c>
      <c r="AX91" s="1">
        <f t="shared" si="91"/>
        <v>289.207891015243</v>
      </c>
      <c r="AZ91" s="2">
        <f t="shared" ref="AZ91:AZ101" si="96">$E$10/12</f>
        <v>0.360480523401408</v>
      </c>
      <c r="BA91" s="1">
        <f t="shared" si="92"/>
        <v>100.220065789507</v>
      </c>
    </row>
    <row r="92" s="1" customFormat="1" spans="1:53">
      <c r="A92" s="13" t="s">
        <v>73</v>
      </c>
      <c r="B92" s="13">
        <v>0.26</v>
      </c>
      <c r="C92" s="16">
        <v>2</v>
      </c>
      <c r="D92" s="19">
        <v>-3.26981668741379</v>
      </c>
      <c r="E92" s="20">
        <f t="shared" si="93"/>
        <v>-8.15328237967742</v>
      </c>
      <c r="F92" s="16" t="s">
        <v>110</v>
      </c>
      <c r="G92" s="13">
        <v>3</v>
      </c>
      <c r="H92" s="18">
        <f t="shared" si="76"/>
        <v>-3.26981668741379</v>
      </c>
      <c r="I92" s="18">
        <f t="shared" si="77"/>
        <v>269.880183312586</v>
      </c>
      <c r="J92" s="18">
        <f t="shared" si="78"/>
        <v>0.0113146799568535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0.847882361732991</v>
      </c>
      <c r="P92" s="18">
        <f t="shared" si="81"/>
        <v>0.00959351756406989</v>
      </c>
      <c r="Q92" s="24">
        <f t="shared" si="82"/>
        <v>0.00249431456665817</v>
      </c>
      <c r="R92" s="18">
        <f t="shared" si="83"/>
        <v>0.074022</v>
      </c>
      <c r="S92" s="25">
        <f t="shared" si="84"/>
        <v>0.033696935595609</v>
      </c>
      <c r="T92" s="3">
        <v>0.01</v>
      </c>
      <c r="U92" s="26">
        <f t="shared" si="85"/>
        <v>0.00033696935595609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0.00582696935595609</v>
      </c>
      <c r="AU92" s="29">
        <f t="shared" si="89"/>
        <v>28.47</v>
      </c>
      <c r="AV92" s="1">
        <f t="shared" si="90"/>
        <v>0.26</v>
      </c>
      <c r="AW92" s="2">
        <f t="shared" si="95"/>
        <v>1.04024888732319</v>
      </c>
      <c r="AX92" s="1">
        <f t="shared" si="91"/>
        <v>300.618436612857</v>
      </c>
      <c r="AZ92" s="2">
        <f t="shared" si="96"/>
        <v>0.360480523401408</v>
      </c>
      <c r="BA92" s="1">
        <f t="shared" si="92"/>
        <v>104.174195901492</v>
      </c>
    </row>
    <row r="93" s="1" customFormat="1" spans="1:53">
      <c r="A93" s="13"/>
      <c r="B93" s="13"/>
      <c r="C93" s="16">
        <v>3</v>
      </c>
      <c r="D93" s="19">
        <v>4.97044997080645</v>
      </c>
      <c r="E93" s="20">
        <f t="shared" si="93"/>
        <v>-3.26981668741379</v>
      </c>
      <c r="F93" s="16" t="s">
        <v>110</v>
      </c>
      <c r="G93" s="13">
        <v>4</v>
      </c>
      <c r="H93" s="18">
        <f t="shared" si="76"/>
        <v>4.97044997080645</v>
      </c>
      <c r="I93" s="18">
        <f t="shared" si="77"/>
        <v>278.120449970806</v>
      </c>
      <c r="J93" s="18">
        <f t="shared" si="78"/>
        <v>0.0329516210418407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1.12298884416892</v>
      </c>
      <c r="P93" s="18">
        <f t="shared" si="81"/>
        <v>0.037004302827269</v>
      </c>
      <c r="Q93" s="24">
        <f t="shared" si="82"/>
        <v>0.00962111873508994</v>
      </c>
      <c r="R93" s="18">
        <f t="shared" si="83"/>
        <v>0.074022</v>
      </c>
      <c r="S93" s="25">
        <f t="shared" si="84"/>
        <v>0.129976476386614</v>
      </c>
      <c r="T93" s="3">
        <v>0.01</v>
      </c>
      <c r="U93" s="26">
        <f t="shared" si="85"/>
        <v>0.00129976476386614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0.00678976476386614</v>
      </c>
      <c r="AU93" s="29">
        <f t="shared" si="89"/>
        <v>28.47</v>
      </c>
      <c r="AV93" s="1">
        <f t="shared" si="90"/>
        <v>0.26</v>
      </c>
      <c r="AW93" s="2">
        <f t="shared" si="95"/>
        <v>1.04024888732319</v>
      </c>
      <c r="AX93" s="1">
        <f t="shared" si="91"/>
        <v>350.289892325612</v>
      </c>
      <c r="AZ93" s="2">
        <f t="shared" si="96"/>
        <v>0.360480523401408</v>
      </c>
      <c r="BA93" s="1">
        <f t="shared" si="92"/>
        <v>121.386992350157</v>
      </c>
    </row>
    <row r="94" s="1" customFormat="1" spans="1:53">
      <c r="A94" s="13"/>
      <c r="B94" s="13"/>
      <c r="C94" s="16">
        <v>4</v>
      </c>
      <c r="D94" s="19">
        <v>12.7322370494333</v>
      </c>
      <c r="E94" s="20">
        <f t="shared" si="93"/>
        <v>4.97044997080645</v>
      </c>
      <c r="F94" s="16" t="s">
        <v>110</v>
      </c>
      <c r="G94" s="13">
        <v>5</v>
      </c>
      <c r="H94" s="18">
        <f t="shared" si="76"/>
        <v>12.7322370494333</v>
      </c>
      <c r="I94" s="18">
        <f t="shared" si="77"/>
        <v>285.882237049433</v>
      </c>
      <c r="J94" s="18">
        <f t="shared" si="78"/>
        <v>0.0852469209566172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1.03168531427457</v>
      </c>
      <c r="O94" s="18">
        <f t="shared" si="94"/>
        <v>0.338999227067083</v>
      </c>
      <c r="P94" s="18">
        <f t="shared" si="81"/>
        <v>0.0288986403141419</v>
      </c>
      <c r="Q94" s="24">
        <f t="shared" si="82"/>
        <v>0.0075136464816769</v>
      </c>
      <c r="R94" s="18">
        <f t="shared" si="83"/>
        <v>0.074022</v>
      </c>
      <c r="S94" s="25">
        <f t="shared" si="84"/>
        <v>0.101505585929547</v>
      </c>
      <c r="T94" s="3">
        <v>0.01</v>
      </c>
      <c r="U94" s="26">
        <f t="shared" si="85"/>
        <v>0.00101505585929547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0.0109650558592955</v>
      </c>
      <c r="AU94" s="29">
        <f t="shared" si="89"/>
        <v>28.47</v>
      </c>
      <c r="AV94" s="1">
        <f t="shared" si="90"/>
        <v>0.26</v>
      </c>
      <c r="AW94" s="2">
        <f t="shared" si="95"/>
        <v>1.04024888732319</v>
      </c>
      <c r="AX94" s="1">
        <f t="shared" si="91"/>
        <v>565.696805394164</v>
      </c>
      <c r="AZ94" s="2">
        <f t="shared" si="96"/>
        <v>0.360480523401408</v>
      </c>
      <c r="BA94" s="1">
        <f t="shared" si="92"/>
        <v>196.032586989576</v>
      </c>
    </row>
    <row r="95" s="1" customFormat="1" spans="1:53">
      <c r="A95" s="13"/>
      <c r="B95" s="13"/>
      <c r="C95" s="16">
        <v>5</v>
      </c>
      <c r="D95" s="19">
        <v>15.6682133022258</v>
      </c>
      <c r="E95" s="20">
        <f t="shared" si="93"/>
        <v>12.7322370494333</v>
      </c>
      <c r="F95" s="16" t="s">
        <v>112</v>
      </c>
      <c r="G95" s="13">
        <v>6</v>
      </c>
      <c r="H95" s="18">
        <f t="shared" si="76"/>
        <v>15.6682133022258</v>
      </c>
      <c r="I95" s="18">
        <f t="shared" si="77"/>
        <v>288.818213302226</v>
      </c>
      <c r="J95" s="18">
        <f t="shared" si="78"/>
        <v>0.120515154337017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0.594800586752941</v>
      </c>
      <c r="P95" s="18">
        <f t="shared" si="81"/>
        <v>0.0716824845122789</v>
      </c>
      <c r="Q95" s="24">
        <f t="shared" si="82"/>
        <v>0.0186374459731925</v>
      </c>
      <c r="R95" s="18">
        <f t="shared" si="83"/>
        <v>0.074022</v>
      </c>
      <c r="S95" s="25">
        <f t="shared" si="84"/>
        <v>0.251782523752297</v>
      </c>
      <c r="T95" s="3">
        <v>0.01</v>
      </c>
      <c r="U95" s="26">
        <f t="shared" si="85"/>
        <v>0.00251782523752297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0.012467825237523</v>
      </c>
      <c r="AU95" s="29">
        <f t="shared" si="89"/>
        <v>28.47</v>
      </c>
      <c r="AV95" s="1">
        <f t="shared" si="90"/>
        <v>0.26</v>
      </c>
      <c r="AW95" s="2">
        <f t="shared" si="95"/>
        <v>1.04024888732319</v>
      </c>
      <c r="AX95" s="1">
        <f t="shared" si="91"/>
        <v>643.225989687995</v>
      </c>
      <c r="AZ95" s="2">
        <f t="shared" si="96"/>
        <v>0.360480523401408</v>
      </c>
      <c r="BA95" s="1">
        <f t="shared" si="92"/>
        <v>222.899004511099</v>
      </c>
    </row>
    <row r="96" s="1" customFormat="1" spans="1:53">
      <c r="A96" s="13"/>
      <c r="B96" s="13"/>
      <c r="C96" s="16">
        <v>6</v>
      </c>
      <c r="D96" s="19">
        <v>20.0959323786667</v>
      </c>
      <c r="E96" s="20">
        <f t="shared" si="93"/>
        <v>15.6682133022258</v>
      </c>
      <c r="F96" s="16" t="s">
        <v>110</v>
      </c>
      <c r="G96" s="13">
        <v>7</v>
      </c>
      <c r="H96" s="18">
        <f t="shared" si="76"/>
        <v>20.0959323786667</v>
      </c>
      <c r="I96" s="18">
        <f t="shared" si="77"/>
        <v>293.245932378667</v>
      </c>
      <c r="J96" s="18">
        <f t="shared" si="78"/>
        <v>0.20049727738362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0.807818102240662</v>
      </c>
      <c r="P96" s="18">
        <f t="shared" si="81"/>
        <v>0.161965330120455</v>
      </c>
      <c r="Q96" s="24">
        <f t="shared" si="82"/>
        <v>0.0421109858313184</v>
      </c>
      <c r="R96" s="18">
        <f t="shared" si="83"/>
        <v>0.074022</v>
      </c>
      <c r="S96" s="25">
        <f t="shared" si="84"/>
        <v>0.568898244188463</v>
      </c>
      <c r="T96" s="3">
        <v>0.01</v>
      </c>
      <c r="U96" s="26">
        <f t="shared" si="85"/>
        <v>0.00568898244188463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0.0156389824418846</v>
      </c>
      <c r="AU96" s="29">
        <f t="shared" si="89"/>
        <v>28.47</v>
      </c>
      <c r="AV96" s="1">
        <f t="shared" si="90"/>
        <v>0.26</v>
      </c>
      <c r="AW96" s="2">
        <f t="shared" si="95"/>
        <v>1.04024888732319</v>
      </c>
      <c r="AX96" s="1">
        <f t="shared" si="91"/>
        <v>806.828758604974</v>
      </c>
      <c r="AZ96" s="2">
        <f t="shared" si="96"/>
        <v>0.360480523401408</v>
      </c>
      <c r="BA96" s="1">
        <f t="shared" si="92"/>
        <v>279.592755869844</v>
      </c>
    </row>
    <row r="97" s="1" customFormat="1" spans="1:53">
      <c r="A97" s="13"/>
      <c r="B97" s="13"/>
      <c r="C97" s="16">
        <v>7</v>
      </c>
      <c r="D97" s="19">
        <v>22.3046072148387</v>
      </c>
      <c r="E97" s="20">
        <f t="shared" si="93"/>
        <v>20.0959323786667</v>
      </c>
      <c r="F97" s="16" t="s">
        <v>110</v>
      </c>
      <c r="G97" s="13">
        <v>8</v>
      </c>
      <c r="H97" s="18">
        <f t="shared" si="76"/>
        <v>22.3046072148387</v>
      </c>
      <c r="I97" s="18">
        <f t="shared" si="77"/>
        <v>295.454607214839</v>
      </c>
      <c r="J97" s="18">
        <f t="shared" si="78"/>
        <v>0.256983997536294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0.930552772120206</v>
      </c>
      <c r="P97" s="18">
        <f t="shared" si="81"/>
        <v>0.239137171297931</v>
      </c>
      <c r="Q97" s="24">
        <f t="shared" si="82"/>
        <v>0.062175664537462</v>
      </c>
      <c r="R97" s="18">
        <f t="shared" si="83"/>
        <v>0.074022</v>
      </c>
      <c r="S97" s="25">
        <f t="shared" si="84"/>
        <v>0.839961964516792</v>
      </c>
      <c r="T97" s="3">
        <v>0.01</v>
      </c>
      <c r="U97" s="26">
        <f t="shared" si="85"/>
        <v>0.00839961964516792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0.0183496196451679</v>
      </c>
      <c r="AU97" s="29">
        <f t="shared" si="89"/>
        <v>28.47</v>
      </c>
      <c r="AV97" s="1">
        <f t="shared" si="90"/>
        <v>0.26</v>
      </c>
      <c r="AW97" s="2">
        <f t="shared" si="95"/>
        <v>1.04024888732319</v>
      </c>
      <c r="AX97" s="1">
        <f t="shared" si="91"/>
        <v>946.672898585347</v>
      </c>
      <c r="AZ97" s="2">
        <f t="shared" si="96"/>
        <v>0.360480523401408</v>
      </c>
      <c r="BA97" s="1">
        <f t="shared" si="92"/>
        <v>328.053359278384</v>
      </c>
    </row>
    <row r="98" s="1" customFormat="1" spans="1:53">
      <c r="A98" s="13"/>
      <c r="B98" s="13"/>
      <c r="C98" s="16">
        <v>8</v>
      </c>
      <c r="D98" s="19">
        <v>21.9429255583871</v>
      </c>
      <c r="E98" s="20">
        <f t="shared" si="93"/>
        <v>22.3046072148387</v>
      </c>
      <c r="F98" s="16" t="s">
        <v>110</v>
      </c>
      <c r="G98" s="13">
        <v>9</v>
      </c>
      <c r="H98" s="18">
        <f t="shared" si="76"/>
        <v>21.9429255583871</v>
      </c>
      <c r="I98" s="18">
        <f t="shared" si="77"/>
        <v>295.092925558387</v>
      </c>
      <c r="J98" s="18">
        <f t="shared" si="78"/>
        <v>0.246810803485486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0.976115600822276</v>
      </c>
      <c r="P98" s="18">
        <f t="shared" si="81"/>
        <v>0.240915875733664</v>
      </c>
      <c r="Q98" s="24">
        <f t="shared" si="82"/>
        <v>0.0626381276907526</v>
      </c>
      <c r="R98" s="18">
        <f t="shared" si="83"/>
        <v>0.074022</v>
      </c>
      <c r="S98" s="25">
        <f t="shared" si="84"/>
        <v>0.846209609180414</v>
      </c>
      <c r="T98" s="3">
        <v>0.01</v>
      </c>
      <c r="U98" s="26">
        <f t="shared" si="85"/>
        <v>0.00846209609180414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0.0139520960918041</v>
      </c>
      <c r="AU98" s="29">
        <f t="shared" si="89"/>
        <v>28.47</v>
      </c>
      <c r="AV98" s="1">
        <f t="shared" si="90"/>
        <v>0.26</v>
      </c>
      <c r="AW98" s="2">
        <f t="shared" si="95"/>
        <v>1.04024888732319</v>
      </c>
      <c r="AX98" s="1">
        <f t="shared" si="91"/>
        <v>719.800818980335</v>
      </c>
      <c r="AZ98" s="2">
        <f t="shared" si="96"/>
        <v>0.360480523401408</v>
      </c>
      <c r="BA98" s="1">
        <f t="shared" si="92"/>
        <v>249.434706571504</v>
      </c>
    </row>
    <row r="99" s="1" customFormat="1" spans="1:53">
      <c r="A99" s="13"/>
      <c r="B99" s="13"/>
      <c r="C99" s="16">
        <v>9</v>
      </c>
      <c r="D99" s="19">
        <v>16.8223410253333</v>
      </c>
      <c r="E99" s="20">
        <f t="shared" si="93"/>
        <v>21.9429255583871</v>
      </c>
      <c r="F99" s="16" t="s">
        <v>110</v>
      </c>
      <c r="G99" s="13">
        <v>10</v>
      </c>
      <c r="H99" s="18">
        <f t="shared" si="76"/>
        <v>16.8223410253333</v>
      </c>
      <c r="I99" s="18">
        <f t="shared" si="77"/>
        <v>289.972341025333</v>
      </c>
      <c r="J99" s="18">
        <f t="shared" si="78"/>
        <v>0.137820997412469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1.01989972508861</v>
      </c>
      <c r="P99" s="18">
        <f t="shared" si="81"/>
        <v>0.140563597372415</v>
      </c>
      <c r="Q99" s="24">
        <f t="shared" si="82"/>
        <v>0.036546535316828</v>
      </c>
      <c r="R99" s="18">
        <f t="shared" si="83"/>
        <v>0.074022</v>
      </c>
      <c r="S99" s="25">
        <f t="shared" si="84"/>
        <v>0.493725315674097</v>
      </c>
      <c r="T99" s="3">
        <v>0.01</v>
      </c>
      <c r="U99" s="26">
        <f t="shared" si="85"/>
        <v>0.00493725315674097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0.010427253156741</v>
      </c>
      <c r="AU99" s="29">
        <f t="shared" si="89"/>
        <v>28.47</v>
      </c>
      <c r="AV99" s="1">
        <f t="shared" si="90"/>
        <v>0.26</v>
      </c>
      <c r="AW99" s="2">
        <f t="shared" si="95"/>
        <v>1.04024888732319</v>
      </c>
      <c r="AX99" s="1">
        <f t="shared" si="91"/>
        <v>537.951094412718</v>
      </c>
      <c r="AZ99" s="2">
        <f t="shared" si="96"/>
        <v>0.360480523401408</v>
      </c>
      <c r="BA99" s="1">
        <f t="shared" si="92"/>
        <v>186.417783706803</v>
      </c>
    </row>
    <row r="100" s="1" customFormat="1" spans="1:53">
      <c r="A100" s="13"/>
      <c r="B100" s="13"/>
      <c r="C100" s="16">
        <v>10</v>
      </c>
      <c r="D100" s="19">
        <v>9.98835725764516</v>
      </c>
      <c r="E100" s="20">
        <f t="shared" si="93"/>
        <v>16.8223410253333</v>
      </c>
      <c r="F100" s="16" t="s">
        <v>110</v>
      </c>
      <c r="G100" s="13">
        <v>11</v>
      </c>
      <c r="H100" s="18">
        <f t="shared" si="76"/>
        <v>9.98835725764516</v>
      </c>
      <c r="I100" s="18">
        <f t="shared" si="77"/>
        <v>283.138357257645</v>
      </c>
      <c r="J100" s="18">
        <f t="shared" si="78"/>
        <v>0.0612822611904073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0.835369321330387</v>
      </c>
      <c r="O100" s="18">
        <f t="shared" si="94"/>
        <v>0.32866680638581</v>
      </c>
      <c r="P100" s="18">
        <f t="shared" si="81"/>
        <v>0.0201414450735522</v>
      </c>
      <c r="Q100" s="24">
        <f t="shared" si="82"/>
        <v>0.00523677571912357</v>
      </c>
      <c r="R100" s="18">
        <f t="shared" si="83"/>
        <v>0.074022</v>
      </c>
      <c r="S100" s="25">
        <f t="shared" si="84"/>
        <v>0.0707462067915427</v>
      </c>
      <c r="T100" s="3">
        <v>0.01</v>
      </c>
      <c r="U100" s="26">
        <f t="shared" si="85"/>
        <v>0.000707462067915427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0.00619746206791543</v>
      </c>
      <c r="AU100" s="29">
        <f t="shared" si="89"/>
        <v>28.47</v>
      </c>
      <c r="AV100" s="1">
        <f t="shared" si="90"/>
        <v>0.26</v>
      </c>
      <c r="AW100" s="2">
        <f t="shared" si="95"/>
        <v>1.04024888732319</v>
      </c>
      <c r="AX100" s="1">
        <f t="shared" si="91"/>
        <v>319.732479100798</v>
      </c>
      <c r="AZ100" s="2">
        <f t="shared" si="96"/>
        <v>0.360480523401408</v>
      </c>
      <c r="BA100" s="1">
        <f t="shared" si="92"/>
        <v>110.797841573539</v>
      </c>
    </row>
    <row r="101" s="1" customFormat="1" spans="1:54">
      <c r="A101" s="13"/>
      <c r="B101" s="13"/>
      <c r="C101" s="16">
        <v>11</v>
      </c>
      <c r="D101" s="19">
        <v>2.45666729636667</v>
      </c>
      <c r="E101" s="20">
        <f t="shared" si="93"/>
        <v>9.98835725764516</v>
      </c>
      <c r="F101" s="16" t="s">
        <v>112</v>
      </c>
      <c r="G101" s="13">
        <v>12</v>
      </c>
      <c r="H101" s="18">
        <f t="shared" si="76"/>
        <v>2.45666729636667</v>
      </c>
      <c r="I101" s="18">
        <f t="shared" si="77"/>
        <v>275.606667296367</v>
      </c>
      <c r="J101" s="18">
        <f t="shared" si="78"/>
        <v>0.0239441571025223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0.593225361312257</v>
      </c>
      <c r="P101" s="18">
        <f t="shared" si="81"/>
        <v>0.0142042812484612</v>
      </c>
      <c r="Q101" s="24">
        <f t="shared" si="82"/>
        <v>0.00369311312459992</v>
      </c>
      <c r="R101" s="18">
        <f t="shared" si="83"/>
        <v>0.074022</v>
      </c>
      <c r="S101" s="25">
        <f t="shared" si="84"/>
        <v>0.0498921013293335</v>
      </c>
      <c r="T101" s="3">
        <v>0.01</v>
      </c>
      <c r="U101" s="26">
        <f t="shared" si="85"/>
        <v>0.000498921013293335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0.00598892101329333</v>
      </c>
      <c r="AU101" s="29">
        <f t="shared" si="89"/>
        <v>28.47</v>
      </c>
      <c r="AV101" s="1">
        <f t="shared" si="90"/>
        <v>0.26</v>
      </c>
      <c r="AW101" s="2">
        <f t="shared" si="95"/>
        <v>1.04024888732319</v>
      </c>
      <c r="AX101" s="1">
        <f t="shared" si="91"/>
        <v>308.973664015215</v>
      </c>
      <c r="AY101" s="1">
        <f>SUM(AX90:AX101)</f>
        <v>6077.52569100638</v>
      </c>
      <c r="AZ101" s="2">
        <f t="shared" si="96"/>
        <v>0.360480523401408</v>
      </c>
      <c r="BA101" s="1">
        <f t="shared" si="92"/>
        <v>107.069557563344</v>
      </c>
      <c r="BB101" s="1">
        <f>SUM(BA90:BA101)</f>
        <v>2106.06295164325</v>
      </c>
    </row>
    <row r="102" s="1" customFormat="1" spans="1:46">
      <c r="A102" s="13"/>
      <c r="B102" s="13"/>
      <c r="C102" s="16">
        <v>12</v>
      </c>
      <c r="D102" s="19">
        <v>-2.2120087616129</v>
      </c>
      <c r="E102" s="20">
        <f t="shared" si="93"/>
        <v>2.45666729636667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17"/>
  <sheetViews>
    <sheetView workbookViewId="0">
      <pane xSplit="4" topLeftCell="E1" activePane="topRight" state="frozen"/>
      <selection/>
      <selection pane="topRight"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10.1111111111111" style="1" customWidth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41</v>
      </c>
      <c r="B2" s="5" t="s">
        <v>42</v>
      </c>
      <c r="C2" s="3"/>
      <c r="D2" s="3"/>
      <c r="E2" s="6">
        <v>1017.63364135367</v>
      </c>
      <c r="F2" s="3">
        <v>759.42</v>
      </c>
      <c r="G2" s="21">
        <f>(F2+F3+F4)/3</f>
        <v>1282.9875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43</v>
      </c>
      <c r="C3" s="3"/>
      <c r="D3" s="3"/>
      <c r="E3" s="8"/>
      <c r="F3" s="3">
        <v>1433.9025</v>
      </c>
      <c r="G3" s="21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44</v>
      </c>
      <c r="C4" s="3"/>
      <c r="D4" s="3"/>
      <c r="E4" s="10"/>
      <c r="F4" s="3">
        <v>1655.64</v>
      </c>
      <c r="G4" s="21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 t="s">
        <v>45</v>
      </c>
      <c r="B5" s="5" t="s">
        <v>46</v>
      </c>
      <c r="C5" s="3"/>
      <c r="D5" s="3"/>
      <c r="E5" s="6">
        <v>10156.1217534247</v>
      </c>
      <c r="F5" s="3">
        <v>91.104</v>
      </c>
      <c r="G5" s="21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/>
      <c r="B6" s="5" t="s">
        <v>47</v>
      </c>
      <c r="C6" s="3"/>
      <c r="D6" s="3"/>
      <c r="E6" s="10"/>
      <c r="F6" s="3">
        <v>93.9145</v>
      </c>
      <c r="G6" s="21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 t="s">
        <v>48</v>
      </c>
      <c r="B7" s="5"/>
      <c r="C7" s="3"/>
      <c r="D7" s="3"/>
      <c r="E7" s="12">
        <v>1159.33545191724</v>
      </c>
      <c r="F7" s="3">
        <v>122.786</v>
      </c>
      <c r="G7" s="1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 t="s">
        <v>49</v>
      </c>
      <c r="B8" s="5"/>
      <c r="C8" s="3"/>
      <c r="D8" s="3"/>
      <c r="E8" s="12">
        <v>62.6932106949472</v>
      </c>
      <c r="F8" s="3">
        <v>625.464</v>
      </c>
      <c r="G8" s="1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50</v>
      </c>
      <c r="B9" s="5"/>
      <c r="C9" s="3"/>
      <c r="D9" s="3"/>
      <c r="E9" s="12">
        <v>81.2264109886607</v>
      </c>
      <c r="F9" s="3">
        <v>341.64</v>
      </c>
      <c r="G9" s="1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51</v>
      </c>
      <c r="B10" s="5"/>
      <c r="C10" s="3"/>
      <c r="D10" s="3"/>
      <c r="E10" s="12">
        <v>11.2470558092289</v>
      </c>
      <c r="F10" s="3">
        <v>341.64</v>
      </c>
      <c r="G10" s="1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52</v>
      </c>
      <c r="B11" s="5"/>
      <c r="C11" s="3"/>
      <c r="D11" s="3"/>
      <c r="E11" s="12">
        <v>16.6674265058414</v>
      </c>
      <c r="F11" s="3">
        <v>910.8575</v>
      </c>
      <c r="G11" s="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AV38+AV53+BB69+AY85+AY101+BB101+AY116+AG69</f>
        <v>37295720.1122259</v>
      </c>
      <c r="J14" s="14" t="s">
        <v>35</v>
      </c>
      <c r="K14" s="14">
        <f>I14/(10000*1000)</f>
        <v>3.72957201122259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38">
        <v>60500675.8458475</v>
      </c>
      <c r="J15" s="14" t="s">
        <v>35</v>
      </c>
      <c r="K15" s="14">
        <f>I15/(10000*1000)</f>
        <v>6.05006758458475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1282.9875</v>
      </c>
      <c r="C27" s="16" t="s">
        <v>109</v>
      </c>
      <c r="D27" s="17">
        <v>-17</v>
      </c>
      <c r="E27" s="16"/>
      <c r="F27" s="16"/>
      <c r="G27" s="13">
        <v>1</v>
      </c>
      <c r="H27" s="18">
        <f t="shared" ref="H27:H38" si="0">E28</f>
        <v>-17</v>
      </c>
      <c r="I27" s="18">
        <f t="shared" ref="I27:I38" si="1">H27+273.15</f>
        <v>256.15</v>
      </c>
      <c r="J27" s="18">
        <f t="shared" ref="J27:J38" si="2">EXP(($C$16*(I27-$C$14))/($C$17*I27*$C$14))</f>
        <v>0.0016359658543035</v>
      </c>
      <c r="K27" s="18">
        <f t="shared" ref="K27:K38" si="3">$B$27/12</f>
        <v>106.915625</v>
      </c>
      <c r="L27" s="18">
        <f t="shared" ref="L27:L38" si="4">K27*$B$28/100</f>
        <v>1.06915625</v>
      </c>
      <c r="M27" s="13" t="s">
        <v>110</v>
      </c>
      <c r="N27" s="13"/>
      <c r="O27" s="18">
        <f>L27</f>
        <v>1.06915625</v>
      </c>
      <c r="P27" s="18">
        <f t="shared" ref="P27:P38" si="5">O27*J27</f>
        <v>0.00174910311791518</v>
      </c>
      <c r="Q27" s="24">
        <f t="shared" ref="Q27:Q38" si="6">P27*$B$29</f>
        <v>0.000419784748299642</v>
      </c>
      <c r="R27" s="18">
        <f t="shared" ref="R27:R38" si="7">L27*$B$29</f>
        <v>0.2565975</v>
      </c>
      <c r="S27" s="25">
        <f t="shared" ref="S27:S38" si="8">Q27/R27</f>
        <v>0.0016359658543035</v>
      </c>
      <c r="T27" s="3">
        <v>0.01</v>
      </c>
      <c r="U27" s="26">
        <f t="shared" ref="U27:U38" si="9">S27*T27</f>
        <v>1.6359658543035e-5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0.021916359658543</v>
      </c>
      <c r="AR27" s="29">
        <f t="shared" ref="AR27:AR38" si="15">$B$27/12</f>
        <v>106.915625</v>
      </c>
      <c r="AS27" s="1">
        <f t="shared" ref="AS27:AS38" si="16">$B$29</f>
        <v>0.24</v>
      </c>
      <c r="AT27" s="2">
        <f>$E$2/12</f>
        <v>84.8028034461392</v>
      </c>
      <c r="AU27" s="1">
        <f t="shared" ref="AU27:AU38" si="17">AT27*10000*AS27*0.67*AR27*AQ27</f>
        <v>319525.741880681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-18.5473705283871</v>
      </c>
      <c r="E28" s="20">
        <f t="shared" ref="E28:E39" si="18">D27</f>
        <v>-17</v>
      </c>
      <c r="F28" s="16" t="s">
        <v>110</v>
      </c>
      <c r="G28" s="13">
        <v>2</v>
      </c>
      <c r="H28" s="18">
        <f t="shared" si="0"/>
        <v>-18.5473705283871</v>
      </c>
      <c r="I28" s="18">
        <f t="shared" si="1"/>
        <v>254.602629471613</v>
      </c>
      <c r="J28" s="18">
        <f t="shared" si="2"/>
        <v>0.00129850244073829</v>
      </c>
      <c r="K28" s="18">
        <f t="shared" si="3"/>
        <v>106.915625</v>
      </c>
      <c r="L28" s="18">
        <f t="shared" si="4"/>
        <v>1.06915625</v>
      </c>
      <c r="M28" s="13" t="s">
        <v>110</v>
      </c>
      <c r="N28" s="13"/>
      <c r="O28" s="18">
        <f t="shared" ref="O28:O38" si="19">L28+O27-P27-N28</f>
        <v>2.13656339688208</v>
      </c>
      <c r="P28" s="18">
        <f t="shared" si="5"/>
        <v>0.00277433278564348</v>
      </c>
      <c r="Q28" s="24">
        <f t="shared" si="6"/>
        <v>0.000665839868554435</v>
      </c>
      <c r="R28" s="18">
        <f t="shared" si="7"/>
        <v>0.2565975</v>
      </c>
      <c r="S28" s="25">
        <f t="shared" si="8"/>
        <v>0.0025948805758218</v>
      </c>
      <c r="T28" s="3">
        <v>0.01</v>
      </c>
      <c r="U28" s="26">
        <f t="shared" si="9"/>
        <v>2.5948805758218e-5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0.0219259488057582</v>
      </c>
      <c r="AR28" s="29">
        <f t="shared" si="15"/>
        <v>106.915625</v>
      </c>
      <c r="AS28" s="1">
        <f t="shared" si="16"/>
        <v>0.24</v>
      </c>
      <c r="AT28" s="2">
        <f t="shared" ref="AT28:AT38" si="20">$E$2/12</f>
        <v>84.8028034461392</v>
      </c>
      <c r="AU28" s="1">
        <f t="shared" si="17"/>
        <v>319665.54517948</v>
      </c>
    </row>
    <row r="29" s="1" customFormat="1" spans="1:47">
      <c r="A29" s="13" t="s">
        <v>73</v>
      </c>
      <c r="B29" s="13">
        <v>0.24</v>
      </c>
      <c r="C29" s="16">
        <v>2</v>
      </c>
      <c r="D29" s="19">
        <v>-11.6159677528276</v>
      </c>
      <c r="E29" s="20">
        <f t="shared" si="18"/>
        <v>-18.5473705283871</v>
      </c>
      <c r="F29" s="16" t="s">
        <v>110</v>
      </c>
      <c r="G29" s="13">
        <v>3</v>
      </c>
      <c r="H29" s="18">
        <f t="shared" si="0"/>
        <v>-11.6159677528276</v>
      </c>
      <c r="I29" s="18">
        <f t="shared" si="1"/>
        <v>261.534032247172</v>
      </c>
      <c r="J29" s="18">
        <f t="shared" si="2"/>
        <v>0.00357785370842062</v>
      </c>
      <c r="K29" s="18">
        <f t="shared" si="3"/>
        <v>106.915625</v>
      </c>
      <c r="L29" s="18">
        <f t="shared" si="4"/>
        <v>1.06915625</v>
      </c>
      <c r="M29" s="13" t="s">
        <v>110</v>
      </c>
      <c r="N29" s="13"/>
      <c r="O29" s="18">
        <f t="shared" si="19"/>
        <v>3.20294531409644</v>
      </c>
      <c r="P29" s="18">
        <f t="shared" si="5"/>
        <v>0.0114596697699084</v>
      </c>
      <c r="Q29" s="24">
        <f t="shared" si="6"/>
        <v>0.00275032074477802</v>
      </c>
      <c r="R29" s="18">
        <f t="shared" si="7"/>
        <v>0.2565975</v>
      </c>
      <c r="S29" s="25">
        <f t="shared" si="8"/>
        <v>0.0107184237756721</v>
      </c>
      <c r="T29" s="3">
        <v>0.01</v>
      </c>
      <c r="U29" s="26">
        <f t="shared" si="9"/>
        <v>0.000107184237756721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0.0220071842377567</v>
      </c>
      <c r="AR29" s="29">
        <f t="shared" si="15"/>
        <v>106.915625</v>
      </c>
      <c r="AS29" s="1">
        <f t="shared" si="16"/>
        <v>0.24</v>
      </c>
      <c r="AT29" s="2">
        <f t="shared" si="20"/>
        <v>84.8028034461392</v>
      </c>
      <c r="AU29" s="1">
        <f t="shared" si="17"/>
        <v>320849.902987106</v>
      </c>
    </row>
    <row r="30" s="1" customFormat="1" spans="1:47">
      <c r="A30" s="13"/>
      <c r="B30" s="13"/>
      <c r="C30" s="16">
        <v>3</v>
      </c>
      <c r="D30" s="19">
        <v>-0.51774251516129</v>
      </c>
      <c r="E30" s="20">
        <f t="shared" si="18"/>
        <v>-11.6159677528276</v>
      </c>
      <c r="F30" s="16" t="s">
        <v>110</v>
      </c>
      <c r="G30" s="13">
        <v>4</v>
      </c>
      <c r="H30" s="18">
        <f t="shared" si="0"/>
        <v>-0.51774251516129</v>
      </c>
      <c r="I30" s="18">
        <f t="shared" si="1"/>
        <v>272.632257484839</v>
      </c>
      <c r="J30" s="18">
        <f t="shared" si="2"/>
        <v>0.016285753336736</v>
      </c>
      <c r="K30" s="18">
        <f t="shared" si="3"/>
        <v>106.915625</v>
      </c>
      <c r="L30" s="18">
        <f t="shared" si="4"/>
        <v>1.06915625</v>
      </c>
      <c r="M30" s="13" t="s">
        <v>110</v>
      </c>
      <c r="N30" s="13"/>
      <c r="O30" s="18">
        <f t="shared" si="19"/>
        <v>4.26064189432653</v>
      </c>
      <c r="P30" s="18">
        <f t="shared" si="5"/>
        <v>0.0693877629471655</v>
      </c>
      <c r="Q30" s="24">
        <f t="shared" si="6"/>
        <v>0.0166530631073197</v>
      </c>
      <c r="R30" s="18">
        <f t="shared" si="7"/>
        <v>0.2565975</v>
      </c>
      <c r="S30" s="25">
        <f t="shared" si="8"/>
        <v>0.0648995532198082</v>
      </c>
      <c r="T30" s="3">
        <v>0.01</v>
      </c>
      <c r="U30" s="26">
        <f t="shared" si="9"/>
        <v>0.000648995532198082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0.0225489955321981</v>
      </c>
      <c r="AR30" s="29">
        <f t="shared" si="15"/>
        <v>106.915625</v>
      </c>
      <c r="AS30" s="1">
        <f t="shared" si="16"/>
        <v>0.24</v>
      </c>
      <c r="AT30" s="2">
        <f t="shared" si="20"/>
        <v>84.8028034461392</v>
      </c>
      <c r="AU30" s="1">
        <f t="shared" si="17"/>
        <v>328749.146224256</v>
      </c>
    </row>
    <row r="31" s="1" customFormat="1" spans="1:47">
      <c r="A31" s="13"/>
      <c r="B31" s="13"/>
      <c r="C31" s="16">
        <v>4</v>
      </c>
      <c r="D31" s="19">
        <v>7.94169272153333</v>
      </c>
      <c r="E31" s="20">
        <f t="shared" si="18"/>
        <v>-0.51774251516129</v>
      </c>
      <c r="F31" s="16" t="s">
        <v>110</v>
      </c>
      <c r="G31" s="13">
        <v>5</v>
      </c>
      <c r="H31" s="18">
        <f t="shared" si="0"/>
        <v>7.94169272153333</v>
      </c>
      <c r="I31" s="18">
        <f t="shared" si="1"/>
        <v>281.091692721533</v>
      </c>
      <c r="J31" s="18">
        <f t="shared" si="2"/>
        <v>0.0477080981654761</v>
      </c>
      <c r="K31" s="18">
        <f t="shared" si="3"/>
        <v>106.915625</v>
      </c>
      <c r="L31" s="18">
        <f t="shared" si="4"/>
        <v>1.06915625</v>
      </c>
      <c r="M31" s="13" t="s">
        <v>112</v>
      </c>
      <c r="N31" s="18">
        <f>(O30-P30)*C22/100</f>
        <v>3.9816914248104</v>
      </c>
      <c r="O31" s="18">
        <f t="shared" si="19"/>
        <v>1.27871895656897</v>
      </c>
      <c r="P31" s="18">
        <f t="shared" si="5"/>
        <v>0.0610052495060475</v>
      </c>
      <c r="Q31" s="24">
        <f t="shared" si="6"/>
        <v>0.0146412598814514</v>
      </c>
      <c r="R31" s="18">
        <f t="shared" si="7"/>
        <v>0.2565975</v>
      </c>
      <c r="S31" s="25">
        <f t="shared" si="8"/>
        <v>0.057059246023252</v>
      </c>
      <c r="T31" s="3">
        <v>0.01</v>
      </c>
      <c r="U31" s="26">
        <f t="shared" si="9"/>
        <v>0.00057059246023252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0.0300205924602325</v>
      </c>
      <c r="AR31" s="29">
        <f t="shared" si="15"/>
        <v>106.915625</v>
      </c>
      <c r="AS31" s="1">
        <f t="shared" si="16"/>
        <v>0.24</v>
      </c>
      <c r="AT31" s="2">
        <f t="shared" si="20"/>
        <v>84.8028034461392</v>
      </c>
      <c r="AU31" s="1">
        <f t="shared" si="17"/>
        <v>437679.990062321</v>
      </c>
    </row>
    <row r="32" s="1" customFormat="1" spans="1:47">
      <c r="A32" s="13"/>
      <c r="B32" s="13"/>
      <c r="C32" s="16">
        <v>5</v>
      </c>
      <c r="D32" s="19">
        <v>14.342813444129</v>
      </c>
      <c r="E32" s="20">
        <f t="shared" si="18"/>
        <v>7.94169272153333</v>
      </c>
      <c r="F32" s="16" t="s">
        <v>112</v>
      </c>
      <c r="G32" s="13">
        <v>6</v>
      </c>
      <c r="H32" s="18">
        <f t="shared" si="0"/>
        <v>14.342813444129</v>
      </c>
      <c r="I32" s="18">
        <f t="shared" si="1"/>
        <v>287.492813444129</v>
      </c>
      <c r="J32" s="18">
        <f t="shared" si="2"/>
        <v>0.103167512344939</v>
      </c>
      <c r="K32" s="18">
        <f t="shared" si="3"/>
        <v>106.915625</v>
      </c>
      <c r="L32" s="18">
        <f t="shared" si="4"/>
        <v>1.06915625</v>
      </c>
      <c r="M32" s="13" t="s">
        <v>110</v>
      </c>
      <c r="N32" s="13"/>
      <c r="O32" s="18">
        <f t="shared" si="19"/>
        <v>2.28686995706292</v>
      </c>
      <c r="P32" s="18">
        <f t="shared" si="5"/>
        <v>0.235930684526559</v>
      </c>
      <c r="Q32" s="24">
        <f t="shared" si="6"/>
        <v>0.0566233642863741</v>
      </c>
      <c r="R32" s="18">
        <f t="shared" si="7"/>
        <v>0.2565975</v>
      </c>
      <c r="S32" s="25">
        <f t="shared" si="8"/>
        <v>0.220669976466544</v>
      </c>
      <c r="T32" s="3">
        <v>0.01</v>
      </c>
      <c r="U32" s="26">
        <f t="shared" si="9"/>
        <v>0.00220669976466545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0.0316566997646654</v>
      </c>
      <c r="AR32" s="29">
        <f t="shared" si="15"/>
        <v>106.915625</v>
      </c>
      <c r="AS32" s="1">
        <f t="shared" si="16"/>
        <v>0.24</v>
      </c>
      <c r="AT32" s="2">
        <f t="shared" si="20"/>
        <v>84.8028034461392</v>
      </c>
      <c r="AU32" s="1">
        <f t="shared" si="17"/>
        <v>461533.331054631</v>
      </c>
    </row>
    <row r="33" s="1" customFormat="1" spans="1:47">
      <c r="A33" s="13"/>
      <c r="B33" s="13"/>
      <c r="C33" s="16">
        <v>6</v>
      </c>
      <c r="D33" s="19">
        <v>19.2180224373333</v>
      </c>
      <c r="E33" s="20">
        <f t="shared" si="18"/>
        <v>14.342813444129</v>
      </c>
      <c r="F33" s="16" t="s">
        <v>110</v>
      </c>
      <c r="G33" s="13">
        <v>7</v>
      </c>
      <c r="H33" s="18">
        <f t="shared" si="0"/>
        <v>19.2180224373333</v>
      </c>
      <c r="I33" s="18">
        <f t="shared" si="1"/>
        <v>292.368022437333</v>
      </c>
      <c r="J33" s="18">
        <f t="shared" si="2"/>
        <v>0.18147150948071</v>
      </c>
      <c r="K33" s="18">
        <f t="shared" si="3"/>
        <v>106.915625</v>
      </c>
      <c r="L33" s="18">
        <f t="shared" si="4"/>
        <v>1.06915625</v>
      </c>
      <c r="M33" s="13" t="s">
        <v>110</v>
      </c>
      <c r="N33" s="13"/>
      <c r="O33" s="18">
        <f t="shared" si="19"/>
        <v>3.12009552253636</v>
      </c>
      <c r="P33" s="18">
        <f t="shared" si="5"/>
        <v>0.566208444198678</v>
      </c>
      <c r="Q33" s="24">
        <f t="shared" si="6"/>
        <v>0.135890026607683</v>
      </c>
      <c r="R33" s="18">
        <f t="shared" si="7"/>
        <v>0.2565975</v>
      </c>
      <c r="S33" s="25">
        <f t="shared" si="8"/>
        <v>0.529584374780279</v>
      </c>
      <c r="T33" s="3">
        <v>0.01</v>
      </c>
      <c r="U33" s="26">
        <f t="shared" si="9"/>
        <v>0.00529584374780279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0.0347458437478028</v>
      </c>
      <c r="AR33" s="29">
        <f t="shared" si="15"/>
        <v>106.915625</v>
      </c>
      <c r="AS33" s="1">
        <f t="shared" si="16"/>
        <v>0.24</v>
      </c>
      <c r="AT33" s="2">
        <f t="shared" si="20"/>
        <v>84.8028034461392</v>
      </c>
      <c r="AU33" s="1">
        <f t="shared" si="17"/>
        <v>506570.96679189</v>
      </c>
    </row>
    <row r="34" s="1" customFormat="1" spans="1:47">
      <c r="A34" s="13"/>
      <c r="B34" s="13"/>
      <c r="C34" s="16">
        <v>7</v>
      </c>
      <c r="D34" s="19">
        <v>23.4682770458064</v>
      </c>
      <c r="E34" s="20">
        <f t="shared" si="18"/>
        <v>19.2180224373333</v>
      </c>
      <c r="F34" s="16" t="s">
        <v>110</v>
      </c>
      <c r="G34" s="13">
        <v>8</v>
      </c>
      <c r="H34" s="18">
        <f t="shared" si="0"/>
        <v>23.4682770458064</v>
      </c>
      <c r="I34" s="18">
        <f t="shared" si="1"/>
        <v>296.618277045806</v>
      </c>
      <c r="J34" s="18">
        <f t="shared" si="2"/>
        <v>0.292452252498342</v>
      </c>
      <c r="K34" s="18">
        <f t="shared" si="3"/>
        <v>106.915625</v>
      </c>
      <c r="L34" s="18">
        <f t="shared" si="4"/>
        <v>1.06915625</v>
      </c>
      <c r="M34" s="13" t="s">
        <v>110</v>
      </c>
      <c r="N34" s="13"/>
      <c r="O34" s="18">
        <f t="shared" si="19"/>
        <v>3.62304332833768</v>
      </c>
      <c r="P34" s="18">
        <f t="shared" si="5"/>
        <v>1.05956718227145</v>
      </c>
      <c r="Q34" s="24">
        <f t="shared" si="6"/>
        <v>0.254296123745147</v>
      </c>
      <c r="R34" s="18">
        <f t="shared" si="7"/>
        <v>0.2565975</v>
      </c>
      <c r="S34" s="25">
        <f t="shared" si="8"/>
        <v>0.991031182085355</v>
      </c>
      <c r="T34" s="3">
        <v>0.01</v>
      </c>
      <c r="U34" s="26">
        <f t="shared" si="9"/>
        <v>0.00991031182085355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0.0393603118208535</v>
      </c>
      <c r="AR34" s="29">
        <f t="shared" si="15"/>
        <v>106.915625</v>
      </c>
      <c r="AS34" s="1">
        <f t="shared" si="16"/>
        <v>0.24</v>
      </c>
      <c r="AT34" s="2">
        <f t="shared" si="20"/>
        <v>84.8028034461392</v>
      </c>
      <c r="AU34" s="1">
        <f t="shared" si="17"/>
        <v>573846.798973788</v>
      </c>
    </row>
    <row r="35" s="1" customFormat="1" spans="1:47">
      <c r="A35" s="13"/>
      <c r="B35" s="13"/>
      <c r="C35" s="16">
        <v>8</v>
      </c>
      <c r="D35" s="19">
        <v>21.5068787580645</v>
      </c>
      <c r="E35" s="20">
        <f t="shared" si="18"/>
        <v>23.4682770458064</v>
      </c>
      <c r="F35" s="16" t="s">
        <v>110</v>
      </c>
      <c r="G35" s="13">
        <v>9</v>
      </c>
      <c r="H35" s="18">
        <f t="shared" si="0"/>
        <v>21.5068787580645</v>
      </c>
      <c r="I35" s="18">
        <f t="shared" si="1"/>
        <v>294.656878758064</v>
      </c>
      <c r="J35" s="18">
        <f t="shared" si="2"/>
        <v>0.235048894383118</v>
      </c>
      <c r="K35" s="18">
        <f t="shared" si="3"/>
        <v>106.915625</v>
      </c>
      <c r="L35" s="18">
        <f t="shared" si="4"/>
        <v>1.06915625</v>
      </c>
      <c r="M35" s="13" t="s">
        <v>110</v>
      </c>
      <c r="N35" s="13"/>
      <c r="O35" s="18">
        <f t="shared" si="19"/>
        <v>3.63263239606624</v>
      </c>
      <c r="P35" s="18">
        <f t="shared" si="5"/>
        <v>0.853846228395666</v>
      </c>
      <c r="Q35" s="24">
        <f t="shared" si="6"/>
        <v>0.20492309481496</v>
      </c>
      <c r="R35" s="18">
        <f t="shared" si="7"/>
        <v>0.2565975</v>
      </c>
      <c r="S35" s="25">
        <f t="shared" si="8"/>
        <v>0.798616879801868</v>
      </c>
      <c r="T35" s="3">
        <v>0.01</v>
      </c>
      <c r="U35" s="26">
        <f t="shared" si="9"/>
        <v>0.00798616879801868</v>
      </c>
      <c r="V35" s="25"/>
      <c r="W35" s="3"/>
      <c r="X35" s="26"/>
      <c r="Y35" s="28">
        <v>0.02</v>
      </c>
      <c r="Z35" s="3">
        <v>0.21</v>
      </c>
      <c r="AA35" s="27">
        <f t="shared" si="10"/>
        <v>0.0042</v>
      </c>
      <c r="AB35" s="3">
        <v>0.01</v>
      </c>
      <c r="AC35" s="3">
        <v>0.29</v>
      </c>
      <c r="AD35" s="27">
        <f t="shared" si="11"/>
        <v>0.0029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0.0298861687980187</v>
      </c>
      <c r="AR35" s="29">
        <f t="shared" si="15"/>
        <v>106.915625</v>
      </c>
      <c r="AS35" s="1">
        <f t="shared" si="16"/>
        <v>0.24</v>
      </c>
      <c r="AT35" s="2">
        <f t="shared" si="20"/>
        <v>84.8028034461392</v>
      </c>
      <c r="AU35" s="1">
        <f t="shared" si="17"/>
        <v>435720.183732056</v>
      </c>
    </row>
    <row r="36" s="1" customFormat="1" spans="1:47">
      <c r="A36" s="13"/>
      <c r="B36" s="13"/>
      <c r="C36" s="16">
        <v>9</v>
      </c>
      <c r="D36" s="19">
        <v>14.8985685176</v>
      </c>
      <c r="E36" s="20">
        <f t="shared" si="18"/>
        <v>21.5068787580645</v>
      </c>
      <c r="F36" s="16" t="s">
        <v>110</v>
      </c>
      <c r="G36" s="13">
        <v>10</v>
      </c>
      <c r="H36" s="18">
        <f t="shared" si="0"/>
        <v>14.8985685176</v>
      </c>
      <c r="I36" s="18">
        <f t="shared" si="1"/>
        <v>288.0485685176</v>
      </c>
      <c r="J36" s="18">
        <f t="shared" si="2"/>
        <v>0.110134034173835</v>
      </c>
      <c r="K36" s="18">
        <f t="shared" si="3"/>
        <v>106.915625</v>
      </c>
      <c r="L36" s="18">
        <f t="shared" si="4"/>
        <v>1.06915625</v>
      </c>
      <c r="M36" s="13" t="s">
        <v>110</v>
      </c>
      <c r="N36" s="13"/>
      <c r="O36" s="18">
        <f t="shared" si="19"/>
        <v>3.84794241767057</v>
      </c>
      <c r="P36" s="18">
        <f t="shared" si="5"/>
        <v>0.42378942172668</v>
      </c>
      <c r="Q36" s="24">
        <f t="shared" si="6"/>
        <v>0.101709461214403</v>
      </c>
      <c r="R36" s="18">
        <f t="shared" si="7"/>
        <v>0.2565975</v>
      </c>
      <c r="S36" s="25">
        <f t="shared" si="8"/>
        <v>0.396377444107613</v>
      </c>
      <c r="T36" s="3">
        <v>0.01</v>
      </c>
      <c r="U36" s="26">
        <f t="shared" si="9"/>
        <v>0.00396377444107613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0.0258637744410761</v>
      </c>
      <c r="AR36" s="29">
        <f t="shared" si="15"/>
        <v>106.915625</v>
      </c>
      <c r="AS36" s="1">
        <f t="shared" si="16"/>
        <v>0.24</v>
      </c>
      <c r="AT36" s="2">
        <f t="shared" si="20"/>
        <v>84.8028034461392</v>
      </c>
      <c r="AU36" s="1">
        <f t="shared" si="17"/>
        <v>377076.386994684</v>
      </c>
    </row>
    <row r="37" s="1" customFormat="1" spans="1:47">
      <c r="A37" s="13"/>
      <c r="B37" s="13"/>
      <c r="C37" s="16">
        <v>10</v>
      </c>
      <c r="D37" s="19">
        <v>3.62459868303226</v>
      </c>
      <c r="E37" s="20">
        <f t="shared" si="18"/>
        <v>14.8985685176</v>
      </c>
      <c r="F37" s="16" t="s">
        <v>110</v>
      </c>
      <c r="G37" s="13">
        <v>11</v>
      </c>
      <c r="H37" s="18">
        <f t="shared" si="0"/>
        <v>3.62459868303226</v>
      </c>
      <c r="I37" s="18">
        <f t="shared" si="1"/>
        <v>276.774598683032</v>
      </c>
      <c r="J37" s="18">
        <f t="shared" si="2"/>
        <v>0.0277935384318113</v>
      </c>
      <c r="K37" s="18">
        <f t="shared" si="3"/>
        <v>106.915625</v>
      </c>
      <c r="L37" s="18">
        <f t="shared" si="4"/>
        <v>1.06915625</v>
      </c>
      <c r="M37" s="13" t="s">
        <v>112</v>
      </c>
      <c r="N37" s="18">
        <f>(O36-P36)*C22/100</f>
        <v>3.2529453461467</v>
      </c>
      <c r="O37" s="18">
        <f t="shared" si="19"/>
        <v>1.24036389979719</v>
      </c>
      <c r="P37" s="18">
        <f t="shared" si="5"/>
        <v>0.0344741017184447</v>
      </c>
      <c r="Q37" s="24">
        <f t="shared" si="6"/>
        <v>0.00827378441242672</v>
      </c>
      <c r="R37" s="18">
        <f t="shared" si="7"/>
        <v>0.2565975</v>
      </c>
      <c r="S37" s="25">
        <f t="shared" si="8"/>
        <v>0.0322442128720144</v>
      </c>
      <c r="T37" s="3">
        <v>0.01</v>
      </c>
      <c r="U37" s="26">
        <f t="shared" si="9"/>
        <v>0.000322442128720144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0.0222224421287201</v>
      </c>
      <c r="AR37" s="29">
        <f t="shared" si="15"/>
        <v>106.915625</v>
      </c>
      <c r="AS37" s="1">
        <f t="shared" si="16"/>
        <v>0.24</v>
      </c>
      <c r="AT37" s="2">
        <f t="shared" si="20"/>
        <v>84.8028034461392</v>
      </c>
      <c r="AU37" s="1">
        <f t="shared" si="17"/>
        <v>323988.217852227</v>
      </c>
    </row>
    <row r="38" s="1" customFormat="1" spans="1:48">
      <c r="A38" s="13"/>
      <c r="B38" s="13"/>
      <c r="C38" s="16">
        <v>11</v>
      </c>
      <c r="D38" s="19">
        <v>-7.02813963433333</v>
      </c>
      <c r="E38" s="20">
        <f t="shared" si="18"/>
        <v>3.62459868303226</v>
      </c>
      <c r="F38" s="16" t="s">
        <v>112</v>
      </c>
      <c r="G38" s="13">
        <v>12</v>
      </c>
      <c r="H38" s="18">
        <f t="shared" si="0"/>
        <v>-7.02813963433333</v>
      </c>
      <c r="I38" s="18">
        <f t="shared" si="1"/>
        <v>266.121860365667</v>
      </c>
      <c r="J38" s="18">
        <f t="shared" si="2"/>
        <v>0.00679770070290697</v>
      </c>
      <c r="K38" s="18">
        <f t="shared" si="3"/>
        <v>106.915625</v>
      </c>
      <c r="L38" s="18">
        <f t="shared" si="4"/>
        <v>1.06915625</v>
      </c>
      <c r="M38" s="13" t="s">
        <v>110</v>
      </c>
      <c r="N38" s="13"/>
      <c r="O38" s="18">
        <f t="shared" si="19"/>
        <v>2.27504604807875</v>
      </c>
      <c r="P38" s="18">
        <f t="shared" si="5"/>
        <v>0.0154650821201706</v>
      </c>
      <c r="Q38" s="24">
        <f t="shared" si="6"/>
        <v>0.00371161970884095</v>
      </c>
      <c r="R38" s="18">
        <f t="shared" si="7"/>
        <v>0.2565975</v>
      </c>
      <c r="S38" s="25">
        <f t="shared" si="8"/>
        <v>0.0144647539778874</v>
      </c>
      <c r="T38" s="3">
        <v>0.01</v>
      </c>
      <c r="U38" s="26">
        <f t="shared" si="9"/>
        <v>0.000144647539778874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0.0220446475397789</v>
      </c>
      <c r="AR38" s="29">
        <f t="shared" si="15"/>
        <v>106.915625</v>
      </c>
      <c r="AS38" s="1">
        <f t="shared" si="16"/>
        <v>0.24</v>
      </c>
      <c r="AT38" s="2">
        <f t="shared" si="20"/>
        <v>84.8028034461392</v>
      </c>
      <c r="AU38" s="1">
        <f t="shared" si="17"/>
        <v>321396.092662692</v>
      </c>
      <c r="AV38" s="1">
        <f>SUM(AU27:AU38)</f>
        <v>4726602.30439581</v>
      </c>
    </row>
    <row r="39" s="1" customFormat="1" spans="1:46">
      <c r="A39" s="13"/>
      <c r="B39" s="13"/>
      <c r="C39" s="16">
        <v>12</v>
      </c>
      <c r="D39" s="19">
        <v>-11.2300724427742</v>
      </c>
      <c r="E39" s="20">
        <f t="shared" si="18"/>
        <v>-7.02813963433333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-17</v>
      </c>
      <c r="E42" s="16"/>
      <c r="F42" s="16"/>
      <c r="G42" s="13">
        <v>1</v>
      </c>
      <c r="H42" s="18">
        <f t="shared" ref="H42:H53" si="21">E43</f>
        <v>-17</v>
      </c>
      <c r="I42" s="18">
        <f t="shared" ref="I42:I53" si="22">H42+273.15</f>
        <v>256.15</v>
      </c>
      <c r="J42" s="18">
        <f t="shared" ref="J42:J53" si="23">EXP(($C$16*(I42-$C$14))/($C$17*I42*$C$14))</f>
        <v>0.0016359658543035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0.000126118311839355</v>
      </c>
      <c r="Q42" s="24">
        <f t="shared" ref="Q42:Q53" si="27">P42*$B$44</f>
        <v>2.27012961310839e-5</v>
      </c>
      <c r="R42" s="18">
        <f t="shared" ref="R42:R53" si="28">L42*$B$44</f>
        <v>0.0138763875</v>
      </c>
      <c r="S42" s="25">
        <f t="shared" ref="S42:S53" si="29">Q42/R42</f>
        <v>0.0016359658543035</v>
      </c>
      <c r="T42" s="3">
        <v>0.01</v>
      </c>
      <c r="U42" s="26">
        <f t="shared" ref="U42:U53" si="30">S42*T42</f>
        <v>1.6359658543035e-5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0.014816359658543</v>
      </c>
      <c r="AR42" s="29">
        <f t="shared" ref="AR42:AR53" si="34">$B$42/12</f>
        <v>7.70910416666667</v>
      </c>
      <c r="AS42" s="1">
        <f t="shared" ref="AS42:AS53" si="35">$B$44</f>
        <v>0.18</v>
      </c>
      <c r="AT42" s="2">
        <f>$E$5/12</f>
        <v>846.343479452058</v>
      </c>
      <c r="AU42" s="1">
        <f t="shared" ref="AU42:AU53" si="36">AT42*10000*AS42*0.67*AR42*AQ42</f>
        <v>116584.116552619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-18.5473705283871</v>
      </c>
      <c r="E43" s="20">
        <f t="shared" ref="E43:E54" si="37">D42</f>
        <v>-17</v>
      </c>
      <c r="F43" s="16" t="s">
        <v>110</v>
      </c>
      <c r="G43" s="13">
        <v>2</v>
      </c>
      <c r="H43" s="18">
        <f t="shared" si="21"/>
        <v>-18.5473705283871</v>
      </c>
      <c r="I43" s="18">
        <f t="shared" si="22"/>
        <v>254.602629471613</v>
      </c>
      <c r="J43" s="18">
        <f t="shared" si="23"/>
        <v>0.00129850244073829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0.154055965021494</v>
      </c>
      <c r="P43" s="18">
        <f t="shared" si="26"/>
        <v>0.000200042046590703</v>
      </c>
      <c r="Q43" s="24">
        <f t="shared" si="27"/>
        <v>3.60075683863265e-5</v>
      </c>
      <c r="R43" s="18">
        <f t="shared" si="28"/>
        <v>0.0138763875</v>
      </c>
      <c r="S43" s="25">
        <f t="shared" si="29"/>
        <v>0.0025948805758218</v>
      </c>
      <c r="T43" s="3">
        <v>0.01</v>
      </c>
      <c r="U43" s="26">
        <f t="shared" si="30"/>
        <v>2.5948805758218e-5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0.0148259488057582</v>
      </c>
      <c r="AR43" s="29">
        <f t="shared" si="34"/>
        <v>7.70910416666667</v>
      </c>
      <c r="AS43" s="1">
        <f t="shared" si="35"/>
        <v>0.18</v>
      </c>
      <c r="AT43" s="2">
        <f t="shared" ref="AT43:AT53" si="39">$E$5/12</f>
        <v>846.343479452058</v>
      </c>
      <c r="AU43" s="1">
        <f t="shared" si="36"/>
        <v>116659.569786905</v>
      </c>
    </row>
    <row r="44" s="1" customFormat="1" spans="1:47">
      <c r="A44" s="13" t="s">
        <v>73</v>
      </c>
      <c r="B44" s="13">
        <v>0.18</v>
      </c>
      <c r="C44" s="16">
        <v>2</v>
      </c>
      <c r="D44" s="19">
        <v>-11.6159677528276</v>
      </c>
      <c r="E44" s="20">
        <f t="shared" si="37"/>
        <v>-18.5473705283871</v>
      </c>
      <c r="F44" s="16" t="s">
        <v>110</v>
      </c>
      <c r="G44" s="13">
        <v>3</v>
      </c>
      <c r="H44" s="18">
        <f t="shared" si="21"/>
        <v>-11.6159677528276</v>
      </c>
      <c r="I44" s="18">
        <f t="shared" si="22"/>
        <v>261.534032247172</v>
      </c>
      <c r="J44" s="18">
        <f t="shared" si="23"/>
        <v>0.00357785370842062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0.23094696464157</v>
      </c>
      <c r="P44" s="18">
        <f t="shared" si="26"/>
        <v>0.000826294453891327</v>
      </c>
      <c r="Q44" s="24">
        <f t="shared" si="27"/>
        <v>0.000148733001700439</v>
      </c>
      <c r="R44" s="18">
        <f t="shared" si="28"/>
        <v>0.0138763875</v>
      </c>
      <c r="S44" s="25">
        <f t="shared" si="29"/>
        <v>0.0107184237756721</v>
      </c>
      <c r="T44" s="3">
        <v>0.01</v>
      </c>
      <c r="U44" s="26">
        <f t="shared" si="30"/>
        <v>0.000107184237756721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0.0149071842377567</v>
      </c>
      <c r="AR44" s="29">
        <f t="shared" si="34"/>
        <v>7.70910416666667</v>
      </c>
      <c r="AS44" s="1">
        <f t="shared" si="35"/>
        <v>0.18</v>
      </c>
      <c r="AT44" s="2">
        <f t="shared" si="39"/>
        <v>846.343479452058</v>
      </c>
      <c r="AU44" s="1">
        <f t="shared" si="36"/>
        <v>117298.779504446</v>
      </c>
    </row>
    <row r="45" s="1" customFormat="1" spans="1:47">
      <c r="A45" s="13"/>
      <c r="B45" s="13"/>
      <c r="C45" s="16">
        <v>3</v>
      </c>
      <c r="D45" s="19">
        <v>-0.51774251516129</v>
      </c>
      <c r="E45" s="20">
        <f t="shared" si="37"/>
        <v>-11.6159677528276</v>
      </c>
      <c r="F45" s="16" t="s">
        <v>110</v>
      </c>
      <c r="G45" s="13">
        <v>4</v>
      </c>
      <c r="H45" s="18">
        <f t="shared" si="21"/>
        <v>-0.51774251516129</v>
      </c>
      <c r="I45" s="18">
        <f t="shared" si="22"/>
        <v>272.632257484839</v>
      </c>
      <c r="J45" s="18">
        <f t="shared" si="23"/>
        <v>0.016285753336736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0.307211711854345</v>
      </c>
      <c r="P45" s="18">
        <f t="shared" si="26"/>
        <v>0.00500317416141628</v>
      </c>
      <c r="Q45" s="24">
        <f t="shared" si="27"/>
        <v>0.000900571349054931</v>
      </c>
      <c r="R45" s="18">
        <f t="shared" si="28"/>
        <v>0.0138763875</v>
      </c>
      <c r="S45" s="25">
        <f t="shared" si="29"/>
        <v>0.0648995532198082</v>
      </c>
      <c r="T45" s="3">
        <v>0.01</v>
      </c>
      <c r="U45" s="26">
        <f t="shared" si="30"/>
        <v>0.000648995532198082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0.0154489955321981</v>
      </c>
      <c r="AR45" s="29">
        <f t="shared" si="34"/>
        <v>7.70910416666667</v>
      </c>
      <c r="AS45" s="1">
        <f t="shared" si="35"/>
        <v>0.18</v>
      </c>
      <c r="AT45" s="2">
        <f t="shared" si="39"/>
        <v>846.343479452058</v>
      </c>
      <c r="AU45" s="1">
        <f t="shared" si="36"/>
        <v>121562.079839778</v>
      </c>
    </row>
    <row r="46" s="1" customFormat="1" spans="1:47">
      <c r="A46" s="13"/>
      <c r="B46" s="13"/>
      <c r="C46" s="16">
        <v>4</v>
      </c>
      <c r="D46" s="19">
        <v>7.94169272153333</v>
      </c>
      <c r="E46" s="20">
        <f t="shared" si="37"/>
        <v>-0.51774251516129</v>
      </c>
      <c r="F46" s="16" t="s">
        <v>110</v>
      </c>
      <c r="G46" s="13">
        <v>5</v>
      </c>
      <c r="H46" s="18">
        <f t="shared" si="21"/>
        <v>7.94169272153333</v>
      </c>
      <c r="I46" s="18">
        <f t="shared" si="22"/>
        <v>281.091692721533</v>
      </c>
      <c r="J46" s="18">
        <f t="shared" si="23"/>
        <v>0.0477080981654761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0.287098110808283</v>
      </c>
      <c r="O46" s="18">
        <f t="shared" si="38"/>
        <v>0.0922014685513132</v>
      </c>
      <c r="P46" s="18">
        <f t="shared" si="26"/>
        <v>0.00439875671264711</v>
      </c>
      <c r="Q46" s="24">
        <f t="shared" si="27"/>
        <v>0.000791776208276479</v>
      </c>
      <c r="R46" s="18">
        <f t="shared" si="28"/>
        <v>0.0138763875</v>
      </c>
      <c r="S46" s="25">
        <f t="shared" si="29"/>
        <v>0.057059246023252</v>
      </c>
      <c r="T46" s="3">
        <v>0.01</v>
      </c>
      <c r="U46" s="26">
        <f t="shared" si="30"/>
        <v>0.00057059246023252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0.0276705924602325</v>
      </c>
      <c r="AR46" s="29">
        <f t="shared" si="34"/>
        <v>7.70910416666667</v>
      </c>
      <c r="AS46" s="1">
        <f t="shared" si="35"/>
        <v>0.18</v>
      </c>
      <c r="AT46" s="2">
        <f t="shared" si="39"/>
        <v>846.343479452058</v>
      </c>
      <c r="AU46" s="1">
        <f t="shared" si="36"/>
        <v>217729.027292052</v>
      </c>
    </row>
    <row r="47" s="1" customFormat="1" spans="1:47">
      <c r="A47" s="13"/>
      <c r="B47" s="13"/>
      <c r="C47" s="16">
        <v>5</v>
      </c>
      <c r="D47" s="19">
        <v>14.342813444129</v>
      </c>
      <c r="E47" s="20">
        <f t="shared" si="37"/>
        <v>7.94169272153333</v>
      </c>
      <c r="F47" s="16" t="s">
        <v>112</v>
      </c>
      <c r="G47" s="13">
        <v>6</v>
      </c>
      <c r="H47" s="18">
        <f t="shared" si="21"/>
        <v>14.342813444129</v>
      </c>
      <c r="I47" s="18">
        <f t="shared" si="22"/>
        <v>287.492813444129</v>
      </c>
      <c r="J47" s="18">
        <f t="shared" si="23"/>
        <v>0.103167512344939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0.164893753505333</v>
      </c>
      <c r="P47" s="18">
        <f t="shared" si="26"/>
        <v>0.0170116783503647</v>
      </c>
      <c r="Q47" s="24">
        <f t="shared" si="27"/>
        <v>0.00306210210306565</v>
      </c>
      <c r="R47" s="18">
        <f t="shared" si="28"/>
        <v>0.0138763875</v>
      </c>
      <c r="S47" s="25">
        <f t="shared" si="29"/>
        <v>0.220669976466545</v>
      </c>
      <c r="T47" s="3">
        <v>0.01</v>
      </c>
      <c r="U47" s="26">
        <f t="shared" si="30"/>
        <v>0.00220669976466545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0.0293066997646654</v>
      </c>
      <c r="AR47" s="29">
        <f t="shared" si="34"/>
        <v>7.70910416666667</v>
      </c>
      <c r="AS47" s="1">
        <f t="shared" si="35"/>
        <v>0.18</v>
      </c>
      <c r="AT47" s="2">
        <f t="shared" si="39"/>
        <v>846.343479452058</v>
      </c>
      <c r="AU47" s="1">
        <f t="shared" si="36"/>
        <v>230602.913257869</v>
      </c>
    </row>
    <row r="48" s="1" customFormat="1" spans="1:47">
      <c r="A48" s="13"/>
      <c r="B48" s="13"/>
      <c r="C48" s="16">
        <v>6</v>
      </c>
      <c r="D48" s="19">
        <v>19.2180224373333</v>
      </c>
      <c r="E48" s="20">
        <f t="shared" si="37"/>
        <v>14.342813444129</v>
      </c>
      <c r="F48" s="16" t="s">
        <v>110</v>
      </c>
      <c r="G48" s="13">
        <v>7</v>
      </c>
      <c r="H48" s="18">
        <f t="shared" si="21"/>
        <v>19.2180224373333</v>
      </c>
      <c r="I48" s="18">
        <f t="shared" si="22"/>
        <v>292.368022437333</v>
      </c>
      <c r="J48" s="18">
        <f t="shared" si="23"/>
        <v>0.18147150948071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0.224973116821635</v>
      </c>
      <c r="P48" s="18">
        <f t="shared" si="26"/>
        <v>0.0408262111022022</v>
      </c>
      <c r="Q48" s="24">
        <f t="shared" si="27"/>
        <v>0.00734871799839639</v>
      </c>
      <c r="R48" s="18">
        <f t="shared" si="28"/>
        <v>0.0138763875</v>
      </c>
      <c r="S48" s="25">
        <f t="shared" si="29"/>
        <v>0.52958437478028</v>
      </c>
      <c r="T48" s="3">
        <v>0.01</v>
      </c>
      <c r="U48" s="26">
        <f t="shared" si="30"/>
        <v>0.0052958437478028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0.0323958437478028</v>
      </c>
      <c r="AR48" s="29">
        <f t="shared" si="34"/>
        <v>7.70910416666667</v>
      </c>
      <c r="AS48" s="1">
        <f t="shared" si="35"/>
        <v>0.18</v>
      </c>
      <c r="AT48" s="2">
        <f t="shared" si="39"/>
        <v>846.343479452058</v>
      </c>
      <c r="AU48" s="1">
        <f t="shared" si="36"/>
        <v>254910.174317791</v>
      </c>
    </row>
    <row r="49" s="1" customFormat="1" spans="1:47">
      <c r="A49" s="13"/>
      <c r="B49" s="13"/>
      <c r="C49" s="16">
        <v>7</v>
      </c>
      <c r="D49" s="19">
        <v>23.4682770458064</v>
      </c>
      <c r="E49" s="20">
        <f t="shared" si="37"/>
        <v>19.2180224373333</v>
      </c>
      <c r="F49" s="16" t="s">
        <v>110</v>
      </c>
      <c r="G49" s="13">
        <v>8</v>
      </c>
      <c r="H49" s="18">
        <f t="shared" si="21"/>
        <v>23.4682770458064</v>
      </c>
      <c r="I49" s="18">
        <f t="shared" si="22"/>
        <v>296.618277045806</v>
      </c>
      <c r="J49" s="18">
        <f t="shared" si="23"/>
        <v>0.292452252498342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0.261237947386099</v>
      </c>
      <c r="P49" s="18">
        <f t="shared" si="26"/>
        <v>0.0763996261511081</v>
      </c>
      <c r="Q49" s="24">
        <f t="shared" si="27"/>
        <v>0.0137519327071994</v>
      </c>
      <c r="R49" s="18">
        <f t="shared" si="28"/>
        <v>0.0138763875</v>
      </c>
      <c r="S49" s="25">
        <f t="shared" si="29"/>
        <v>0.991031182085356</v>
      </c>
      <c r="T49" s="3">
        <v>0.01</v>
      </c>
      <c r="U49" s="26">
        <f t="shared" si="30"/>
        <v>0.00991031182085356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0.0370103118208536</v>
      </c>
      <c r="AR49" s="29">
        <f t="shared" si="34"/>
        <v>7.70910416666667</v>
      </c>
      <c r="AS49" s="1">
        <f t="shared" si="35"/>
        <v>0.18</v>
      </c>
      <c r="AT49" s="2">
        <f t="shared" si="39"/>
        <v>846.343479452058</v>
      </c>
      <c r="AU49" s="1">
        <f t="shared" si="36"/>
        <v>291219.611727182</v>
      </c>
    </row>
    <row r="50" s="1" customFormat="1" spans="1:47">
      <c r="A50" s="13"/>
      <c r="B50" s="13"/>
      <c r="C50" s="16">
        <v>8</v>
      </c>
      <c r="D50" s="19">
        <v>21.5068787580645</v>
      </c>
      <c r="E50" s="20">
        <f t="shared" si="37"/>
        <v>23.4682770458064</v>
      </c>
      <c r="F50" s="16" t="s">
        <v>110</v>
      </c>
      <c r="G50" s="13">
        <v>9</v>
      </c>
      <c r="H50" s="18">
        <f t="shared" si="21"/>
        <v>21.5068787580645</v>
      </c>
      <c r="I50" s="18">
        <f t="shared" si="22"/>
        <v>294.656878758064</v>
      </c>
      <c r="J50" s="18">
        <f t="shared" si="23"/>
        <v>0.235048894383118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0.261929362901658</v>
      </c>
      <c r="P50" s="18">
        <f t="shared" si="26"/>
        <v>0.0615662071565092</v>
      </c>
      <c r="Q50" s="24">
        <f t="shared" si="27"/>
        <v>0.0110819172881716</v>
      </c>
      <c r="R50" s="18">
        <f t="shared" si="28"/>
        <v>0.0138763875</v>
      </c>
      <c r="S50" s="25">
        <f t="shared" si="29"/>
        <v>0.798616879801868</v>
      </c>
      <c r="T50" s="3">
        <v>0.01</v>
      </c>
      <c r="U50" s="26">
        <f t="shared" si="30"/>
        <v>0.00798616879801868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0.0227861687980187</v>
      </c>
      <c r="AR50" s="29">
        <f t="shared" si="34"/>
        <v>7.70910416666667</v>
      </c>
      <c r="AS50" s="1">
        <f t="shared" si="35"/>
        <v>0.18</v>
      </c>
      <c r="AT50" s="2">
        <f t="shared" si="39"/>
        <v>846.343479452058</v>
      </c>
      <c r="AU50" s="1">
        <f t="shared" si="36"/>
        <v>179295.415348813</v>
      </c>
    </row>
    <row r="51" s="1" customFormat="1" spans="1:47">
      <c r="A51" s="13"/>
      <c r="B51" s="13"/>
      <c r="C51" s="16">
        <v>9</v>
      </c>
      <c r="D51" s="19">
        <v>14.8985685176</v>
      </c>
      <c r="E51" s="20">
        <f t="shared" si="37"/>
        <v>21.5068787580645</v>
      </c>
      <c r="F51" s="16" t="s">
        <v>110</v>
      </c>
      <c r="G51" s="13">
        <v>10</v>
      </c>
      <c r="H51" s="18">
        <f t="shared" si="21"/>
        <v>14.8985685176</v>
      </c>
      <c r="I51" s="18">
        <f t="shared" si="22"/>
        <v>288.0485685176</v>
      </c>
      <c r="J51" s="18">
        <f t="shared" si="23"/>
        <v>0.110134034173835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0.277454197411815</v>
      </c>
      <c r="P51" s="18">
        <f t="shared" si="26"/>
        <v>0.0305571500594268</v>
      </c>
      <c r="Q51" s="24">
        <f t="shared" si="27"/>
        <v>0.00550028701069683</v>
      </c>
      <c r="R51" s="18">
        <f t="shared" si="28"/>
        <v>0.0138763875</v>
      </c>
      <c r="S51" s="25">
        <f t="shared" si="29"/>
        <v>0.396377444107613</v>
      </c>
      <c r="T51" s="3">
        <v>0.01</v>
      </c>
      <c r="U51" s="26">
        <f t="shared" si="30"/>
        <v>0.00396377444107613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0.0187637744410761</v>
      </c>
      <c r="AR51" s="29">
        <f t="shared" si="34"/>
        <v>7.70910416666667</v>
      </c>
      <c r="AS51" s="1">
        <f t="shared" si="35"/>
        <v>0.18</v>
      </c>
      <c r="AT51" s="2">
        <f t="shared" si="39"/>
        <v>846.343479452058</v>
      </c>
      <c r="AU51" s="1">
        <f t="shared" si="36"/>
        <v>147644.773535458</v>
      </c>
    </row>
    <row r="52" s="1" customFormat="1" spans="1:47">
      <c r="A52" s="13"/>
      <c r="B52" s="13"/>
      <c r="C52" s="16">
        <v>10</v>
      </c>
      <c r="D52" s="19">
        <v>3.62459868303226</v>
      </c>
      <c r="E52" s="20">
        <f t="shared" si="37"/>
        <v>14.8985685176</v>
      </c>
      <c r="F52" s="16" t="s">
        <v>110</v>
      </c>
      <c r="G52" s="13">
        <v>11</v>
      </c>
      <c r="H52" s="18">
        <f t="shared" si="21"/>
        <v>3.62459868303226</v>
      </c>
      <c r="I52" s="18">
        <f t="shared" si="22"/>
        <v>276.774598683032</v>
      </c>
      <c r="J52" s="18">
        <f t="shared" si="23"/>
        <v>0.0277935384318113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0.234552194984769</v>
      </c>
      <c r="O52" s="18">
        <f t="shared" si="38"/>
        <v>0.0894358940342861</v>
      </c>
      <c r="P52" s="18">
        <f t="shared" si="26"/>
        <v>0.00248573995802533</v>
      </c>
      <c r="Q52" s="24">
        <f t="shared" si="27"/>
        <v>0.00044743319244456</v>
      </c>
      <c r="R52" s="18">
        <f t="shared" si="28"/>
        <v>0.0138763875</v>
      </c>
      <c r="S52" s="25">
        <f t="shared" si="29"/>
        <v>0.0322442128720144</v>
      </c>
      <c r="T52" s="3">
        <v>0.01</v>
      </c>
      <c r="U52" s="26">
        <f t="shared" si="30"/>
        <v>0.000322442128720144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0.0151224421287201</v>
      </c>
      <c r="AR52" s="29">
        <f t="shared" si="34"/>
        <v>7.70910416666667</v>
      </c>
      <c r="AS52" s="1">
        <f t="shared" si="35"/>
        <v>0.18</v>
      </c>
      <c r="AT52" s="2">
        <f t="shared" si="39"/>
        <v>846.343479452058</v>
      </c>
      <c r="AU52" s="1">
        <f t="shared" si="36"/>
        <v>118992.559328053</v>
      </c>
    </row>
    <row r="53" s="1" customFormat="1" spans="1:48">
      <c r="A53" s="13"/>
      <c r="B53" s="13"/>
      <c r="C53" s="16">
        <v>11</v>
      </c>
      <c r="D53" s="19">
        <v>-7.02813963433333</v>
      </c>
      <c r="E53" s="20">
        <f t="shared" si="37"/>
        <v>3.62459868303226</v>
      </c>
      <c r="F53" s="16" t="s">
        <v>112</v>
      </c>
      <c r="G53" s="13">
        <v>12</v>
      </c>
      <c r="H53" s="18">
        <f t="shared" si="21"/>
        <v>-7.02813963433333</v>
      </c>
      <c r="I53" s="18">
        <f t="shared" si="22"/>
        <v>266.121860365667</v>
      </c>
      <c r="J53" s="18">
        <f t="shared" si="23"/>
        <v>0.00679770070290697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0.164041195742927</v>
      </c>
      <c r="P53" s="18">
        <f t="shared" si="26"/>
        <v>0.0011151029516074</v>
      </c>
      <c r="Q53" s="24">
        <f t="shared" si="27"/>
        <v>0.000200718531289332</v>
      </c>
      <c r="R53" s="18">
        <f t="shared" si="28"/>
        <v>0.0138763875</v>
      </c>
      <c r="S53" s="25">
        <f t="shared" si="29"/>
        <v>0.0144647539778874</v>
      </c>
      <c r="T53" s="3">
        <v>0.01</v>
      </c>
      <c r="U53" s="26">
        <f t="shared" si="30"/>
        <v>0.000144647539778874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0.0149446475397789</v>
      </c>
      <c r="AR53" s="29">
        <f t="shared" si="34"/>
        <v>7.70910416666667</v>
      </c>
      <c r="AS53" s="1">
        <f t="shared" si="35"/>
        <v>0.18</v>
      </c>
      <c r="AT53" s="2">
        <f t="shared" si="39"/>
        <v>846.343479452058</v>
      </c>
      <c r="AU53" s="1">
        <f t="shared" si="36"/>
        <v>117593.563518201</v>
      </c>
      <c r="AV53" s="1">
        <f>SUM(AU42:AU53)</f>
        <v>2030092.58400917</v>
      </c>
    </row>
    <row r="54" s="1" customFormat="1" spans="1:46">
      <c r="A54" s="13"/>
      <c r="B54" s="13"/>
      <c r="C54" s="16">
        <v>12</v>
      </c>
      <c r="D54" s="19">
        <v>-11.2300724427742</v>
      </c>
      <c r="E54" s="20">
        <f t="shared" si="37"/>
        <v>-7.02813963433333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54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 s="1" customFormat="1" spans="1:54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 s="1" customFormat="1" spans="1:54">
      <c r="A58" s="13" t="s">
        <v>108</v>
      </c>
      <c r="B58" s="13">
        <f>F7</f>
        <v>122.786</v>
      </c>
      <c r="C58" s="16" t="s">
        <v>109</v>
      </c>
      <c r="D58" s="17">
        <v>-17</v>
      </c>
      <c r="E58" s="16"/>
      <c r="F58" s="16"/>
      <c r="G58" s="13">
        <v>1</v>
      </c>
      <c r="H58" s="18">
        <f t="shared" ref="H58:H69" si="40">E59</f>
        <v>-17</v>
      </c>
      <c r="I58" s="18">
        <f t="shared" ref="I58:I69" si="41">H58+273.15</f>
        <v>256.15</v>
      </c>
      <c r="J58" s="18">
        <f t="shared" ref="J58:J69" si="42">EXP(($C$16*(I58-$C$14))/($C$17*I58*$C$14))</f>
        <v>0.0016359658543035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0.00451965832619646</v>
      </c>
      <c r="Q58" s="24">
        <f t="shared" ref="Q58:Q69" si="46">P58*$B$60</f>
        <v>0.00131070091459697</v>
      </c>
      <c r="R58" s="18">
        <f t="shared" ref="R58:R69" si="47">L58*$B$60</f>
        <v>0.80117865</v>
      </c>
      <c r="S58" s="25">
        <f t="shared" ref="S58:S69" si="48">Q58/R58</f>
        <v>0.0016359658543035</v>
      </c>
      <c r="T58" s="3">
        <v>0.27</v>
      </c>
      <c r="U58" s="26">
        <f t="shared" ref="U58:U69" si="49">S58*T58</f>
        <v>0.000441710780661945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0.226485824404683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96.61128765977</v>
      </c>
      <c r="AF58" s="1">
        <f t="shared" ref="AF58:AF69" si="54">AE58*10000*AC58*AB58</f>
        <v>2238909.30386787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</row>
    <row r="59" s="1" customFormat="1" spans="1:54">
      <c r="A59" s="13" t="s">
        <v>111</v>
      </c>
      <c r="B59" s="13">
        <v>27</v>
      </c>
      <c r="C59" s="16">
        <v>1</v>
      </c>
      <c r="D59" s="19">
        <v>-18.5473705283871</v>
      </c>
      <c r="E59" s="20">
        <f t="shared" ref="E59:E70" si="55">D58</f>
        <v>-17</v>
      </c>
      <c r="F59" s="16" t="s">
        <v>110</v>
      </c>
      <c r="G59" s="13">
        <v>2</v>
      </c>
      <c r="H59" s="18">
        <f t="shared" si="40"/>
        <v>-18.5473705283871</v>
      </c>
      <c r="I59" s="18">
        <f t="shared" si="41"/>
        <v>254.602629471613</v>
      </c>
      <c r="J59" s="18">
        <f t="shared" si="42"/>
        <v>0.00129850244073829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5.5208503416738</v>
      </c>
      <c r="P59" s="18">
        <f t="shared" si="45"/>
        <v>0.00716883764361425</v>
      </c>
      <c r="Q59" s="24">
        <f t="shared" si="46"/>
        <v>0.00207896291664813</v>
      </c>
      <c r="R59" s="18">
        <f t="shared" si="47"/>
        <v>0.80117865</v>
      </c>
      <c r="S59" s="25">
        <f t="shared" si="48"/>
        <v>0.0025948805758218</v>
      </c>
      <c r="T59" s="3">
        <v>0.27</v>
      </c>
      <c r="U59" s="26">
        <f t="shared" si="49"/>
        <v>0.000700617755471887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0.226536130029888</v>
      </c>
      <c r="AC59" s="29">
        <f t="shared" si="51"/>
        <v>10.2321666666667</v>
      </c>
      <c r="AD59" s="1">
        <f t="shared" si="52"/>
        <v>0.29</v>
      </c>
      <c r="AE59" s="30">
        <f t="shared" si="53"/>
        <v>96.61128765977</v>
      </c>
      <c r="AF59" s="1">
        <f t="shared" si="54"/>
        <v>2239406.59650243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</row>
    <row r="60" s="1" customFormat="1" spans="1:54">
      <c r="A60" s="13" t="s">
        <v>73</v>
      </c>
      <c r="B60" s="13">
        <v>0.29</v>
      </c>
      <c r="C60" s="16">
        <v>2</v>
      </c>
      <c r="D60" s="19">
        <v>-11.6159677528276</v>
      </c>
      <c r="E60" s="20">
        <f t="shared" si="55"/>
        <v>-18.5473705283871</v>
      </c>
      <c r="F60" s="16" t="s">
        <v>110</v>
      </c>
      <c r="G60" s="13">
        <v>3</v>
      </c>
      <c r="H60" s="18">
        <f t="shared" si="40"/>
        <v>-11.6159677528276</v>
      </c>
      <c r="I60" s="18">
        <f t="shared" si="41"/>
        <v>261.534032247172</v>
      </c>
      <c r="J60" s="18">
        <f t="shared" si="42"/>
        <v>0.00357785370842062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8.27636650403019</v>
      </c>
      <c r="P60" s="18">
        <f t="shared" si="45"/>
        <v>0.0296116285886926</v>
      </c>
      <c r="Q60" s="24">
        <f t="shared" si="46"/>
        <v>0.00858737229072085</v>
      </c>
      <c r="R60" s="18">
        <f t="shared" si="47"/>
        <v>0.80117865</v>
      </c>
      <c r="S60" s="25">
        <f t="shared" si="48"/>
        <v>0.0107184237756721</v>
      </c>
      <c r="T60" s="3">
        <v>0.27</v>
      </c>
      <c r="U60" s="26">
        <f t="shared" si="49"/>
        <v>0.00289397441943146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0.226962299229696</v>
      </c>
      <c r="AC60" s="29">
        <f t="shared" si="51"/>
        <v>10.2321666666667</v>
      </c>
      <c r="AD60" s="1">
        <f t="shared" si="52"/>
        <v>0.29</v>
      </c>
      <c r="AE60" s="30">
        <f t="shared" si="53"/>
        <v>96.61128765977</v>
      </c>
      <c r="AF60" s="1">
        <f t="shared" si="54"/>
        <v>2243619.46143108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</row>
    <row r="61" s="1" customFormat="1" spans="1:54">
      <c r="A61" s="13"/>
      <c r="B61" s="13"/>
      <c r="C61" s="16">
        <v>3</v>
      </c>
      <c r="D61" s="19">
        <v>-0.51774251516129</v>
      </c>
      <c r="E61" s="20">
        <f t="shared" si="55"/>
        <v>-11.6159677528276</v>
      </c>
      <c r="F61" s="16" t="s">
        <v>110</v>
      </c>
      <c r="G61" s="13">
        <v>4</v>
      </c>
      <c r="H61" s="18">
        <f t="shared" si="40"/>
        <v>-0.51774251516129</v>
      </c>
      <c r="I61" s="18">
        <f t="shared" si="41"/>
        <v>272.632257484839</v>
      </c>
      <c r="J61" s="18">
        <f t="shared" si="42"/>
        <v>0.016285753336736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11.0094398754415</v>
      </c>
      <c r="P61" s="18">
        <f t="shared" si="45"/>
        <v>0.179297022187066</v>
      </c>
      <c r="Q61" s="24">
        <f t="shared" si="46"/>
        <v>0.051996136434249</v>
      </c>
      <c r="R61" s="18">
        <f t="shared" si="47"/>
        <v>0.80117865</v>
      </c>
      <c r="S61" s="25">
        <f t="shared" si="48"/>
        <v>0.0648995532198082</v>
      </c>
      <c r="T61" s="3">
        <v>0.27</v>
      </c>
      <c r="U61" s="26">
        <f t="shared" si="49"/>
        <v>0.0175228793693482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0.229804695461464</v>
      </c>
      <c r="AC61" s="29">
        <f t="shared" si="51"/>
        <v>10.2321666666667</v>
      </c>
      <c r="AD61" s="1">
        <f t="shared" si="52"/>
        <v>0.29</v>
      </c>
      <c r="AE61" s="30">
        <f t="shared" si="53"/>
        <v>96.61128765977</v>
      </c>
      <c r="AF61" s="1">
        <f t="shared" si="54"/>
        <v>2271717.76464857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</row>
    <row r="62" s="1" customFormat="1" spans="1:54">
      <c r="A62" s="13"/>
      <c r="B62" s="13"/>
      <c r="C62" s="16">
        <v>4</v>
      </c>
      <c r="D62" s="19">
        <v>7.94169272153333</v>
      </c>
      <c r="E62" s="20">
        <f t="shared" si="55"/>
        <v>-0.51774251516129</v>
      </c>
      <c r="F62" s="16" t="s">
        <v>110</v>
      </c>
      <c r="G62" s="13">
        <v>5</v>
      </c>
      <c r="H62" s="18">
        <f t="shared" si="40"/>
        <v>7.94169272153333</v>
      </c>
      <c r="I62" s="18">
        <f t="shared" si="41"/>
        <v>281.091692721533</v>
      </c>
      <c r="J62" s="18">
        <f t="shared" si="42"/>
        <v>0.0477080981654761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10.2886357105917</v>
      </c>
      <c r="O62" s="18">
        <f t="shared" si="56"/>
        <v>3.30419214266272</v>
      </c>
      <c r="P62" s="18">
        <f t="shared" si="45"/>
        <v>0.157636723099748</v>
      </c>
      <c r="Q62" s="24">
        <f t="shared" si="46"/>
        <v>0.0457146496989269</v>
      </c>
      <c r="R62" s="18">
        <f t="shared" si="47"/>
        <v>0.80117865</v>
      </c>
      <c r="S62" s="25">
        <f t="shared" si="48"/>
        <v>0.057059246023252</v>
      </c>
      <c r="T62" s="3">
        <v>0.27</v>
      </c>
      <c r="U62" s="26">
        <f t="shared" si="49"/>
        <v>0.015405996426278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0.278193385105626</v>
      </c>
      <c r="AC62" s="29">
        <f t="shared" si="51"/>
        <v>10.2321666666667</v>
      </c>
      <c r="AD62" s="1">
        <f t="shared" si="52"/>
        <v>0.29</v>
      </c>
      <c r="AE62" s="30">
        <f t="shared" si="53"/>
        <v>96.61128765977</v>
      </c>
      <c r="AF62" s="1">
        <f t="shared" si="54"/>
        <v>2750060.67079315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</row>
    <row r="63" s="1" customFormat="1" spans="1:54">
      <c r="A63" s="13"/>
      <c r="B63" s="13"/>
      <c r="C63" s="16">
        <v>5</v>
      </c>
      <c r="D63" s="19">
        <v>14.342813444129</v>
      </c>
      <c r="E63" s="20">
        <f t="shared" si="55"/>
        <v>7.94169272153333</v>
      </c>
      <c r="F63" s="16" t="s">
        <v>112</v>
      </c>
      <c r="G63" s="13">
        <v>6</v>
      </c>
      <c r="H63" s="18">
        <f t="shared" si="40"/>
        <v>14.342813444129</v>
      </c>
      <c r="I63" s="18">
        <f t="shared" si="41"/>
        <v>287.492813444129</v>
      </c>
      <c r="J63" s="18">
        <f t="shared" si="42"/>
        <v>0.103167512344939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5.90924041956297</v>
      </c>
      <c r="P63" s="18">
        <f t="shared" si="45"/>
        <v>0.609641633934475</v>
      </c>
      <c r="Q63" s="24">
        <f t="shared" si="46"/>
        <v>0.176796073840998</v>
      </c>
      <c r="R63" s="18">
        <f t="shared" si="47"/>
        <v>0.80117865</v>
      </c>
      <c r="S63" s="25">
        <f t="shared" si="48"/>
        <v>0.220669976466545</v>
      </c>
      <c r="T63" s="3">
        <v>0.27</v>
      </c>
      <c r="U63" s="26">
        <f t="shared" si="49"/>
        <v>0.059580893645967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0.286776567635411</v>
      </c>
      <c r="AC63" s="29">
        <f t="shared" si="51"/>
        <v>10.2321666666667</v>
      </c>
      <c r="AD63" s="1">
        <f t="shared" si="52"/>
        <v>0.29</v>
      </c>
      <c r="AE63" s="30">
        <f t="shared" si="53"/>
        <v>96.61128765977</v>
      </c>
      <c r="AF63" s="1">
        <f t="shared" si="54"/>
        <v>2834909.10346325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</row>
    <row r="64" s="1" customFormat="1" spans="1:54">
      <c r="A64" s="13"/>
      <c r="B64" s="13"/>
      <c r="C64" s="16">
        <v>6</v>
      </c>
      <c r="D64" s="19">
        <v>19.2180224373333</v>
      </c>
      <c r="E64" s="20">
        <f t="shared" si="55"/>
        <v>14.342813444129</v>
      </c>
      <c r="F64" s="16" t="s">
        <v>110</v>
      </c>
      <c r="G64" s="13">
        <v>7</v>
      </c>
      <c r="H64" s="18">
        <f t="shared" si="40"/>
        <v>19.2180224373333</v>
      </c>
      <c r="I64" s="18">
        <f t="shared" si="41"/>
        <v>292.368022437333</v>
      </c>
      <c r="J64" s="18">
        <f t="shared" si="42"/>
        <v>0.18147150948071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8.06228378562849</v>
      </c>
      <c r="P64" s="18">
        <f t="shared" si="45"/>
        <v>1.46307480843986</v>
      </c>
      <c r="Q64" s="24">
        <f t="shared" si="46"/>
        <v>0.424291694447558</v>
      </c>
      <c r="R64" s="18">
        <f t="shared" si="47"/>
        <v>0.80117865</v>
      </c>
      <c r="S64" s="25">
        <f t="shared" si="48"/>
        <v>0.529584374780279</v>
      </c>
      <c r="T64" s="3">
        <v>0.27</v>
      </c>
      <c r="U64" s="26">
        <f t="shared" si="49"/>
        <v>0.142987781190675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0.302982525885348</v>
      </c>
      <c r="AC64" s="29">
        <f t="shared" si="51"/>
        <v>10.2321666666667</v>
      </c>
      <c r="AD64" s="1">
        <f t="shared" si="52"/>
        <v>0.29</v>
      </c>
      <c r="AE64" s="30">
        <f t="shared" si="53"/>
        <v>96.61128765977</v>
      </c>
      <c r="AF64" s="1">
        <f t="shared" si="54"/>
        <v>2995111.93646284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</row>
    <row r="65" s="1" customFormat="1" spans="1:54">
      <c r="A65" s="13"/>
      <c r="B65" s="13"/>
      <c r="C65" s="16">
        <v>7</v>
      </c>
      <c r="D65" s="19">
        <v>23.4682770458064</v>
      </c>
      <c r="E65" s="20">
        <f t="shared" si="55"/>
        <v>19.2180224373333</v>
      </c>
      <c r="F65" s="16" t="s">
        <v>110</v>
      </c>
      <c r="G65" s="13">
        <v>8</v>
      </c>
      <c r="H65" s="18">
        <f t="shared" si="40"/>
        <v>23.4682770458064</v>
      </c>
      <c r="I65" s="18">
        <f t="shared" si="41"/>
        <v>296.618277045806</v>
      </c>
      <c r="J65" s="18">
        <f t="shared" si="42"/>
        <v>0.292452252498342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9.36189397718864</v>
      </c>
      <c r="P65" s="18">
        <f t="shared" si="45"/>
        <v>2.73790698127948</v>
      </c>
      <c r="Q65" s="24">
        <f t="shared" si="46"/>
        <v>0.793993024571049</v>
      </c>
      <c r="R65" s="18">
        <f t="shared" si="47"/>
        <v>0.80117865</v>
      </c>
      <c r="S65" s="25">
        <f t="shared" si="48"/>
        <v>0.991031182085355</v>
      </c>
      <c r="T65" s="3">
        <v>0.27</v>
      </c>
      <c r="U65" s="26">
        <f t="shared" si="49"/>
        <v>0.267578419163046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0.32719048684338</v>
      </c>
      <c r="AC65" s="29">
        <f t="shared" si="51"/>
        <v>10.2321666666667</v>
      </c>
      <c r="AD65" s="1">
        <f t="shared" si="52"/>
        <v>0.29</v>
      </c>
      <c r="AE65" s="30">
        <f t="shared" si="53"/>
        <v>96.61128765977</v>
      </c>
      <c r="AF65" s="1">
        <f t="shared" si="54"/>
        <v>3234417.99086634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="1" customFormat="1" spans="1:54">
      <c r="A66" s="13"/>
      <c r="B66" s="13"/>
      <c r="C66" s="16">
        <v>8</v>
      </c>
      <c r="D66" s="19">
        <v>21.5068787580645</v>
      </c>
      <c r="E66" s="20">
        <f t="shared" si="55"/>
        <v>23.4682770458064</v>
      </c>
      <c r="F66" s="16" t="s">
        <v>110</v>
      </c>
      <c r="G66" s="13">
        <v>9</v>
      </c>
      <c r="H66" s="18">
        <f t="shared" si="40"/>
        <v>21.5068787580645</v>
      </c>
      <c r="I66" s="18">
        <f t="shared" si="41"/>
        <v>294.656878758064</v>
      </c>
      <c r="J66" s="18">
        <f t="shared" si="42"/>
        <v>0.235048894383118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9.38667199590916</v>
      </c>
      <c r="P66" s="18">
        <f t="shared" si="45"/>
        <v>2.20632687457542</v>
      </c>
      <c r="Q66" s="24">
        <f t="shared" si="46"/>
        <v>0.639834793626873</v>
      </c>
      <c r="R66" s="18">
        <f t="shared" si="47"/>
        <v>0.80117865</v>
      </c>
      <c r="S66" s="25">
        <f t="shared" si="48"/>
        <v>0.798616879801868</v>
      </c>
      <c r="T66" s="3">
        <v>0.27</v>
      </c>
      <c r="U66" s="26">
        <f t="shared" si="49"/>
        <v>0.215626557546504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0.268296240131286</v>
      </c>
      <c r="AC66" s="29">
        <f t="shared" si="51"/>
        <v>10.2321666666667</v>
      </c>
      <c r="AD66" s="1">
        <f t="shared" si="52"/>
        <v>0.29</v>
      </c>
      <c r="AE66" s="30">
        <f t="shared" si="53"/>
        <v>96.61128765977</v>
      </c>
      <c r="AF66" s="1">
        <f t="shared" si="54"/>
        <v>2652223.15701929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="1" customFormat="1" spans="1:54">
      <c r="A67" s="13"/>
      <c r="B67" s="13"/>
      <c r="C67" s="16">
        <v>9</v>
      </c>
      <c r="D67" s="19">
        <v>14.8985685176</v>
      </c>
      <c r="E67" s="20">
        <f t="shared" si="55"/>
        <v>21.5068787580645</v>
      </c>
      <c r="F67" s="16" t="s">
        <v>110</v>
      </c>
      <c r="G67" s="13">
        <v>10</v>
      </c>
      <c r="H67" s="18">
        <f t="shared" si="40"/>
        <v>14.8985685176</v>
      </c>
      <c r="I67" s="18">
        <f t="shared" si="41"/>
        <v>288.0485685176</v>
      </c>
      <c r="J67" s="18">
        <f t="shared" si="42"/>
        <v>0.110134034173835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9.94303012133373</v>
      </c>
      <c r="P67" s="18">
        <f t="shared" si="45"/>
        <v>1.09506601917444</v>
      </c>
      <c r="Q67" s="24">
        <f t="shared" si="46"/>
        <v>0.317569145560588</v>
      </c>
      <c r="R67" s="18">
        <f t="shared" si="47"/>
        <v>0.80117865</v>
      </c>
      <c r="S67" s="25">
        <f t="shared" si="48"/>
        <v>0.396377444107613</v>
      </c>
      <c r="T67" s="3">
        <v>0.27</v>
      </c>
      <c r="U67" s="26">
        <f t="shared" si="49"/>
        <v>0.107021909909055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0.247194357095329</v>
      </c>
      <c r="AC67" s="29">
        <f t="shared" si="51"/>
        <v>10.2321666666667</v>
      </c>
      <c r="AD67" s="1">
        <f t="shared" si="52"/>
        <v>0.29</v>
      </c>
      <c r="AE67" s="30">
        <f t="shared" si="53"/>
        <v>96.61128765977</v>
      </c>
      <c r="AF67" s="1">
        <f t="shared" si="54"/>
        <v>2443622.01219039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="1" customFormat="1" spans="1:54">
      <c r="A68" s="13"/>
      <c r="B68" s="13"/>
      <c r="C68" s="16">
        <v>10</v>
      </c>
      <c r="D68" s="19">
        <v>3.62459868303226</v>
      </c>
      <c r="E68" s="20">
        <f t="shared" si="55"/>
        <v>14.8985685176</v>
      </c>
      <c r="F68" s="16" t="s">
        <v>110</v>
      </c>
      <c r="G68" s="13">
        <v>11</v>
      </c>
      <c r="H68" s="18">
        <f t="shared" si="40"/>
        <v>3.62459868303226</v>
      </c>
      <c r="I68" s="18">
        <f t="shared" si="41"/>
        <v>276.774598683032</v>
      </c>
      <c r="J68" s="18">
        <f t="shared" si="42"/>
        <v>0.0277935384318113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8.40556589705133</v>
      </c>
      <c r="O68" s="18">
        <f t="shared" si="56"/>
        <v>3.20508320510796</v>
      </c>
      <c r="P68" s="18">
        <f t="shared" si="45"/>
        <v>0.0890806032383212</v>
      </c>
      <c r="Q68" s="24">
        <f t="shared" si="46"/>
        <v>0.0258333749391131</v>
      </c>
      <c r="R68" s="18">
        <f t="shared" si="47"/>
        <v>0.80117865</v>
      </c>
      <c r="S68" s="25">
        <f t="shared" si="48"/>
        <v>0.0322442128720144</v>
      </c>
      <c r="T68" s="3">
        <v>0.27</v>
      </c>
      <c r="U68" s="26">
        <f t="shared" si="49"/>
        <v>0.0087059374754439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0.228091563651479</v>
      </c>
      <c r="AC68" s="29">
        <f t="shared" si="51"/>
        <v>10.2321666666667</v>
      </c>
      <c r="AD68" s="1">
        <f t="shared" si="52"/>
        <v>0.29</v>
      </c>
      <c r="AE68" s="30">
        <f t="shared" si="53"/>
        <v>96.61128765977</v>
      </c>
      <c r="AF68" s="1">
        <f t="shared" si="54"/>
        <v>2254782.72353414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="1" customFormat="1" spans="1:54">
      <c r="A69" s="13"/>
      <c r="B69" s="13"/>
      <c r="C69" s="16">
        <v>11</v>
      </c>
      <c r="D69" s="19">
        <v>-7.02813963433333</v>
      </c>
      <c r="E69" s="20">
        <f t="shared" si="55"/>
        <v>3.62459868303226</v>
      </c>
      <c r="F69" s="16" t="s">
        <v>112</v>
      </c>
      <c r="G69" s="13">
        <v>12</v>
      </c>
      <c r="H69" s="18">
        <f t="shared" si="40"/>
        <v>-7.02813963433333</v>
      </c>
      <c r="I69" s="18">
        <f t="shared" si="41"/>
        <v>266.121860365667</v>
      </c>
      <c r="J69" s="18">
        <f t="shared" si="42"/>
        <v>0.00679770070290697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5.87868760186964</v>
      </c>
      <c r="P69" s="18">
        <f t="shared" si="45"/>
        <v>0.0399615588433998</v>
      </c>
      <c r="Q69" s="24">
        <f t="shared" si="46"/>
        <v>0.0115888520645859</v>
      </c>
      <c r="R69" s="18">
        <f t="shared" si="47"/>
        <v>0.80117865</v>
      </c>
      <c r="S69" s="25">
        <f t="shared" si="48"/>
        <v>0.0144647539778874</v>
      </c>
      <c r="T69" s="3">
        <v>0.27</v>
      </c>
      <c r="U69" s="26">
        <f t="shared" si="49"/>
        <v>0.00390548357402959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0.227158835458434</v>
      </c>
      <c r="AC69" s="29">
        <f t="shared" si="51"/>
        <v>10.2321666666667</v>
      </c>
      <c r="AD69" s="1">
        <f t="shared" si="52"/>
        <v>0.29</v>
      </c>
      <c r="AE69" s="30">
        <f t="shared" si="53"/>
        <v>96.61128765977</v>
      </c>
      <c r="AF69" s="1">
        <f t="shared" si="54"/>
        <v>2245562.30616419</v>
      </c>
      <c r="AG69" s="1">
        <f>SUM(AF58:AF69)</f>
        <v>30404343.0269435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="1" customFormat="1" spans="1:46">
      <c r="A70" s="13"/>
      <c r="B70" s="13"/>
      <c r="C70" s="16">
        <v>12</v>
      </c>
      <c r="D70" s="19">
        <v>-11.2300724427742</v>
      </c>
      <c r="E70" s="20">
        <f t="shared" si="55"/>
        <v>-7.02813963433333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-17</v>
      </c>
      <c r="E74" s="16"/>
      <c r="F74" s="16"/>
      <c r="G74" s="13">
        <v>1</v>
      </c>
      <c r="H74" s="18">
        <f t="shared" ref="H74:H85" si="57">E75</f>
        <v>-17</v>
      </c>
      <c r="I74" s="18">
        <f t="shared" ref="I74:I85" si="58">H74+273.15</f>
        <v>256.15</v>
      </c>
      <c r="J74" s="18">
        <f t="shared" ref="J74:J85" si="59">EXP(($C$16*(I74-$C$14))/($C$17*I74*$C$14))</f>
        <v>0.0016359658543035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0.00085269812258007</v>
      </c>
      <c r="Q74" s="24">
        <f t="shared" ref="Q74:Q85" si="63">P74*$B$76</f>
        <v>0.000255809436774021</v>
      </c>
      <c r="R74" s="18">
        <f t="shared" ref="R74:R85" si="64">L74*$B$76</f>
        <v>0.156366</v>
      </c>
      <c r="S74" s="25">
        <f t="shared" ref="S74:S85" si="65">Q74/R74</f>
        <v>0.0016359658543035</v>
      </c>
      <c r="T74" s="3">
        <v>0.01</v>
      </c>
      <c r="U74" s="26">
        <f t="shared" ref="U74:U85" si="66">S74*T74</f>
        <v>1.6359658543035e-5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0.00550635965854303</v>
      </c>
      <c r="AU74" s="29">
        <f t="shared" ref="AU74:AU85" si="70">$B$74/12</f>
        <v>52.122</v>
      </c>
      <c r="AV74" s="1">
        <f t="shared" ref="AV74:AV85" si="71">$B$76</f>
        <v>0.3</v>
      </c>
      <c r="AW74" s="2">
        <f>$E$8/12</f>
        <v>5.22443422457893</v>
      </c>
      <c r="AX74" s="1">
        <f t="shared" ref="AX74:AX85" si="72">AW74*10000*AV74*0.67*AU74*AT74</f>
        <v>3013.84539417757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-18.5473705283871</v>
      </c>
      <c r="E75" s="20">
        <f t="shared" ref="E75:E86" si="73">D74</f>
        <v>-17</v>
      </c>
      <c r="F75" s="16" t="s">
        <v>110</v>
      </c>
      <c r="G75" s="13">
        <v>2</v>
      </c>
      <c r="H75" s="18">
        <f t="shared" si="57"/>
        <v>-18.5473705283871</v>
      </c>
      <c r="I75" s="18">
        <f t="shared" si="58"/>
        <v>254.602629471613</v>
      </c>
      <c r="J75" s="18">
        <f t="shared" si="59"/>
        <v>0.00129850244073829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1.04158730187742</v>
      </c>
      <c r="P75" s="18">
        <f t="shared" si="62"/>
        <v>0.00135250365372984</v>
      </c>
      <c r="Q75" s="24">
        <f t="shared" si="63"/>
        <v>0.000405751096118952</v>
      </c>
      <c r="R75" s="18">
        <f t="shared" si="64"/>
        <v>0.156366</v>
      </c>
      <c r="S75" s="25">
        <f t="shared" si="65"/>
        <v>0.0025948805758218</v>
      </c>
      <c r="T75" s="3">
        <v>0.01</v>
      </c>
      <c r="U75" s="26">
        <f t="shared" si="66"/>
        <v>2.5948805758218e-5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0.00551594880575822</v>
      </c>
      <c r="AU75" s="29">
        <f t="shared" si="70"/>
        <v>52.122</v>
      </c>
      <c r="AV75" s="1">
        <f t="shared" si="71"/>
        <v>0.3</v>
      </c>
      <c r="AW75" s="2">
        <f t="shared" ref="AW75:AW85" si="75">$E$8/12</f>
        <v>5.22443422457893</v>
      </c>
      <c r="AX75" s="1">
        <f t="shared" si="72"/>
        <v>3019.09390843394</v>
      </c>
    </row>
    <row r="76" s="1" customFormat="1" spans="1:50">
      <c r="A76" s="13" t="s">
        <v>73</v>
      </c>
      <c r="B76" s="13">
        <v>0.3</v>
      </c>
      <c r="C76" s="16">
        <v>2</v>
      </c>
      <c r="D76" s="19">
        <v>-11.6159677528276</v>
      </c>
      <c r="E76" s="20">
        <f t="shared" si="73"/>
        <v>-18.5473705283871</v>
      </c>
      <c r="F76" s="16" t="s">
        <v>110</v>
      </c>
      <c r="G76" s="13">
        <v>3</v>
      </c>
      <c r="H76" s="18">
        <f t="shared" si="57"/>
        <v>-11.6159677528276</v>
      </c>
      <c r="I76" s="18">
        <f t="shared" si="58"/>
        <v>261.534032247172</v>
      </c>
      <c r="J76" s="18">
        <f t="shared" si="59"/>
        <v>0.00357785370842062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1.56145479822369</v>
      </c>
      <c r="P76" s="18">
        <f t="shared" si="62"/>
        <v>0.0055866568403558</v>
      </c>
      <c r="Q76" s="24">
        <f t="shared" si="63"/>
        <v>0.00167599705210674</v>
      </c>
      <c r="R76" s="18">
        <f t="shared" si="64"/>
        <v>0.156366</v>
      </c>
      <c r="S76" s="25">
        <f t="shared" si="65"/>
        <v>0.0107184237756721</v>
      </c>
      <c r="T76" s="3">
        <v>0.01</v>
      </c>
      <c r="U76" s="26">
        <f t="shared" si="66"/>
        <v>0.000107184237756721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0.00559718423775672</v>
      </c>
      <c r="AU76" s="29">
        <f t="shared" si="70"/>
        <v>52.122</v>
      </c>
      <c r="AV76" s="1">
        <f t="shared" si="71"/>
        <v>0.3</v>
      </c>
      <c r="AW76" s="2">
        <f t="shared" si="75"/>
        <v>5.22443422457893</v>
      </c>
      <c r="AX76" s="1">
        <f t="shared" si="72"/>
        <v>3063.55722862278</v>
      </c>
    </row>
    <row r="77" s="1" customFormat="1" spans="1:50">
      <c r="A77" s="13"/>
      <c r="B77" s="13"/>
      <c r="C77" s="16">
        <v>3</v>
      </c>
      <c r="D77" s="19">
        <v>-0.51774251516129</v>
      </c>
      <c r="E77" s="20">
        <f t="shared" si="73"/>
        <v>-11.6159677528276</v>
      </c>
      <c r="F77" s="16" t="s">
        <v>110</v>
      </c>
      <c r="G77" s="13">
        <v>4</v>
      </c>
      <c r="H77" s="18">
        <f t="shared" si="57"/>
        <v>-0.51774251516129</v>
      </c>
      <c r="I77" s="18">
        <f t="shared" si="58"/>
        <v>272.632257484839</v>
      </c>
      <c r="J77" s="18">
        <f t="shared" si="59"/>
        <v>0.016285753336736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2.07708814138333</v>
      </c>
      <c r="P77" s="18">
        <f t="shared" si="62"/>
        <v>0.0338269451292284</v>
      </c>
      <c r="Q77" s="24">
        <f t="shared" si="63"/>
        <v>0.0101480835387685</v>
      </c>
      <c r="R77" s="18">
        <f t="shared" si="64"/>
        <v>0.156366</v>
      </c>
      <c r="S77" s="25">
        <f t="shared" si="65"/>
        <v>0.0648995532198082</v>
      </c>
      <c r="T77" s="3">
        <v>0.01</v>
      </c>
      <c r="U77" s="26">
        <f t="shared" si="66"/>
        <v>0.000648995532198082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0.00613899553219808</v>
      </c>
      <c r="AU77" s="29">
        <f t="shared" si="70"/>
        <v>52.122</v>
      </c>
      <c r="AV77" s="1">
        <f t="shared" si="71"/>
        <v>0.3</v>
      </c>
      <c r="AW77" s="2">
        <f t="shared" si="75"/>
        <v>5.22443422457893</v>
      </c>
      <c r="AX77" s="1">
        <f t="shared" si="72"/>
        <v>3360.11168120599</v>
      </c>
    </row>
    <row r="78" s="1" customFormat="1" spans="1:50">
      <c r="A78" s="13"/>
      <c r="B78" s="13"/>
      <c r="C78" s="16">
        <v>4</v>
      </c>
      <c r="D78" s="19">
        <v>7.94169272153333</v>
      </c>
      <c r="E78" s="20">
        <f t="shared" si="73"/>
        <v>-0.51774251516129</v>
      </c>
      <c r="F78" s="16" t="s">
        <v>110</v>
      </c>
      <c r="G78" s="13">
        <v>5</v>
      </c>
      <c r="H78" s="18">
        <f t="shared" si="57"/>
        <v>7.94169272153333</v>
      </c>
      <c r="I78" s="18">
        <f t="shared" si="58"/>
        <v>281.091692721533</v>
      </c>
      <c r="J78" s="18">
        <f t="shared" si="59"/>
        <v>0.0477080981654761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1.9410981364414</v>
      </c>
      <c r="O78" s="18">
        <f t="shared" si="74"/>
        <v>0.623383059812705</v>
      </c>
      <c r="P78" s="18">
        <f t="shared" si="62"/>
        <v>0.0297404202122394</v>
      </c>
      <c r="Q78" s="24">
        <f t="shared" si="63"/>
        <v>0.00892212606367182</v>
      </c>
      <c r="R78" s="18">
        <f t="shared" si="64"/>
        <v>0.156366</v>
      </c>
      <c r="S78" s="25">
        <f t="shared" si="65"/>
        <v>0.057059246023252</v>
      </c>
      <c r="T78" s="3">
        <v>0.01</v>
      </c>
      <c r="U78" s="26">
        <f t="shared" si="66"/>
        <v>0.00057059246023252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0.0105205924602325</v>
      </c>
      <c r="AU78" s="29">
        <f t="shared" si="70"/>
        <v>52.122</v>
      </c>
      <c r="AV78" s="1">
        <f t="shared" si="71"/>
        <v>0.3</v>
      </c>
      <c r="AW78" s="2">
        <f t="shared" si="75"/>
        <v>5.22443422457893</v>
      </c>
      <c r="AX78" s="1">
        <f t="shared" si="72"/>
        <v>5758.3305662022</v>
      </c>
    </row>
    <row r="79" s="1" customFormat="1" spans="1:50">
      <c r="A79" s="13"/>
      <c r="B79" s="13"/>
      <c r="C79" s="16">
        <v>5</v>
      </c>
      <c r="D79" s="19">
        <v>14.342813444129</v>
      </c>
      <c r="E79" s="20">
        <f t="shared" si="73"/>
        <v>7.94169272153333</v>
      </c>
      <c r="F79" s="16" t="s">
        <v>112</v>
      </c>
      <c r="G79" s="13">
        <v>6</v>
      </c>
      <c r="H79" s="18">
        <f t="shared" si="57"/>
        <v>14.342813444129</v>
      </c>
      <c r="I79" s="18">
        <f t="shared" si="58"/>
        <v>287.492813444129</v>
      </c>
      <c r="J79" s="18">
        <f t="shared" si="59"/>
        <v>0.103167512344939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1.11486263960047</v>
      </c>
      <c r="P79" s="18">
        <f t="shared" si="62"/>
        <v>0.115017605133892</v>
      </c>
      <c r="Q79" s="24">
        <f t="shared" si="63"/>
        <v>0.0345052815401677</v>
      </c>
      <c r="R79" s="18">
        <f t="shared" si="64"/>
        <v>0.156366</v>
      </c>
      <c r="S79" s="25">
        <f t="shared" si="65"/>
        <v>0.220669976466545</v>
      </c>
      <c r="T79" s="3">
        <v>0.01</v>
      </c>
      <c r="U79" s="26">
        <f t="shared" si="66"/>
        <v>0.00220669976466545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0.0121566997646654</v>
      </c>
      <c r="AU79" s="29">
        <f t="shared" si="70"/>
        <v>52.122</v>
      </c>
      <c r="AV79" s="1">
        <f t="shared" si="71"/>
        <v>0.3</v>
      </c>
      <c r="AW79" s="2">
        <f t="shared" si="75"/>
        <v>5.22443422457893</v>
      </c>
      <c r="AX79" s="1">
        <f t="shared" si="72"/>
        <v>6653.83590359787</v>
      </c>
    </row>
    <row r="80" s="1" customFormat="1" spans="1:50">
      <c r="A80" s="13"/>
      <c r="B80" s="13"/>
      <c r="C80" s="16">
        <v>6</v>
      </c>
      <c r="D80" s="19">
        <v>19.2180224373333</v>
      </c>
      <c r="E80" s="20">
        <f t="shared" si="73"/>
        <v>14.342813444129</v>
      </c>
      <c r="F80" s="16" t="s">
        <v>110</v>
      </c>
      <c r="G80" s="13">
        <v>7</v>
      </c>
      <c r="H80" s="18">
        <f t="shared" si="57"/>
        <v>19.2180224373333</v>
      </c>
      <c r="I80" s="18">
        <f t="shared" si="58"/>
        <v>292.368022437333</v>
      </c>
      <c r="J80" s="18">
        <f t="shared" si="59"/>
        <v>0.18147150948071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1.52106503446657</v>
      </c>
      <c r="P80" s="18">
        <f t="shared" si="62"/>
        <v>0.276029967822977</v>
      </c>
      <c r="Q80" s="24">
        <f t="shared" si="63"/>
        <v>0.0828089903468932</v>
      </c>
      <c r="R80" s="18">
        <f t="shared" si="64"/>
        <v>0.156366</v>
      </c>
      <c r="S80" s="25">
        <f t="shared" si="65"/>
        <v>0.52958437478028</v>
      </c>
      <c r="T80" s="3">
        <v>0.01</v>
      </c>
      <c r="U80" s="26">
        <f t="shared" si="66"/>
        <v>0.0052958437478028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0.0152458437478028</v>
      </c>
      <c r="AU80" s="29">
        <f t="shared" si="70"/>
        <v>52.122</v>
      </c>
      <c r="AV80" s="1">
        <f t="shared" si="71"/>
        <v>0.3</v>
      </c>
      <c r="AW80" s="2">
        <f t="shared" si="75"/>
        <v>5.22443422457893</v>
      </c>
      <c r="AX80" s="1">
        <f t="shared" si="72"/>
        <v>8344.64488500634</v>
      </c>
    </row>
    <row r="81" s="1" customFormat="1" spans="1:50">
      <c r="A81" s="13"/>
      <c r="B81" s="13"/>
      <c r="C81" s="16">
        <v>7</v>
      </c>
      <c r="D81" s="19">
        <v>23.4682770458064</v>
      </c>
      <c r="E81" s="20">
        <f t="shared" si="73"/>
        <v>19.2180224373333</v>
      </c>
      <c r="F81" s="16" t="s">
        <v>110</v>
      </c>
      <c r="G81" s="13">
        <v>8</v>
      </c>
      <c r="H81" s="18">
        <f t="shared" si="57"/>
        <v>23.4682770458064</v>
      </c>
      <c r="I81" s="18">
        <f t="shared" si="58"/>
        <v>296.618277045806</v>
      </c>
      <c r="J81" s="18">
        <f t="shared" si="59"/>
        <v>0.292452252498342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1.7662550666436</v>
      </c>
      <c r="P81" s="18">
        <f t="shared" si="62"/>
        <v>0.516545272726529</v>
      </c>
      <c r="Q81" s="24">
        <f t="shared" si="63"/>
        <v>0.154963581817959</v>
      </c>
      <c r="R81" s="18">
        <f t="shared" si="64"/>
        <v>0.156366</v>
      </c>
      <c r="S81" s="25">
        <f t="shared" si="65"/>
        <v>0.991031182085355</v>
      </c>
      <c r="T81" s="3">
        <v>0.01</v>
      </c>
      <c r="U81" s="26">
        <f t="shared" si="66"/>
        <v>0.00991031182085356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0.0198603118208536</v>
      </c>
      <c r="AU81" s="29">
        <f t="shared" si="70"/>
        <v>52.122</v>
      </c>
      <c r="AV81" s="1">
        <f t="shared" si="71"/>
        <v>0.3</v>
      </c>
      <c r="AW81" s="2">
        <f t="shared" si="75"/>
        <v>5.22443422457893</v>
      </c>
      <c r="AX81" s="1">
        <f t="shared" si="72"/>
        <v>10870.3232298574</v>
      </c>
    </row>
    <row r="82" s="1" customFormat="1" spans="1:50">
      <c r="A82" s="13"/>
      <c r="B82" s="13"/>
      <c r="C82" s="16">
        <v>8</v>
      </c>
      <c r="D82" s="19">
        <v>21.5068787580645</v>
      </c>
      <c r="E82" s="20">
        <f t="shared" si="73"/>
        <v>23.4682770458064</v>
      </c>
      <c r="F82" s="16" t="s">
        <v>110</v>
      </c>
      <c r="G82" s="13">
        <v>9</v>
      </c>
      <c r="H82" s="18">
        <f t="shared" si="57"/>
        <v>21.5068787580645</v>
      </c>
      <c r="I82" s="18">
        <f t="shared" si="58"/>
        <v>294.656878758064</v>
      </c>
      <c r="J82" s="18">
        <f t="shared" si="59"/>
        <v>0.235048894383118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1.77092979391707</v>
      </c>
      <c r="P82" s="18">
        <f t="shared" si="62"/>
        <v>0.41625509009033</v>
      </c>
      <c r="Q82" s="24">
        <f t="shared" si="63"/>
        <v>0.124876527027099</v>
      </c>
      <c r="R82" s="18">
        <f t="shared" si="64"/>
        <v>0.156366</v>
      </c>
      <c r="S82" s="25">
        <f t="shared" si="65"/>
        <v>0.798616879801868</v>
      </c>
      <c r="T82" s="3">
        <v>0.01</v>
      </c>
      <c r="U82" s="26">
        <f t="shared" si="66"/>
        <v>0.00798616879801868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0.0134761687980187</v>
      </c>
      <c r="AU82" s="29">
        <f t="shared" si="70"/>
        <v>52.122</v>
      </c>
      <c r="AV82" s="1">
        <f t="shared" si="71"/>
        <v>0.3</v>
      </c>
      <c r="AW82" s="2">
        <f t="shared" si="75"/>
        <v>5.22443422457893</v>
      </c>
      <c r="AX82" s="1">
        <f t="shared" si="72"/>
        <v>7376.03276604978</v>
      </c>
    </row>
    <row r="83" s="1" customFormat="1" spans="1:50">
      <c r="A83" s="13"/>
      <c r="B83" s="13"/>
      <c r="C83" s="16">
        <v>9</v>
      </c>
      <c r="D83" s="19">
        <v>14.8985685176</v>
      </c>
      <c r="E83" s="20">
        <f t="shared" si="73"/>
        <v>21.5068787580645</v>
      </c>
      <c r="F83" s="16" t="s">
        <v>110</v>
      </c>
      <c r="G83" s="13">
        <v>10</v>
      </c>
      <c r="H83" s="18">
        <f t="shared" si="57"/>
        <v>14.8985685176</v>
      </c>
      <c r="I83" s="18">
        <f t="shared" si="58"/>
        <v>288.0485685176</v>
      </c>
      <c r="J83" s="18">
        <f t="shared" si="59"/>
        <v>0.110134034173835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1.87589470382674</v>
      </c>
      <c r="P83" s="18">
        <f t="shared" si="62"/>
        <v>0.20659985141777</v>
      </c>
      <c r="Q83" s="24">
        <f t="shared" si="63"/>
        <v>0.061979955425331</v>
      </c>
      <c r="R83" s="18">
        <f t="shared" si="64"/>
        <v>0.156366</v>
      </c>
      <c r="S83" s="25">
        <f t="shared" si="65"/>
        <v>0.396377444107613</v>
      </c>
      <c r="T83" s="3">
        <v>0.01</v>
      </c>
      <c r="U83" s="26">
        <f t="shared" si="66"/>
        <v>0.00396377444107613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0.00945377444107613</v>
      </c>
      <c r="AU83" s="29">
        <f t="shared" si="70"/>
        <v>52.122</v>
      </c>
      <c r="AV83" s="1">
        <f t="shared" si="71"/>
        <v>0.3</v>
      </c>
      <c r="AW83" s="2">
        <f t="shared" si="75"/>
        <v>5.22443422457893</v>
      </c>
      <c r="AX83" s="1">
        <f t="shared" si="72"/>
        <v>5174.41945744058</v>
      </c>
    </row>
    <row r="84" s="1" customFormat="1" spans="1:50">
      <c r="A84" s="13"/>
      <c r="B84" s="13"/>
      <c r="C84" s="16">
        <v>10</v>
      </c>
      <c r="D84" s="19">
        <v>3.62459868303226</v>
      </c>
      <c r="E84" s="20">
        <f t="shared" si="73"/>
        <v>14.8985685176</v>
      </c>
      <c r="F84" s="16" t="s">
        <v>110</v>
      </c>
      <c r="G84" s="13">
        <v>11</v>
      </c>
      <c r="H84" s="18">
        <f t="shared" si="57"/>
        <v>3.62459868303226</v>
      </c>
      <c r="I84" s="18">
        <f t="shared" si="58"/>
        <v>276.774598683032</v>
      </c>
      <c r="J84" s="18">
        <f t="shared" si="59"/>
        <v>0.0277935384318113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1.58583010978852</v>
      </c>
      <c r="O84" s="18">
        <f t="shared" si="74"/>
        <v>0.604684742620448</v>
      </c>
      <c r="P84" s="18">
        <f t="shared" si="62"/>
        <v>0.0168063286331514</v>
      </c>
      <c r="Q84" s="24">
        <f t="shared" si="63"/>
        <v>0.00504189858994541</v>
      </c>
      <c r="R84" s="18">
        <f t="shared" si="64"/>
        <v>0.156366</v>
      </c>
      <c r="S84" s="25">
        <f t="shared" si="65"/>
        <v>0.0322442128720144</v>
      </c>
      <c r="T84" s="3">
        <v>0.01</v>
      </c>
      <c r="U84" s="26">
        <f t="shared" si="66"/>
        <v>0.000322442128720144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0.00581244212872014</v>
      </c>
      <c r="AU84" s="29">
        <f t="shared" si="70"/>
        <v>52.122</v>
      </c>
      <c r="AV84" s="1">
        <f t="shared" si="71"/>
        <v>0.3</v>
      </c>
      <c r="AW84" s="2">
        <f t="shared" si="75"/>
        <v>5.22443422457893</v>
      </c>
      <c r="AX84" s="1">
        <f t="shared" si="72"/>
        <v>3181.37626760146</v>
      </c>
    </row>
    <row r="85" s="1" customFormat="1" spans="1:51">
      <c r="A85" s="13"/>
      <c r="B85" s="13"/>
      <c r="C85" s="16">
        <v>11</v>
      </c>
      <c r="D85" s="19">
        <v>-7.02813963433333</v>
      </c>
      <c r="E85" s="20">
        <f t="shared" si="73"/>
        <v>3.62459868303226</v>
      </c>
      <c r="F85" s="16" t="s">
        <v>112</v>
      </c>
      <c r="G85" s="13">
        <v>12</v>
      </c>
      <c r="H85" s="18">
        <f t="shared" si="57"/>
        <v>-7.02813963433333</v>
      </c>
      <c r="I85" s="18">
        <f t="shared" si="58"/>
        <v>266.121860365667</v>
      </c>
      <c r="J85" s="18">
        <f t="shared" si="59"/>
        <v>0.00679770070290697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1.1090984139873</v>
      </c>
      <c r="P85" s="18">
        <f t="shared" si="62"/>
        <v>0.00753931906835445</v>
      </c>
      <c r="Q85" s="24">
        <f t="shared" si="63"/>
        <v>0.00226179572050634</v>
      </c>
      <c r="R85" s="18">
        <f t="shared" si="64"/>
        <v>0.156366</v>
      </c>
      <c r="S85" s="25">
        <f t="shared" si="65"/>
        <v>0.0144647539778874</v>
      </c>
      <c r="T85" s="3">
        <v>0.01</v>
      </c>
      <c r="U85" s="26">
        <f t="shared" si="66"/>
        <v>0.000144647539778874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0.00563464753977887</v>
      </c>
      <c r="AU85" s="29">
        <f t="shared" si="70"/>
        <v>52.122</v>
      </c>
      <c r="AV85" s="1">
        <f t="shared" si="71"/>
        <v>0.3</v>
      </c>
      <c r="AW85" s="2">
        <f t="shared" si="75"/>
        <v>5.22443422457893</v>
      </c>
      <c r="AX85" s="1">
        <f t="shared" si="72"/>
        <v>3084.06235492251</v>
      </c>
      <c r="AY85" s="1">
        <f>SUM(AX74:AX85)</f>
        <v>62899.6336431184</v>
      </c>
    </row>
    <row r="86" s="1" customFormat="1" spans="1:46">
      <c r="A86" s="13"/>
      <c r="B86" s="13"/>
      <c r="C86" s="16">
        <v>12</v>
      </c>
      <c r="D86" s="19">
        <v>-11.2300724427742</v>
      </c>
      <c r="E86" s="20">
        <f t="shared" si="73"/>
        <v>-7.02813963433333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-17</v>
      </c>
      <c r="E90" s="16"/>
      <c r="F90" s="16"/>
      <c r="G90" s="13">
        <v>1</v>
      </c>
      <c r="H90" s="18">
        <f t="shared" ref="H90:H101" si="76">E91</f>
        <v>-17</v>
      </c>
      <c r="I90" s="18">
        <f t="shared" ref="I90:I101" si="77">H90+273.15</f>
        <v>256.15</v>
      </c>
      <c r="J90" s="18">
        <f t="shared" ref="J90:J101" si="78">EXP(($C$16*(I90-$C$14))/($C$17*I90*$C$14))</f>
        <v>0.0016359658543035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0.000465759478720206</v>
      </c>
      <c r="Q90" s="24">
        <f t="shared" ref="Q90:Q101" si="82">P90*$B$76</f>
        <v>0.000139727843616062</v>
      </c>
      <c r="R90" s="18">
        <f t="shared" ref="R90:R101" si="83">L90*$B$76</f>
        <v>0.08541</v>
      </c>
      <c r="S90" s="25">
        <f t="shared" ref="S90:S101" si="84">Q90/R90</f>
        <v>0.0016359658543035</v>
      </c>
      <c r="T90" s="3">
        <v>0.01</v>
      </c>
      <c r="U90" s="26">
        <f t="shared" ref="U90:U101" si="85">S90*T90</f>
        <v>1.6359658543035e-5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0.00550635965854303</v>
      </c>
      <c r="AU90" s="29">
        <f t="shared" ref="AU90:AU101" si="89">$B$90/12</f>
        <v>28.47</v>
      </c>
      <c r="AV90" s="1">
        <f t="shared" ref="AV90:AV101" si="90">$B$76</f>
        <v>0.3</v>
      </c>
      <c r="AW90" s="2">
        <f>$E$9/12</f>
        <v>6.76886758238839</v>
      </c>
      <c r="AX90" s="1">
        <f t="shared" ref="AX90:AX101" si="91">AW90*10000*AV90*0.67*AU90*AT90</f>
        <v>2132.8686830288</v>
      </c>
      <c r="AZ90" s="2">
        <f>$E$10/12</f>
        <v>0.937254650769075</v>
      </c>
      <c r="BA90" s="1">
        <f t="shared" ref="BA90:BA101" si="92">AZ90*10000*AV90*0.67*AU90*AT90</f>
        <v>295.328733841636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-18.5473705283871</v>
      </c>
      <c r="E91" s="20">
        <f t="shared" ref="E91:E102" si="93">D90</f>
        <v>-17</v>
      </c>
      <c r="F91" s="16" t="s">
        <v>110</v>
      </c>
      <c r="G91" s="13">
        <v>2</v>
      </c>
      <c r="H91" s="18">
        <f t="shared" si="76"/>
        <v>-18.5473705283871</v>
      </c>
      <c r="I91" s="18">
        <f t="shared" si="77"/>
        <v>254.602629471613</v>
      </c>
      <c r="J91" s="18">
        <f t="shared" si="78"/>
        <v>0.00129850244073829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0.56893424052128</v>
      </c>
      <c r="P91" s="18">
        <f t="shared" si="81"/>
        <v>0.000738762499936467</v>
      </c>
      <c r="Q91" s="24">
        <f t="shared" si="82"/>
        <v>0.00022162874998094</v>
      </c>
      <c r="R91" s="18">
        <f t="shared" si="83"/>
        <v>0.08541</v>
      </c>
      <c r="S91" s="25">
        <f t="shared" si="84"/>
        <v>0.0025948805758218</v>
      </c>
      <c r="T91" s="3">
        <v>0.01</v>
      </c>
      <c r="U91" s="26">
        <f t="shared" si="85"/>
        <v>2.5948805758218e-5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0.00551594880575822</v>
      </c>
      <c r="AU91" s="29">
        <f t="shared" si="89"/>
        <v>28.47</v>
      </c>
      <c r="AV91" s="1">
        <f t="shared" si="90"/>
        <v>0.3</v>
      </c>
      <c r="AW91" s="2">
        <f t="shared" ref="AW91:AW101" si="95">$E$9/12</f>
        <v>6.76886758238839</v>
      </c>
      <c r="AX91" s="1">
        <f t="shared" si="91"/>
        <v>2136.58300484221</v>
      </c>
      <c r="AZ91" s="2">
        <f t="shared" ref="AZ91:AZ101" si="96">$E$10/12</f>
        <v>0.937254650769075</v>
      </c>
      <c r="BA91" s="1">
        <f t="shared" si="92"/>
        <v>295.843039277767</v>
      </c>
    </row>
    <row r="92" s="1" customFormat="1" spans="1:53">
      <c r="A92" s="13" t="s">
        <v>73</v>
      </c>
      <c r="B92" s="13">
        <v>0.33</v>
      </c>
      <c r="C92" s="16">
        <v>2</v>
      </c>
      <c r="D92" s="19">
        <v>-11.6159677528276</v>
      </c>
      <c r="E92" s="20">
        <f t="shared" si="93"/>
        <v>-18.5473705283871</v>
      </c>
      <c r="F92" s="16" t="s">
        <v>110</v>
      </c>
      <c r="G92" s="13">
        <v>3</v>
      </c>
      <c r="H92" s="18">
        <f t="shared" si="76"/>
        <v>-11.6159677528276</v>
      </c>
      <c r="I92" s="18">
        <f t="shared" si="77"/>
        <v>261.534032247172</v>
      </c>
      <c r="J92" s="18">
        <f t="shared" si="78"/>
        <v>0.00357785370842062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0.852895478021343</v>
      </c>
      <c r="P92" s="18">
        <f t="shared" si="81"/>
        <v>0.00305153524893384</v>
      </c>
      <c r="Q92" s="24">
        <f t="shared" si="82"/>
        <v>0.000915460574680152</v>
      </c>
      <c r="R92" s="18">
        <f t="shared" si="83"/>
        <v>0.08541</v>
      </c>
      <c r="S92" s="25">
        <f t="shared" si="84"/>
        <v>0.0107184237756721</v>
      </c>
      <c r="T92" s="3">
        <v>0.01</v>
      </c>
      <c r="U92" s="26">
        <f t="shared" si="85"/>
        <v>0.000107184237756721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0.00559718423775672</v>
      </c>
      <c r="AU92" s="29">
        <f t="shared" si="89"/>
        <v>28.47</v>
      </c>
      <c r="AV92" s="1">
        <f t="shared" si="90"/>
        <v>0.3</v>
      </c>
      <c r="AW92" s="2">
        <f t="shared" si="95"/>
        <v>6.76886758238839</v>
      </c>
      <c r="AX92" s="1">
        <f t="shared" si="91"/>
        <v>2168.04925833931</v>
      </c>
      <c r="AZ92" s="2">
        <f t="shared" si="96"/>
        <v>0.937254650769075</v>
      </c>
      <c r="BA92" s="1">
        <f t="shared" si="92"/>
        <v>300.200029878258</v>
      </c>
    </row>
    <row r="93" s="1" customFormat="1" spans="1:53">
      <c r="A93" s="13"/>
      <c r="B93" s="13"/>
      <c r="C93" s="16">
        <v>3</v>
      </c>
      <c r="D93" s="19">
        <v>-0.51774251516129</v>
      </c>
      <c r="E93" s="20">
        <f t="shared" si="93"/>
        <v>-11.6159677528276</v>
      </c>
      <c r="F93" s="16" t="s">
        <v>110</v>
      </c>
      <c r="G93" s="13">
        <v>4</v>
      </c>
      <c r="H93" s="18">
        <f t="shared" si="76"/>
        <v>-0.51774251516129</v>
      </c>
      <c r="I93" s="18">
        <f t="shared" si="77"/>
        <v>272.632257484839</v>
      </c>
      <c r="J93" s="18">
        <f t="shared" si="78"/>
        <v>0.016285753336736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1.13454394277241</v>
      </c>
      <c r="P93" s="18">
        <f t="shared" si="81"/>
        <v>0.0184769028016794</v>
      </c>
      <c r="Q93" s="24">
        <f t="shared" si="82"/>
        <v>0.00554307084050382</v>
      </c>
      <c r="R93" s="18">
        <f t="shared" si="83"/>
        <v>0.08541</v>
      </c>
      <c r="S93" s="25">
        <f t="shared" si="84"/>
        <v>0.0648995532198082</v>
      </c>
      <c r="T93" s="3">
        <v>0.01</v>
      </c>
      <c r="U93" s="26">
        <f t="shared" si="85"/>
        <v>0.000648995532198082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0.00613899553219808</v>
      </c>
      <c r="AU93" s="29">
        <f t="shared" si="89"/>
        <v>28.47</v>
      </c>
      <c r="AV93" s="1">
        <f t="shared" si="90"/>
        <v>0.3</v>
      </c>
      <c r="AW93" s="2">
        <f t="shared" si="95"/>
        <v>6.76886758238839</v>
      </c>
      <c r="AX93" s="1">
        <f t="shared" si="91"/>
        <v>2377.91792179147</v>
      </c>
      <c r="AZ93" s="2">
        <f t="shared" si="96"/>
        <v>0.937254650769075</v>
      </c>
      <c r="BA93" s="1">
        <f t="shared" si="92"/>
        <v>329.25959981031</v>
      </c>
    </row>
    <row r="94" s="1" customFormat="1" spans="1:53">
      <c r="A94" s="13"/>
      <c r="B94" s="13"/>
      <c r="C94" s="16">
        <v>4</v>
      </c>
      <c r="D94" s="19">
        <v>7.94169272153333</v>
      </c>
      <c r="E94" s="20">
        <f t="shared" si="93"/>
        <v>-0.51774251516129</v>
      </c>
      <c r="F94" s="16" t="s">
        <v>110</v>
      </c>
      <c r="G94" s="13">
        <v>5</v>
      </c>
      <c r="H94" s="18">
        <f t="shared" si="76"/>
        <v>7.94169272153333</v>
      </c>
      <c r="I94" s="18">
        <f t="shared" si="77"/>
        <v>281.091692721533</v>
      </c>
      <c r="J94" s="18">
        <f t="shared" si="78"/>
        <v>0.0477080981654761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1.06026368797219</v>
      </c>
      <c r="O94" s="18">
        <f t="shared" si="94"/>
        <v>0.340503351998537</v>
      </c>
      <c r="P94" s="18">
        <f t="shared" si="81"/>
        <v>0.0162447673428198</v>
      </c>
      <c r="Q94" s="24">
        <f t="shared" si="82"/>
        <v>0.00487343020284595</v>
      </c>
      <c r="R94" s="18">
        <f t="shared" si="83"/>
        <v>0.08541</v>
      </c>
      <c r="S94" s="25">
        <f t="shared" si="84"/>
        <v>0.057059246023252</v>
      </c>
      <c r="T94" s="3">
        <v>0.01</v>
      </c>
      <c r="U94" s="26">
        <f t="shared" si="85"/>
        <v>0.00057059246023252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0.0105205924602325</v>
      </c>
      <c r="AU94" s="29">
        <f t="shared" si="89"/>
        <v>28.47</v>
      </c>
      <c r="AV94" s="1">
        <f t="shared" si="90"/>
        <v>0.3</v>
      </c>
      <c r="AW94" s="2">
        <f t="shared" si="95"/>
        <v>6.76886758238839</v>
      </c>
      <c r="AX94" s="1">
        <f t="shared" si="91"/>
        <v>4075.11379147293</v>
      </c>
      <c r="AZ94" s="2">
        <f t="shared" si="96"/>
        <v>0.937254650769075</v>
      </c>
      <c r="BA94" s="1">
        <f t="shared" si="92"/>
        <v>564.262678650824</v>
      </c>
    </row>
    <row r="95" s="1" customFormat="1" spans="1:53">
      <c r="A95" s="13"/>
      <c r="B95" s="13"/>
      <c r="C95" s="16">
        <v>5</v>
      </c>
      <c r="D95" s="19">
        <v>14.342813444129</v>
      </c>
      <c r="E95" s="20">
        <f t="shared" si="93"/>
        <v>7.94169272153333</v>
      </c>
      <c r="F95" s="16" t="s">
        <v>112</v>
      </c>
      <c r="G95" s="13">
        <v>6</v>
      </c>
      <c r="H95" s="18">
        <f t="shared" si="76"/>
        <v>14.342813444129</v>
      </c>
      <c r="I95" s="18">
        <f t="shared" si="77"/>
        <v>287.492813444129</v>
      </c>
      <c r="J95" s="18">
        <f t="shared" si="78"/>
        <v>0.103167512344939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0.608958584655717</v>
      </c>
      <c r="P95" s="18">
        <f t="shared" si="81"/>
        <v>0.0628247423000252</v>
      </c>
      <c r="Q95" s="24">
        <f t="shared" si="82"/>
        <v>0.0188474226900076</v>
      </c>
      <c r="R95" s="18">
        <f t="shared" si="83"/>
        <v>0.08541</v>
      </c>
      <c r="S95" s="25">
        <f t="shared" si="84"/>
        <v>0.220669976466545</v>
      </c>
      <c r="T95" s="3">
        <v>0.01</v>
      </c>
      <c r="U95" s="26">
        <f t="shared" si="85"/>
        <v>0.00220669976466545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0.0121566997646654</v>
      </c>
      <c r="AU95" s="29">
        <f t="shared" si="89"/>
        <v>28.47</v>
      </c>
      <c r="AV95" s="1">
        <f t="shared" si="90"/>
        <v>0.3</v>
      </c>
      <c r="AW95" s="2">
        <f t="shared" si="95"/>
        <v>6.76886758238839</v>
      </c>
      <c r="AX95" s="1">
        <f t="shared" si="91"/>
        <v>4708.85409325027</v>
      </c>
      <c r="AZ95" s="2">
        <f t="shared" si="96"/>
        <v>0.937254650769075</v>
      </c>
      <c r="BA95" s="1">
        <f t="shared" si="92"/>
        <v>652.013847955133</v>
      </c>
    </row>
    <row r="96" s="1" customFormat="1" spans="1:53">
      <c r="A96" s="13"/>
      <c r="B96" s="13"/>
      <c r="C96" s="16">
        <v>6</v>
      </c>
      <c r="D96" s="19">
        <v>19.2180224373333</v>
      </c>
      <c r="E96" s="20">
        <f t="shared" si="93"/>
        <v>14.342813444129</v>
      </c>
      <c r="F96" s="16" t="s">
        <v>110</v>
      </c>
      <c r="G96" s="13">
        <v>7</v>
      </c>
      <c r="H96" s="18">
        <f t="shared" si="76"/>
        <v>19.2180224373333</v>
      </c>
      <c r="I96" s="18">
        <f t="shared" si="77"/>
        <v>292.368022437333</v>
      </c>
      <c r="J96" s="18">
        <f t="shared" si="78"/>
        <v>0.18147150948071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0.830833842355691</v>
      </c>
      <c r="P96" s="18">
        <f t="shared" si="81"/>
        <v>0.150772671499946</v>
      </c>
      <c r="Q96" s="24">
        <f t="shared" si="82"/>
        <v>0.0452318014499837</v>
      </c>
      <c r="R96" s="18">
        <f t="shared" si="83"/>
        <v>0.08541</v>
      </c>
      <c r="S96" s="25">
        <f t="shared" si="84"/>
        <v>0.529584374780279</v>
      </c>
      <c r="T96" s="3">
        <v>0.01</v>
      </c>
      <c r="U96" s="26">
        <f t="shared" si="85"/>
        <v>0.00529584374780279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0.0152458437478028</v>
      </c>
      <c r="AU96" s="29">
        <f t="shared" si="89"/>
        <v>28.47</v>
      </c>
      <c r="AV96" s="1">
        <f t="shared" si="90"/>
        <v>0.3</v>
      </c>
      <c r="AW96" s="2">
        <f t="shared" si="95"/>
        <v>6.76886758238839</v>
      </c>
      <c r="AX96" s="1">
        <f t="shared" si="91"/>
        <v>5905.42294591833</v>
      </c>
      <c r="AZ96" s="2">
        <f t="shared" si="96"/>
        <v>0.937254650769075</v>
      </c>
      <c r="BA96" s="1">
        <f t="shared" si="92"/>
        <v>817.697355348083</v>
      </c>
    </row>
    <row r="97" s="1" customFormat="1" spans="1:53">
      <c r="A97" s="13"/>
      <c r="B97" s="13"/>
      <c r="C97" s="16">
        <v>7</v>
      </c>
      <c r="D97" s="19">
        <v>23.4682770458064</v>
      </c>
      <c r="E97" s="20">
        <f t="shared" si="93"/>
        <v>19.2180224373333</v>
      </c>
      <c r="F97" s="16" t="s">
        <v>110</v>
      </c>
      <c r="G97" s="13">
        <v>8</v>
      </c>
      <c r="H97" s="18">
        <f t="shared" si="76"/>
        <v>23.4682770458064</v>
      </c>
      <c r="I97" s="18">
        <f t="shared" si="77"/>
        <v>296.618277045806</v>
      </c>
      <c r="J97" s="18">
        <f t="shared" si="78"/>
        <v>0.292452252498342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0.964761170855746</v>
      </c>
      <c r="P97" s="18">
        <f t="shared" si="81"/>
        <v>0.282146577539701</v>
      </c>
      <c r="Q97" s="24">
        <f t="shared" si="82"/>
        <v>0.0846439732619102</v>
      </c>
      <c r="R97" s="18">
        <f t="shared" si="83"/>
        <v>0.08541</v>
      </c>
      <c r="S97" s="25">
        <f t="shared" si="84"/>
        <v>0.991031182085355</v>
      </c>
      <c r="T97" s="3">
        <v>0.01</v>
      </c>
      <c r="U97" s="26">
        <f t="shared" si="85"/>
        <v>0.00991031182085355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0.0198603118208536</v>
      </c>
      <c r="AU97" s="29">
        <f t="shared" si="89"/>
        <v>28.47</v>
      </c>
      <c r="AV97" s="1">
        <f t="shared" si="90"/>
        <v>0.3</v>
      </c>
      <c r="AW97" s="2">
        <f t="shared" si="95"/>
        <v>6.76886758238839</v>
      </c>
      <c r="AX97" s="1">
        <f t="shared" si="91"/>
        <v>7692.82061918444</v>
      </c>
      <c r="AZ97" s="2">
        <f t="shared" si="96"/>
        <v>0.937254650769075</v>
      </c>
      <c r="BA97" s="1">
        <f t="shared" si="92"/>
        <v>1065.19027224326</v>
      </c>
    </row>
    <row r="98" s="1" customFormat="1" spans="1:53">
      <c r="A98" s="13"/>
      <c r="B98" s="13"/>
      <c r="C98" s="16">
        <v>8</v>
      </c>
      <c r="D98" s="19">
        <v>21.5068787580645</v>
      </c>
      <c r="E98" s="20">
        <f t="shared" si="93"/>
        <v>23.4682770458064</v>
      </c>
      <c r="F98" s="16" t="s">
        <v>110</v>
      </c>
      <c r="G98" s="13">
        <v>9</v>
      </c>
      <c r="H98" s="18">
        <f t="shared" si="76"/>
        <v>21.5068787580645</v>
      </c>
      <c r="I98" s="18">
        <f t="shared" si="77"/>
        <v>294.656878758064</v>
      </c>
      <c r="J98" s="18">
        <f t="shared" si="78"/>
        <v>0.235048894383118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0.967314593316045</v>
      </c>
      <c r="P98" s="18">
        <f t="shared" si="81"/>
        <v>0.227366225679592</v>
      </c>
      <c r="Q98" s="24">
        <f t="shared" si="82"/>
        <v>0.0682098677038775</v>
      </c>
      <c r="R98" s="18">
        <f t="shared" si="83"/>
        <v>0.08541</v>
      </c>
      <c r="S98" s="25">
        <f t="shared" si="84"/>
        <v>0.798616879801868</v>
      </c>
      <c r="T98" s="3">
        <v>0.01</v>
      </c>
      <c r="U98" s="26">
        <f t="shared" si="85"/>
        <v>0.00798616879801868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0.0134761687980187</v>
      </c>
      <c r="AU98" s="29">
        <f t="shared" si="89"/>
        <v>28.47</v>
      </c>
      <c r="AV98" s="1">
        <f t="shared" si="90"/>
        <v>0.3</v>
      </c>
      <c r="AW98" s="2">
        <f t="shared" si="95"/>
        <v>6.76886758238839</v>
      </c>
      <c r="AX98" s="1">
        <f t="shared" si="91"/>
        <v>5219.94569532155</v>
      </c>
      <c r="AZ98" s="2">
        <f t="shared" si="96"/>
        <v>0.937254650769075</v>
      </c>
      <c r="BA98" s="1">
        <f t="shared" si="92"/>
        <v>722.782403430596</v>
      </c>
    </row>
    <row r="99" s="1" customFormat="1" spans="1:53">
      <c r="A99" s="13"/>
      <c r="B99" s="13"/>
      <c r="C99" s="16">
        <v>9</v>
      </c>
      <c r="D99" s="19">
        <v>14.8985685176</v>
      </c>
      <c r="E99" s="20">
        <f t="shared" si="93"/>
        <v>21.5068787580645</v>
      </c>
      <c r="F99" s="16" t="s">
        <v>110</v>
      </c>
      <c r="G99" s="13">
        <v>10</v>
      </c>
      <c r="H99" s="18">
        <f t="shared" si="76"/>
        <v>14.8985685176</v>
      </c>
      <c r="I99" s="18">
        <f t="shared" si="77"/>
        <v>288.0485685176</v>
      </c>
      <c r="J99" s="18">
        <f t="shared" si="78"/>
        <v>0.110134034173835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1.02464836763645</v>
      </c>
      <c r="P99" s="18">
        <f t="shared" si="81"/>
        <v>0.112848658337437</v>
      </c>
      <c r="Q99" s="24">
        <f t="shared" si="82"/>
        <v>0.0338545975012312</v>
      </c>
      <c r="R99" s="18">
        <f t="shared" si="83"/>
        <v>0.08541</v>
      </c>
      <c r="S99" s="25">
        <f t="shared" si="84"/>
        <v>0.396377444107613</v>
      </c>
      <c r="T99" s="3">
        <v>0.01</v>
      </c>
      <c r="U99" s="26">
        <f t="shared" si="85"/>
        <v>0.00396377444107613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0.00945377444107613</v>
      </c>
      <c r="AU99" s="29">
        <f t="shared" si="89"/>
        <v>28.47</v>
      </c>
      <c r="AV99" s="1">
        <f t="shared" si="90"/>
        <v>0.3</v>
      </c>
      <c r="AW99" s="2">
        <f t="shared" si="95"/>
        <v>6.76886758238839</v>
      </c>
      <c r="AX99" s="1">
        <f t="shared" si="91"/>
        <v>3661.88565443701</v>
      </c>
      <c r="AZ99" s="2">
        <f t="shared" si="96"/>
        <v>0.937254650769075</v>
      </c>
      <c r="BA99" s="1">
        <f t="shared" si="92"/>
        <v>507.044837032345</v>
      </c>
    </row>
    <row r="100" s="1" customFormat="1" spans="1:53">
      <c r="A100" s="13"/>
      <c r="B100" s="13"/>
      <c r="C100" s="16">
        <v>10</v>
      </c>
      <c r="D100" s="19">
        <v>3.62459868303226</v>
      </c>
      <c r="E100" s="20">
        <f t="shared" si="93"/>
        <v>14.8985685176</v>
      </c>
      <c r="F100" s="16" t="s">
        <v>110</v>
      </c>
      <c r="G100" s="13">
        <v>11</v>
      </c>
      <c r="H100" s="18">
        <f t="shared" si="76"/>
        <v>3.62459868303226</v>
      </c>
      <c r="I100" s="18">
        <f t="shared" si="77"/>
        <v>276.774598683032</v>
      </c>
      <c r="J100" s="18">
        <f t="shared" si="78"/>
        <v>0.0277935384318113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0.866209723834065</v>
      </c>
      <c r="O100" s="18">
        <f t="shared" si="94"/>
        <v>0.330289985464951</v>
      </c>
      <c r="P100" s="18">
        <f t="shared" si="81"/>
        <v>0.00917992740466251</v>
      </c>
      <c r="Q100" s="24">
        <f t="shared" si="82"/>
        <v>0.00275397822139875</v>
      </c>
      <c r="R100" s="18">
        <f t="shared" si="83"/>
        <v>0.08541</v>
      </c>
      <c r="S100" s="25">
        <f t="shared" si="84"/>
        <v>0.0322442128720144</v>
      </c>
      <c r="T100" s="3">
        <v>0.01</v>
      </c>
      <c r="U100" s="26">
        <f t="shared" si="85"/>
        <v>0.000322442128720144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0.00581244212872014</v>
      </c>
      <c r="AU100" s="29">
        <f t="shared" si="89"/>
        <v>28.47</v>
      </c>
      <c r="AV100" s="1">
        <f t="shared" si="90"/>
        <v>0.3</v>
      </c>
      <c r="AW100" s="2">
        <f t="shared" si="95"/>
        <v>6.76886758238839</v>
      </c>
      <c r="AX100" s="1">
        <f t="shared" si="91"/>
        <v>2251.42863107942</v>
      </c>
      <c r="AZ100" s="2">
        <f t="shared" si="96"/>
        <v>0.937254650769075</v>
      </c>
      <c r="BA100" s="1">
        <f t="shared" si="92"/>
        <v>311.745196618142</v>
      </c>
    </row>
    <row r="101" s="1" customFormat="1" spans="1:54">
      <c r="A101" s="13"/>
      <c r="B101" s="13"/>
      <c r="C101" s="16">
        <v>11</v>
      </c>
      <c r="D101" s="19">
        <v>-7.02813963433333</v>
      </c>
      <c r="E101" s="20">
        <f t="shared" si="93"/>
        <v>3.62459868303226</v>
      </c>
      <c r="F101" s="16" t="s">
        <v>112</v>
      </c>
      <c r="G101" s="13">
        <v>12</v>
      </c>
      <c r="H101" s="18">
        <f t="shared" si="76"/>
        <v>-7.02813963433333</v>
      </c>
      <c r="I101" s="18">
        <f t="shared" si="77"/>
        <v>266.121860365667</v>
      </c>
      <c r="J101" s="18">
        <f t="shared" si="78"/>
        <v>0.00679770070290697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0.605810058060288</v>
      </c>
      <c r="P101" s="18">
        <f t="shared" si="81"/>
        <v>0.00411811545750453</v>
      </c>
      <c r="Q101" s="24">
        <f t="shared" si="82"/>
        <v>0.00123543463725136</v>
      </c>
      <c r="R101" s="18">
        <f t="shared" si="83"/>
        <v>0.08541</v>
      </c>
      <c r="S101" s="25">
        <f t="shared" si="84"/>
        <v>0.0144647539778874</v>
      </c>
      <c r="T101" s="3">
        <v>0.01</v>
      </c>
      <c r="U101" s="26">
        <f t="shared" si="85"/>
        <v>0.000144647539778874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0.00563464753977887</v>
      </c>
      <c r="AU101" s="29">
        <f t="shared" si="89"/>
        <v>28.47</v>
      </c>
      <c r="AV101" s="1">
        <f t="shared" si="90"/>
        <v>0.3</v>
      </c>
      <c r="AW101" s="2">
        <f t="shared" si="95"/>
        <v>6.76886758238839</v>
      </c>
      <c r="AX101" s="1">
        <f t="shared" si="91"/>
        <v>2182.56053413692</v>
      </c>
      <c r="AY101" s="1">
        <f>SUM(AX90:AX101)</f>
        <v>44513.4508328026</v>
      </c>
      <c r="AZ101" s="2">
        <f t="shared" si="96"/>
        <v>0.937254650769075</v>
      </c>
      <c r="BA101" s="1">
        <f t="shared" si="92"/>
        <v>302.209340972669</v>
      </c>
      <c r="BB101" s="1">
        <f>SUM(BA90:BA101)</f>
        <v>6163.57733505902</v>
      </c>
    </row>
    <row r="102" s="1" customFormat="1" spans="1:46">
      <c r="A102" s="13"/>
      <c r="B102" s="13"/>
      <c r="C102" s="16">
        <v>12</v>
      </c>
      <c r="D102" s="19">
        <v>-11.2300724427742</v>
      </c>
      <c r="E102" s="20">
        <f t="shared" si="93"/>
        <v>-7.02813963433333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pans="19:45">
      <c r="S103" s="23" t="s">
        <v>80</v>
      </c>
      <c r="T103" s="23"/>
      <c r="U103" s="23"/>
      <c r="V103" s="23" t="s">
        <v>81</v>
      </c>
      <c r="W103" s="23"/>
      <c r="X103" s="23"/>
      <c r="Y103" s="23" t="s">
        <v>82</v>
      </c>
      <c r="Z103" s="23"/>
      <c r="AA103" s="23"/>
      <c r="AB103" s="23" t="s">
        <v>83</v>
      </c>
      <c r="AC103" s="23"/>
      <c r="AD103" s="23"/>
      <c r="AE103" s="23" t="s">
        <v>84</v>
      </c>
      <c r="AF103" s="23"/>
      <c r="AG103" s="23"/>
      <c r="AH103" s="23" t="s">
        <v>85</v>
      </c>
      <c r="AI103" s="23"/>
      <c r="AJ103" s="23"/>
      <c r="AK103" s="31" t="s">
        <v>115</v>
      </c>
      <c r="AL103" s="32"/>
      <c r="AM103" s="33"/>
      <c r="AN103" s="32" t="s">
        <v>116</v>
      </c>
      <c r="AO103" s="32"/>
      <c r="AP103" s="33"/>
      <c r="AQ103" s="23" t="s">
        <v>87</v>
      </c>
      <c r="AR103" s="23"/>
      <c r="AS103" s="23"/>
    </row>
    <row r="104" s="1" customFormat="1" spans="1:50">
      <c r="A104" s="15" t="s">
        <v>52</v>
      </c>
      <c r="B104" s="15"/>
      <c r="C104" s="16" t="s">
        <v>88</v>
      </c>
      <c r="D104" s="16" t="s">
        <v>89</v>
      </c>
      <c r="E104" s="16" t="s">
        <v>90</v>
      </c>
      <c r="F104" s="16" t="s">
        <v>91</v>
      </c>
      <c r="G104" s="13" t="s">
        <v>88</v>
      </c>
      <c r="H104" s="13" t="s">
        <v>90</v>
      </c>
      <c r="I104" s="13" t="s">
        <v>92</v>
      </c>
      <c r="J104" s="13" t="s">
        <v>93</v>
      </c>
      <c r="K104" s="22" t="s">
        <v>94</v>
      </c>
      <c r="L104" s="22" t="s">
        <v>95</v>
      </c>
      <c r="M104" s="13" t="s">
        <v>96</v>
      </c>
      <c r="N104" s="22" t="s">
        <v>97</v>
      </c>
      <c r="O104" s="13" t="s">
        <v>98</v>
      </c>
      <c r="P104" s="13" t="s">
        <v>99</v>
      </c>
      <c r="Q104" s="22" t="s">
        <v>100</v>
      </c>
      <c r="R104" s="22" t="s">
        <v>101</v>
      </c>
      <c r="S104" s="4" t="s">
        <v>102</v>
      </c>
      <c r="T104" s="3" t="s">
        <v>103</v>
      </c>
      <c r="U104" s="3"/>
      <c r="V104" s="4" t="s">
        <v>102</v>
      </c>
      <c r="W104" s="3" t="s">
        <v>103</v>
      </c>
      <c r="X104" s="3"/>
      <c r="Y104" s="4" t="s">
        <v>102</v>
      </c>
      <c r="Z104" s="3" t="s">
        <v>103</v>
      </c>
      <c r="AA104" s="3"/>
      <c r="AB104" s="4" t="s">
        <v>102</v>
      </c>
      <c r="AC104" s="3" t="s">
        <v>103</v>
      </c>
      <c r="AD104" s="3"/>
      <c r="AE104" s="4" t="s">
        <v>102</v>
      </c>
      <c r="AF104" s="3" t="s">
        <v>103</v>
      </c>
      <c r="AG104" s="3"/>
      <c r="AH104" s="4" t="s">
        <v>102</v>
      </c>
      <c r="AI104" s="3" t="s">
        <v>103</v>
      </c>
      <c r="AJ104" s="3"/>
      <c r="AK104" s="4" t="s">
        <v>102</v>
      </c>
      <c r="AL104" s="3" t="s">
        <v>103</v>
      </c>
      <c r="AM104" s="3"/>
      <c r="AN104" s="4" t="s">
        <v>102</v>
      </c>
      <c r="AO104" s="3" t="s">
        <v>103</v>
      </c>
      <c r="AP104" s="3"/>
      <c r="AQ104" s="34" t="s">
        <v>102</v>
      </c>
      <c r="AR104" s="34" t="s">
        <v>103</v>
      </c>
      <c r="AS104" s="34"/>
      <c r="AT104" s="2" t="s">
        <v>104</v>
      </c>
      <c r="AU104" s="1" t="s">
        <v>105</v>
      </c>
      <c r="AV104" s="1" t="s">
        <v>73</v>
      </c>
      <c r="AW104" s="1" t="s">
        <v>106</v>
      </c>
      <c r="AX104" s="1" t="s">
        <v>107</v>
      </c>
    </row>
    <row r="105" s="1" customFormat="1" spans="1:52">
      <c r="A105" s="13" t="s">
        <v>108</v>
      </c>
      <c r="B105" s="13">
        <f>F11</f>
        <v>910.8575</v>
      </c>
      <c r="C105" s="16" t="s">
        <v>109</v>
      </c>
      <c r="D105" s="17">
        <v>-17</v>
      </c>
      <c r="E105" s="16"/>
      <c r="F105" s="16"/>
      <c r="G105" s="13">
        <v>1</v>
      </c>
      <c r="H105" s="18">
        <f t="shared" ref="H105:H116" si="97">E106</f>
        <v>-17</v>
      </c>
      <c r="I105" s="18">
        <f t="shared" ref="I105:I116" si="98">H105+273.15</f>
        <v>256.15</v>
      </c>
      <c r="J105" s="18">
        <f t="shared" ref="J105:J116" si="99">EXP(($C$16*(I105-$C$14))/($C$17*I105*$C$14))</f>
        <v>0.0016359658543035</v>
      </c>
      <c r="K105" s="18">
        <f>$B$105/12</f>
        <v>75.9047916666667</v>
      </c>
      <c r="L105" s="18">
        <f>K105*$B$106/100</f>
        <v>0.759047916666667</v>
      </c>
      <c r="M105" s="13" t="s">
        <v>110</v>
      </c>
      <c r="N105" s="13"/>
      <c r="O105" s="18">
        <f>L105</f>
        <v>0.759047916666667</v>
      </c>
      <c r="P105" s="18">
        <f t="shared" ref="P105:P116" si="100">O105*J105</f>
        <v>0.00124177647344688</v>
      </c>
      <c r="Q105" s="24">
        <f>P105*$B$107</f>
        <v>0.000322861883096188</v>
      </c>
      <c r="R105" s="18">
        <f>L105*$B$107</f>
        <v>0.197352458333333</v>
      </c>
      <c r="S105" s="25">
        <f t="shared" ref="S105:S116" si="101">Q105/R105</f>
        <v>0.0016359658543035</v>
      </c>
      <c r="T105" s="3">
        <v>0.01</v>
      </c>
      <c r="U105" s="26">
        <f t="shared" ref="U105:U116" si="102">S105*T105</f>
        <v>1.6359658543035e-5</v>
      </c>
      <c r="V105" s="25"/>
      <c r="W105" s="3"/>
      <c r="X105" s="3"/>
      <c r="Y105" s="28"/>
      <c r="Z105" s="3"/>
      <c r="AA105" s="27"/>
      <c r="AB105" s="3"/>
      <c r="AC105" s="3"/>
      <c r="AD105" s="27"/>
      <c r="AE105" s="25">
        <v>0.001</v>
      </c>
      <c r="AF105" s="3">
        <v>0.49</v>
      </c>
      <c r="AG105" s="26">
        <f t="shared" ref="AG105:AG116" si="103">AF105*AE105</f>
        <v>0.00049</v>
      </c>
      <c r="AH105" s="35"/>
      <c r="AI105" s="3"/>
      <c r="AJ105" s="26"/>
      <c r="AK105" s="36"/>
      <c r="AL105" s="27"/>
      <c r="AM105" s="27"/>
      <c r="AN105" s="36"/>
      <c r="AO105" s="27"/>
      <c r="AP105" s="26"/>
      <c r="AQ105" s="3">
        <v>0.01</v>
      </c>
      <c r="AR105" s="3">
        <v>0.5</v>
      </c>
      <c r="AS105" s="3">
        <f t="shared" ref="AS105:AS116" si="104">AR105*AQ105</f>
        <v>0.005</v>
      </c>
      <c r="AT105" s="2">
        <f t="shared" ref="AT105:AT116" si="105">(AS105+AM105+AD105+AA105+U105+X105+AG105+AJ105+AP105)</f>
        <v>0.00550635965854303</v>
      </c>
      <c r="AU105" s="29">
        <f>$B$105/12</f>
        <v>75.9047916666667</v>
      </c>
      <c r="AV105" s="1">
        <f>$B$107</f>
        <v>0.26</v>
      </c>
      <c r="AW105" s="2">
        <f>$E$11/12</f>
        <v>1.38895220882012</v>
      </c>
      <c r="AX105" s="1">
        <f t="shared" ref="AX105:AX116" si="106">AW105*10000*AV105*0.67*AU105*AT105</f>
        <v>1011.27488297487</v>
      </c>
      <c r="AZ105" s="2"/>
    </row>
    <row r="106" s="1" customFormat="1" spans="1:52">
      <c r="A106" s="13" t="s">
        <v>111</v>
      </c>
      <c r="B106" s="13">
        <v>1</v>
      </c>
      <c r="C106" s="16">
        <v>1</v>
      </c>
      <c r="D106" s="19">
        <v>-18.5473705283871</v>
      </c>
      <c r="E106" s="20">
        <f t="shared" ref="E106:E117" si="107">D105</f>
        <v>-17</v>
      </c>
      <c r="F106" s="16" t="s">
        <v>110</v>
      </c>
      <c r="G106" s="13">
        <v>2</v>
      </c>
      <c r="H106" s="18">
        <f t="shared" si="97"/>
        <v>-18.5473705283871</v>
      </c>
      <c r="I106" s="18">
        <f t="shared" si="98"/>
        <v>254.602629471613</v>
      </c>
      <c r="J106" s="18">
        <f t="shared" si="99"/>
        <v>0.00129850244073829</v>
      </c>
      <c r="K106" s="18">
        <f t="shared" ref="K106:K116" si="108">$B$105/12</f>
        <v>75.9047916666667</v>
      </c>
      <c r="L106" s="18">
        <f t="shared" ref="L106:L116" si="109">K106*$B$106/100</f>
        <v>0.759047916666667</v>
      </c>
      <c r="M106" s="13" t="s">
        <v>110</v>
      </c>
      <c r="N106" s="13"/>
      <c r="O106" s="18">
        <f t="shared" ref="O106:O116" si="110">L106+O105-P105-N106</f>
        <v>1.51685405685989</v>
      </c>
      <c r="P106" s="18">
        <f t="shared" si="100"/>
        <v>0.00196963869507634</v>
      </c>
      <c r="Q106" s="24">
        <f t="shared" ref="Q106:Q116" si="111">P106*$B$107</f>
        <v>0.000512106060719848</v>
      </c>
      <c r="R106" s="18">
        <f t="shared" ref="R106:R116" si="112">L106*$B$107</f>
        <v>0.197352458333333</v>
      </c>
      <c r="S106" s="25">
        <f t="shared" si="101"/>
        <v>0.0025948805758218</v>
      </c>
      <c r="T106" s="3">
        <v>0.01</v>
      </c>
      <c r="U106" s="26">
        <f t="shared" si="102"/>
        <v>2.5948805758218e-5</v>
      </c>
      <c r="V106" s="25"/>
      <c r="W106" s="3"/>
      <c r="X106" s="3"/>
      <c r="Y106" s="28"/>
      <c r="Z106" s="3"/>
      <c r="AA106" s="27"/>
      <c r="AB106" s="3"/>
      <c r="AC106" s="3"/>
      <c r="AD106" s="27"/>
      <c r="AE106" s="25">
        <v>0.001</v>
      </c>
      <c r="AF106" s="3">
        <v>0.49</v>
      </c>
      <c r="AG106" s="26">
        <f t="shared" si="103"/>
        <v>0.00049</v>
      </c>
      <c r="AH106" s="35"/>
      <c r="AI106" s="3"/>
      <c r="AJ106" s="26"/>
      <c r="AK106" s="36"/>
      <c r="AL106" s="27"/>
      <c r="AM106" s="27"/>
      <c r="AN106" s="36"/>
      <c r="AO106" s="27"/>
      <c r="AP106" s="26"/>
      <c r="AQ106" s="3">
        <v>0.01</v>
      </c>
      <c r="AR106" s="3">
        <v>0.5</v>
      </c>
      <c r="AS106" s="3">
        <f t="shared" si="104"/>
        <v>0.005</v>
      </c>
      <c r="AT106" s="2">
        <f t="shared" si="105"/>
        <v>0.00551594880575822</v>
      </c>
      <c r="AU106" s="29">
        <f>$B$105/12</f>
        <v>75.9047916666667</v>
      </c>
      <c r="AV106" s="1">
        <f t="shared" ref="AV106:AV116" si="113">$B$107</f>
        <v>0.26</v>
      </c>
      <c r="AW106" s="2">
        <f t="shared" ref="AW106:AW116" si="114">$E$11/12</f>
        <v>1.38895220882012</v>
      </c>
      <c r="AX106" s="1">
        <f t="shared" si="106"/>
        <v>1013.03598546893</v>
      </c>
      <c r="AZ106" s="2"/>
    </row>
    <row r="107" s="1" customFormat="1" spans="1:52">
      <c r="A107" s="13" t="s">
        <v>73</v>
      </c>
      <c r="B107" s="13">
        <v>0.26</v>
      </c>
      <c r="C107" s="16">
        <v>2</v>
      </c>
      <c r="D107" s="19">
        <v>-11.6159677528276</v>
      </c>
      <c r="E107" s="20">
        <f t="shared" si="107"/>
        <v>-18.5473705283871</v>
      </c>
      <c r="F107" s="16" t="s">
        <v>110</v>
      </c>
      <c r="G107" s="13">
        <v>3</v>
      </c>
      <c r="H107" s="18">
        <f t="shared" si="97"/>
        <v>-11.6159677528276</v>
      </c>
      <c r="I107" s="18">
        <f t="shared" si="98"/>
        <v>261.534032247172</v>
      </c>
      <c r="J107" s="18">
        <f t="shared" si="99"/>
        <v>0.00357785370842062</v>
      </c>
      <c r="K107" s="18">
        <f t="shared" si="108"/>
        <v>75.9047916666667</v>
      </c>
      <c r="L107" s="18">
        <f t="shared" si="109"/>
        <v>0.759047916666667</v>
      </c>
      <c r="M107" s="13" t="s">
        <v>110</v>
      </c>
      <c r="N107" s="13"/>
      <c r="O107" s="18">
        <f t="shared" si="110"/>
        <v>2.27393233483148</v>
      </c>
      <c r="P107" s="18">
        <f t="shared" si="100"/>
        <v>0.00813579723687436</v>
      </c>
      <c r="Q107" s="24">
        <f t="shared" si="111"/>
        <v>0.00211530728158733</v>
      </c>
      <c r="R107" s="18">
        <f t="shared" si="112"/>
        <v>0.197352458333333</v>
      </c>
      <c r="S107" s="25">
        <f t="shared" si="101"/>
        <v>0.0107184237756721</v>
      </c>
      <c r="T107" s="3">
        <v>0.01</v>
      </c>
      <c r="U107" s="26">
        <f t="shared" si="102"/>
        <v>0.000107184237756721</v>
      </c>
      <c r="V107" s="25"/>
      <c r="W107" s="3"/>
      <c r="X107" s="3"/>
      <c r="Y107" s="28"/>
      <c r="Z107" s="3"/>
      <c r="AA107" s="27"/>
      <c r="AB107" s="3"/>
      <c r="AC107" s="3"/>
      <c r="AD107" s="27"/>
      <c r="AE107" s="25">
        <v>0.001</v>
      </c>
      <c r="AF107" s="3">
        <v>0.49</v>
      </c>
      <c r="AG107" s="26">
        <f t="shared" si="103"/>
        <v>0.00049</v>
      </c>
      <c r="AH107" s="35"/>
      <c r="AI107" s="3"/>
      <c r="AJ107" s="26"/>
      <c r="AK107" s="36"/>
      <c r="AL107" s="27"/>
      <c r="AM107" s="27"/>
      <c r="AN107" s="36"/>
      <c r="AO107" s="27"/>
      <c r="AP107" s="26"/>
      <c r="AQ107" s="3">
        <v>0.01</v>
      </c>
      <c r="AR107" s="3">
        <v>0.5</v>
      </c>
      <c r="AS107" s="3">
        <f t="shared" si="104"/>
        <v>0.005</v>
      </c>
      <c r="AT107" s="2">
        <f t="shared" si="105"/>
        <v>0.00559718423775672</v>
      </c>
      <c r="AU107" s="29">
        <f t="shared" ref="AU107:AU116" si="115">$B$105/12</f>
        <v>75.9047916666667</v>
      </c>
      <c r="AV107" s="1">
        <f t="shared" si="113"/>
        <v>0.26</v>
      </c>
      <c r="AW107" s="2">
        <f t="shared" si="114"/>
        <v>1.38895220882012</v>
      </c>
      <c r="AX107" s="1">
        <f t="shared" si="106"/>
        <v>1027.95534364421</v>
      </c>
      <c r="AZ107" s="2"/>
    </row>
    <row r="108" s="1" customFormat="1" spans="1:52">
      <c r="A108" s="13"/>
      <c r="B108" s="13"/>
      <c r="C108" s="16">
        <v>3</v>
      </c>
      <c r="D108" s="19">
        <v>-0.51774251516129</v>
      </c>
      <c r="E108" s="20">
        <f t="shared" si="107"/>
        <v>-11.6159677528276</v>
      </c>
      <c r="F108" s="16" t="s">
        <v>110</v>
      </c>
      <c r="G108" s="13">
        <v>4</v>
      </c>
      <c r="H108" s="18">
        <f t="shared" si="97"/>
        <v>-0.51774251516129</v>
      </c>
      <c r="I108" s="18">
        <f t="shared" si="98"/>
        <v>272.632257484839</v>
      </c>
      <c r="J108" s="18">
        <f t="shared" si="99"/>
        <v>0.016285753336736</v>
      </c>
      <c r="K108" s="18">
        <f t="shared" si="108"/>
        <v>75.9047916666667</v>
      </c>
      <c r="L108" s="18">
        <f t="shared" si="109"/>
        <v>0.759047916666667</v>
      </c>
      <c r="M108" s="13" t="s">
        <v>110</v>
      </c>
      <c r="N108" s="13"/>
      <c r="O108" s="18">
        <f t="shared" si="110"/>
        <v>3.02484445426127</v>
      </c>
      <c r="P108" s="18">
        <f t="shared" si="100"/>
        <v>0.0492618706640929</v>
      </c>
      <c r="Q108" s="24">
        <f t="shared" si="111"/>
        <v>0.0128080863726641</v>
      </c>
      <c r="R108" s="18">
        <f t="shared" si="112"/>
        <v>0.197352458333333</v>
      </c>
      <c r="S108" s="25">
        <f t="shared" si="101"/>
        <v>0.0648995532198082</v>
      </c>
      <c r="T108" s="3">
        <v>0.01</v>
      </c>
      <c r="U108" s="26">
        <f t="shared" si="102"/>
        <v>0.000648995532198082</v>
      </c>
      <c r="V108" s="25"/>
      <c r="W108" s="3"/>
      <c r="X108" s="3"/>
      <c r="Y108" s="28"/>
      <c r="Z108" s="3"/>
      <c r="AA108" s="27"/>
      <c r="AB108" s="3"/>
      <c r="AC108" s="3"/>
      <c r="AD108" s="27"/>
      <c r="AE108" s="25">
        <v>0.001</v>
      </c>
      <c r="AF108" s="3">
        <v>0.49</v>
      </c>
      <c r="AG108" s="26">
        <f t="shared" si="103"/>
        <v>0.00049</v>
      </c>
      <c r="AH108" s="35"/>
      <c r="AI108" s="3"/>
      <c r="AJ108" s="26"/>
      <c r="AK108" s="36"/>
      <c r="AL108" s="27"/>
      <c r="AM108" s="27"/>
      <c r="AN108" s="36"/>
      <c r="AO108" s="27"/>
      <c r="AP108" s="26"/>
      <c r="AQ108" s="3">
        <v>0.01</v>
      </c>
      <c r="AR108" s="3">
        <v>0.5</v>
      </c>
      <c r="AS108" s="3">
        <f t="shared" si="104"/>
        <v>0.005</v>
      </c>
      <c r="AT108" s="2">
        <f t="shared" si="105"/>
        <v>0.00613899553219808</v>
      </c>
      <c r="AU108" s="29">
        <f t="shared" si="115"/>
        <v>75.9047916666667</v>
      </c>
      <c r="AV108" s="1">
        <f t="shared" si="113"/>
        <v>0.26</v>
      </c>
      <c r="AW108" s="2">
        <f t="shared" si="114"/>
        <v>1.38895220882012</v>
      </c>
      <c r="AX108" s="1">
        <f t="shared" si="106"/>
        <v>1127.46212986195</v>
      </c>
      <c r="AZ108" s="2"/>
    </row>
    <row r="109" s="1" customFormat="1" spans="1:52">
      <c r="A109" s="13"/>
      <c r="B109" s="13"/>
      <c r="C109" s="16">
        <v>4</v>
      </c>
      <c r="D109" s="19">
        <v>7.94169272153333</v>
      </c>
      <c r="E109" s="20">
        <f t="shared" si="107"/>
        <v>-0.51774251516129</v>
      </c>
      <c r="F109" s="16" t="s">
        <v>110</v>
      </c>
      <c r="G109" s="13">
        <v>5</v>
      </c>
      <c r="H109" s="18">
        <f t="shared" si="97"/>
        <v>7.94169272153333</v>
      </c>
      <c r="I109" s="18">
        <f t="shared" si="98"/>
        <v>281.091692721533</v>
      </c>
      <c r="J109" s="18">
        <f t="shared" si="99"/>
        <v>0.0477080981654761</v>
      </c>
      <c r="K109" s="18">
        <f t="shared" si="108"/>
        <v>75.9047916666667</v>
      </c>
      <c r="L109" s="18">
        <f t="shared" si="109"/>
        <v>0.759047916666667</v>
      </c>
      <c r="M109" s="13" t="s">
        <v>112</v>
      </c>
      <c r="N109" s="18">
        <f>(O108-P108)*$C$22/100</f>
        <v>2.82680345441732</v>
      </c>
      <c r="O109" s="18">
        <f t="shared" si="110"/>
        <v>0.907827045846525</v>
      </c>
      <c r="P109" s="18">
        <f t="shared" si="100"/>
        <v>0.0433107018205202</v>
      </c>
      <c r="Q109" s="24">
        <f t="shared" si="111"/>
        <v>0.0112607824733353</v>
      </c>
      <c r="R109" s="18">
        <f t="shared" si="112"/>
        <v>0.197352458333333</v>
      </c>
      <c r="S109" s="25">
        <f t="shared" si="101"/>
        <v>0.057059246023252</v>
      </c>
      <c r="T109" s="3">
        <v>0.01</v>
      </c>
      <c r="U109" s="26">
        <f t="shared" si="102"/>
        <v>0.00057059246023252</v>
      </c>
      <c r="V109" s="25"/>
      <c r="W109" s="3"/>
      <c r="X109" s="3"/>
      <c r="Y109" s="28"/>
      <c r="Z109" s="3"/>
      <c r="AA109" s="27"/>
      <c r="AB109" s="3"/>
      <c r="AC109" s="3"/>
      <c r="AD109" s="27"/>
      <c r="AE109" s="25">
        <v>0.005</v>
      </c>
      <c r="AF109" s="3">
        <v>0.49</v>
      </c>
      <c r="AG109" s="26">
        <f t="shared" si="103"/>
        <v>0.00245</v>
      </c>
      <c r="AH109" s="35"/>
      <c r="AI109" s="3"/>
      <c r="AJ109" s="26"/>
      <c r="AK109" s="36"/>
      <c r="AL109" s="27"/>
      <c r="AM109" s="27"/>
      <c r="AN109" s="36"/>
      <c r="AO109" s="27"/>
      <c r="AP109" s="26"/>
      <c r="AQ109" s="3">
        <v>0.015</v>
      </c>
      <c r="AR109" s="3">
        <v>0.5</v>
      </c>
      <c r="AS109" s="3">
        <f t="shared" si="104"/>
        <v>0.0075</v>
      </c>
      <c r="AT109" s="2">
        <f t="shared" si="105"/>
        <v>0.0105205924602325</v>
      </c>
      <c r="AU109" s="29">
        <f t="shared" si="115"/>
        <v>75.9047916666667</v>
      </c>
      <c r="AV109" s="1">
        <f t="shared" si="113"/>
        <v>0.26</v>
      </c>
      <c r="AW109" s="2">
        <f t="shared" si="114"/>
        <v>1.38895220882012</v>
      </c>
      <c r="AX109" s="1">
        <f t="shared" si="106"/>
        <v>1932.1678148178</v>
      </c>
      <c r="AZ109" s="2"/>
    </row>
    <row r="110" s="1" customFormat="1" spans="1:52">
      <c r="A110" s="13"/>
      <c r="B110" s="13"/>
      <c r="C110" s="16">
        <v>5</v>
      </c>
      <c r="D110" s="19">
        <v>14.342813444129</v>
      </c>
      <c r="E110" s="20">
        <f t="shared" si="107"/>
        <v>7.94169272153333</v>
      </c>
      <c r="F110" s="16" t="s">
        <v>112</v>
      </c>
      <c r="G110" s="13">
        <v>6</v>
      </c>
      <c r="H110" s="18">
        <f t="shared" si="97"/>
        <v>14.342813444129</v>
      </c>
      <c r="I110" s="18">
        <f t="shared" si="98"/>
        <v>287.492813444129</v>
      </c>
      <c r="J110" s="18">
        <f t="shared" si="99"/>
        <v>0.103167512344939</v>
      </c>
      <c r="K110" s="18">
        <f t="shared" si="108"/>
        <v>75.9047916666667</v>
      </c>
      <c r="L110" s="18">
        <f t="shared" si="109"/>
        <v>0.759047916666667</v>
      </c>
      <c r="M110" s="13" t="s">
        <v>110</v>
      </c>
      <c r="N110" s="13"/>
      <c r="O110" s="18">
        <f t="shared" si="110"/>
        <v>1.62356426069267</v>
      </c>
      <c r="P110" s="18">
        <f t="shared" si="100"/>
        <v>0.167499085907813</v>
      </c>
      <c r="Q110" s="24">
        <f t="shared" si="111"/>
        <v>0.0435497623360314</v>
      </c>
      <c r="R110" s="18">
        <f t="shared" si="112"/>
        <v>0.197352458333333</v>
      </c>
      <c r="S110" s="25">
        <f t="shared" si="101"/>
        <v>0.220669976466545</v>
      </c>
      <c r="T110" s="3">
        <v>0.01</v>
      </c>
      <c r="U110" s="26">
        <f t="shared" si="102"/>
        <v>0.00220669976466545</v>
      </c>
      <c r="V110" s="25"/>
      <c r="W110" s="3"/>
      <c r="X110" s="3"/>
      <c r="Y110" s="28"/>
      <c r="Z110" s="3"/>
      <c r="AA110" s="27"/>
      <c r="AB110" s="3"/>
      <c r="AC110" s="3"/>
      <c r="AD110" s="27"/>
      <c r="AE110" s="25">
        <v>0.005</v>
      </c>
      <c r="AF110" s="3">
        <v>0.49</v>
      </c>
      <c r="AG110" s="26">
        <f t="shared" si="103"/>
        <v>0.00245</v>
      </c>
      <c r="AH110" s="35"/>
      <c r="AI110" s="3"/>
      <c r="AJ110" s="26"/>
      <c r="AK110" s="36"/>
      <c r="AL110" s="27"/>
      <c r="AM110" s="27"/>
      <c r="AN110" s="36"/>
      <c r="AO110" s="27"/>
      <c r="AP110" s="26"/>
      <c r="AQ110" s="3">
        <v>0.015</v>
      </c>
      <c r="AR110" s="3">
        <v>0.5</v>
      </c>
      <c r="AS110" s="3">
        <f t="shared" si="104"/>
        <v>0.0075</v>
      </c>
      <c r="AT110" s="2">
        <f t="shared" si="105"/>
        <v>0.0121566997646654</v>
      </c>
      <c r="AU110" s="29">
        <f t="shared" si="115"/>
        <v>75.9047916666667</v>
      </c>
      <c r="AV110" s="1">
        <f t="shared" si="113"/>
        <v>0.26</v>
      </c>
      <c r="AW110" s="2">
        <f t="shared" si="114"/>
        <v>1.38895220882012</v>
      </c>
      <c r="AX110" s="1">
        <f t="shared" si="106"/>
        <v>2232.64840915342</v>
      </c>
      <c r="AZ110" s="2"/>
    </row>
    <row r="111" s="1" customFormat="1" spans="1:52">
      <c r="A111" s="13"/>
      <c r="B111" s="13"/>
      <c r="C111" s="16">
        <v>6</v>
      </c>
      <c r="D111" s="19">
        <v>19.2180224373333</v>
      </c>
      <c r="E111" s="20">
        <f t="shared" si="107"/>
        <v>14.342813444129</v>
      </c>
      <c r="F111" s="16" t="s">
        <v>110</v>
      </c>
      <c r="G111" s="13">
        <v>7</v>
      </c>
      <c r="H111" s="18">
        <f t="shared" si="97"/>
        <v>19.2180224373333</v>
      </c>
      <c r="I111" s="18">
        <f t="shared" si="98"/>
        <v>292.368022437333</v>
      </c>
      <c r="J111" s="18">
        <f t="shared" si="99"/>
        <v>0.18147150948071</v>
      </c>
      <c r="K111" s="18">
        <f t="shared" si="108"/>
        <v>75.9047916666667</v>
      </c>
      <c r="L111" s="18">
        <f t="shared" si="109"/>
        <v>0.759047916666667</v>
      </c>
      <c r="M111" s="13" t="s">
        <v>110</v>
      </c>
      <c r="N111" s="13"/>
      <c r="O111" s="18">
        <f t="shared" si="110"/>
        <v>2.21511309145153</v>
      </c>
      <c r="P111" s="18">
        <f t="shared" si="100"/>
        <v>0.40197991637619</v>
      </c>
      <c r="Q111" s="24">
        <f t="shared" si="111"/>
        <v>0.104514778257809</v>
      </c>
      <c r="R111" s="18">
        <f t="shared" si="112"/>
        <v>0.197352458333333</v>
      </c>
      <c r="S111" s="25">
        <f t="shared" si="101"/>
        <v>0.52958437478028</v>
      </c>
      <c r="T111" s="3">
        <v>0.01</v>
      </c>
      <c r="U111" s="26">
        <f t="shared" si="102"/>
        <v>0.0052958437478028</v>
      </c>
      <c r="V111" s="25"/>
      <c r="W111" s="3"/>
      <c r="X111" s="3"/>
      <c r="Y111" s="28"/>
      <c r="Z111" s="3"/>
      <c r="AA111" s="27"/>
      <c r="AB111" s="3"/>
      <c r="AC111" s="3"/>
      <c r="AD111" s="27"/>
      <c r="AE111" s="25">
        <v>0.005</v>
      </c>
      <c r="AF111" s="3">
        <v>0.49</v>
      </c>
      <c r="AG111" s="26">
        <f t="shared" si="103"/>
        <v>0.00245</v>
      </c>
      <c r="AH111" s="35"/>
      <c r="AI111" s="3"/>
      <c r="AJ111" s="26"/>
      <c r="AK111" s="36"/>
      <c r="AL111" s="27"/>
      <c r="AM111" s="27"/>
      <c r="AN111" s="36"/>
      <c r="AO111" s="27"/>
      <c r="AP111" s="26"/>
      <c r="AQ111" s="3">
        <v>0.015</v>
      </c>
      <c r="AR111" s="3">
        <v>0.5</v>
      </c>
      <c r="AS111" s="3">
        <f t="shared" si="104"/>
        <v>0.0075</v>
      </c>
      <c r="AT111" s="2">
        <f t="shared" si="105"/>
        <v>0.0152458437478028</v>
      </c>
      <c r="AU111" s="29">
        <f t="shared" si="115"/>
        <v>75.9047916666667</v>
      </c>
      <c r="AV111" s="1">
        <f t="shared" si="113"/>
        <v>0.26</v>
      </c>
      <c r="AW111" s="2">
        <f t="shared" si="114"/>
        <v>1.38895220882012</v>
      </c>
      <c r="AX111" s="1">
        <f t="shared" si="106"/>
        <v>2799.98761577298</v>
      </c>
      <c r="AZ111" s="2"/>
    </row>
    <row r="112" s="1" customFormat="1" spans="1:52">
      <c r="A112" s="13"/>
      <c r="B112" s="13"/>
      <c r="C112" s="16">
        <v>7</v>
      </c>
      <c r="D112" s="19">
        <v>23.4682770458064</v>
      </c>
      <c r="E112" s="20">
        <f t="shared" si="107"/>
        <v>19.2180224373333</v>
      </c>
      <c r="F112" s="16" t="s">
        <v>110</v>
      </c>
      <c r="G112" s="13">
        <v>8</v>
      </c>
      <c r="H112" s="18">
        <f t="shared" si="97"/>
        <v>23.4682770458064</v>
      </c>
      <c r="I112" s="18">
        <f t="shared" si="98"/>
        <v>296.618277045806</v>
      </c>
      <c r="J112" s="18">
        <f t="shared" si="99"/>
        <v>0.292452252498342</v>
      </c>
      <c r="K112" s="18">
        <f t="shared" si="108"/>
        <v>75.9047916666667</v>
      </c>
      <c r="L112" s="18">
        <f t="shared" si="109"/>
        <v>0.759047916666667</v>
      </c>
      <c r="M112" s="13" t="s">
        <v>110</v>
      </c>
      <c r="N112" s="13"/>
      <c r="O112" s="18">
        <f t="shared" si="110"/>
        <v>2.572181091742</v>
      </c>
      <c r="P112" s="18">
        <f t="shared" si="100"/>
        <v>0.752240154113593</v>
      </c>
      <c r="Q112" s="24">
        <f t="shared" si="111"/>
        <v>0.195582440069534</v>
      </c>
      <c r="R112" s="18">
        <f t="shared" si="112"/>
        <v>0.197352458333333</v>
      </c>
      <c r="S112" s="25">
        <f t="shared" si="101"/>
        <v>0.991031182085355</v>
      </c>
      <c r="T112" s="3">
        <v>0.01</v>
      </c>
      <c r="U112" s="26">
        <f t="shared" si="102"/>
        <v>0.00991031182085355</v>
      </c>
      <c r="V112" s="25"/>
      <c r="W112" s="3"/>
      <c r="X112" s="3"/>
      <c r="Y112" s="28"/>
      <c r="Z112" s="3"/>
      <c r="AA112" s="27"/>
      <c r="AB112" s="3"/>
      <c r="AC112" s="3"/>
      <c r="AD112" s="27"/>
      <c r="AE112" s="25">
        <v>0.005</v>
      </c>
      <c r="AF112" s="3">
        <v>0.49</v>
      </c>
      <c r="AG112" s="26">
        <f t="shared" si="103"/>
        <v>0.00245</v>
      </c>
      <c r="AH112" s="35"/>
      <c r="AI112" s="3"/>
      <c r="AJ112" s="26"/>
      <c r="AK112" s="36"/>
      <c r="AL112" s="27"/>
      <c r="AM112" s="27"/>
      <c r="AN112" s="36"/>
      <c r="AO112" s="27"/>
      <c r="AP112" s="26"/>
      <c r="AQ112" s="3">
        <v>0.015</v>
      </c>
      <c r="AR112" s="3">
        <v>0.5</v>
      </c>
      <c r="AS112" s="3">
        <f t="shared" si="104"/>
        <v>0.0075</v>
      </c>
      <c r="AT112" s="2">
        <f t="shared" si="105"/>
        <v>0.0198603118208536</v>
      </c>
      <c r="AU112" s="29">
        <f t="shared" si="115"/>
        <v>75.9047916666667</v>
      </c>
      <c r="AV112" s="1">
        <f t="shared" si="113"/>
        <v>0.26</v>
      </c>
      <c r="AW112" s="2">
        <f t="shared" si="114"/>
        <v>1.38895220882012</v>
      </c>
      <c r="AX112" s="1">
        <f t="shared" si="106"/>
        <v>3647.46143694369</v>
      </c>
      <c r="AZ112" s="2"/>
    </row>
    <row r="113" s="1" customFormat="1" spans="1:52">
      <c r="A113" s="13"/>
      <c r="B113" s="13"/>
      <c r="C113" s="16">
        <v>8</v>
      </c>
      <c r="D113" s="19">
        <v>21.5068787580645</v>
      </c>
      <c r="E113" s="20">
        <f t="shared" si="107"/>
        <v>23.4682770458064</v>
      </c>
      <c r="F113" s="16" t="s">
        <v>110</v>
      </c>
      <c r="G113" s="13">
        <v>9</v>
      </c>
      <c r="H113" s="18">
        <f t="shared" si="97"/>
        <v>21.5068787580645</v>
      </c>
      <c r="I113" s="18">
        <f t="shared" si="98"/>
        <v>294.656878758064</v>
      </c>
      <c r="J113" s="18">
        <f t="shared" si="99"/>
        <v>0.235048894383118</v>
      </c>
      <c r="K113" s="18">
        <f t="shared" si="108"/>
        <v>75.9047916666667</v>
      </c>
      <c r="L113" s="18">
        <f t="shared" si="109"/>
        <v>0.759047916666667</v>
      </c>
      <c r="M113" s="13" t="s">
        <v>110</v>
      </c>
      <c r="N113" s="13"/>
      <c r="O113" s="18">
        <f t="shared" si="110"/>
        <v>2.57898885429508</v>
      </c>
      <c r="P113" s="18">
        <f t="shared" si="100"/>
        <v>0.606188478828442</v>
      </c>
      <c r="Q113" s="24">
        <f t="shared" si="111"/>
        <v>0.157609004495395</v>
      </c>
      <c r="R113" s="18">
        <f t="shared" si="112"/>
        <v>0.197352458333333</v>
      </c>
      <c r="S113" s="25">
        <f t="shared" si="101"/>
        <v>0.798616879801868</v>
      </c>
      <c r="T113" s="3">
        <v>0.01</v>
      </c>
      <c r="U113" s="26">
        <f t="shared" si="102"/>
        <v>0.00798616879801868</v>
      </c>
      <c r="V113" s="25"/>
      <c r="W113" s="3"/>
      <c r="X113" s="3"/>
      <c r="Y113" s="28"/>
      <c r="Z113" s="3"/>
      <c r="AA113" s="27"/>
      <c r="AB113" s="3"/>
      <c r="AC113" s="3"/>
      <c r="AD113" s="27"/>
      <c r="AE113" s="25">
        <v>0.001</v>
      </c>
      <c r="AF113" s="3">
        <v>0.49</v>
      </c>
      <c r="AG113" s="26">
        <f t="shared" si="103"/>
        <v>0.00049</v>
      </c>
      <c r="AH113" s="35"/>
      <c r="AI113" s="3"/>
      <c r="AJ113" s="26"/>
      <c r="AK113" s="36"/>
      <c r="AL113" s="27"/>
      <c r="AM113" s="27"/>
      <c r="AN113" s="36"/>
      <c r="AO113" s="27"/>
      <c r="AP113" s="26"/>
      <c r="AQ113" s="3">
        <v>0.01</v>
      </c>
      <c r="AR113" s="3">
        <v>0.5</v>
      </c>
      <c r="AS113" s="3">
        <f t="shared" si="104"/>
        <v>0.005</v>
      </c>
      <c r="AT113" s="2">
        <f t="shared" si="105"/>
        <v>0.0134761687980187</v>
      </c>
      <c r="AU113" s="29">
        <f t="shared" si="115"/>
        <v>75.9047916666667</v>
      </c>
      <c r="AV113" s="1">
        <f t="shared" si="113"/>
        <v>0.26</v>
      </c>
      <c r="AW113" s="2">
        <f t="shared" si="114"/>
        <v>1.38895220882012</v>
      </c>
      <c r="AX113" s="1">
        <f t="shared" si="106"/>
        <v>2474.97654880246</v>
      </c>
      <c r="AZ113" s="2"/>
    </row>
    <row r="114" s="1" customFormat="1" spans="1:52">
      <c r="A114" s="13"/>
      <c r="B114" s="13"/>
      <c r="C114" s="16">
        <v>9</v>
      </c>
      <c r="D114" s="19">
        <v>14.8985685176</v>
      </c>
      <c r="E114" s="20">
        <f t="shared" si="107"/>
        <v>21.5068787580645</v>
      </c>
      <c r="F114" s="16" t="s">
        <v>110</v>
      </c>
      <c r="G114" s="13">
        <v>10</v>
      </c>
      <c r="H114" s="18">
        <f t="shared" si="97"/>
        <v>14.8985685176</v>
      </c>
      <c r="I114" s="18">
        <f t="shared" si="98"/>
        <v>288.0485685176</v>
      </c>
      <c r="J114" s="18">
        <f t="shared" si="99"/>
        <v>0.110134034173835</v>
      </c>
      <c r="K114" s="18">
        <f t="shared" si="108"/>
        <v>75.9047916666667</v>
      </c>
      <c r="L114" s="18">
        <f t="shared" si="109"/>
        <v>0.759047916666667</v>
      </c>
      <c r="M114" s="13" t="s">
        <v>110</v>
      </c>
      <c r="N114" s="13"/>
      <c r="O114" s="18">
        <f t="shared" si="110"/>
        <v>2.7318482921333</v>
      </c>
      <c r="P114" s="18">
        <f t="shared" si="100"/>
        <v>0.300869473163542</v>
      </c>
      <c r="Q114" s="24">
        <f t="shared" si="111"/>
        <v>0.0782260630225209</v>
      </c>
      <c r="R114" s="18">
        <f t="shared" si="112"/>
        <v>0.197352458333333</v>
      </c>
      <c r="S114" s="25">
        <f t="shared" si="101"/>
        <v>0.396377444107613</v>
      </c>
      <c r="T114" s="3">
        <v>0.01</v>
      </c>
      <c r="U114" s="26">
        <f t="shared" si="102"/>
        <v>0.00396377444107613</v>
      </c>
      <c r="V114" s="25"/>
      <c r="W114" s="3"/>
      <c r="X114" s="3"/>
      <c r="Y114" s="28"/>
      <c r="Z114" s="3"/>
      <c r="AA114" s="27"/>
      <c r="AB114" s="3"/>
      <c r="AC114" s="3"/>
      <c r="AD114" s="27"/>
      <c r="AE114" s="25">
        <v>0.001</v>
      </c>
      <c r="AF114" s="3">
        <v>0.49</v>
      </c>
      <c r="AG114" s="26">
        <f t="shared" si="103"/>
        <v>0.00049</v>
      </c>
      <c r="AH114" s="35"/>
      <c r="AI114" s="3"/>
      <c r="AJ114" s="26"/>
      <c r="AK114" s="36"/>
      <c r="AL114" s="27"/>
      <c r="AM114" s="27"/>
      <c r="AN114" s="36"/>
      <c r="AO114" s="27"/>
      <c r="AP114" s="26"/>
      <c r="AQ114" s="3">
        <v>0.01</v>
      </c>
      <c r="AR114" s="3">
        <v>0.5</v>
      </c>
      <c r="AS114" s="3">
        <f t="shared" si="104"/>
        <v>0.005</v>
      </c>
      <c r="AT114" s="2">
        <f t="shared" si="105"/>
        <v>0.00945377444107613</v>
      </c>
      <c r="AU114" s="29">
        <f t="shared" si="115"/>
        <v>75.9047916666667</v>
      </c>
      <c r="AV114" s="1">
        <f t="shared" si="113"/>
        <v>0.26</v>
      </c>
      <c r="AW114" s="2">
        <f t="shared" si="114"/>
        <v>1.38895220882012</v>
      </c>
      <c r="AX114" s="1">
        <f t="shared" si="106"/>
        <v>1736.24049906318</v>
      </c>
      <c r="AZ114" s="2"/>
    </row>
    <row r="115" s="1" customFormat="1" spans="1:52">
      <c r="A115" s="13"/>
      <c r="B115" s="13"/>
      <c r="C115" s="16">
        <v>10</v>
      </c>
      <c r="D115" s="19">
        <v>3.62459868303226</v>
      </c>
      <c r="E115" s="20">
        <f t="shared" si="107"/>
        <v>14.8985685176</v>
      </c>
      <c r="F115" s="16" t="s">
        <v>110</v>
      </c>
      <c r="G115" s="13">
        <v>11</v>
      </c>
      <c r="H115" s="18">
        <f t="shared" si="97"/>
        <v>3.62459868303226</v>
      </c>
      <c r="I115" s="18">
        <f t="shared" si="98"/>
        <v>276.774598683032</v>
      </c>
      <c r="J115" s="18">
        <f t="shared" si="99"/>
        <v>0.0277935384318113</v>
      </c>
      <c r="K115" s="18">
        <f t="shared" si="108"/>
        <v>75.9047916666667</v>
      </c>
      <c r="L115" s="18">
        <f t="shared" si="109"/>
        <v>0.759047916666667</v>
      </c>
      <c r="M115" s="13" t="s">
        <v>112</v>
      </c>
      <c r="N115" s="18">
        <f>(O114-P114)*$C$22/100</f>
        <v>2.30942987802127</v>
      </c>
      <c r="O115" s="18">
        <f t="shared" si="110"/>
        <v>0.880596857615155</v>
      </c>
      <c r="P115" s="18">
        <f t="shared" si="100"/>
        <v>0.0244749026050591</v>
      </c>
      <c r="Q115" s="24">
        <f t="shared" si="111"/>
        <v>0.00636347467731536</v>
      </c>
      <c r="R115" s="18">
        <f t="shared" si="112"/>
        <v>0.197352458333333</v>
      </c>
      <c r="S115" s="25">
        <f t="shared" si="101"/>
        <v>0.0322442128720144</v>
      </c>
      <c r="T115" s="3">
        <v>0.01</v>
      </c>
      <c r="U115" s="26">
        <f t="shared" si="102"/>
        <v>0.000322442128720144</v>
      </c>
      <c r="V115" s="25"/>
      <c r="W115" s="3"/>
      <c r="X115" s="3"/>
      <c r="Y115" s="28"/>
      <c r="Z115" s="3"/>
      <c r="AA115" s="27"/>
      <c r="AB115" s="3"/>
      <c r="AC115" s="3"/>
      <c r="AD115" s="27"/>
      <c r="AE115" s="25">
        <v>0.001</v>
      </c>
      <c r="AF115" s="3">
        <v>0.49</v>
      </c>
      <c r="AG115" s="26">
        <f t="shared" si="103"/>
        <v>0.00049</v>
      </c>
      <c r="AH115" s="35"/>
      <c r="AI115" s="3"/>
      <c r="AJ115" s="26"/>
      <c r="AK115" s="36"/>
      <c r="AL115" s="27"/>
      <c r="AM115" s="27"/>
      <c r="AN115" s="36"/>
      <c r="AO115" s="27"/>
      <c r="AP115" s="26"/>
      <c r="AQ115" s="3">
        <v>0.01</v>
      </c>
      <c r="AR115" s="3">
        <v>0.5</v>
      </c>
      <c r="AS115" s="3">
        <f t="shared" si="104"/>
        <v>0.005</v>
      </c>
      <c r="AT115" s="2">
        <f t="shared" si="105"/>
        <v>0.00581244212872014</v>
      </c>
      <c r="AU115" s="29">
        <f t="shared" si="115"/>
        <v>75.9047916666667</v>
      </c>
      <c r="AV115" s="1">
        <f t="shared" si="113"/>
        <v>0.26</v>
      </c>
      <c r="AW115" s="2">
        <f t="shared" si="114"/>
        <v>1.38895220882012</v>
      </c>
      <c r="AX115" s="1">
        <f t="shared" si="106"/>
        <v>1067.48870361203</v>
      </c>
      <c r="AZ115" s="2"/>
    </row>
    <row r="116" s="1" customFormat="1" spans="1:52">
      <c r="A116" s="13"/>
      <c r="B116" s="13"/>
      <c r="C116" s="16">
        <v>11</v>
      </c>
      <c r="D116" s="19">
        <v>-7.02813963433333</v>
      </c>
      <c r="E116" s="20">
        <f t="shared" si="107"/>
        <v>3.62459868303226</v>
      </c>
      <c r="F116" s="16" t="s">
        <v>112</v>
      </c>
      <c r="G116" s="13">
        <v>12</v>
      </c>
      <c r="H116" s="18">
        <f t="shared" si="97"/>
        <v>-7.02813963433333</v>
      </c>
      <c r="I116" s="18">
        <f t="shared" si="98"/>
        <v>266.121860365667</v>
      </c>
      <c r="J116" s="18">
        <f t="shared" si="99"/>
        <v>0.00679770070290697</v>
      </c>
      <c r="K116" s="18">
        <f t="shared" si="108"/>
        <v>75.9047916666667</v>
      </c>
      <c r="L116" s="18">
        <f t="shared" si="109"/>
        <v>0.759047916666667</v>
      </c>
      <c r="M116" s="13" t="s">
        <v>110</v>
      </c>
      <c r="N116" s="13"/>
      <c r="O116" s="18">
        <f t="shared" si="110"/>
        <v>1.61516987167676</v>
      </c>
      <c r="P116" s="18">
        <f t="shared" si="100"/>
        <v>0.0109794413720113</v>
      </c>
      <c r="Q116" s="24">
        <f t="shared" si="111"/>
        <v>0.00285465475672294</v>
      </c>
      <c r="R116" s="18">
        <f t="shared" si="112"/>
        <v>0.197352458333333</v>
      </c>
      <c r="S116" s="25">
        <f t="shared" si="101"/>
        <v>0.0144647539778874</v>
      </c>
      <c r="T116" s="3">
        <v>0.01</v>
      </c>
      <c r="U116" s="26">
        <f t="shared" si="102"/>
        <v>0.000144647539778874</v>
      </c>
      <c r="V116" s="25"/>
      <c r="W116" s="3"/>
      <c r="X116" s="3"/>
      <c r="Y116" s="28"/>
      <c r="Z116" s="3"/>
      <c r="AA116" s="27"/>
      <c r="AB116" s="3"/>
      <c r="AC116" s="3"/>
      <c r="AD116" s="27"/>
      <c r="AE116" s="25">
        <v>0.001</v>
      </c>
      <c r="AF116" s="3">
        <v>0.49</v>
      </c>
      <c r="AG116" s="26">
        <f t="shared" si="103"/>
        <v>0.00049</v>
      </c>
      <c r="AH116" s="35"/>
      <c r="AI116" s="3"/>
      <c r="AJ116" s="26"/>
      <c r="AK116" s="36"/>
      <c r="AL116" s="27"/>
      <c r="AM116" s="27"/>
      <c r="AN116" s="36"/>
      <c r="AO116" s="27"/>
      <c r="AP116" s="26"/>
      <c r="AQ116" s="3">
        <v>0.01</v>
      </c>
      <c r="AR116" s="3">
        <v>0.5</v>
      </c>
      <c r="AS116" s="3">
        <f t="shared" si="104"/>
        <v>0.005</v>
      </c>
      <c r="AT116" s="2">
        <f t="shared" si="105"/>
        <v>0.00563464753977887</v>
      </c>
      <c r="AU116" s="29">
        <f t="shared" si="115"/>
        <v>75.9047916666667</v>
      </c>
      <c r="AV116" s="1">
        <f t="shared" si="113"/>
        <v>0.26</v>
      </c>
      <c r="AW116" s="2">
        <f t="shared" si="114"/>
        <v>1.38895220882012</v>
      </c>
      <c r="AX116" s="1">
        <f t="shared" si="106"/>
        <v>1034.83569631233</v>
      </c>
      <c r="AY116" s="1">
        <f>SUM(AX105:AX116)</f>
        <v>21105.5350664279</v>
      </c>
      <c r="AZ116" s="2"/>
    </row>
    <row r="117" s="1" customFormat="1" spans="1:46">
      <c r="A117" s="13"/>
      <c r="B117" s="13"/>
      <c r="C117" s="16">
        <v>12</v>
      </c>
      <c r="D117" s="19">
        <v>-11.2300724427742</v>
      </c>
      <c r="E117" s="20">
        <f t="shared" si="107"/>
        <v>-7.02813963433333</v>
      </c>
      <c r="F117" s="16" t="s">
        <v>110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02"/>
  <sheetViews>
    <sheetView workbookViewId="0">
      <selection activeCell="F10" sqref="F1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55" width="11.4444444444444" style="1" customWidth="1"/>
    <col min="56" max="57" width="8.88888888888889" style="1"/>
    <col min="58" max="58" width="9" style="1"/>
    <col min="59" max="60" width="11.4444444444444" style="1"/>
    <col min="61" max="61" width="9" style="1"/>
    <col min="62" max="63" width="16.2222222222222" style="1" customWidth="1"/>
    <col min="64" max="64" width="11.4444444444444" style="1"/>
    <col min="65" max="65" width="10" style="1"/>
    <col min="66" max="66" width="15.6666666666667" style="1"/>
    <col min="67" max="67" width="14.3333333333333" style="1" customWidth="1"/>
    <col min="68" max="69" width="8.88888888888889" style="1"/>
    <col min="70" max="70" width="11.4444444444444" style="1" customWidth="1"/>
    <col min="71" max="72" width="8.88888888888889" style="1"/>
    <col min="73" max="73" width="11.4444444444444" style="1"/>
    <col min="74" max="74" width="16.2222222222222" style="1" customWidth="1"/>
    <col min="75" max="75" width="8.88888888888889" style="1"/>
    <col min="76" max="76" width="11.4444444444444" style="1" customWidth="1"/>
    <col min="77" max="77" width="15.6666666666667" style="1"/>
    <col min="78" max="79" width="8.88888888888889" style="1"/>
    <col min="80" max="80" width="16.2222222222222" style="1" customWidth="1"/>
    <col min="81" max="82" width="15.6666666666667" style="1"/>
    <col min="83" max="84" width="8.88888888888889" style="1"/>
    <col min="85" max="85" width="15.6666666666667" style="1" customWidth="1"/>
    <col min="86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41</v>
      </c>
      <c r="B2" s="5" t="s">
        <v>42</v>
      </c>
      <c r="C2" s="3"/>
      <c r="D2" s="3"/>
      <c r="E2" s="6">
        <v>370.138</v>
      </c>
      <c r="F2" s="3">
        <v>769.42</v>
      </c>
      <c r="G2" s="21">
        <f>(F2+F3+F4)/3</f>
        <v>1205.71666666667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43</v>
      </c>
      <c r="C3" s="3"/>
      <c r="D3" s="3"/>
      <c r="E3" s="8"/>
      <c r="F3" s="3">
        <v>1192.09</v>
      </c>
      <c r="G3" s="21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44</v>
      </c>
      <c r="C4" s="3"/>
      <c r="D4" s="3"/>
      <c r="E4" s="10"/>
      <c r="F4" s="3">
        <v>1655.64</v>
      </c>
      <c r="G4" s="21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 t="s">
        <v>45</v>
      </c>
      <c r="B5" s="5" t="s">
        <v>46</v>
      </c>
      <c r="C5" s="3"/>
      <c r="D5" s="3"/>
      <c r="E5" s="6">
        <v>1181.05216438356</v>
      </c>
      <c r="F5" s="3">
        <v>91.104</v>
      </c>
      <c r="G5" s="21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47</v>
      </c>
      <c r="C6" s="3"/>
      <c r="D6" s="3"/>
      <c r="E6" s="10"/>
      <c r="F6" s="3">
        <v>93.9145</v>
      </c>
      <c r="G6" s="21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48</v>
      </c>
      <c r="B7" s="5"/>
      <c r="C7" s="3"/>
      <c r="D7" s="3"/>
      <c r="E7" s="12">
        <v>3212.07403578166</v>
      </c>
      <c r="F7" s="3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49</v>
      </c>
      <c r="B8" s="5"/>
      <c r="C8" s="3"/>
      <c r="D8" s="3"/>
      <c r="E8" s="12">
        <v>7.463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50</v>
      </c>
      <c r="B9" s="5"/>
      <c r="C9" s="3"/>
      <c r="D9" s="3"/>
      <c r="E9" s="12">
        <v>48.31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51</v>
      </c>
      <c r="B10" s="5"/>
      <c r="C10" s="3"/>
      <c r="D10" s="3"/>
      <c r="E10" s="12">
        <v>6.45865421451085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52</v>
      </c>
      <c r="B11" s="5"/>
      <c r="C11" s="3"/>
      <c r="D11" s="3"/>
      <c r="E11" s="12">
        <v>0</v>
      </c>
      <c r="F11" s="3">
        <v>910.8575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AV38+AV53+AG69+AY85+AY101+BB101</f>
        <v>87798965.6720591</v>
      </c>
      <c r="J14" s="14" t="s">
        <v>35</v>
      </c>
      <c r="K14" s="14">
        <f>I14/(10000*1000)</f>
        <v>8.77989656720591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38">
        <v>63515983.9678542</v>
      </c>
      <c r="J15" s="14" t="s">
        <v>35</v>
      </c>
      <c r="K15" s="14">
        <f>I15/(10000*1000)</f>
        <v>6.35159839678542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1205.71666666667</v>
      </c>
      <c r="C27" s="16" t="s">
        <v>109</v>
      </c>
      <c r="D27" s="17">
        <v>-7</v>
      </c>
      <c r="E27" s="16"/>
      <c r="F27" s="16"/>
      <c r="G27" s="13">
        <v>1</v>
      </c>
      <c r="H27" s="18">
        <f t="shared" ref="H27:H38" si="0">E28</f>
        <v>-7</v>
      </c>
      <c r="I27" s="18">
        <f t="shared" ref="I27:I38" si="1">H27+273.15</f>
        <v>266.15</v>
      </c>
      <c r="J27" s="18">
        <f t="shared" ref="J27:J38" si="2">EXP(($C$16*(I27-$C$14))/($C$17*I27*$C$14))</f>
        <v>0.00682404760193068</v>
      </c>
      <c r="K27" s="18">
        <f t="shared" ref="K27:K38" si="3">$B$27/12</f>
        <v>100.476388888889</v>
      </c>
      <c r="L27" s="18">
        <f t="shared" ref="L27:L38" si="4">K27*$B$28/100</f>
        <v>1.00476388888889</v>
      </c>
      <c r="M27" s="13" t="s">
        <v>110</v>
      </c>
      <c r="N27" s="13"/>
      <c r="O27" s="18">
        <f>L27</f>
        <v>1.00476388888889</v>
      </c>
      <c r="P27" s="18">
        <f t="shared" ref="P27:P38" si="5">O27*J27</f>
        <v>0.00685655660647877</v>
      </c>
      <c r="Q27" s="24">
        <f t="shared" ref="Q27:Q38" si="6">P27*$B$29</f>
        <v>0.00089135235884224</v>
      </c>
      <c r="R27" s="18">
        <f t="shared" ref="R27:R38" si="7">L27*$B$29</f>
        <v>0.130619305555556</v>
      </c>
      <c r="S27" s="25">
        <f t="shared" ref="S27:S38" si="8">Q27/R27</f>
        <v>0.00682404760193068</v>
      </c>
      <c r="T27" s="3">
        <v>0.01</v>
      </c>
      <c r="U27" s="26">
        <f t="shared" ref="U27:U38" si="9">S27*T27</f>
        <v>6.82404760193068e-5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0.0219682404760193</v>
      </c>
      <c r="AR27" s="29">
        <f t="shared" ref="AR27:AR38" si="15">$B$27/12</f>
        <v>100.476388888889</v>
      </c>
      <c r="AS27" s="1">
        <f t="shared" ref="AS27:AS38" si="16">$B$29</f>
        <v>0.13</v>
      </c>
      <c r="AT27" s="2">
        <f>$E$2/12</f>
        <v>30.8448333333333</v>
      </c>
      <c r="AU27" s="1">
        <f t="shared" ref="AU27:AU38" si="17">AT27*10000*AS27*0.67*AR27*AQ27</f>
        <v>59300.7075276538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-11.9912929458387</v>
      </c>
      <c r="E28" s="20">
        <f t="shared" ref="E28:E39" si="18">D27</f>
        <v>-7</v>
      </c>
      <c r="F28" s="16" t="s">
        <v>110</v>
      </c>
      <c r="G28" s="13">
        <v>2</v>
      </c>
      <c r="H28" s="18">
        <f t="shared" si="0"/>
        <v>-11.9912929458387</v>
      </c>
      <c r="I28" s="18">
        <f t="shared" si="1"/>
        <v>261.158707054161</v>
      </c>
      <c r="J28" s="18">
        <f t="shared" si="2"/>
        <v>0.00339145333593663</v>
      </c>
      <c r="K28" s="18">
        <f t="shared" si="3"/>
        <v>100.476388888889</v>
      </c>
      <c r="L28" s="18">
        <f t="shared" si="4"/>
        <v>1.00476388888889</v>
      </c>
      <c r="M28" s="13" t="s">
        <v>110</v>
      </c>
      <c r="N28" s="13"/>
      <c r="O28" s="18">
        <f t="shared" ref="O28:O38" si="19">L28+O27-P27-N28</f>
        <v>2.0026712211713</v>
      </c>
      <c r="P28" s="18">
        <f t="shared" si="5"/>
        <v>0.00679196599382569</v>
      </c>
      <c r="Q28" s="24">
        <f t="shared" si="6"/>
        <v>0.000882955579197339</v>
      </c>
      <c r="R28" s="18">
        <f t="shared" si="7"/>
        <v>0.130619305555556</v>
      </c>
      <c r="S28" s="25">
        <f t="shared" si="8"/>
        <v>0.0067597632328691</v>
      </c>
      <c r="T28" s="3">
        <v>0.01</v>
      </c>
      <c r="U28" s="26">
        <f t="shared" si="9"/>
        <v>6.7597632328691e-5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0.0219675976323287</v>
      </c>
      <c r="AR28" s="29">
        <f t="shared" si="15"/>
        <v>100.476388888889</v>
      </c>
      <c r="AS28" s="1">
        <f t="shared" si="16"/>
        <v>0.13</v>
      </c>
      <c r="AT28" s="2">
        <f t="shared" ref="AT28:AT38" si="20">$E$2/12</f>
        <v>30.8448333333333</v>
      </c>
      <c r="AU28" s="1">
        <f t="shared" si="17"/>
        <v>59298.9722459536</v>
      </c>
    </row>
    <row r="29" s="1" customFormat="1" spans="1:47">
      <c r="A29" s="13" t="s">
        <v>73</v>
      </c>
      <c r="B29" s="13">
        <v>0.13</v>
      </c>
      <c r="C29" s="16">
        <v>2</v>
      </c>
      <c r="D29" s="19">
        <v>-5.3710619222069</v>
      </c>
      <c r="E29" s="20">
        <f t="shared" si="18"/>
        <v>-11.9912929458387</v>
      </c>
      <c r="F29" s="16" t="s">
        <v>110</v>
      </c>
      <c r="G29" s="13">
        <v>3</v>
      </c>
      <c r="H29" s="18">
        <f t="shared" si="0"/>
        <v>-5.3710619222069</v>
      </c>
      <c r="I29" s="18">
        <f t="shared" si="1"/>
        <v>267.778938077793</v>
      </c>
      <c r="J29" s="18">
        <f t="shared" si="2"/>
        <v>0.00852495366216914</v>
      </c>
      <c r="K29" s="18">
        <f t="shared" si="3"/>
        <v>100.476388888889</v>
      </c>
      <c r="L29" s="18">
        <f t="shared" si="4"/>
        <v>1.00476388888889</v>
      </c>
      <c r="M29" s="13" t="s">
        <v>110</v>
      </c>
      <c r="N29" s="13"/>
      <c r="O29" s="18">
        <f t="shared" si="19"/>
        <v>3.00064314406636</v>
      </c>
      <c r="P29" s="18">
        <f t="shared" si="5"/>
        <v>0.0255803437598713</v>
      </c>
      <c r="Q29" s="24">
        <f t="shared" si="6"/>
        <v>0.00332544468878326</v>
      </c>
      <c r="R29" s="18">
        <f t="shared" si="7"/>
        <v>0.130619305555556</v>
      </c>
      <c r="S29" s="25">
        <f t="shared" si="8"/>
        <v>0.0254590596285851</v>
      </c>
      <c r="T29" s="3">
        <v>0.01</v>
      </c>
      <c r="U29" s="26">
        <f t="shared" si="9"/>
        <v>0.000254590596285851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0.0221545905962858</v>
      </c>
      <c r="AR29" s="29">
        <f t="shared" si="15"/>
        <v>100.476388888889</v>
      </c>
      <c r="AS29" s="1">
        <f t="shared" si="16"/>
        <v>0.13</v>
      </c>
      <c r="AT29" s="2">
        <f t="shared" si="20"/>
        <v>30.8448333333333</v>
      </c>
      <c r="AU29" s="1">
        <f t="shared" si="17"/>
        <v>59803.7379816281</v>
      </c>
    </row>
    <row r="30" s="1" customFormat="1" spans="1:47">
      <c r="A30" s="13"/>
      <c r="B30" s="13"/>
      <c r="C30" s="16">
        <v>3</v>
      </c>
      <c r="D30" s="19">
        <v>3.88283180570968</v>
      </c>
      <c r="E30" s="20">
        <f t="shared" si="18"/>
        <v>-5.3710619222069</v>
      </c>
      <c r="F30" s="16" t="s">
        <v>110</v>
      </c>
      <c r="G30" s="13">
        <v>4</v>
      </c>
      <c r="H30" s="18">
        <f t="shared" si="0"/>
        <v>3.88283180570968</v>
      </c>
      <c r="I30" s="18">
        <f t="shared" si="1"/>
        <v>277.03283180571</v>
      </c>
      <c r="J30" s="18">
        <f t="shared" si="2"/>
        <v>0.0287200573052709</v>
      </c>
      <c r="K30" s="18">
        <f t="shared" si="3"/>
        <v>100.476388888889</v>
      </c>
      <c r="L30" s="18">
        <f t="shared" si="4"/>
        <v>1.00476388888889</v>
      </c>
      <c r="M30" s="13" t="s">
        <v>110</v>
      </c>
      <c r="N30" s="13"/>
      <c r="O30" s="18">
        <f t="shared" si="19"/>
        <v>3.97982668919538</v>
      </c>
      <c r="P30" s="18">
        <f t="shared" si="5"/>
        <v>0.114300850578738</v>
      </c>
      <c r="Q30" s="24">
        <f t="shared" si="6"/>
        <v>0.0148591105752359</v>
      </c>
      <c r="R30" s="18">
        <f t="shared" si="7"/>
        <v>0.130619305555556</v>
      </c>
      <c r="S30" s="25">
        <f t="shared" si="8"/>
        <v>0.113758915744013</v>
      </c>
      <c r="T30" s="3">
        <v>0.01</v>
      </c>
      <c r="U30" s="26">
        <f t="shared" si="9"/>
        <v>0.00113758915744013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0.0230375891574401</v>
      </c>
      <c r="AR30" s="29">
        <f t="shared" si="15"/>
        <v>100.476388888889</v>
      </c>
      <c r="AS30" s="1">
        <f t="shared" si="16"/>
        <v>0.13</v>
      </c>
      <c r="AT30" s="2">
        <f t="shared" si="20"/>
        <v>30.8448333333333</v>
      </c>
      <c r="AU30" s="1">
        <f t="shared" si="17"/>
        <v>62187.289794961</v>
      </c>
    </row>
    <row r="31" s="1" customFormat="1" spans="1:47">
      <c r="A31" s="13"/>
      <c r="B31" s="13"/>
      <c r="C31" s="16">
        <v>4</v>
      </c>
      <c r="D31" s="19">
        <v>11.0184732785333</v>
      </c>
      <c r="E31" s="20">
        <f t="shared" si="18"/>
        <v>3.88283180570968</v>
      </c>
      <c r="F31" s="16" t="s">
        <v>110</v>
      </c>
      <c r="G31" s="13">
        <v>5</v>
      </c>
      <c r="H31" s="18">
        <f t="shared" si="0"/>
        <v>11.0184732785333</v>
      </c>
      <c r="I31" s="18">
        <f t="shared" si="1"/>
        <v>284.168473278533</v>
      </c>
      <c r="J31" s="18">
        <f t="shared" si="2"/>
        <v>0.0694182968541204</v>
      </c>
      <c r="K31" s="18">
        <f t="shared" si="3"/>
        <v>100.476388888889</v>
      </c>
      <c r="L31" s="18">
        <f t="shared" si="4"/>
        <v>1.00476388888889</v>
      </c>
      <c r="M31" s="13" t="s">
        <v>112</v>
      </c>
      <c r="N31" s="18">
        <f>(O30-P30)*C22/100</f>
        <v>3.67224954668581</v>
      </c>
      <c r="O31" s="18">
        <f t="shared" si="19"/>
        <v>1.19804018081972</v>
      </c>
      <c r="P31" s="18">
        <f t="shared" si="5"/>
        <v>0.0831659089153075</v>
      </c>
      <c r="Q31" s="24">
        <f t="shared" si="6"/>
        <v>0.01081156815899</v>
      </c>
      <c r="R31" s="18">
        <f t="shared" si="7"/>
        <v>0.130619305555556</v>
      </c>
      <c r="S31" s="25">
        <f t="shared" si="8"/>
        <v>0.0827715942372052</v>
      </c>
      <c r="T31" s="3">
        <v>0.01</v>
      </c>
      <c r="U31" s="26">
        <f t="shared" si="9"/>
        <v>0.000827715942372052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0.030277715942372</v>
      </c>
      <c r="AR31" s="29">
        <f t="shared" si="15"/>
        <v>100.476388888889</v>
      </c>
      <c r="AS31" s="1">
        <f t="shared" si="16"/>
        <v>0.13</v>
      </c>
      <c r="AT31" s="2">
        <f t="shared" si="20"/>
        <v>30.8448333333333</v>
      </c>
      <c r="AU31" s="1">
        <f t="shared" si="17"/>
        <v>81731.1691240796</v>
      </c>
    </row>
    <row r="32" s="1" customFormat="1" spans="1:47">
      <c r="A32" s="13"/>
      <c r="B32" s="13"/>
      <c r="C32" s="16">
        <v>5</v>
      </c>
      <c r="D32" s="19">
        <v>17.3054330600645</v>
      </c>
      <c r="E32" s="20">
        <f t="shared" si="18"/>
        <v>11.0184732785333</v>
      </c>
      <c r="F32" s="16" t="s">
        <v>112</v>
      </c>
      <c r="G32" s="13">
        <v>6</v>
      </c>
      <c r="H32" s="18">
        <f t="shared" si="0"/>
        <v>17.3054330600645</v>
      </c>
      <c r="I32" s="18">
        <f t="shared" si="1"/>
        <v>290.455433060064</v>
      </c>
      <c r="J32" s="18">
        <f t="shared" si="2"/>
        <v>0.145737050228203</v>
      </c>
      <c r="K32" s="18">
        <f t="shared" si="3"/>
        <v>100.476388888889</v>
      </c>
      <c r="L32" s="18">
        <f t="shared" si="4"/>
        <v>1.00476388888889</v>
      </c>
      <c r="M32" s="13" t="s">
        <v>110</v>
      </c>
      <c r="N32" s="13"/>
      <c r="O32" s="18">
        <f t="shared" si="19"/>
        <v>2.1196381607933</v>
      </c>
      <c r="P32" s="18">
        <f t="shared" si="5"/>
        <v>0.308909813105149</v>
      </c>
      <c r="Q32" s="24">
        <f t="shared" si="6"/>
        <v>0.0401582757036694</v>
      </c>
      <c r="R32" s="18">
        <f t="shared" si="7"/>
        <v>0.130619305555556</v>
      </c>
      <c r="S32" s="25">
        <f t="shared" si="8"/>
        <v>0.307445178435657</v>
      </c>
      <c r="T32" s="3">
        <v>0.01</v>
      </c>
      <c r="U32" s="26">
        <f t="shared" si="9"/>
        <v>0.00307445178435657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0.0325244517843566</v>
      </c>
      <c r="AR32" s="29">
        <f t="shared" si="15"/>
        <v>100.476388888889</v>
      </c>
      <c r="AS32" s="1">
        <f t="shared" si="16"/>
        <v>0.13</v>
      </c>
      <c r="AT32" s="2">
        <f t="shared" si="20"/>
        <v>30.8448333333333</v>
      </c>
      <c r="AU32" s="1">
        <f t="shared" si="17"/>
        <v>87795.9709548343</v>
      </c>
    </row>
    <row r="33" s="1" customFormat="1" spans="1:47">
      <c r="A33" s="13"/>
      <c r="B33" s="13"/>
      <c r="C33" s="16">
        <v>6</v>
      </c>
      <c r="D33" s="19">
        <v>21.845605757</v>
      </c>
      <c r="E33" s="20">
        <f t="shared" si="18"/>
        <v>17.3054330600645</v>
      </c>
      <c r="F33" s="16" t="s">
        <v>110</v>
      </c>
      <c r="G33" s="13">
        <v>7</v>
      </c>
      <c r="H33" s="18">
        <f t="shared" si="0"/>
        <v>21.845605757</v>
      </c>
      <c r="I33" s="18">
        <f t="shared" si="1"/>
        <v>294.995605757</v>
      </c>
      <c r="J33" s="18">
        <f t="shared" si="2"/>
        <v>0.244138749558881</v>
      </c>
      <c r="K33" s="18">
        <f t="shared" si="3"/>
        <v>100.476388888889</v>
      </c>
      <c r="L33" s="18">
        <f t="shared" si="4"/>
        <v>1.00476388888889</v>
      </c>
      <c r="M33" s="13" t="s">
        <v>110</v>
      </c>
      <c r="N33" s="13"/>
      <c r="O33" s="18">
        <f t="shared" si="19"/>
        <v>2.81549223657704</v>
      </c>
      <c r="P33" s="18">
        <f t="shared" si="5"/>
        <v>0.687370754030656</v>
      </c>
      <c r="Q33" s="24">
        <f t="shared" si="6"/>
        <v>0.0893581980239853</v>
      </c>
      <c r="R33" s="18">
        <f t="shared" si="7"/>
        <v>0.130619305555556</v>
      </c>
      <c r="S33" s="25">
        <f t="shared" si="8"/>
        <v>0.684111721800412</v>
      </c>
      <c r="T33" s="3">
        <v>0.01</v>
      </c>
      <c r="U33" s="26">
        <f t="shared" si="9"/>
        <v>0.00684111721800413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0.0362911172180041</v>
      </c>
      <c r="AR33" s="29">
        <f t="shared" si="15"/>
        <v>100.476388888889</v>
      </c>
      <c r="AS33" s="1">
        <f t="shared" si="16"/>
        <v>0.13</v>
      </c>
      <c r="AT33" s="2">
        <f t="shared" si="20"/>
        <v>30.8448333333333</v>
      </c>
      <c r="AU33" s="1">
        <f t="shared" si="17"/>
        <v>97963.6457615209</v>
      </c>
    </row>
    <row r="34" s="1" customFormat="1" spans="1:47">
      <c r="A34" s="13"/>
      <c r="B34" s="13"/>
      <c r="C34" s="16">
        <v>7</v>
      </c>
      <c r="D34" s="19">
        <v>24.7461585709677</v>
      </c>
      <c r="E34" s="20">
        <f t="shared" si="18"/>
        <v>21.845605757</v>
      </c>
      <c r="F34" s="16" t="s">
        <v>110</v>
      </c>
      <c r="G34" s="13">
        <v>8</v>
      </c>
      <c r="H34" s="18">
        <f t="shared" si="0"/>
        <v>24.7461585709677</v>
      </c>
      <c r="I34" s="18">
        <f t="shared" si="1"/>
        <v>297.896158570968</v>
      </c>
      <c r="J34" s="18">
        <f t="shared" si="2"/>
        <v>0.336673854672569</v>
      </c>
      <c r="K34" s="18">
        <f t="shared" si="3"/>
        <v>100.476388888889</v>
      </c>
      <c r="L34" s="18">
        <f t="shared" si="4"/>
        <v>1.00476388888889</v>
      </c>
      <c r="M34" s="13" t="s">
        <v>110</v>
      </c>
      <c r="N34" s="13"/>
      <c r="O34" s="18">
        <f t="shared" si="19"/>
        <v>3.13288537143527</v>
      </c>
      <c r="P34" s="18">
        <f t="shared" si="5"/>
        <v>1.05476059424842</v>
      </c>
      <c r="Q34" s="24">
        <f t="shared" si="6"/>
        <v>0.137118877252294</v>
      </c>
      <c r="R34" s="18">
        <f t="shared" si="7"/>
        <v>0.130619305555556</v>
      </c>
      <c r="S34" s="25">
        <f t="shared" si="8"/>
        <v>1.04975965588773</v>
      </c>
      <c r="T34" s="3">
        <v>0.01</v>
      </c>
      <c r="U34" s="26">
        <f t="shared" si="9"/>
        <v>0.0104975965588773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0.0399475965588773</v>
      </c>
      <c r="AR34" s="29">
        <f t="shared" si="15"/>
        <v>100.476388888889</v>
      </c>
      <c r="AS34" s="1">
        <f t="shared" si="16"/>
        <v>0.13</v>
      </c>
      <c r="AT34" s="2">
        <f t="shared" si="20"/>
        <v>30.8448333333333</v>
      </c>
      <c r="AU34" s="1">
        <f t="shared" si="17"/>
        <v>107833.886039104</v>
      </c>
    </row>
    <row r="35" s="1" customFormat="1" spans="1:47">
      <c r="A35" s="13"/>
      <c r="B35" s="13"/>
      <c r="C35" s="16">
        <v>8</v>
      </c>
      <c r="D35" s="19">
        <v>23.8953388922581</v>
      </c>
      <c r="E35" s="20">
        <f t="shared" si="18"/>
        <v>24.7461585709677</v>
      </c>
      <c r="F35" s="16" t="s">
        <v>110</v>
      </c>
      <c r="G35" s="13">
        <v>9</v>
      </c>
      <c r="H35" s="18">
        <f t="shared" si="0"/>
        <v>23.8953388922581</v>
      </c>
      <c r="I35" s="18">
        <f t="shared" si="1"/>
        <v>297.045338892258</v>
      </c>
      <c r="J35" s="18">
        <f t="shared" si="2"/>
        <v>0.30658508420356</v>
      </c>
      <c r="K35" s="18">
        <f t="shared" si="3"/>
        <v>100.476388888889</v>
      </c>
      <c r="L35" s="18">
        <f t="shared" si="4"/>
        <v>1.00476388888889</v>
      </c>
      <c r="M35" s="13" t="s">
        <v>110</v>
      </c>
      <c r="N35" s="13"/>
      <c r="O35" s="18">
        <f t="shared" si="19"/>
        <v>3.08288866607575</v>
      </c>
      <c r="P35" s="18">
        <f t="shared" si="5"/>
        <v>0.945167681279033</v>
      </c>
      <c r="Q35" s="24">
        <f t="shared" si="6"/>
        <v>0.122871798566274</v>
      </c>
      <c r="R35" s="18">
        <f t="shared" si="7"/>
        <v>0.130619305555556</v>
      </c>
      <c r="S35" s="25">
        <f t="shared" si="8"/>
        <v>0.940686355999757</v>
      </c>
      <c r="T35" s="3">
        <v>0.01</v>
      </c>
      <c r="U35" s="26">
        <f t="shared" si="9"/>
        <v>0.00940686355999757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0.0388568635599976</v>
      </c>
      <c r="AR35" s="29">
        <f t="shared" si="15"/>
        <v>100.476388888889</v>
      </c>
      <c r="AS35" s="1">
        <f t="shared" si="16"/>
        <v>0.13</v>
      </c>
      <c r="AT35" s="2">
        <f t="shared" si="20"/>
        <v>30.8448333333333</v>
      </c>
      <c r="AU35" s="1">
        <f t="shared" si="17"/>
        <v>104889.579296471</v>
      </c>
    </row>
    <row r="36" s="1" customFormat="1" spans="1:47">
      <c r="A36" s="13"/>
      <c r="B36" s="13"/>
      <c r="C36" s="16">
        <v>9</v>
      </c>
      <c r="D36" s="19">
        <v>18.3998738483667</v>
      </c>
      <c r="E36" s="20">
        <f t="shared" si="18"/>
        <v>23.8953388922581</v>
      </c>
      <c r="F36" s="16" t="s">
        <v>110</v>
      </c>
      <c r="G36" s="13">
        <v>10</v>
      </c>
      <c r="H36" s="18">
        <f t="shared" si="0"/>
        <v>18.3998738483667</v>
      </c>
      <c r="I36" s="18">
        <f t="shared" si="1"/>
        <v>291.549873848367</v>
      </c>
      <c r="J36" s="18">
        <f t="shared" si="2"/>
        <v>0.165280344884323</v>
      </c>
      <c r="K36" s="18">
        <f t="shared" si="3"/>
        <v>100.476388888889</v>
      </c>
      <c r="L36" s="18">
        <f t="shared" si="4"/>
        <v>1.00476388888889</v>
      </c>
      <c r="M36" s="13" t="s">
        <v>110</v>
      </c>
      <c r="N36" s="13"/>
      <c r="O36" s="18">
        <f t="shared" si="19"/>
        <v>3.1424848736856</v>
      </c>
      <c r="P36" s="18">
        <f t="shared" si="5"/>
        <v>0.519390983716524</v>
      </c>
      <c r="Q36" s="24">
        <f t="shared" si="6"/>
        <v>0.0675208278831482</v>
      </c>
      <c r="R36" s="18">
        <f t="shared" si="7"/>
        <v>0.130619305555556</v>
      </c>
      <c r="S36" s="25">
        <f t="shared" si="8"/>
        <v>0.51692839428265</v>
      </c>
      <c r="T36" s="3">
        <v>0.01</v>
      </c>
      <c r="U36" s="26">
        <f t="shared" si="9"/>
        <v>0.0051692839428265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0.0270692839428265</v>
      </c>
      <c r="AR36" s="29">
        <f t="shared" si="15"/>
        <v>100.476388888889</v>
      </c>
      <c r="AS36" s="1">
        <f t="shared" si="16"/>
        <v>0.13</v>
      </c>
      <c r="AT36" s="2">
        <f t="shared" si="20"/>
        <v>30.8448333333333</v>
      </c>
      <c r="AU36" s="1">
        <f t="shared" si="17"/>
        <v>73070.3804808058</v>
      </c>
    </row>
    <row r="37" s="1" customFormat="1" spans="1:47">
      <c r="A37" s="13"/>
      <c r="B37" s="13"/>
      <c r="C37" s="16">
        <v>10</v>
      </c>
      <c r="D37" s="19">
        <v>9.01716517996774</v>
      </c>
      <c r="E37" s="20">
        <f t="shared" si="18"/>
        <v>18.3998738483667</v>
      </c>
      <c r="F37" s="16" t="s">
        <v>110</v>
      </c>
      <c r="G37" s="13">
        <v>11</v>
      </c>
      <c r="H37" s="18">
        <f t="shared" si="0"/>
        <v>9.01716517996774</v>
      </c>
      <c r="I37" s="18">
        <f t="shared" si="1"/>
        <v>282.167165179968</v>
      </c>
      <c r="J37" s="18">
        <f t="shared" si="2"/>
        <v>0.0544415414819793</v>
      </c>
      <c r="K37" s="18">
        <f t="shared" si="3"/>
        <v>100.476388888889</v>
      </c>
      <c r="L37" s="18">
        <f t="shared" si="4"/>
        <v>1.00476388888889</v>
      </c>
      <c r="M37" s="13" t="s">
        <v>112</v>
      </c>
      <c r="N37" s="18">
        <f>(O36-P36)*C22/100</f>
        <v>2.49193919547062</v>
      </c>
      <c r="O37" s="18">
        <f t="shared" si="19"/>
        <v>1.13591858338734</v>
      </c>
      <c r="P37" s="18">
        <f t="shared" si="5"/>
        <v>0.0618411586776332</v>
      </c>
      <c r="Q37" s="24">
        <f t="shared" si="6"/>
        <v>0.00803935062809231</v>
      </c>
      <c r="R37" s="18">
        <f t="shared" si="7"/>
        <v>0.130619305555556</v>
      </c>
      <c r="S37" s="25">
        <f t="shared" si="8"/>
        <v>0.0615479510773619</v>
      </c>
      <c r="T37" s="3">
        <v>0.01</v>
      </c>
      <c r="U37" s="26">
        <f t="shared" si="9"/>
        <v>0.000615479510773619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0.0225154795107736</v>
      </c>
      <c r="AR37" s="29">
        <f t="shared" si="15"/>
        <v>100.476388888889</v>
      </c>
      <c r="AS37" s="1">
        <f t="shared" si="16"/>
        <v>0.13</v>
      </c>
      <c r="AT37" s="2">
        <f t="shared" si="20"/>
        <v>30.8448333333333</v>
      </c>
      <c r="AU37" s="1">
        <f t="shared" si="17"/>
        <v>60777.915590043</v>
      </c>
    </row>
    <row r="38" s="1" customFormat="1" spans="1:48">
      <c r="A38" s="13"/>
      <c r="B38" s="13"/>
      <c r="C38" s="16">
        <v>11</v>
      </c>
      <c r="D38" s="19">
        <v>-0.610783173966667</v>
      </c>
      <c r="E38" s="20">
        <f t="shared" si="18"/>
        <v>9.01716517996774</v>
      </c>
      <c r="F38" s="16" t="s">
        <v>112</v>
      </c>
      <c r="G38" s="13">
        <v>12</v>
      </c>
      <c r="H38" s="18">
        <f t="shared" si="0"/>
        <v>-0.610783173966667</v>
      </c>
      <c r="I38" s="18">
        <f t="shared" si="1"/>
        <v>272.539216826033</v>
      </c>
      <c r="J38" s="18">
        <f t="shared" si="2"/>
        <v>0.0160883996077151</v>
      </c>
      <c r="K38" s="18">
        <f t="shared" si="3"/>
        <v>100.476388888889</v>
      </c>
      <c r="L38" s="18">
        <f t="shared" si="4"/>
        <v>1.00476388888889</v>
      </c>
      <c r="M38" s="13" t="s">
        <v>110</v>
      </c>
      <c r="N38" s="13"/>
      <c r="O38" s="18">
        <f t="shared" si="19"/>
        <v>2.0788413135986</v>
      </c>
      <c r="P38" s="18">
        <f t="shared" si="5"/>
        <v>0.0334452297742016</v>
      </c>
      <c r="Q38" s="24">
        <f t="shared" si="6"/>
        <v>0.00434787987064621</v>
      </c>
      <c r="R38" s="18">
        <f t="shared" si="7"/>
        <v>0.130619305555556</v>
      </c>
      <c r="S38" s="25">
        <f t="shared" si="8"/>
        <v>0.0332866558442768</v>
      </c>
      <c r="T38" s="3">
        <v>0.01</v>
      </c>
      <c r="U38" s="26">
        <f t="shared" si="9"/>
        <v>0.000332866558442768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0.0222328665584428</v>
      </c>
      <c r="AR38" s="29">
        <f t="shared" si="15"/>
        <v>100.476388888889</v>
      </c>
      <c r="AS38" s="1">
        <f t="shared" si="16"/>
        <v>0.13</v>
      </c>
      <c r="AT38" s="2">
        <f t="shared" si="20"/>
        <v>30.8448333333333</v>
      </c>
      <c r="AU38" s="1">
        <f t="shared" si="17"/>
        <v>60015.0348282454</v>
      </c>
      <c r="AV38" s="1">
        <f>SUM(AU27:AU38)</f>
        <v>914668.2896253</v>
      </c>
    </row>
    <row r="39" s="1" customFormat="1" spans="1:46">
      <c r="A39" s="13"/>
      <c r="B39" s="13"/>
      <c r="C39" s="16">
        <v>12</v>
      </c>
      <c r="D39" s="19">
        <v>-5.52252911970968</v>
      </c>
      <c r="E39" s="20">
        <f t="shared" si="18"/>
        <v>-0.610783173966667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-7</v>
      </c>
      <c r="E42" s="16"/>
      <c r="F42" s="16"/>
      <c r="G42" s="13">
        <v>1</v>
      </c>
      <c r="H42" s="18">
        <f t="shared" ref="H42:H53" si="21">E43</f>
        <v>-7</v>
      </c>
      <c r="I42" s="18">
        <f t="shared" ref="I42:I53" si="22">H42+273.15</f>
        <v>266.15</v>
      </c>
      <c r="J42" s="18">
        <f t="shared" ref="J42:J53" si="23">EXP(($C$16*(I42-$C$14))/($C$17*I42*$C$14))</f>
        <v>0.00682404760193068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0.000526072938015755</v>
      </c>
      <c r="Q42" s="24">
        <f t="shared" ref="Q42:Q53" si="27">P42*$B$44</f>
        <v>9.46931288428359e-5</v>
      </c>
      <c r="R42" s="18">
        <f t="shared" ref="R42:R53" si="28">L42*$B$44</f>
        <v>0.0138763875</v>
      </c>
      <c r="S42" s="25">
        <f t="shared" ref="S42:S53" si="29">Q42/R42</f>
        <v>0.00682404760193068</v>
      </c>
      <c r="T42" s="3">
        <v>0.01</v>
      </c>
      <c r="U42" s="26">
        <f t="shared" ref="U42:U53" si="30">S42*T42</f>
        <v>6.82404760193068e-5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0.0148682404760193</v>
      </c>
      <c r="AR42" s="29">
        <f t="shared" ref="AR42:AR53" si="34">$B$42/12</f>
        <v>7.70910416666667</v>
      </c>
      <c r="AS42" s="1">
        <f t="shared" ref="AS42:AS53" si="35">$B$44</f>
        <v>0.18</v>
      </c>
      <c r="AT42" s="2">
        <f>$E$5/12</f>
        <v>98.42101369863</v>
      </c>
      <c r="AU42" s="1">
        <f t="shared" ref="AU42:AU53" si="36">AT42*10000*AS42*0.67*AR42*AQ42</f>
        <v>13605.0026978128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-11.9912929458387</v>
      </c>
      <c r="E43" s="20">
        <f t="shared" ref="E43:E54" si="37">D42</f>
        <v>-7</v>
      </c>
      <c r="F43" s="16" t="s">
        <v>110</v>
      </c>
      <c r="G43" s="13">
        <v>2</v>
      </c>
      <c r="H43" s="18">
        <f t="shared" si="21"/>
        <v>-11.9912929458387</v>
      </c>
      <c r="I43" s="18">
        <f t="shared" si="22"/>
        <v>261.158707054161</v>
      </c>
      <c r="J43" s="18">
        <f t="shared" si="23"/>
        <v>0.00339145333593663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0.153656010395318</v>
      </c>
      <c r="P43" s="18">
        <f t="shared" si="26"/>
        <v>0.000521117189041913</v>
      </c>
      <c r="Q43" s="24">
        <f t="shared" si="27"/>
        <v>9.38010940275444e-5</v>
      </c>
      <c r="R43" s="18">
        <f t="shared" si="28"/>
        <v>0.0138763875</v>
      </c>
      <c r="S43" s="25">
        <f t="shared" si="29"/>
        <v>0.0067597632328691</v>
      </c>
      <c r="T43" s="3">
        <v>0.01</v>
      </c>
      <c r="U43" s="26">
        <f t="shared" si="30"/>
        <v>6.7597632328691e-5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0.0148675976323287</v>
      </c>
      <c r="AR43" s="29">
        <f t="shared" si="34"/>
        <v>7.70910416666667</v>
      </c>
      <c r="AS43" s="1">
        <f t="shared" si="35"/>
        <v>0.18</v>
      </c>
      <c r="AT43" s="2">
        <f t="shared" ref="AT43:AT53" si="39">$E$5/12</f>
        <v>98.42101369863</v>
      </c>
      <c r="AU43" s="1">
        <f t="shared" si="36"/>
        <v>13604.4144715086</v>
      </c>
    </row>
    <row r="44" s="1" customFormat="1" spans="1:47">
      <c r="A44" s="13" t="s">
        <v>73</v>
      </c>
      <c r="B44" s="13">
        <v>0.18</v>
      </c>
      <c r="C44" s="16">
        <v>2</v>
      </c>
      <c r="D44" s="19">
        <v>-5.3710619222069</v>
      </c>
      <c r="E44" s="20">
        <f t="shared" si="37"/>
        <v>-11.9912929458387</v>
      </c>
      <c r="F44" s="16" t="s">
        <v>110</v>
      </c>
      <c r="G44" s="13">
        <v>3</v>
      </c>
      <c r="H44" s="18">
        <f t="shared" si="21"/>
        <v>-5.3710619222069</v>
      </c>
      <c r="I44" s="18">
        <f t="shared" si="22"/>
        <v>267.778938077793</v>
      </c>
      <c r="J44" s="18">
        <f t="shared" si="23"/>
        <v>0.00852495366216914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0.230225934872942</v>
      </c>
      <c r="P44" s="18">
        <f t="shared" si="26"/>
        <v>0.0019626654266214</v>
      </c>
      <c r="Q44" s="24">
        <f t="shared" si="27"/>
        <v>0.000353279776791853</v>
      </c>
      <c r="R44" s="18">
        <f t="shared" si="28"/>
        <v>0.0138763875</v>
      </c>
      <c r="S44" s="25">
        <f t="shared" si="29"/>
        <v>0.0254590596285851</v>
      </c>
      <c r="T44" s="3">
        <v>0.01</v>
      </c>
      <c r="U44" s="26">
        <f t="shared" si="30"/>
        <v>0.000254590596285851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0.0150545905962859</v>
      </c>
      <c r="AR44" s="29">
        <f t="shared" si="34"/>
        <v>7.70910416666667</v>
      </c>
      <c r="AS44" s="1">
        <f t="shared" si="35"/>
        <v>0.18</v>
      </c>
      <c r="AT44" s="2">
        <f t="shared" si="39"/>
        <v>98.42101369863</v>
      </c>
      <c r="AU44" s="1">
        <f t="shared" si="36"/>
        <v>13775.5201099473</v>
      </c>
    </row>
    <row r="45" s="1" customFormat="1" spans="1:47">
      <c r="A45" s="13"/>
      <c r="B45" s="13"/>
      <c r="C45" s="16">
        <v>3</v>
      </c>
      <c r="D45" s="19">
        <v>3.88283180570968</v>
      </c>
      <c r="E45" s="20">
        <f t="shared" si="37"/>
        <v>-5.3710619222069</v>
      </c>
      <c r="F45" s="16" t="s">
        <v>110</v>
      </c>
      <c r="G45" s="13">
        <v>4</v>
      </c>
      <c r="H45" s="18">
        <f t="shared" si="21"/>
        <v>3.88283180570968</v>
      </c>
      <c r="I45" s="18">
        <f t="shared" si="22"/>
        <v>277.03283180571</v>
      </c>
      <c r="J45" s="18">
        <f t="shared" si="23"/>
        <v>0.0287200573052709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0.305354311112988</v>
      </c>
      <c r="P45" s="18">
        <f t="shared" si="26"/>
        <v>0.00876979331357652</v>
      </c>
      <c r="Q45" s="24">
        <f t="shared" si="27"/>
        <v>0.00157856279644377</v>
      </c>
      <c r="R45" s="18">
        <f t="shared" si="28"/>
        <v>0.0138763875</v>
      </c>
      <c r="S45" s="25">
        <f t="shared" si="29"/>
        <v>0.113758915744013</v>
      </c>
      <c r="T45" s="3">
        <v>0.01</v>
      </c>
      <c r="U45" s="26">
        <f t="shared" si="30"/>
        <v>0.00113758915744013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0.0159375891574401</v>
      </c>
      <c r="AR45" s="29">
        <f t="shared" si="34"/>
        <v>7.70910416666667</v>
      </c>
      <c r="AS45" s="1">
        <f t="shared" si="35"/>
        <v>0.18</v>
      </c>
      <c r="AT45" s="2">
        <f t="shared" si="39"/>
        <v>98.42101369863</v>
      </c>
      <c r="AU45" s="1">
        <f t="shared" si="36"/>
        <v>14583.4972089218</v>
      </c>
    </row>
    <row r="46" s="1" customFormat="1" spans="1:47">
      <c r="A46" s="13"/>
      <c r="B46" s="13"/>
      <c r="C46" s="16">
        <v>4</v>
      </c>
      <c r="D46" s="19">
        <v>11.0184732785333</v>
      </c>
      <c r="E46" s="20">
        <f t="shared" si="37"/>
        <v>3.88283180570968</v>
      </c>
      <c r="F46" s="16" t="s">
        <v>110</v>
      </c>
      <c r="G46" s="13">
        <v>5</v>
      </c>
      <c r="H46" s="18">
        <f t="shared" si="21"/>
        <v>11.0184732785333</v>
      </c>
      <c r="I46" s="18">
        <f t="shared" si="22"/>
        <v>284.168473278533</v>
      </c>
      <c r="J46" s="18">
        <f t="shared" si="23"/>
        <v>0.0694182968541204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0.281755291909441</v>
      </c>
      <c r="O46" s="18">
        <f t="shared" si="38"/>
        <v>0.0919202675566372</v>
      </c>
      <c r="P46" s="18">
        <f t="shared" si="26"/>
        <v>0.00638094842015682</v>
      </c>
      <c r="Q46" s="24">
        <f t="shared" si="27"/>
        <v>0.00114857071562823</v>
      </c>
      <c r="R46" s="18">
        <f t="shared" si="28"/>
        <v>0.0138763875</v>
      </c>
      <c r="S46" s="25">
        <f t="shared" si="29"/>
        <v>0.0827715942372052</v>
      </c>
      <c r="T46" s="3">
        <v>0.01</v>
      </c>
      <c r="U46" s="26">
        <f t="shared" si="30"/>
        <v>0.000827715942372052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0.0279277159423721</v>
      </c>
      <c r="AR46" s="29">
        <f t="shared" si="34"/>
        <v>7.70910416666667</v>
      </c>
      <c r="AS46" s="1">
        <f t="shared" si="35"/>
        <v>0.18</v>
      </c>
      <c r="AT46" s="2">
        <f t="shared" si="39"/>
        <v>98.42101369863</v>
      </c>
      <c r="AU46" s="1">
        <f t="shared" si="36"/>
        <v>25554.9169622691</v>
      </c>
    </row>
    <row r="47" s="1" customFormat="1" spans="1:47">
      <c r="A47" s="13"/>
      <c r="B47" s="13"/>
      <c r="C47" s="16">
        <v>5</v>
      </c>
      <c r="D47" s="19">
        <v>17.3054330600645</v>
      </c>
      <c r="E47" s="20">
        <f t="shared" si="37"/>
        <v>11.0184732785333</v>
      </c>
      <c r="F47" s="16" t="s">
        <v>112</v>
      </c>
      <c r="G47" s="13">
        <v>6</v>
      </c>
      <c r="H47" s="18">
        <f t="shared" si="21"/>
        <v>17.3054330600645</v>
      </c>
      <c r="I47" s="18">
        <f t="shared" si="22"/>
        <v>290.455433060064</v>
      </c>
      <c r="J47" s="18">
        <f t="shared" si="23"/>
        <v>0.145737050228203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0.162630360803147</v>
      </c>
      <c r="P47" s="18">
        <f t="shared" si="26"/>
        <v>0.023701269060999</v>
      </c>
      <c r="Q47" s="24">
        <f t="shared" si="27"/>
        <v>0.00426622843097982</v>
      </c>
      <c r="R47" s="18">
        <f t="shared" si="28"/>
        <v>0.0138763875</v>
      </c>
      <c r="S47" s="25">
        <f t="shared" si="29"/>
        <v>0.307445178435657</v>
      </c>
      <c r="T47" s="3">
        <v>0.01</v>
      </c>
      <c r="U47" s="26">
        <f t="shared" si="30"/>
        <v>0.00307445178435657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0.0301744517843566</v>
      </c>
      <c r="AR47" s="29">
        <f t="shared" si="34"/>
        <v>7.70910416666667</v>
      </c>
      <c r="AS47" s="1">
        <f t="shared" si="35"/>
        <v>0.18</v>
      </c>
      <c r="AT47" s="2">
        <f t="shared" si="39"/>
        <v>98.42101369863</v>
      </c>
      <c r="AU47" s="1">
        <f t="shared" si="36"/>
        <v>27610.7652814279</v>
      </c>
    </row>
    <row r="48" s="1" customFormat="1" spans="1:47">
      <c r="A48" s="13"/>
      <c r="B48" s="13"/>
      <c r="C48" s="16">
        <v>6</v>
      </c>
      <c r="D48" s="19">
        <v>21.845605757</v>
      </c>
      <c r="E48" s="20">
        <f t="shared" si="37"/>
        <v>17.3054330600645</v>
      </c>
      <c r="F48" s="16" t="s">
        <v>110</v>
      </c>
      <c r="G48" s="13">
        <v>7</v>
      </c>
      <c r="H48" s="18">
        <f t="shared" si="21"/>
        <v>21.845605757</v>
      </c>
      <c r="I48" s="18">
        <f t="shared" si="22"/>
        <v>294.995605757</v>
      </c>
      <c r="J48" s="18">
        <f t="shared" si="23"/>
        <v>0.244138749558881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0.216020133408815</v>
      </c>
      <c r="P48" s="18">
        <f t="shared" si="26"/>
        <v>0.0527388852499707</v>
      </c>
      <c r="Q48" s="24">
        <f t="shared" si="27"/>
        <v>0.00949299934499472</v>
      </c>
      <c r="R48" s="18">
        <f t="shared" si="28"/>
        <v>0.0138763875</v>
      </c>
      <c r="S48" s="25">
        <f t="shared" si="29"/>
        <v>0.684111721800413</v>
      </c>
      <c r="T48" s="3">
        <v>0.01</v>
      </c>
      <c r="U48" s="26">
        <f t="shared" si="30"/>
        <v>0.00684111721800413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0.0339411172180041</v>
      </c>
      <c r="AR48" s="29">
        <f t="shared" si="34"/>
        <v>7.70910416666667</v>
      </c>
      <c r="AS48" s="1">
        <f t="shared" si="35"/>
        <v>0.18</v>
      </c>
      <c r="AT48" s="2">
        <f t="shared" si="39"/>
        <v>98.42101369863</v>
      </c>
      <c r="AU48" s="1">
        <f t="shared" si="36"/>
        <v>31057.4066960045</v>
      </c>
    </row>
    <row r="49" s="1" customFormat="1" spans="1:47">
      <c r="A49" s="13"/>
      <c r="B49" s="13"/>
      <c r="C49" s="16">
        <v>7</v>
      </c>
      <c r="D49" s="19">
        <v>24.7461585709677</v>
      </c>
      <c r="E49" s="20">
        <f t="shared" si="37"/>
        <v>21.845605757</v>
      </c>
      <c r="F49" s="16" t="s">
        <v>110</v>
      </c>
      <c r="G49" s="13">
        <v>8</v>
      </c>
      <c r="H49" s="18">
        <f t="shared" si="21"/>
        <v>24.7461585709677</v>
      </c>
      <c r="I49" s="18">
        <f t="shared" si="22"/>
        <v>297.896158570968</v>
      </c>
      <c r="J49" s="18">
        <f t="shared" si="23"/>
        <v>0.336673854672569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0.240372289825511</v>
      </c>
      <c r="P49" s="18">
        <f t="shared" si="26"/>
        <v>0.0809270653720266</v>
      </c>
      <c r="Q49" s="24">
        <f t="shared" si="27"/>
        <v>0.0145668717669648</v>
      </c>
      <c r="R49" s="18">
        <f t="shared" si="28"/>
        <v>0.0138763875</v>
      </c>
      <c r="S49" s="25">
        <f t="shared" si="29"/>
        <v>1.04975965588773</v>
      </c>
      <c r="T49" s="3">
        <v>0.01</v>
      </c>
      <c r="U49" s="26">
        <f t="shared" si="30"/>
        <v>0.0104975965588773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0.0375975965588773</v>
      </c>
      <c r="AR49" s="29">
        <f t="shared" si="34"/>
        <v>7.70910416666667</v>
      </c>
      <c r="AS49" s="1">
        <f t="shared" si="35"/>
        <v>0.18</v>
      </c>
      <c r="AT49" s="2">
        <f t="shared" si="39"/>
        <v>98.42101369863</v>
      </c>
      <c r="AU49" s="1">
        <f t="shared" si="36"/>
        <v>34403.2236658949</v>
      </c>
    </row>
    <row r="50" s="1" customFormat="1" spans="1:47">
      <c r="A50" s="13"/>
      <c r="B50" s="13"/>
      <c r="C50" s="16">
        <v>8</v>
      </c>
      <c r="D50" s="19">
        <v>23.8953388922581</v>
      </c>
      <c r="E50" s="20">
        <f t="shared" si="37"/>
        <v>24.7461585709677</v>
      </c>
      <c r="F50" s="16" t="s">
        <v>110</v>
      </c>
      <c r="G50" s="13">
        <v>9</v>
      </c>
      <c r="H50" s="18">
        <f t="shared" si="21"/>
        <v>23.8953388922581</v>
      </c>
      <c r="I50" s="18">
        <f t="shared" si="22"/>
        <v>297.045338892258</v>
      </c>
      <c r="J50" s="18">
        <f t="shared" si="23"/>
        <v>0.30658508420356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0.236536266120151</v>
      </c>
      <c r="P50" s="18">
        <f t="shared" si="26"/>
        <v>0.0725184910656421</v>
      </c>
      <c r="Q50" s="24">
        <f t="shared" si="27"/>
        <v>0.0130533283918156</v>
      </c>
      <c r="R50" s="18">
        <f t="shared" si="28"/>
        <v>0.0138763875</v>
      </c>
      <c r="S50" s="25">
        <f t="shared" si="29"/>
        <v>0.940686355999757</v>
      </c>
      <c r="T50" s="3">
        <v>0.01</v>
      </c>
      <c r="U50" s="26">
        <f t="shared" si="30"/>
        <v>0.00940686355999757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0.0365068635599976</v>
      </c>
      <c r="AR50" s="29">
        <f t="shared" si="34"/>
        <v>7.70910416666667</v>
      </c>
      <c r="AS50" s="1">
        <f t="shared" si="35"/>
        <v>0.18</v>
      </c>
      <c r="AT50" s="2">
        <f t="shared" si="39"/>
        <v>98.42101369863</v>
      </c>
      <c r="AU50" s="1">
        <f t="shared" si="36"/>
        <v>33405.1616950594</v>
      </c>
    </row>
    <row r="51" s="1" customFormat="1" spans="1:47">
      <c r="A51" s="13"/>
      <c r="B51" s="13"/>
      <c r="C51" s="16">
        <v>9</v>
      </c>
      <c r="D51" s="19">
        <v>18.3998738483667</v>
      </c>
      <c r="E51" s="20">
        <f t="shared" si="37"/>
        <v>23.8953388922581</v>
      </c>
      <c r="F51" s="16" t="s">
        <v>110</v>
      </c>
      <c r="G51" s="13">
        <v>10</v>
      </c>
      <c r="H51" s="18">
        <f t="shared" si="21"/>
        <v>18.3998738483667</v>
      </c>
      <c r="I51" s="18">
        <f t="shared" si="22"/>
        <v>291.549873848367</v>
      </c>
      <c r="J51" s="18">
        <f t="shared" si="23"/>
        <v>0.165280344884323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0.241108816721175</v>
      </c>
      <c r="P51" s="18">
        <f t="shared" si="26"/>
        <v>0.0398505483823269</v>
      </c>
      <c r="Q51" s="24">
        <f t="shared" si="27"/>
        <v>0.00717309870881884</v>
      </c>
      <c r="R51" s="18">
        <f t="shared" si="28"/>
        <v>0.0138763875</v>
      </c>
      <c r="S51" s="25">
        <f t="shared" si="29"/>
        <v>0.51692839428265</v>
      </c>
      <c r="T51" s="3">
        <v>0.01</v>
      </c>
      <c r="U51" s="26">
        <f t="shared" si="30"/>
        <v>0.0051692839428265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0.0199692839428265</v>
      </c>
      <c r="AR51" s="29">
        <f t="shared" si="34"/>
        <v>7.70910416666667</v>
      </c>
      <c r="AS51" s="1">
        <f t="shared" si="35"/>
        <v>0.18</v>
      </c>
      <c r="AT51" s="2">
        <f t="shared" si="39"/>
        <v>98.42101369863</v>
      </c>
      <c r="AU51" s="1">
        <f t="shared" si="36"/>
        <v>18272.6505099064</v>
      </c>
    </row>
    <row r="52" s="1" customFormat="1" spans="1:47">
      <c r="A52" s="13"/>
      <c r="B52" s="13"/>
      <c r="C52" s="16">
        <v>10</v>
      </c>
      <c r="D52" s="19">
        <v>9.01716517996774</v>
      </c>
      <c r="E52" s="20">
        <f t="shared" si="37"/>
        <v>18.3998738483667</v>
      </c>
      <c r="F52" s="16" t="s">
        <v>110</v>
      </c>
      <c r="G52" s="13">
        <v>11</v>
      </c>
      <c r="H52" s="18">
        <f t="shared" si="21"/>
        <v>9.01716517996774</v>
      </c>
      <c r="I52" s="18">
        <f t="shared" si="22"/>
        <v>282.167165179968</v>
      </c>
      <c r="J52" s="18">
        <f t="shared" si="23"/>
        <v>0.0544415414819793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0.191195354921906</v>
      </c>
      <c r="O52" s="18">
        <f t="shared" si="38"/>
        <v>0.0871539550836091</v>
      </c>
      <c r="P52" s="18">
        <f t="shared" si="26"/>
        <v>0.00474479566100286</v>
      </c>
      <c r="Q52" s="24">
        <f t="shared" si="27"/>
        <v>0.000854063218980516</v>
      </c>
      <c r="R52" s="18">
        <f t="shared" si="28"/>
        <v>0.0138763875</v>
      </c>
      <c r="S52" s="25">
        <f t="shared" si="29"/>
        <v>0.0615479510773619</v>
      </c>
      <c r="T52" s="3">
        <v>0.01</v>
      </c>
      <c r="U52" s="26">
        <f t="shared" si="30"/>
        <v>0.000615479510773619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0.0154154795107736</v>
      </c>
      <c r="AR52" s="29">
        <f t="shared" si="34"/>
        <v>7.70910416666667</v>
      </c>
      <c r="AS52" s="1">
        <f t="shared" si="35"/>
        <v>0.18</v>
      </c>
      <c r="AT52" s="2">
        <f t="shared" si="39"/>
        <v>98.42101369863</v>
      </c>
      <c r="AU52" s="1">
        <f t="shared" si="36"/>
        <v>14105.7471239061</v>
      </c>
    </row>
    <row r="53" s="1" customFormat="1" spans="1:48">
      <c r="A53" s="13"/>
      <c r="B53" s="13"/>
      <c r="C53" s="16">
        <v>11</v>
      </c>
      <c r="D53" s="19">
        <v>-0.610783173966667</v>
      </c>
      <c r="E53" s="20">
        <f t="shared" si="37"/>
        <v>9.01716517996774</v>
      </c>
      <c r="F53" s="16" t="s">
        <v>112</v>
      </c>
      <c r="G53" s="13">
        <v>12</v>
      </c>
      <c r="H53" s="18">
        <f t="shared" si="21"/>
        <v>-0.610783173966667</v>
      </c>
      <c r="I53" s="18">
        <f t="shared" si="22"/>
        <v>272.539216826033</v>
      </c>
      <c r="J53" s="18">
        <f t="shared" si="23"/>
        <v>0.0160883996077151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0.159500201089273</v>
      </c>
      <c r="P53" s="18">
        <f t="shared" si="26"/>
        <v>0.00256610297263514</v>
      </c>
      <c r="Q53" s="24">
        <f t="shared" si="27"/>
        <v>0.000461898535074325</v>
      </c>
      <c r="R53" s="18">
        <f t="shared" si="28"/>
        <v>0.0138763875</v>
      </c>
      <c r="S53" s="25">
        <f t="shared" si="29"/>
        <v>0.0332866558442768</v>
      </c>
      <c r="T53" s="3">
        <v>0.01</v>
      </c>
      <c r="U53" s="26">
        <f t="shared" si="30"/>
        <v>0.000332866558442768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0.0151328665584428</v>
      </c>
      <c r="AR53" s="29">
        <f t="shared" si="34"/>
        <v>7.70910416666667</v>
      </c>
      <c r="AS53" s="1">
        <f t="shared" si="35"/>
        <v>0.18</v>
      </c>
      <c r="AT53" s="2">
        <f t="shared" si="39"/>
        <v>98.42101369863</v>
      </c>
      <c r="AU53" s="1">
        <f t="shared" si="36"/>
        <v>13847.1455775362</v>
      </c>
      <c r="AV53" s="1">
        <f>SUM(AU42:AU53)</f>
        <v>253825.452000195</v>
      </c>
    </row>
    <row r="54" s="1" customFormat="1" spans="1:46">
      <c r="A54" s="13"/>
      <c r="B54" s="13"/>
      <c r="C54" s="16">
        <v>12</v>
      </c>
      <c r="D54" s="19">
        <v>-5.52252911970968</v>
      </c>
      <c r="E54" s="20">
        <f t="shared" si="37"/>
        <v>-0.610783173966667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</row>
    <row r="57" s="1" customFormat="1" spans="1:32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</row>
    <row r="58" s="1" customFormat="1" spans="1:32">
      <c r="A58" s="13" t="s">
        <v>108</v>
      </c>
      <c r="B58" s="13">
        <f>F7</f>
        <v>122.786</v>
      </c>
      <c r="C58" s="16" t="s">
        <v>109</v>
      </c>
      <c r="D58" s="17">
        <v>-7</v>
      </c>
      <c r="E58" s="16"/>
      <c r="F58" s="16"/>
      <c r="G58" s="13">
        <v>1</v>
      </c>
      <c r="H58" s="18">
        <f t="shared" ref="H58:H69" si="40">E59</f>
        <v>-7</v>
      </c>
      <c r="I58" s="18">
        <f t="shared" ref="I58:I69" si="41">H58+273.15</f>
        <v>266.15</v>
      </c>
      <c r="J58" s="18">
        <f t="shared" ref="J58:J69" si="42">EXP(($C$16*(I58-$C$14))/($C$17*I58*$C$14))</f>
        <v>0.00682404760193068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0.0188526939491399</v>
      </c>
      <c r="Q58" s="24">
        <f t="shared" ref="Q58:Q69" si="46">P58*$B$60</f>
        <v>0.00546728124525056</v>
      </c>
      <c r="R58" s="18">
        <f t="shared" ref="R58:R69" si="47">L58*$B$60</f>
        <v>0.80117865</v>
      </c>
      <c r="S58" s="25">
        <f t="shared" ref="S58:S69" si="48">Q58/R58</f>
        <v>0.00682404760193068</v>
      </c>
      <c r="T58" s="3">
        <v>0.27</v>
      </c>
      <c r="U58" s="26">
        <f t="shared" ref="U58:U69" si="49">S58*T58</f>
        <v>0.00184249285252128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>U58*0.67*AD58+(V58+W58+X58+Y58+Z58+AA58)/1000</f>
        <v>0.226757996361245</v>
      </c>
      <c r="AC58" s="29">
        <f t="shared" ref="AC58:AC69" si="50">$B$58/12</f>
        <v>10.2321666666667</v>
      </c>
      <c r="AD58" s="1">
        <f t="shared" ref="AD58:AD69" si="51">$B$60</f>
        <v>0.29</v>
      </c>
      <c r="AE58" s="30">
        <f>$E$7/12</f>
        <v>267.672836315138</v>
      </c>
      <c r="AF58" s="1">
        <f>AE58*10000*AC58*AB58</f>
        <v>6210613.70392874</v>
      </c>
    </row>
    <row r="59" s="1" customFormat="1" spans="1:32">
      <c r="A59" s="13" t="s">
        <v>111</v>
      </c>
      <c r="B59" s="13">
        <v>27</v>
      </c>
      <c r="C59" s="16">
        <v>1</v>
      </c>
      <c r="D59" s="19">
        <v>-11.9912929458387</v>
      </c>
      <c r="E59" s="20">
        <f t="shared" ref="E59:E70" si="52">D58</f>
        <v>-7</v>
      </c>
      <c r="F59" s="16" t="s">
        <v>110</v>
      </c>
      <c r="G59" s="13">
        <v>2</v>
      </c>
      <c r="H59" s="18">
        <f t="shared" si="40"/>
        <v>-11.9912929458387</v>
      </c>
      <c r="I59" s="18">
        <f t="shared" si="41"/>
        <v>261.158707054161</v>
      </c>
      <c r="J59" s="18">
        <f t="shared" si="42"/>
        <v>0.00339145333593663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3">L59+O58-P58-N59</f>
        <v>5.50651730605086</v>
      </c>
      <c r="P59" s="18">
        <f t="shared" si="45"/>
        <v>0.018675096486999</v>
      </c>
      <c r="Q59" s="24">
        <f t="shared" si="46"/>
        <v>0.0054157779812297</v>
      </c>
      <c r="R59" s="18">
        <f t="shared" si="47"/>
        <v>0.80117865</v>
      </c>
      <c r="S59" s="25">
        <f t="shared" si="48"/>
        <v>0.0067597632328691</v>
      </c>
      <c r="T59" s="3">
        <v>0.27</v>
      </c>
      <c r="U59" s="26">
        <f t="shared" si="49"/>
        <v>0.00182513607287466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ref="AB59:AB69" si="54">U59*0.67*AD59+(V59+W59+X59+Y59+Z59+AA59)/1000</f>
        <v>0.22675462393896</v>
      </c>
      <c r="AC59" s="29">
        <f t="shared" si="50"/>
        <v>10.2321666666667</v>
      </c>
      <c r="AD59" s="1">
        <f t="shared" si="51"/>
        <v>0.29</v>
      </c>
      <c r="AE59" s="30">
        <f t="shared" ref="AE59:AE69" si="55">$E$7/12</f>
        <v>267.672836315138</v>
      </c>
      <c r="AF59" s="1">
        <f t="shared" ref="AF59:AF69" si="56">AE59*10000*AC59*AB59</f>
        <v>6210521.33756285</v>
      </c>
    </row>
    <row r="60" s="1" customFormat="1" spans="1:32">
      <c r="A60" s="13" t="s">
        <v>73</v>
      </c>
      <c r="B60" s="13">
        <v>0.29</v>
      </c>
      <c r="C60" s="16">
        <v>2</v>
      </c>
      <c r="D60" s="19">
        <v>-5.3710619222069</v>
      </c>
      <c r="E60" s="20">
        <f t="shared" si="52"/>
        <v>-11.9912929458387</v>
      </c>
      <c r="F60" s="16" t="s">
        <v>110</v>
      </c>
      <c r="G60" s="13">
        <v>3</v>
      </c>
      <c r="H60" s="18">
        <f t="shared" si="40"/>
        <v>-5.3710619222069</v>
      </c>
      <c r="I60" s="18">
        <f t="shared" si="41"/>
        <v>267.778938077793</v>
      </c>
      <c r="J60" s="18">
        <f t="shared" si="42"/>
        <v>0.00852495366216914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3"/>
        <v>8.25052720956386</v>
      </c>
      <c r="P60" s="18">
        <f t="shared" si="45"/>
        <v>0.0703353621499976</v>
      </c>
      <c r="Q60" s="24">
        <f t="shared" si="46"/>
        <v>0.0203972550234993</v>
      </c>
      <c r="R60" s="18">
        <f t="shared" si="47"/>
        <v>0.80117865</v>
      </c>
      <c r="S60" s="25">
        <f t="shared" si="48"/>
        <v>0.0254590596285851</v>
      </c>
      <c r="T60" s="3">
        <v>0.27</v>
      </c>
      <c r="U60" s="26">
        <f t="shared" si="49"/>
        <v>0.00687394609971797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4"/>
        <v>0.227735607727175</v>
      </c>
      <c r="AC60" s="29">
        <f t="shared" si="50"/>
        <v>10.2321666666667</v>
      </c>
      <c r="AD60" s="1">
        <f t="shared" si="51"/>
        <v>0.29</v>
      </c>
      <c r="AE60" s="30">
        <f t="shared" si="55"/>
        <v>267.672836315138</v>
      </c>
      <c r="AF60" s="1">
        <f t="shared" si="56"/>
        <v>6237389.23839188</v>
      </c>
    </row>
    <row r="61" s="1" customFormat="1" spans="1:32">
      <c r="A61" s="13"/>
      <c r="B61" s="13"/>
      <c r="C61" s="16">
        <v>3</v>
      </c>
      <c r="D61" s="19">
        <v>3.88283180570968</v>
      </c>
      <c r="E61" s="20">
        <f t="shared" si="52"/>
        <v>-5.3710619222069</v>
      </c>
      <c r="F61" s="16" t="s">
        <v>110</v>
      </c>
      <c r="G61" s="13">
        <v>4</v>
      </c>
      <c r="H61" s="18">
        <f t="shared" si="40"/>
        <v>3.88283180570968</v>
      </c>
      <c r="I61" s="18">
        <f t="shared" si="41"/>
        <v>277.03283180571</v>
      </c>
      <c r="J61" s="18">
        <f t="shared" si="42"/>
        <v>0.0287200573052709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3"/>
        <v>10.9428768474139</v>
      </c>
      <c r="P61" s="18">
        <f t="shared" si="45"/>
        <v>0.314280050142248</v>
      </c>
      <c r="Q61" s="24">
        <f t="shared" si="46"/>
        <v>0.091141214541252</v>
      </c>
      <c r="R61" s="18">
        <f t="shared" si="47"/>
        <v>0.80117865</v>
      </c>
      <c r="S61" s="25">
        <f t="shared" si="48"/>
        <v>0.113758915744013</v>
      </c>
      <c r="T61" s="3">
        <v>0.27</v>
      </c>
      <c r="U61" s="26">
        <f t="shared" si="49"/>
        <v>0.0307149072508835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4"/>
        <v>0.232367906478847</v>
      </c>
      <c r="AC61" s="29">
        <f t="shared" si="50"/>
        <v>10.2321666666667</v>
      </c>
      <c r="AD61" s="1">
        <f t="shared" si="51"/>
        <v>0.29</v>
      </c>
      <c r="AE61" s="30">
        <f t="shared" si="55"/>
        <v>267.672836315138</v>
      </c>
      <c r="AF61" s="1">
        <f t="shared" si="56"/>
        <v>6364262.02157696</v>
      </c>
    </row>
    <row r="62" s="1" customFormat="1" spans="1:32">
      <c r="A62" s="13"/>
      <c r="B62" s="13"/>
      <c r="C62" s="16">
        <v>4</v>
      </c>
      <c r="D62" s="19">
        <v>11.0184732785333</v>
      </c>
      <c r="E62" s="20">
        <f t="shared" si="52"/>
        <v>3.88283180570968</v>
      </c>
      <c r="F62" s="16" t="s">
        <v>110</v>
      </c>
      <c r="G62" s="13">
        <v>5</v>
      </c>
      <c r="H62" s="18">
        <f t="shared" si="40"/>
        <v>11.0184732785333</v>
      </c>
      <c r="I62" s="18">
        <f t="shared" si="41"/>
        <v>284.168473278533</v>
      </c>
      <c r="J62" s="18">
        <f t="shared" si="42"/>
        <v>0.0694182968541204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10.097166957408</v>
      </c>
      <c r="O62" s="18">
        <f t="shared" si="53"/>
        <v>3.29411483986358</v>
      </c>
      <c r="P62" s="18">
        <f t="shared" si="45"/>
        <v>0.228671841825213</v>
      </c>
      <c r="Q62" s="24">
        <f t="shared" si="46"/>
        <v>0.0663148341293119</v>
      </c>
      <c r="R62" s="18">
        <f t="shared" si="47"/>
        <v>0.80117865</v>
      </c>
      <c r="S62" s="25">
        <f t="shared" si="48"/>
        <v>0.0827715942372052</v>
      </c>
      <c r="T62" s="3">
        <v>0.27</v>
      </c>
      <c r="U62" s="26">
        <f t="shared" si="49"/>
        <v>0.0223483304440454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4"/>
        <v>0.279542280605278</v>
      </c>
      <c r="AC62" s="29">
        <f t="shared" si="50"/>
        <v>10.2321666666667</v>
      </c>
      <c r="AD62" s="1">
        <f t="shared" si="51"/>
        <v>0.29</v>
      </c>
      <c r="AE62" s="30">
        <f t="shared" si="55"/>
        <v>267.672836315138</v>
      </c>
      <c r="AF62" s="1">
        <f t="shared" si="56"/>
        <v>7656308.25203108</v>
      </c>
    </row>
    <row r="63" s="1" customFormat="1" spans="1:32">
      <c r="A63" s="13"/>
      <c r="B63" s="13"/>
      <c r="C63" s="16">
        <v>5</v>
      </c>
      <c r="D63" s="19">
        <v>17.3054330600645</v>
      </c>
      <c r="E63" s="20">
        <f t="shared" si="52"/>
        <v>11.0184732785333</v>
      </c>
      <c r="F63" s="16" t="s">
        <v>112</v>
      </c>
      <c r="G63" s="13">
        <v>6</v>
      </c>
      <c r="H63" s="18">
        <f t="shared" si="40"/>
        <v>17.3054330600645</v>
      </c>
      <c r="I63" s="18">
        <f t="shared" si="41"/>
        <v>290.455433060064</v>
      </c>
      <c r="J63" s="18">
        <f t="shared" si="42"/>
        <v>0.145737050228203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3"/>
        <v>5.82812799803837</v>
      </c>
      <c r="P63" s="18">
        <f t="shared" si="45"/>
        <v>0.849374182786513</v>
      </c>
      <c r="Q63" s="24">
        <f t="shared" si="46"/>
        <v>0.246318513008089</v>
      </c>
      <c r="R63" s="18">
        <f t="shared" si="47"/>
        <v>0.80117865</v>
      </c>
      <c r="S63" s="25">
        <f t="shared" si="48"/>
        <v>0.307445178435657</v>
      </c>
      <c r="T63" s="3">
        <v>0.27</v>
      </c>
      <c r="U63" s="26">
        <f t="shared" si="49"/>
        <v>0.0830101981776274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4"/>
        <v>0.291328881505913</v>
      </c>
      <c r="AC63" s="29">
        <f t="shared" si="50"/>
        <v>10.2321666666667</v>
      </c>
      <c r="AD63" s="1">
        <f t="shared" si="51"/>
        <v>0.29</v>
      </c>
      <c r="AE63" s="30">
        <f t="shared" si="55"/>
        <v>267.672836315138</v>
      </c>
      <c r="AF63" s="1">
        <f t="shared" si="56"/>
        <v>7979128.29035778</v>
      </c>
    </row>
    <row r="64" s="1" customFormat="1" spans="1:32">
      <c r="A64" s="13"/>
      <c r="B64" s="13"/>
      <c r="C64" s="16">
        <v>6</v>
      </c>
      <c r="D64" s="19">
        <v>21.845605757</v>
      </c>
      <c r="E64" s="20">
        <f t="shared" si="52"/>
        <v>17.3054330600645</v>
      </c>
      <c r="F64" s="16" t="s">
        <v>110</v>
      </c>
      <c r="G64" s="13">
        <v>7</v>
      </c>
      <c r="H64" s="18">
        <f t="shared" si="40"/>
        <v>21.845605757</v>
      </c>
      <c r="I64" s="18">
        <f t="shared" si="41"/>
        <v>294.995605757</v>
      </c>
      <c r="J64" s="18">
        <f t="shared" si="42"/>
        <v>0.244138749558881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3"/>
        <v>7.74143881525185</v>
      </c>
      <c r="P64" s="18">
        <f t="shared" si="45"/>
        <v>1.88998519214217</v>
      </c>
      <c r="Q64" s="24">
        <f t="shared" si="46"/>
        <v>0.54809570572123</v>
      </c>
      <c r="R64" s="18">
        <f t="shared" si="47"/>
        <v>0.80117865</v>
      </c>
      <c r="S64" s="25">
        <f t="shared" si="48"/>
        <v>0.684111721800413</v>
      </c>
      <c r="T64" s="3">
        <v>0.27</v>
      </c>
      <c r="U64" s="26">
        <f t="shared" si="49"/>
        <v>0.184710164886111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4"/>
        <v>0.311089185037371</v>
      </c>
      <c r="AC64" s="29">
        <f t="shared" si="50"/>
        <v>10.2321666666667</v>
      </c>
      <c r="AD64" s="1">
        <f t="shared" si="51"/>
        <v>0.29</v>
      </c>
      <c r="AE64" s="30">
        <f t="shared" si="55"/>
        <v>267.672836315138</v>
      </c>
      <c r="AF64" s="1">
        <f t="shared" si="56"/>
        <v>8520337.92298638</v>
      </c>
    </row>
    <row r="65" s="1" customFormat="1" spans="1:32">
      <c r="A65" s="13"/>
      <c r="B65" s="13"/>
      <c r="C65" s="16">
        <v>7</v>
      </c>
      <c r="D65" s="19">
        <v>24.7461585709677</v>
      </c>
      <c r="E65" s="20">
        <f t="shared" si="52"/>
        <v>21.845605757</v>
      </c>
      <c r="F65" s="16" t="s">
        <v>110</v>
      </c>
      <c r="G65" s="13">
        <v>8</v>
      </c>
      <c r="H65" s="18">
        <f t="shared" si="40"/>
        <v>24.7461585709677</v>
      </c>
      <c r="I65" s="18">
        <f t="shared" si="41"/>
        <v>297.896158570968</v>
      </c>
      <c r="J65" s="18">
        <f t="shared" si="42"/>
        <v>0.336673854672569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3"/>
        <v>8.61413862310968</v>
      </c>
      <c r="P65" s="18">
        <f t="shared" si="45"/>
        <v>2.90015525492619</v>
      </c>
      <c r="Q65" s="24">
        <f t="shared" si="46"/>
        <v>0.841045023928595</v>
      </c>
      <c r="R65" s="18">
        <f t="shared" si="47"/>
        <v>0.80117865</v>
      </c>
      <c r="S65" s="25">
        <f t="shared" si="48"/>
        <v>1.04975965588773</v>
      </c>
      <c r="T65" s="3">
        <v>0.27</v>
      </c>
      <c r="U65" s="26">
        <f t="shared" si="49"/>
        <v>0.283435107089687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4"/>
        <v>0.330271441307526</v>
      </c>
      <c r="AC65" s="29">
        <f t="shared" si="50"/>
        <v>10.2321666666667</v>
      </c>
      <c r="AD65" s="1">
        <f t="shared" si="51"/>
        <v>0.29</v>
      </c>
      <c r="AE65" s="30">
        <f t="shared" si="55"/>
        <v>267.672836315138</v>
      </c>
      <c r="AF65" s="1">
        <f t="shared" si="56"/>
        <v>9045715.5748241</v>
      </c>
    </row>
    <row r="66" s="1" customFormat="1" spans="1:32">
      <c r="A66" s="13"/>
      <c r="B66" s="13"/>
      <c r="C66" s="16">
        <v>8</v>
      </c>
      <c r="D66" s="19">
        <v>23.8953388922581</v>
      </c>
      <c r="E66" s="20">
        <f t="shared" si="52"/>
        <v>24.7461585709677</v>
      </c>
      <c r="F66" s="16" t="s">
        <v>110</v>
      </c>
      <c r="G66" s="13">
        <v>9</v>
      </c>
      <c r="H66" s="18">
        <f t="shared" si="40"/>
        <v>23.8953388922581</v>
      </c>
      <c r="I66" s="18">
        <f t="shared" si="41"/>
        <v>297.045338892258</v>
      </c>
      <c r="J66" s="18">
        <f t="shared" si="42"/>
        <v>0.30658508420356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3"/>
        <v>8.47666836818349</v>
      </c>
      <c r="P66" s="18">
        <f t="shared" si="45"/>
        <v>2.59882008542519</v>
      </c>
      <c r="Q66" s="24">
        <f t="shared" si="46"/>
        <v>0.753657824773304</v>
      </c>
      <c r="R66" s="18">
        <f t="shared" si="47"/>
        <v>0.80117865</v>
      </c>
      <c r="S66" s="25">
        <f t="shared" si="48"/>
        <v>0.940686355999757</v>
      </c>
      <c r="T66" s="3">
        <v>0.27</v>
      </c>
      <c r="U66" s="26">
        <f t="shared" si="49"/>
        <v>0.253985316119934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4"/>
        <v>0.324549346922103</v>
      </c>
      <c r="AC66" s="29">
        <f t="shared" si="50"/>
        <v>10.2321666666667</v>
      </c>
      <c r="AD66" s="1">
        <f t="shared" si="51"/>
        <v>0.29</v>
      </c>
      <c r="AE66" s="30">
        <f t="shared" si="55"/>
        <v>267.672836315138</v>
      </c>
      <c r="AF66" s="1">
        <f t="shared" si="56"/>
        <v>8888994.67247203</v>
      </c>
    </row>
    <row r="67" s="1" customFormat="1" spans="1:32">
      <c r="A67" s="13"/>
      <c r="B67" s="13"/>
      <c r="C67" s="16">
        <v>9</v>
      </c>
      <c r="D67" s="19">
        <v>18.3998738483667</v>
      </c>
      <c r="E67" s="20">
        <f t="shared" si="52"/>
        <v>23.8953388922581</v>
      </c>
      <c r="F67" s="16" t="s">
        <v>110</v>
      </c>
      <c r="G67" s="13">
        <v>10</v>
      </c>
      <c r="H67" s="18">
        <f t="shared" si="40"/>
        <v>18.3998738483667</v>
      </c>
      <c r="I67" s="18">
        <f t="shared" si="41"/>
        <v>291.549873848367</v>
      </c>
      <c r="J67" s="18">
        <f t="shared" si="42"/>
        <v>0.165280344884323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3"/>
        <v>8.6405332827583</v>
      </c>
      <c r="P67" s="18">
        <f t="shared" si="45"/>
        <v>1.42811032095876</v>
      </c>
      <c r="Q67" s="24">
        <f t="shared" si="46"/>
        <v>0.414151993078041</v>
      </c>
      <c r="R67" s="18">
        <f t="shared" si="47"/>
        <v>0.80117865</v>
      </c>
      <c r="S67" s="25">
        <f t="shared" si="48"/>
        <v>0.51692839428265</v>
      </c>
      <c r="T67" s="3">
        <v>0.27</v>
      </c>
      <c r="U67" s="26">
        <f t="shared" si="49"/>
        <v>0.139570666456316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4"/>
        <v>0.253518580492462</v>
      </c>
      <c r="AC67" s="29">
        <f t="shared" si="50"/>
        <v>10.2321666666667</v>
      </c>
      <c r="AD67" s="1">
        <f t="shared" si="51"/>
        <v>0.29</v>
      </c>
      <c r="AE67" s="30">
        <f t="shared" si="55"/>
        <v>267.672836315138</v>
      </c>
      <c r="AF67" s="1">
        <f t="shared" si="56"/>
        <v>6943552.13696069</v>
      </c>
    </row>
    <row r="68" s="1" customFormat="1" spans="1:32">
      <c r="A68" s="13"/>
      <c r="B68" s="13"/>
      <c r="C68" s="16">
        <v>10</v>
      </c>
      <c r="D68" s="19">
        <v>9.01716517996774</v>
      </c>
      <c r="E68" s="20">
        <f t="shared" si="52"/>
        <v>18.3998738483667</v>
      </c>
      <c r="F68" s="16" t="s">
        <v>110</v>
      </c>
      <c r="G68" s="13">
        <v>11</v>
      </c>
      <c r="H68" s="18">
        <f t="shared" si="40"/>
        <v>9.01716517996774</v>
      </c>
      <c r="I68" s="18">
        <f t="shared" si="41"/>
        <v>282.167165179968</v>
      </c>
      <c r="J68" s="18">
        <f t="shared" si="42"/>
        <v>0.0544415414819793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6.85180181370956</v>
      </c>
      <c r="O68" s="18">
        <f t="shared" si="53"/>
        <v>3.12330614808997</v>
      </c>
      <c r="P68" s="18">
        <f t="shared" si="45"/>
        <v>0.170037601222161</v>
      </c>
      <c r="Q68" s="24">
        <f t="shared" si="46"/>
        <v>0.0493109043544268</v>
      </c>
      <c r="R68" s="18">
        <f t="shared" si="47"/>
        <v>0.80117865</v>
      </c>
      <c r="S68" s="25">
        <f t="shared" si="48"/>
        <v>0.0615479510773618</v>
      </c>
      <c r="T68" s="3">
        <v>0.27</v>
      </c>
      <c r="U68" s="26">
        <f t="shared" si="49"/>
        <v>0.0166179467908877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4"/>
        <v>0.22962886706147</v>
      </c>
      <c r="AC68" s="29">
        <f t="shared" si="50"/>
        <v>10.2321666666667</v>
      </c>
      <c r="AD68" s="1">
        <f t="shared" si="51"/>
        <v>0.29</v>
      </c>
      <c r="AE68" s="30">
        <f t="shared" si="55"/>
        <v>267.672836315138</v>
      </c>
      <c r="AF68" s="1">
        <f t="shared" si="56"/>
        <v>6289243.20850691</v>
      </c>
    </row>
    <row r="69" s="1" customFormat="1" spans="1:33">
      <c r="A69" s="13"/>
      <c r="B69" s="13"/>
      <c r="C69" s="16">
        <v>11</v>
      </c>
      <c r="D69" s="19">
        <v>-0.610783173966667</v>
      </c>
      <c r="E69" s="20">
        <f t="shared" si="52"/>
        <v>9.01716517996774</v>
      </c>
      <c r="F69" s="16" t="s">
        <v>112</v>
      </c>
      <c r="G69" s="13">
        <v>12</v>
      </c>
      <c r="H69" s="18">
        <f t="shared" si="40"/>
        <v>-0.610783173966667</v>
      </c>
      <c r="I69" s="18">
        <f t="shared" si="41"/>
        <v>272.539216826033</v>
      </c>
      <c r="J69" s="18">
        <f t="shared" si="42"/>
        <v>0.0160883996077151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3"/>
        <v>5.71595354686781</v>
      </c>
      <c r="P69" s="18">
        <f t="shared" si="45"/>
        <v>0.0919605448011458</v>
      </c>
      <c r="Q69" s="24">
        <f t="shared" si="46"/>
        <v>0.0266685579923323</v>
      </c>
      <c r="R69" s="18">
        <f t="shared" si="47"/>
        <v>0.80117865</v>
      </c>
      <c r="S69" s="25">
        <f t="shared" si="48"/>
        <v>0.0332866558442768</v>
      </c>
      <c r="T69" s="3">
        <v>0.27</v>
      </c>
      <c r="U69" s="26">
        <f t="shared" si="49"/>
        <v>0.00898739707795474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4"/>
        <v>0.228146251252247</v>
      </c>
      <c r="AC69" s="29">
        <f t="shared" si="50"/>
        <v>10.2321666666667</v>
      </c>
      <c r="AD69" s="1">
        <f t="shared" si="51"/>
        <v>0.29</v>
      </c>
      <c r="AE69" s="30">
        <f t="shared" si="55"/>
        <v>267.672836315138</v>
      </c>
      <c r="AF69" s="1">
        <f t="shared" si="56"/>
        <v>6248636.24332738</v>
      </c>
      <c r="AG69" s="1">
        <f>SUM(AF58:AF69)</f>
        <v>86594702.6029268</v>
      </c>
    </row>
    <row r="70" s="1" customFormat="1" spans="1:46">
      <c r="A70" s="13"/>
      <c r="B70" s="13"/>
      <c r="C70" s="16">
        <v>12</v>
      </c>
      <c r="D70" s="19">
        <v>-5.52252911970968</v>
      </c>
      <c r="E70" s="20">
        <f t="shared" si="52"/>
        <v>-0.610783173966667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82">
      <c r="AT71" s="2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</row>
    <row r="72" s="1" customFormat="1" spans="19:82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</row>
    <row r="73" s="1" customFormat="1" spans="1:82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</row>
    <row r="74" s="1" customFormat="1" spans="1:82">
      <c r="A74" s="13" t="s">
        <v>108</v>
      </c>
      <c r="B74" s="13">
        <f>F8</f>
        <v>625.464</v>
      </c>
      <c r="C74" s="16" t="s">
        <v>109</v>
      </c>
      <c r="D74" s="17">
        <v>-7</v>
      </c>
      <c r="E74" s="16"/>
      <c r="F74" s="16"/>
      <c r="G74" s="13">
        <v>1</v>
      </c>
      <c r="H74" s="18">
        <f t="shared" ref="H74:H85" si="57">E75</f>
        <v>-7</v>
      </c>
      <c r="I74" s="18">
        <f t="shared" ref="I74:I85" si="58">H74+273.15</f>
        <v>266.15</v>
      </c>
      <c r="J74" s="18">
        <f t="shared" ref="J74:J85" si="59">EXP(($C$16*(I74-$C$14))/($C$17*I74*$C$14))</f>
        <v>0.00682404760193068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0.00355683009107831</v>
      </c>
      <c r="Q74" s="24">
        <f t="shared" ref="Q74:Q85" si="63">P74*$B$76</f>
        <v>0.00092477582368036</v>
      </c>
      <c r="R74" s="18">
        <f t="shared" ref="R74:R85" si="64">L74*$B$76</f>
        <v>0.1355172</v>
      </c>
      <c r="S74" s="25">
        <f t="shared" ref="S74:S85" si="65">Q74/R74</f>
        <v>0.00682404760193068</v>
      </c>
      <c r="T74" s="3">
        <v>0.01</v>
      </c>
      <c r="U74" s="26">
        <f t="shared" ref="U74:U85" si="66">S74*T74</f>
        <v>6.82404760193068e-5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0.00555824047601931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0.621916666666667</v>
      </c>
      <c r="AX74" s="1">
        <f t="shared" ref="AX74:AX85" si="72">AW74*10000*AV74*0.67*AU74*AT74</f>
        <v>313.862009249428</v>
      </c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</row>
    <row r="75" s="1" customFormat="1" spans="1:82">
      <c r="A75" s="13" t="s">
        <v>111</v>
      </c>
      <c r="B75" s="13">
        <v>1</v>
      </c>
      <c r="C75" s="16">
        <v>1</v>
      </c>
      <c r="D75" s="19">
        <v>-11.9912929458387</v>
      </c>
      <c r="E75" s="20">
        <f t="shared" ref="E75:E86" si="73">D74</f>
        <v>-7</v>
      </c>
      <c r="F75" s="16" t="s">
        <v>110</v>
      </c>
      <c r="G75" s="13">
        <v>2</v>
      </c>
      <c r="H75" s="18">
        <f t="shared" si="57"/>
        <v>-11.9912929458387</v>
      </c>
      <c r="I75" s="18">
        <f t="shared" si="58"/>
        <v>261.158707054161</v>
      </c>
      <c r="J75" s="18">
        <f t="shared" si="59"/>
        <v>0.00339145333593663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1.03888316990892</v>
      </c>
      <c r="P75" s="18">
        <f t="shared" si="62"/>
        <v>0.00352332379223603</v>
      </c>
      <c r="Q75" s="24">
        <f t="shared" si="63"/>
        <v>0.000916064185981369</v>
      </c>
      <c r="R75" s="18">
        <f t="shared" si="64"/>
        <v>0.1355172</v>
      </c>
      <c r="S75" s="25">
        <f t="shared" si="65"/>
        <v>0.0067597632328691</v>
      </c>
      <c r="T75" s="3">
        <v>0.01</v>
      </c>
      <c r="U75" s="26">
        <f t="shared" si="66"/>
        <v>6.7597632328691e-5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0.00555759763232869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0.621916666666667</v>
      </c>
      <c r="AX75" s="1">
        <f t="shared" si="72"/>
        <v>313.825709234478</v>
      </c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</row>
    <row r="76" s="1" customFormat="1" spans="1:82">
      <c r="A76" s="13" t="s">
        <v>73</v>
      </c>
      <c r="B76" s="13">
        <v>0.26</v>
      </c>
      <c r="C76" s="16">
        <v>2</v>
      </c>
      <c r="D76" s="19">
        <v>-5.3710619222069</v>
      </c>
      <c r="E76" s="20">
        <f t="shared" si="73"/>
        <v>-11.9912929458387</v>
      </c>
      <c r="F76" s="16" t="s">
        <v>110</v>
      </c>
      <c r="G76" s="13">
        <v>3</v>
      </c>
      <c r="H76" s="18">
        <f t="shared" si="57"/>
        <v>-5.3710619222069</v>
      </c>
      <c r="I76" s="18">
        <f t="shared" si="58"/>
        <v>267.778938077793</v>
      </c>
      <c r="J76" s="18">
        <f t="shared" si="59"/>
        <v>0.00852495366216914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1.55657984611669</v>
      </c>
      <c r="P76" s="18">
        <f t="shared" si="62"/>
        <v>0.0132697710596111</v>
      </c>
      <c r="Q76" s="24">
        <f t="shared" si="63"/>
        <v>0.00345014047549889</v>
      </c>
      <c r="R76" s="18">
        <f t="shared" si="64"/>
        <v>0.1355172</v>
      </c>
      <c r="S76" s="25">
        <f t="shared" si="65"/>
        <v>0.0254590596285851</v>
      </c>
      <c r="T76" s="3">
        <v>0.01</v>
      </c>
      <c r="U76" s="26">
        <f t="shared" si="66"/>
        <v>0.000254590596285851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0.00574459059628585</v>
      </c>
      <c r="AU76" s="29">
        <f t="shared" si="70"/>
        <v>52.122</v>
      </c>
      <c r="AV76" s="1">
        <f t="shared" si="71"/>
        <v>0.26</v>
      </c>
      <c r="AW76" s="2">
        <f t="shared" si="75"/>
        <v>0.621916666666667</v>
      </c>
      <c r="AX76" s="1">
        <f t="shared" si="72"/>
        <v>324.384803904152</v>
      </c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</row>
    <row r="77" s="1" customFormat="1" spans="1:82">
      <c r="A77" s="13"/>
      <c r="B77" s="13"/>
      <c r="C77" s="16">
        <v>3</v>
      </c>
      <c r="D77" s="19">
        <v>3.88283180570968</v>
      </c>
      <c r="E77" s="20">
        <f t="shared" si="73"/>
        <v>-5.3710619222069</v>
      </c>
      <c r="F77" s="16" t="s">
        <v>110</v>
      </c>
      <c r="G77" s="13">
        <v>4</v>
      </c>
      <c r="H77" s="18">
        <f t="shared" si="57"/>
        <v>3.88283180570968</v>
      </c>
      <c r="I77" s="18">
        <f t="shared" si="58"/>
        <v>277.03283180571</v>
      </c>
      <c r="J77" s="18">
        <f t="shared" si="59"/>
        <v>0.0287200573052709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2.06453007505707</v>
      </c>
      <c r="P77" s="18">
        <f t="shared" si="62"/>
        <v>0.0592934220640944</v>
      </c>
      <c r="Q77" s="24">
        <f t="shared" si="63"/>
        <v>0.0154162897366645</v>
      </c>
      <c r="R77" s="18">
        <f t="shared" si="64"/>
        <v>0.1355172</v>
      </c>
      <c r="S77" s="25">
        <f t="shared" si="65"/>
        <v>0.113758915744013</v>
      </c>
      <c r="T77" s="3">
        <v>0.01</v>
      </c>
      <c r="U77" s="26">
        <f t="shared" si="66"/>
        <v>0.00113758915744013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0.00662758915744013</v>
      </c>
      <c r="AU77" s="29">
        <f t="shared" si="70"/>
        <v>52.122</v>
      </c>
      <c r="AV77" s="1">
        <f t="shared" si="71"/>
        <v>0.26</v>
      </c>
      <c r="AW77" s="2">
        <f t="shared" si="75"/>
        <v>0.621916666666667</v>
      </c>
      <c r="AX77" s="1">
        <f t="shared" si="72"/>
        <v>374.24585323513</v>
      </c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</row>
    <row r="78" s="1" customFormat="1" spans="1:82">
      <c r="A78" s="13"/>
      <c r="B78" s="13"/>
      <c r="C78" s="16">
        <v>4</v>
      </c>
      <c r="D78" s="19">
        <v>11.0184732785333</v>
      </c>
      <c r="E78" s="20">
        <f t="shared" si="73"/>
        <v>3.88283180570968</v>
      </c>
      <c r="F78" s="16" t="s">
        <v>110</v>
      </c>
      <c r="G78" s="13">
        <v>5</v>
      </c>
      <c r="H78" s="18">
        <f t="shared" si="57"/>
        <v>11.0184732785333</v>
      </c>
      <c r="I78" s="18">
        <f t="shared" si="58"/>
        <v>284.168473278533</v>
      </c>
      <c r="J78" s="18">
        <f t="shared" si="59"/>
        <v>0.0694182968541204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1.90497482034333</v>
      </c>
      <c r="O78" s="18">
        <f t="shared" si="74"/>
        <v>0.621481832649649</v>
      </c>
      <c r="P78" s="18">
        <f t="shared" si="62"/>
        <v>0.0431422103483161</v>
      </c>
      <c r="Q78" s="24">
        <f t="shared" si="63"/>
        <v>0.0112169746905622</v>
      </c>
      <c r="R78" s="18">
        <f t="shared" si="64"/>
        <v>0.1355172</v>
      </c>
      <c r="S78" s="25">
        <f t="shared" si="65"/>
        <v>0.0827715942372053</v>
      </c>
      <c r="T78" s="3">
        <v>0.01</v>
      </c>
      <c r="U78" s="26">
        <f t="shared" si="66"/>
        <v>0.000827715942372053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0.0107777159423721</v>
      </c>
      <c r="AU78" s="29">
        <f t="shared" si="70"/>
        <v>52.122</v>
      </c>
      <c r="AV78" s="1">
        <f t="shared" si="71"/>
        <v>0.26</v>
      </c>
      <c r="AW78" s="2">
        <f t="shared" si="75"/>
        <v>0.621916666666667</v>
      </c>
      <c r="AX78" s="1">
        <f t="shared" si="72"/>
        <v>608.59467944703</v>
      </c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</row>
    <row r="79" s="1" customFormat="1" spans="1:82">
      <c r="A79" s="13"/>
      <c r="B79" s="13"/>
      <c r="C79" s="16">
        <v>5</v>
      </c>
      <c r="D79" s="19">
        <v>17.3054330600645</v>
      </c>
      <c r="E79" s="20">
        <f t="shared" si="73"/>
        <v>11.0184732785333</v>
      </c>
      <c r="F79" s="16" t="s">
        <v>112</v>
      </c>
      <c r="G79" s="13">
        <v>6</v>
      </c>
      <c r="H79" s="18">
        <f t="shared" si="57"/>
        <v>17.3054330600645</v>
      </c>
      <c r="I79" s="18">
        <f t="shared" si="58"/>
        <v>290.455433060064</v>
      </c>
      <c r="J79" s="18">
        <f t="shared" si="59"/>
        <v>0.145737050228203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1.09955962230133</v>
      </c>
      <c r="P79" s="18">
        <f t="shared" si="62"/>
        <v>0.160246575904233</v>
      </c>
      <c r="Q79" s="24">
        <f t="shared" si="63"/>
        <v>0.0416641097351007</v>
      </c>
      <c r="R79" s="18">
        <f t="shared" si="64"/>
        <v>0.1355172</v>
      </c>
      <c r="S79" s="25">
        <f t="shared" si="65"/>
        <v>0.307445178435657</v>
      </c>
      <c r="T79" s="3">
        <v>0.01</v>
      </c>
      <c r="U79" s="26">
        <f t="shared" si="66"/>
        <v>0.00307445178435657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0.0130244517843566</v>
      </c>
      <c r="AU79" s="29">
        <f t="shared" si="70"/>
        <v>52.122</v>
      </c>
      <c r="AV79" s="1">
        <f t="shared" si="71"/>
        <v>0.26</v>
      </c>
      <c r="AW79" s="2">
        <f t="shared" si="75"/>
        <v>0.621916666666667</v>
      </c>
      <c r="AX79" s="1">
        <f t="shared" si="72"/>
        <v>735.46307038124</v>
      </c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</row>
    <row r="80" s="1" customFormat="1" spans="1:82">
      <c r="A80" s="13"/>
      <c r="B80" s="13"/>
      <c r="C80" s="16">
        <v>6</v>
      </c>
      <c r="D80" s="19">
        <v>21.845605757</v>
      </c>
      <c r="E80" s="20">
        <f t="shared" si="73"/>
        <v>17.3054330600645</v>
      </c>
      <c r="F80" s="16" t="s">
        <v>110</v>
      </c>
      <c r="G80" s="13">
        <v>7</v>
      </c>
      <c r="H80" s="18">
        <f t="shared" si="57"/>
        <v>21.845605757</v>
      </c>
      <c r="I80" s="18">
        <f t="shared" si="58"/>
        <v>294.995605757</v>
      </c>
      <c r="J80" s="18">
        <f t="shared" si="59"/>
        <v>0.244138749558881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1.4605330463971</v>
      </c>
      <c r="P80" s="18">
        <f t="shared" si="62"/>
        <v>0.356572711636811</v>
      </c>
      <c r="Q80" s="24">
        <f t="shared" si="63"/>
        <v>0.0927089050255709</v>
      </c>
      <c r="R80" s="18">
        <f t="shared" si="64"/>
        <v>0.1355172</v>
      </c>
      <c r="S80" s="25">
        <f t="shared" si="65"/>
        <v>0.684111721800413</v>
      </c>
      <c r="T80" s="3">
        <v>0.01</v>
      </c>
      <c r="U80" s="26">
        <f t="shared" si="66"/>
        <v>0.00684111721800413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0.0167911172180041</v>
      </c>
      <c r="AU80" s="29">
        <f t="shared" si="70"/>
        <v>52.122</v>
      </c>
      <c r="AV80" s="1">
        <f t="shared" si="71"/>
        <v>0.26</v>
      </c>
      <c r="AW80" s="2">
        <f t="shared" si="75"/>
        <v>0.621916666666667</v>
      </c>
      <c r="AX80" s="1">
        <f t="shared" si="72"/>
        <v>948.158650264042</v>
      </c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</row>
    <row r="81" s="1" customFormat="1" spans="1:82">
      <c r="A81" s="13"/>
      <c r="B81" s="13"/>
      <c r="C81" s="16">
        <v>7</v>
      </c>
      <c r="D81" s="19">
        <v>24.7461585709677</v>
      </c>
      <c r="E81" s="20">
        <f t="shared" si="73"/>
        <v>21.845605757</v>
      </c>
      <c r="F81" s="16" t="s">
        <v>110</v>
      </c>
      <c r="G81" s="13">
        <v>8</v>
      </c>
      <c r="H81" s="18">
        <f t="shared" si="57"/>
        <v>24.7461585709677</v>
      </c>
      <c r="I81" s="18">
        <f t="shared" si="58"/>
        <v>297.896158570968</v>
      </c>
      <c r="J81" s="18">
        <f t="shared" si="59"/>
        <v>0.336673854672569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1.62518033476029</v>
      </c>
      <c r="P81" s="18">
        <f t="shared" si="62"/>
        <v>0.547155727841802</v>
      </c>
      <c r="Q81" s="24">
        <f t="shared" si="63"/>
        <v>0.142260489238869</v>
      </c>
      <c r="R81" s="18">
        <f t="shared" si="64"/>
        <v>0.1355172</v>
      </c>
      <c r="S81" s="25">
        <f t="shared" si="65"/>
        <v>1.04975965588773</v>
      </c>
      <c r="T81" s="3">
        <v>0.01</v>
      </c>
      <c r="U81" s="26">
        <f t="shared" si="66"/>
        <v>0.0104975965588773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0.0204475965588773</v>
      </c>
      <c r="AU81" s="29">
        <f t="shared" si="70"/>
        <v>52.122</v>
      </c>
      <c r="AV81" s="1">
        <f t="shared" si="71"/>
        <v>0.26</v>
      </c>
      <c r="AW81" s="2">
        <f t="shared" si="75"/>
        <v>0.621916666666667</v>
      </c>
      <c r="AX81" s="1">
        <f t="shared" si="72"/>
        <v>1154.63225601335</v>
      </c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</row>
    <row r="82" s="1" customFormat="1" spans="1:82">
      <c r="A82" s="13"/>
      <c r="B82" s="13"/>
      <c r="C82" s="16">
        <v>8</v>
      </c>
      <c r="D82" s="19">
        <v>23.8953388922581</v>
      </c>
      <c r="E82" s="20">
        <f t="shared" si="73"/>
        <v>24.7461585709677</v>
      </c>
      <c r="F82" s="16" t="s">
        <v>110</v>
      </c>
      <c r="G82" s="13">
        <v>9</v>
      </c>
      <c r="H82" s="18">
        <f t="shared" si="57"/>
        <v>23.8953388922581</v>
      </c>
      <c r="I82" s="18">
        <f t="shared" si="58"/>
        <v>297.045338892258</v>
      </c>
      <c r="J82" s="18">
        <f t="shared" si="59"/>
        <v>0.30658508420356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1.59924460691849</v>
      </c>
      <c r="P82" s="18">
        <f t="shared" si="62"/>
        <v>0.490304542474193</v>
      </c>
      <c r="Q82" s="24">
        <f t="shared" si="63"/>
        <v>0.12747918104329</v>
      </c>
      <c r="R82" s="18">
        <f t="shared" si="64"/>
        <v>0.1355172</v>
      </c>
      <c r="S82" s="25">
        <f t="shared" si="65"/>
        <v>0.940686355999757</v>
      </c>
      <c r="T82" s="3">
        <v>0.01</v>
      </c>
      <c r="U82" s="26">
        <f t="shared" si="66"/>
        <v>0.00940686355999757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0.0193568635599976</v>
      </c>
      <c r="AU82" s="29">
        <f t="shared" si="70"/>
        <v>52.122</v>
      </c>
      <c r="AV82" s="1">
        <f t="shared" si="71"/>
        <v>0.26</v>
      </c>
      <c r="AW82" s="2">
        <f t="shared" si="75"/>
        <v>0.621916666666667</v>
      </c>
      <c r="AX82" s="1">
        <f t="shared" si="72"/>
        <v>1093.04088513618</v>
      </c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</row>
    <row r="83" s="1" customFormat="1" spans="1:82">
      <c r="A83" s="13"/>
      <c r="B83" s="13"/>
      <c r="C83" s="16">
        <v>9</v>
      </c>
      <c r="D83" s="19">
        <v>18.3998738483667</v>
      </c>
      <c r="E83" s="20">
        <f t="shared" si="73"/>
        <v>23.8953388922581</v>
      </c>
      <c r="F83" s="16" t="s">
        <v>110</v>
      </c>
      <c r="G83" s="13">
        <v>10</v>
      </c>
      <c r="H83" s="18">
        <f t="shared" si="57"/>
        <v>18.3998738483667</v>
      </c>
      <c r="I83" s="18">
        <f t="shared" si="58"/>
        <v>291.549873848367</v>
      </c>
      <c r="J83" s="18">
        <f t="shared" si="59"/>
        <v>0.165280344884323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1.63016006444429</v>
      </c>
      <c r="P83" s="18">
        <f t="shared" si="62"/>
        <v>0.269433417668003</v>
      </c>
      <c r="Q83" s="24">
        <f t="shared" si="63"/>
        <v>0.0700526885936808</v>
      </c>
      <c r="R83" s="18">
        <f t="shared" si="64"/>
        <v>0.1355172</v>
      </c>
      <c r="S83" s="25">
        <f t="shared" si="65"/>
        <v>0.51692839428265</v>
      </c>
      <c r="T83" s="3">
        <v>0.01</v>
      </c>
      <c r="U83" s="26">
        <f t="shared" si="66"/>
        <v>0.0051692839428265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0.0106592839428265</v>
      </c>
      <c r="AU83" s="29">
        <f t="shared" si="70"/>
        <v>52.122</v>
      </c>
      <c r="AV83" s="1">
        <f t="shared" si="71"/>
        <v>0.26</v>
      </c>
      <c r="AW83" s="2">
        <f t="shared" si="75"/>
        <v>0.621916666666667</v>
      </c>
      <c r="AX83" s="1">
        <f t="shared" si="72"/>
        <v>601.907076509164</v>
      </c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</row>
    <row r="84" s="1" customFormat="1" spans="1:82">
      <c r="A84" s="13"/>
      <c r="B84" s="13"/>
      <c r="C84" s="16">
        <v>10</v>
      </c>
      <c r="D84" s="19">
        <v>9.01716517996774</v>
      </c>
      <c r="E84" s="20">
        <f t="shared" si="73"/>
        <v>18.3998738483667</v>
      </c>
      <c r="F84" s="16" t="s">
        <v>110</v>
      </c>
      <c r="G84" s="13">
        <v>11</v>
      </c>
      <c r="H84" s="18">
        <f t="shared" si="57"/>
        <v>9.01716517996774</v>
      </c>
      <c r="I84" s="18">
        <f t="shared" si="58"/>
        <v>282.167165179968</v>
      </c>
      <c r="J84" s="18">
        <f t="shared" si="59"/>
        <v>0.0544415414819793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1.29269031443748</v>
      </c>
      <c r="O84" s="18">
        <f t="shared" si="74"/>
        <v>0.589256332338815</v>
      </c>
      <c r="P84" s="18">
        <f t="shared" si="62"/>
        <v>0.0320800230605426</v>
      </c>
      <c r="Q84" s="24">
        <f t="shared" si="63"/>
        <v>0.00834080599574107</v>
      </c>
      <c r="R84" s="18">
        <f t="shared" si="64"/>
        <v>0.1355172</v>
      </c>
      <c r="S84" s="25">
        <f t="shared" si="65"/>
        <v>0.0615479510773619</v>
      </c>
      <c r="T84" s="3">
        <v>0.01</v>
      </c>
      <c r="U84" s="26">
        <f t="shared" si="66"/>
        <v>0.000615479510773619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0.00610547951077362</v>
      </c>
      <c r="AU84" s="29">
        <f t="shared" si="70"/>
        <v>52.122</v>
      </c>
      <c r="AV84" s="1">
        <f t="shared" si="71"/>
        <v>0.26</v>
      </c>
      <c r="AW84" s="2">
        <f t="shared" si="75"/>
        <v>0.621916666666667</v>
      </c>
      <c r="AX84" s="1">
        <f t="shared" si="72"/>
        <v>344.763432771627</v>
      </c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</row>
    <row r="85" s="1" customFormat="1" spans="1:51">
      <c r="A85" s="13"/>
      <c r="B85" s="13"/>
      <c r="C85" s="16">
        <v>11</v>
      </c>
      <c r="D85" s="19">
        <v>-0.610783173966667</v>
      </c>
      <c r="E85" s="20">
        <f t="shared" si="73"/>
        <v>9.01716517996774</v>
      </c>
      <c r="F85" s="16" t="s">
        <v>112</v>
      </c>
      <c r="G85" s="13">
        <v>12</v>
      </c>
      <c r="H85" s="18">
        <f t="shared" si="57"/>
        <v>-0.610783173966667</v>
      </c>
      <c r="I85" s="18">
        <f t="shared" si="58"/>
        <v>272.539216826033</v>
      </c>
      <c r="J85" s="18">
        <f t="shared" si="59"/>
        <v>0.0160883996077151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1.07839630927827</v>
      </c>
      <c r="P85" s="18">
        <f t="shared" si="62"/>
        <v>0.017349670759154</v>
      </c>
      <c r="Q85" s="24">
        <f t="shared" si="63"/>
        <v>0.00451091439738003</v>
      </c>
      <c r="R85" s="18">
        <f t="shared" si="64"/>
        <v>0.1355172</v>
      </c>
      <c r="S85" s="25">
        <f t="shared" si="65"/>
        <v>0.0332866558442768</v>
      </c>
      <c r="T85" s="3">
        <v>0.01</v>
      </c>
      <c r="U85" s="26">
        <f t="shared" si="66"/>
        <v>0.000332866558442768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0.00582286655844277</v>
      </c>
      <c r="AU85" s="29">
        <f t="shared" si="70"/>
        <v>52.122</v>
      </c>
      <c r="AV85" s="1">
        <f t="shared" si="71"/>
        <v>0.26</v>
      </c>
      <c r="AW85" s="2">
        <f t="shared" si="75"/>
        <v>0.621916666666667</v>
      </c>
      <c r="AX85" s="1">
        <f t="shared" si="72"/>
        <v>328.80488088076</v>
      </c>
      <c r="AY85" s="1">
        <f>SUM(AX74:AX85)</f>
        <v>7141.68330702658</v>
      </c>
    </row>
    <row r="86" s="1" customFormat="1" spans="1:46">
      <c r="A86" s="13"/>
      <c r="B86" s="13"/>
      <c r="C86" s="16">
        <v>12</v>
      </c>
      <c r="D86" s="19">
        <v>-5.52252911970968</v>
      </c>
      <c r="E86" s="20">
        <f t="shared" si="73"/>
        <v>-0.610783173966667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-7</v>
      </c>
      <c r="E90" s="16"/>
      <c r="F90" s="16"/>
      <c r="G90" s="13">
        <v>1</v>
      </c>
      <c r="H90" s="18">
        <f t="shared" ref="H90:H101" si="76">E91</f>
        <v>-7</v>
      </c>
      <c r="I90" s="18">
        <f t="shared" ref="I90:I101" si="77">H90+273.15</f>
        <v>266.15</v>
      </c>
      <c r="J90" s="18">
        <f t="shared" ref="J90:J101" si="78">EXP(($C$16*(I90-$C$14))/($C$17*I90*$C$14))</f>
        <v>0.00682404760193068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0.00194280635226966</v>
      </c>
      <c r="Q90" s="24">
        <f t="shared" ref="Q90:Q101" si="82">P90*$B$76</f>
        <v>0.000505129651590113</v>
      </c>
      <c r="R90" s="18">
        <f t="shared" ref="R90:R101" si="83">L90*$B$76</f>
        <v>0.074022</v>
      </c>
      <c r="S90" s="25">
        <f t="shared" ref="S90:S101" si="84">Q90/R90</f>
        <v>0.00682404760193068</v>
      </c>
      <c r="T90" s="3">
        <v>0.01</v>
      </c>
      <c r="U90" s="26">
        <f t="shared" ref="U90:U101" si="85">S90*T90</f>
        <v>6.82404760193068e-5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0.00555824047601931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4.02583333333333</v>
      </c>
      <c r="AX90" s="1">
        <f t="shared" ref="AX90:AX101" si="91">AW90*10000*AV90*0.67*AU90*AT90</f>
        <v>1109.75916858698</v>
      </c>
      <c r="AZ90" s="2">
        <f>$E$10/12</f>
        <v>0.538221184542571</v>
      </c>
      <c r="BA90" s="1">
        <f t="shared" ref="BA90:BA101" si="92">AZ90*10000*AV90*0.67*AU90*AT90</f>
        <v>148.365777919403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-11.9912929458387</v>
      </c>
      <c r="E91" s="20">
        <f t="shared" ref="E91:E102" si="93">D90</f>
        <v>-7</v>
      </c>
      <c r="F91" s="16" t="s">
        <v>110</v>
      </c>
      <c r="G91" s="13">
        <v>2</v>
      </c>
      <c r="H91" s="18">
        <f t="shared" si="76"/>
        <v>-11.9912929458387</v>
      </c>
      <c r="I91" s="18">
        <f t="shared" si="77"/>
        <v>261.158707054161</v>
      </c>
      <c r="J91" s="18">
        <f t="shared" si="78"/>
        <v>0.00339145333593663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0.56745719364773</v>
      </c>
      <c r="P91" s="18">
        <f t="shared" si="81"/>
        <v>0.00192450459239783</v>
      </c>
      <c r="Q91" s="24">
        <f t="shared" si="82"/>
        <v>0.000500371194023437</v>
      </c>
      <c r="R91" s="18">
        <f t="shared" si="83"/>
        <v>0.074022</v>
      </c>
      <c r="S91" s="25">
        <f t="shared" si="84"/>
        <v>0.0067597632328691</v>
      </c>
      <c r="T91" s="3">
        <v>0.01</v>
      </c>
      <c r="U91" s="26">
        <f t="shared" si="85"/>
        <v>6.7597632328691e-5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0.00555759763232869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4.02583333333333</v>
      </c>
      <c r="AX91" s="1">
        <f t="shared" si="91"/>
        <v>1109.63081831449</v>
      </c>
      <c r="AZ91" s="2">
        <f t="shared" ref="AZ91:AZ101" si="96">$E$10/12</f>
        <v>0.538221184542571</v>
      </c>
      <c r="BA91" s="1">
        <f t="shared" si="92"/>
        <v>148.348618531526</v>
      </c>
    </row>
    <row r="92" s="1" customFormat="1" spans="1:53">
      <c r="A92" s="13" t="s">
        <v>73</v>
      </c>
      <c r="B92" s="13">
        <v>0.33</v>
      </c>
      <c r="C92" s="16">
        <v>2</v>
      </c>
      <c r="D92" s="19">
        <v>-5.3710619222069</v>
      </c>
      <c r="E92" s="20">
        <f t="shared" si="93"/>
        <v>-11.9912929458387</v>
      </c>
      <c r="F92" s="16" t="s">
        <v>110</v>
      </c>
      <c r="G92" s="13">
        <v>3</v>
      </c>
      <c r="H92" s="18">
        <f t="shared" si="76"/>
        <v>-5.3710619222069</v>
      </c>
      <c r="I92" s="18">
        <f t="shared" si="77"/>
        <v>267.778938077793</v>
      </c>
      <c r="J92" s="18">
        <f t="shared" si="78"/>
        <v>0.00852495366216914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0.850232689055333</v>
      </c>
      <c r="P92" s="18">
        <f t="shared" si="81"/>
        <v>0.00724819427625817</v>
      </c>
      <c r="Q92" s="24">
        <f t="shared" si="82"/>
        <v>0.00188453051182713</v>
      </c>
      <c r="R92" s="18">
        <f t="shared" si="83"/>
        <v>0.074022</v>
      </c>
      <c r="S92" s="25">
        <f t="shared" si="84"/>
        <v>0.0254590596285851</v>
      </c>
      <c r="T92" s="3">
        <v>0.01</v>
      </c>
      <c r="U92" s="26">
        <f t="shared" si="85"/>
        <v>0.000254590596285851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0.00574459059628585</v>
      </c>
      <c r="AU92" s="29">
        <f t="shared" si="89"/>
        <v>28.47</v>
      </c>
      <c r="AV92" s="1">
        <f t="shared" si="90"/>
        <v>0.26</v>
      </c>
      <c r="AW92" s="2">
        <f t="shared" si="95"/>
        <v>4.02583333333333</v>
      </c>
      <c r="AX92" s="1">
        <f t="shared" si="91"/>
        <v>1146.96586294022</v>
      </c>
      <c r="AZ92" s="2">
        <f t="shared" si="96"/>
        <v>0.538221184542571</v>
      </c>
      <c r="BA92" s="1">
        <f t="shared" si="92"/>
        <v>153.340010444607</v>
      </c>
    </row>
    <row r="93" s="1" customFormat="1" spans="1:53">
      <c r="A93" s="13"/>
      <c r="B93" s="13"/>
      <c r="C93" s="16">
        <v>3</v>
      </c>
      <c r="D93" s="19">
        <v>3.88283180570968</v>
      </c>
      <c r="E93" s="20">
        <f t="shared" si="93"/>
        <v>-5.3710619222069</v>
      </c>
      <c r="F93" s="16" t="s">
        <v>110</v>
      </c>
      <c r="G93" s="13">
        <v>4</v>
      </c>
      <c r="H93" s="18">
        <f t="shared" si="76"/>
        <v>3.88283180570968</v>
      </c>
      <c r="I93" s="18">
        <f t="shared" si="77"/>
        <v>277.03283180571</v>
      </c>
      <c r="J93" s="18">
        <f t="shared" si="78"/>
        <v>0.0287200573052709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1.12768449477907</v>
      </c>
      <c r="P93" s="18">
        <f t="shared" si="81"/>
        <v>0.0323871633123205</v>
      </c>
      <c r="Q93" s="24">
        <f t="shared" si="82"/>
        <v>0.00842066246120332</v>
      </c>
      <c r="R93" s="18">
        <f t="shared" si="83"/>
        <v>0.074022</v>
      </c>
      <c r="S93" s="25">
        <f t="shared" si="84"/>
        <v>0.113758915744013</v>
      </c>
      <c r="T93" s="3">
        <v>0.01</v>
      </c>
      <c r="U93" s="26">
        <f t="shared" si="85"/>
        <v>0.00113758915744013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0.00662758915744013</v>
      </c>
      <c r="AU93" s="29">
        <f t="shared" si="89"/>
        <v>28.47</v>
      </c>
      <c r="AV93" s="1">
        <f t="shared" si="90"/>
        <v>0.26</v>
      </c>
      <c r="AW93" s="2">
        <f t="shared" si="95"/>
        <v>4.02583333333333</v>
      </c>
      <c r="AX93" s="1">
        <f t="shared" si="91"/>
        <v>1323.26549468841</v>
      </c>
      <c r="AZ93" s="2">
        <f t="shared" si="96"/>
        <v>0.538221184542571</v>
      </c>
      <c r="BA93" s="1">
        <f t="shared" si="92"/>
        <v>176.909837801409</v>
      </c>
    </row>
    <row r="94" s="1" customFormat="1" spans="1:53">
      <c r="A94" s="13"/>
      <c r="B94" s="13"/>
      <c r="C94" s="16">
        <v>4</v>
      </c>
      <c r="D94" s="19">
        <v>11.0184732785333</v>
      </c>
      <c r="E94" s="20">
        <f t="shared" si="93"/>
        <v>3.88283180570968</v>
      </c>
      <c r="F94" s="16" t="s">
        <v>110</v>
      </c>
      <c r="G94" s="13">
        <v>5</v>
      </c>
      <c r="H94" s="18">
        <f t="shared" si="76"/>
        <v>11.0184732785333</v>
      </c>
      <c r="I94" s="18">
        <f t="shared" si="77"/>
        <v>284.168473278533</v>
      </c>
      <c r="J94" s="18">
        <f t="shared" si="78"/>
        <v>0.0694182968541204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1.04053246489342</v>
      </c>
      <c r="O94" s="18">
        <f t="shared" si="94"/>
        <v>0.339464866573338</v>
      </c>
      <c r="P94" s="18">
        <f t="shared" si="81"/>
        <v>0.0235650728793323</v>
      </c>
      <c r="Q94" s="24">
        <f t="shared" si="82"/>
        <v>0.00612691894862641</v>
      </c>
      <c r="R94" s="18">
        <f t="shared" si="83"/>
        <v>0.074022</v>
      </c>
      <c r="S94" s="25">
        <f t="shared" si="84"/>
        <v>0.0827715942372053</v>
      </c>
      <c r="T94" s="3">
        <v>0.01</v>
      </c>
      <c r="U94" s="26">
        <f t="shared" si="85"/>
        <v>0.000827715942372053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0.0107777159423721</v>
      </c>
      <c r="AU94" s="29">
        <f t="shared" si="89"/>
        <v>28.47</v>
      </c>
      <c r="AV94" s="1">
        <f t="shared" si="90"/>
        <v>0.26</v>
      </c>
      <c r="AW94" s="2">
        <f t="shared" si="95"/>
        <v>4.02583333333333</v>
      </c>
      <c r="AX94" s="1">
        <f t="shared" si="91"/>
        <v>2151.88046200538</v>
      </c>
      <c r="AZ94" s="2">
        <f t="shared" si="96"/>
        <v>0.538221184542571</v>
      </c>
      <c r="BA94" s="1">
        <f t="shared" si="92"/>
        <v>287.688921859959</v>
      </c>
    </row>
    <row r="95" s="1" customFormat="1" spans="1:53">
      <c r="A95" s="13"/>
      <c r="B95" s="13"/>
      <c r="C95" s="16">
        <v>5</v>
      </c>
      <c r="D95" s="19">
        <v>17.3054330600645</v>
      </c>
      <c r="E95" s="20">
        <f t="shared" si="93"/>
        <v>11.0184732785333</v>
      </c>
      <c r="F95" s="16" t="s">
        <v>112</v>
      </c>
      <c r="G95" s="13">
        <v>6</v>
      </c>
      <c r="H95" s="18">
        <f t="shared" si="76"/>
        <v>17.3054330600645</v>
      </c>
      <c r="I95" s="18">
        <f t="shared" si="77"/>
        <v>290.455433060064</v>
      </c>
      <c r="J95" s="18">
        <f t="shared" si="78"/>
        <v>0.145737050228203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0.600599793694005</v>
      </c>
      <c r="P95" s="18">
        <f t="shared" si="81"/>
        <v>0.0875296423006316</v>
      </c>
      <c r="Q95" s="24">
        <f t="shared" si="82"/>
        <v>0.0227577069981642</v>
      </c>
      <c r="R95" s="18">
        <f t="shared" si="83"/>
        <v>0.074022</v>
      </c>
      <c r="S95" s="25">
        <f t="shared" si="84"/>
        <v>0.307445178435657</v>
      </c>
      <c r="T95" s="3">
        <v>0.01</v>
      </c>
      <c r="U95" s="26">
        <f t="shared" si="85"/>
        <v>0.00307445178435657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0.0130244517843566</v>
      </c>
      <c r="AU95" s="29">
        <f t="shared" si="89"/>
        <v>28.47</v>
      </c>
      <c r="AV95" s="1">
        <f t="shared" si="90"/>
        <v>0.26</v>
      </c>
      <c r="AW95" s="2">
        <f t="shared" si="95"/>
        <v>4.02583333333333</v>
      </c>
      <c r="AX95" s="1">
        <f t="shared" si="91"/>
        <v>2600.46409396457</v>
      </c>
      <c r="AZ95" s="2">
        <f t="shared" si="96"/>
        <v>0.538221184542571</v>
      </c>
      <c r="BA95" s="1">
        <f t="shared" si="92"/>
        <v>347.66090623408</v>
      </c>
    </row>
    <row r="96" s="1" customFormat="1" spans="1:53">
      <c r="A96" s="13"/>
      <c r="B96" s="13"/>
      <c r="C96" s="16">
        <v>6</v>
      </c>
      <c r="D96" s="19">
        <v>21.845605757</v>
      </c>
      <c r="E96" s="20">
        <f t="shared" si="93"/>
        <v>17.3054330600645</v>
      </c>
      <c r="F96" s="16" t="s">
        <v>110</v>
      </c>
      <c r="G96" s="13">
        <v>7</v>
      </c>
      <c r="H96" s="18">
        <f t="shared" si="76"/>
        <v>21.845605757</v>
      </c>
      <c r="I96" s="18">
        <f t="shared" si="77"/>
        <v>294.995605757</v>
      </c>
      <c r="J96" s="18">
        <f t="shared" si="78"/>
        <v>0.244138749558881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0.797770151393374</v>
      </c>
      <c r="P96" s="18">
        <f t="shared" si="81"/>
        <v>0.194766607196577</v>
      </c>
      <c r="Q96" s="24">
        <f t="shared" si="82"/>
        <v>0.0506393178711101</v>
      </c>
      <c r="R96" s="18">
        <f t="shared" si="83"/>
        <v>0.074022</v>
      </c>
      <c r="S96" s="25">
        <f t="shared" si="84"/>
        <v>0.684111721800413</v>
      </c>
      <c r="T96" s="3">
        <v>0.01</v>
      </c>
      <c r="U96" s="26">
        <f t="shared" si="85"/>
        <v>0.00684111721800413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0.0167911172180041</v>
      </c>
      <c r="AU96" s="29">
        <f t="shared" si="89"/>
        <v>28.47</v>
      </c>
      <c r="AV96" s="1">
        <f t="shared" si="90"/>
        <v>0.26</v>
      </c>
      <c r="AW96" s="2">
        <f t="shared" si="95"/>
        <v>4.02583333333333</v>
      </c>
      <c r="AX96" s="1">
        <f t="shared" si="91"/>
        <v>3352.51710750811</v>
      </c>
      <c r="AZ96" s="2">
        <f t="shared" si="96"/>
        <v>0.538221184542571</v>
      </c>
      <c r="BA96" s="1">
        <f t="shared" si="92"/>
        <v>448.204279561726</v>
      </c>
    </row>
    <row r="97" s="1" customFormat="1" spans="1:53">
      <c r="A97" s="13"/>
      <c r="B97" s="13"/>
      <c r="C97" s="16">
        <v>7</v>
      </c>
      <c r="D97" s="19">
        <v>24.7461585709677</v>
      </c>
      <c r="E97" s="20">
        <f t="shared" si="93"/>
        <v>21.845605757</v>
      </c>
      <c r="F97" s="16" t="s">
        <v>110</v>
      </c>
      <c r="G97" s="13">
        <v>8</v>
      </c>
      <c r="H97" s="18">
        <f t="shared" si="76"/>
        <v>24.7461585709677</v>
      </c>
      <c r="I97" s="18">
        <f t="shared" si="77"/>
        <v>297.896158570968</v>
      </c>
      <c r="J97" s="18">
        <f t="shared" si="78"/>
        <v>0.336673854672569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0.887703544196796</v>
      </c>
      <c r="P97" s="18">
        <f t="shared" si="81"/>
        <v>0.298866574031237</v>
      </c>
      <c r="Q97" s="24">
        <f t="shared" si="82"/>
        <v>0.0777053092481215</v>
      </c>
      <c r="R97" s="18">
        <f t="shared" si="83"/>
        <v>0.074022</v>
      </c>
      <c r="S97" s="25">
        <f t="shared" si="84"/>
        <v>1.04975965588773</v>
      </c>
      <c r="T97" s="3">
        <v>0.01</v>
      </c>
      <c r="U97" s="26">
        <f t="shared" si="85"/>
        <v>0.0104975965588773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0.0204475965588773</v>
      </c>
      <c r="AU97" s="29">
        <f t="shared" si="89"/>
        <v>28.47</v>
      </c>
      <c r="AV97" s="1">
        <f t="shared" si="90"/>
        <v>0.26</v>
      </c>
      <c r="AW97" s="2">
        <f t="shared" si="95"/>
        <v>4.02583333333333</v>
      </c>
      <c r="AX97" s="1">
        <f t="shared" si="91"/>
        <v>4082.57034841952</v>
      </c>
      <c r="AZ97" s="2">
        <f t="shared" si="96"/>
        <v>0.538221184542571</v>
      </c>
      <c r="BA97" s="1">
        <f t="shared" si="92"/>
        <v>545.806462158078</v>
      </c>
    </row>
    <row r="98" s="1" customFormat="1" spans="1:53">
      <c r="A98" s="13"/>
      <c r="B98" s="13"/>
      <c r="C98" s="16">
        <v>8</v>
      </c>
      <c r="D98" s="19">
        <v>23.8953388922581</v>
      </c>
      <c r="E98" s="20">
        <f t="shared" si="93"/>
        <v>24.7461585709677</v>
      </c>
      <c r="F98" s="16" t="s">
        <v>110</v>
      </c>
      <c r="G98" s="13">
        <v>9</v>
      </c>
      <c r="H98" s="18">
        <f t="shared" si="76"/>
        <v>23.8953388922581</v>
      </c>
      <c r="I98" s="18">
        <f t="shared" si="77"/>
        <v>297.045338892258</v>
      </c>
      <c r="J98" s="18">
        <f t="shared" si="78"/>
        <v>0.30658508420356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0.87353697016556</v>
      </c>
      <c r="P98" s="18">
        <f t="shared" si="81"/>
        <v>0.267813405553131</v>
      </c>
      <c r="Q98" s="24">
        <f t="shared" si="82"/>
        <v>0.069631485443814</v>
      </c>
      <c r="R98" s="18">
        <f t="shared" si="83"/>
        <v>0.074022</v>
      </c>
      <c r="S98" s="25">
        <f t="shared" si="84"/>
        <v>0.940686355999757</v>
      </c>
      <c r="T98" s="3">
        <v>0.01</v>
      </c>
      <c r="U98" s="26">
        <f t="shared" si="85"/>
        <v>0.00940686355999757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0.0193568635599976</v>
      </c>
      <c r="AU98" s="29">
        <f t="shared" si="89"/>
        <v>28.47</v>
      </c>
      <c r="AV98" s="1">
        <f t="shared" si="90"/>
        <v>0.26</v>
      </c>
      <c r="AW98" s="2">
        <f t="shared" si="95"/>
        <v>4.02583333333333</v>
      </c>
      <c r="AX98" s="1">
        <f t="shared" si="91"/>
        <v>3864.79442612728</v>
      </c>
      <c r="AZ98" s="2">
        <f t="shared" si="96"/>
        <v>0.538221184542571</v>
      </c>
      <c r="BA98" s="1">
        <f t="shared" si="92"/>
        <v>516.691591979404</v>
      </c>
    </row>
    <row r="99" s="1" customFormat="1" spans="1:53">
      <c r="A99" s="13"/>
      <c r="B99" s="13"/>
      <c r="C99" s="16">
        <v>9</v>
      </c>
      <c r="D99" s="19">
        <v>18.3998738483667</v>
      </c>
      <c r="E99" s="20">
        <f t="shared" si="93"/>
        <v>23.8953388922581</v>
      </c>
      <c r="F99" s="16" t="s">
        <v>110</v>
      </c>
      <c r="G99" s="13">
        <v>10</v>
      </c>
      <c r="H99" s="18">
        <f t="shared" si="76"/>
        <v>18.3998738483667</v>
      </c>
      <c r="I99" s="18">
        <f t="shared" si="77"/>
        <v>291.549873848367</v>
      </c>
      <c r="J99" s="18">
        <f t="shared" si="78"/>
        <v>0.165280344884323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0.890423564612429</v>
      </c>
      <c r="P99" s="18">
        <f t="shared" si="81"/>
        <v>0.147169513852271</v>
      </c>
      <c r="Q99" s="24">
        <f t="shared" si="82"/>
        <v>0.0382640736015903</v>
      </c>
      <c r="R99" s="18">
        <f t="shared" si="83"/>
        <v>0.074022</v>
      </c>
      <c r="S99" s="25">
        <f t="shared" si="84"/>
        <v>0.51692839428265</v>
      </c>
      <c r="T99" s="3">
        <v>0.01</v>
      </c>
      <c r="U99" s="26">
        <f t="shared" si="85"/>
        <v>0.0051692839428265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0.0106592839428265</v>
      </c>
      <c r="AU99" s="29">
        <f t="shared" si="89"/>
        <v>28.47</v>
      </c>
      <c r="AV99" s="1">
        <f t="shared" si="90"/>
        <v>0.26</v>
      </c>
      <c r="AW99" s="2">
        <f t="shared" si="95"/>
        <v>4.02583333333333</v>
      </c>
      <c r="AX99" s="1">
        <f t="shared" si="91"/>
        <v>2128.234310329</v>
      </c>
      <c r="AZ99" s="2">
        <f t="shared" si="96"/>
        <v>0.538221184542571</v>
      </c>
      <c r="BA99" s="1">
        <f t="shared" si="92"/>
        <v>284.527623636369</v>
      </c>
    </row>
    <row r="100" s="1" customFormat="1" spans="1:53">
      <c r="A100" s="13"/>
      <c r="B100" s="13"/>
      <c r="C100" s="16">
        <v>10</v>
      </c>
      <c r="D100" s="19">
        <v>9.01716517996774</v>
      </c>
      <c r="E100" s="20">
        <f t="shared" si="93"/>
        <v>18.3998738483667</v>
      </c>
      <c r="F100" s="16" t="s">
        <v>110</v>
      </c>
      <c r="G100" s="13">
        <v>11</v>
      </c>
      <c r="H100" s="18">
        <f t="shared" si="76"/>
        <v>9.01716517996774</v>
      </c>
      <c r="I100" s="18">
        <f t="shared" si="77"/>
        <v>282.167165179968</v>
      </c>
      <c r="J100" s="18">
        <f t="shared" si="78"/>
        <v>0.0544415414819793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0.70609134822215</v>
      </c>
      <c r="O100" s="18">
        <f t="shared" si="94"/>
        <v>0.321862702538008</v>
      </c>
      <c r="P100" s="18">
        <f t="shared" si="81"/>
        <v>0.0175227016717249</v>
      </c>
      <c r="Q100" s="24">
        <f t="shared" si="82"/>
        <v>0.00455590243464848</v>
      </c>
      <c r="R100" s="18">
        <f t="shared" si="83"/>
        <v>0.074022</v>
      </c>
      <c r="S100" s="25">
        <f t="shared" si="84"/>
        <v>0.0615479510773619</v>
      </c>
      <c r="T100" s="3">
        <v>0.01</v>
      </c>
      <c r="U100" s="26">
        <f t="shared" si="85"/>
        <v>0.000615479510773619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0.00610547951077362</v>
      </c>
      <c r="AU100" s="29">
        <f t="shared" si="89"/>
        <v>28.47</v>
      </c>
      <c r="AV100" s="1">
        <f t="shared" si="90"/>
        <v>0.26</v>
      </c>
      <c r="AW100" s="2">
        <f t="shared" si="95"/>
        <v>4.02583333333333</v>
      </c>
      <c r="AX100" s="1">
        <f t="shared" si="91"/>
        <v>1219.02100042881</v>
      </c>
      <c r="AZ100" s="2">
        <f t="shared" si="96"/>
        <v>0.538221184542571</v>
      </c>
      <c r="BA100" s="1">
        <f t="shared" si="92"/>
        <v>162.973196480993</v>
      </c>
    </row>
    <row r="101" s="1" customFormat="1" spans="1:54">
      <c r="A101" s="13"/>
      <c r="B101" s="13"/>
      <c r="C101" s="16">
        <v>11</v>
      </c>
      <c r="D101" s="19">
        <v>-0.610783173966667</v>
      </c>
      <c r="E101" s="20">
        <f t="shared" si="93"/>
        <v>9.01716517996774</v>
      </c>
      <c r="F101" s="16" t="s">
        <v>112</v>
      </c>
      <c r="G101" s="13">
        <v>12</v>
      </c>
      <c r="H101" s="18">
        <f t="shared" si="76"/>
        <v>-0.610783173966667</v>
      </c>
      <c r="I101" s="18">
        <f t="shared" si="77"/>
        <v>272.539216826033</v>
      </c>
      <c r="J101" s="18">
        <f t="shared" si="78"/>
        <v>0.0160883996077151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0.589040000866283</v>
      </c>
      <c r="P101" s="18">
        <f t="shared" si="81"/>
        <v>0.00947671091886561</v>
      </c>
      <c r="Q101" s="24">
        <f t="shared" si="82"/>
        <v>0.00246394483890506</v>
      </c>
      <c r="R101" s="18">
        <f t="shared" si="83"/>
        <v>0.074022</v>
      </c>
      <c r="S101" s="25">
        <f t="shared" si="84"/>
        <v>0.0332866558442768</v>
      </c>
      <c r="T101" s="3">
        <v>0.01</v>
      </c>
      <c r="U101" s="26">
        <f t="shared" si="85"/>
        <v>0.000332866558442768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0.00582286655844277</v>
      </c>
      <c r="AU101" s="29">
        <f t="shared" si="89"/>
        <v>28.47</v>
      </c>
      <c r="AV101" s="1">
        <f t="shared" si="90"/>
        <v>0.26</v>
      </c>
      <c r="AW101" s="2">
        <f t="shared" si="95"/>
        <v>4.02583333333333</v>
      </c>
      <c r="AX101" s="1">
        <f t="shared" si="91"/>
        <v>1162.59445386902</v>
      </c>
      <c r="AY101" s="1">
        <f>SUM(AX90:AX101)</f>
        <v>25251.6975471818</v>
      </c>
      <c r="AZ101" s="2">
        <f t="shared" si="96"/>
        <v>0.538221184542571</v>
      </c>
      <c r="BA101" s="1">
        <f t="shared" si="92"/>
        <v>155.429425983194</v>
      </c>
      <c r="BB101" s="1">
        <f>SUM(BA90:BA101)</f>
        <v>3375.94665259075</v>
      </c>
    </row>
    <row r="102" s="1" customFormat="1" spans="1:46">
      <c r="A102" s="13"/>
      <c r="B102" s="13"/>
      <c r="C102" s="16">
        <v>12</v>
      </c>
      <c r="D102" s="19">
        <v>-5.52252911970968</v>
      </c>
      <c r="E102" s="20">
        <f t="shared" si="93"/>
        <v>-0.610783173966667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I11" sqref="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H1" s="1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655.287881976016</v>
      </c>
      <c r="F2" s="3">
        <v>769.42</v>
      </c>
      <c r="G2" s="21">
        <f>(F2+F3+F4)/3</f>
        <v>1205.71666666667</v>
      </c>
      <c r="H2" s="1">
        <v>0.18</v>
      </c>
      <c r="I2" s="21">
        <f>(H3+H2+H4)/3</f>
        <v>0.136666666666667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21"/>
      <c r="H3" s="1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21"/>
      <c r="H4" s="1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761.100821917808</v>
      </c>
      <c r="F5" s="3">
        <v>91.104</v>
      </c>
      <c r="G5" s="21">
        <f>(F5+F6)/2</f>
        <v>92.50925</v>
      </c>
      <c r="H5" s="1">
        <v>0.13</v>
      </c>
      <c r="I5" s="21">
        <f>(H5+H6)/2</f>
        <v>0.16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21"/>
      <c r="H6" s="1">
        <v>0.19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2131.04922811027</v>
      </c>
      <c r="F7" s="3">
        <v>122.786</v>
      </c>
      <c r="H7" s="1">
        <v>0.29</v>
      </c>
      <c r="M7" s="2"/>
    </row>
    <row r="8" s="1" customFormat="1" spans="1:13">
      <c r="A8" s="4" t="s">
        <v>49</v>
      </c>
      <c r="B8" s="5"/>
      <c r="C8" s="3"/>
      <c r="D8" s="3"/>
      <c r="E8" s="12">
        <v>1.83722760726853</v>
      </c>
      <c r="F8" s="3">
        <v>625.464</v>
      </c>
      <c r="H8" s="1">
        <v>0.26</v>
      </c>
      <c r="M8" s="2"/>
    </row>
    <row r="9" s="1" customFormat="1" spans="1:13">
      <c r="A9" s="4" t="s">
        <v>50</v>
      </c>
      <c r="B9" s="5"/>
      <c r="C9" s="3"/>
      <c r="D9" s="3"/>
      <c r="E9" s="12">
        <v>1.48078582162515</v>
      </c>
      <c r="F9" s="3">
        <v>341.64</v>
      </c>
      <c r="H9" s="1">
        <v>0.26</v>
      </c>
      <c r="M9" s="2"/>
    </row>
    <row r="10" s="1" customFormat="1" spans="1:13">
      <c r="A10" s="4" t="s">
        <v>51</v>
      </c>
      <c r="B10" s="5"/>
      <c r="C10" s="3"/>
      <c r="D10" s="3"/>
      <c r="E10" s="12">
        <v>0.181621383156415</v>
      </c>
      <c r="F10" s="3">
        <v>341.64</v>
      </c>
      <c r="H10" s="1">
        <v>0.26</v>
      </c>
      <c r="M10" s="2"/>
    </row>
    <row r="11" s="1" customFormat="1" spans="1:47">
      <c r="A11" s="4" t="s">
        <v>52</v>
      </c>
      <c r="B11" s="5"/>
      <c r="C11" s="3"/>
      <c r="D11" s="3"/>
      <c r="E11" s="12">
        <v>0</v>
      </c>
      <c r="F11" s="3">
        <v>910.8575</v>
      </c>
      <c r="H11" s="1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AV38+AV53+AY69+AY85+AY101+BB101+AG69</f>
        <v>58707630.1165668</v>
      </c>
      <c r="J14" s="14" t="s">
        <v>35</v>
      </c>
      <c r="K14" s="14">
        <f>I14/(10000*1000)</f>
        <v>5.87076301165668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38">
        <v>43654128.7808855</v>
      </c>
      <c r="J15" s="14" t="s">
        <v>35</v>
      </c>
      <c r="K15" s="14">
        <f>I15/(10000*1000)</f>
        <v>4.36541287808855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1205.71666666667</v>
      </c>
      <c r="C27" s="16" t="s">
        <v>109</v>
      </c>
      <c r="D27" s="17">
        <v>-15</v>
      </c>
      <c r="E27" s="16"/>
      <c r="F27" s="16"/>
      <c r="G27" s="13">
        <v>1</v>
      </c>
      <c r="H27" s="18">
        <f t="shared" ref="H27:H38" si="0">E28</f>
        <v>-15</v>
      </c>
      <c r="I27" s="18">
        <f t="shared" ref="I27:I38" si="1">H27+273.15</f>
        <v>258.15</v>
      </c>
      <c r="J27" s="18">
        <f t="shared" ref="J27:J38" si="2">EXP(($C$16*(I27-$C$14))/($C$17*I27*$C$14))</f>
        <v>0.00219620150298724</v>
      </c>
      <c r="K27" s="18">
        <f t="shared" ref="K27:K38" si="3">$B$27/12</f>
        <v>100.476388888889</v>
      </c>
      <c r="L27" s="18">
        <f t="shared" ref="L27:L38" si="4">K27*$B$28/100</f>
        <v>1.00476388888889</v>
      </c>
      <c r="M27" s="13" t="s">
        <v>110</v>
      </c>
      <c r="N27" s="13"/>
      <c r="O27" s="18">
        <f>L27</f>
        <v>1.00476388888889</v>
      </c>
      <c r="P27" s="18">
        <f t="shared" ref="P27:P38" si="5">O27*J27</f>
        <v>0.00220666396292508</v>
      </c>
      <c r="Q27" s="24">
        <f t="shared" ref="Q27:Q38" si="6">P27*$B$29</f>
        <v>0.000301577408266428</v>
      </c>
      <c r="R27" s="18">
        <f t="shared" ref="R27:R38" si="7">L27*$B$29</f>
        <v>0.137317731481481</v>
      </c>
      <c r="S27" s="25">
        <f t="shared" ref="S27:S38" si="8">Q27/R27</f>
        <v>0.00219620150298724</v>
      </c>
      <c r="T27" s="3">
        <v>0.01</v>
      </c>
      <c r="U27" s="26">
        <f t="shared" ref="U27:U38" si="9">S27*T27</f>
        <v>2.19620150298724e-5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0.0219219620150299</v>
      </c>
      <c r="AR27" s="29">
        <f t="shared" ref="AR27:AR38" si="15">$B$27/12</f>
        <v>100.476388888889</v>
      </c>
      <c r="AS27" s="1">
        <f t="shared" ref="AS27:AS38" si="16">$B$29</f>
        <v>0.136666666666667</v>
      </c>
      <c r="AT27" s="2">
        <f>$E$2/12</f>
        <v>54.6073234980013</v>
      </c>
      <c r="AU27" s="1">
        <f t="shared" ref="AU27:AU38" si="17">AT27*10000*AS27*0.67*AR27*AQ27</f>
        <v>110136.617532735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-17.1420946003548</v>
      </c>
      <c r="E28" s="20">
        <f t="shared" ref="E28:E39" si="18">D27</f>
        <v>-15</v>
      </c>
      <c r="F28" s="16" t="s">
        <v>110</v>
      </c>
      <c r="G28" s="13">
        <v>2</v>
      </c>
      <c r="H28" s="18">
        <f t="shared" si="0"/>
        <v>-17.1420946003548</v>
      </c>
      <c r="I28" s="18">
        <f t="shared" si="1"/>
        <v>256.007905399645</v>
      </c>
      <c r="J28" s="18">
        <f t="shared" si="2"/>
        <v>0.00160181146890215</v>
      </c>
      <c r="K28" s="18">
        <f t="shared" si="3"/>
        <v>100.476388888889</v>
      </c>
      <c r="L28" s="18">
        <f t="shared" si="4"/>
        <v>1.00476388888889</v>
      </c>
      <c r="M28" s="13" t="s">
        <v>110</v>
      </c>
      <c r="N28" s="13"/>
      <c r="O28" s="18">
        <f t="shared" ref="O28:O38" si="19">L28+O27-P27-N28</f>
        <v>2.00732111381485</v>
      </c>
      <c r="P28" s="18">
        <f t="shared" si="5"/>
        <v>0.00321534998187807</v>
      </c>
      <c r="Q28" s="24">
        <f t="shared" si="6"/>
        <v>0.000439431164190003</v>
      </c>
      <c r="R28" s="18">
        <f t="shared" si="7"/>
        <v>0.137317731481481</v>
      </c>
      <c r="S28" s="25">
        <f t="shared" si="8"/>
        <v>0.00320010503704879</v>
      </c>
      <c r="T28" s="3">
        <v>0.01</v>
      </c>
      <c r="U28" s="26">
        <f t="shared" si="9"/>
        <v>3.2001050370488e-5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0.0219320010503705</v>
      </c>
      <c r="AR28" s="29">
        <f t="shared" si="15"/>
        <v>100.476388888889</v>
      </c>
      <c r="AS28" s="1">
        <f t="shared" si="16"/>
        <v>0.136666666666667</v>
      </c>
      <c r="AT28" s="2">
        <f t="shared" ref="AT28:AT38" si="20">$E$2/12</f>
        <v>54.6073234980013</v>
      </c>
      <c r="AU28" s="1">
        <f t="shared" si="17"/>
        <v>110187.053957857</v>
      </c>
    </row>
    <row r="29" s="1" customFormat="1" spans="1:47">
      <c r="A29" s="13" t="s">
        <v>73</v>
      </c>
      <c r="B29" s="13">
        <f>I2</f>
        <v>0.136666666666667</v>
      </c>
      <c r="C29" s="16">
        <v>2</v>
      </c>
      <c r="D29" s="19">
        <v>-10.0475031562759</v>
      </c>
      <c r="E29" s="20">
        <f t="shared" si="18"/>
        <v>-17.1420946003548</v>
      </c>
      <c r="F29" s="16" t="s">
        <v>110</v>
      </c>
      <c r="G29" s="13">
        <v>3</v>
      </c>
      <c r="H29" s="18">
        <f t="shared" si="0"/>
        <v>-10.0475031562759</v>
      </c>
      <c r="I29" s="18">
        <f t="shared" si="1"/>
        <v>263.102496843724</v>
      </c>
      <c r="J29" s="18">
        <f t="shared" si="2"/>
        <v>0.0044669416453698</v>
      </c>
      <c r="K29" s="18">
        <f t="shared" si="3"/>
        <v>100.476388888889</v>
      </c>
      <c r="L29" s="18">
        <f t="shared" si="4"/>
        <v>1.00476388888889</v>
      </c>
      <c r="M29" s="13" t="s">
        <v>110</v>
      </c>
      <c r="N29" s="13"/>
      <c r="O29" s="18">
        <f t="shared" si="19"/>
        <v>3.00886965272186</v>
      </c>
      <c r="P29" s="18">
        <f t="shared" si="5"/>
        <v>0.0134404451572327</v>
      </c>
      <c r="Q29" s="24">
        <f t="shared" si="6"/>
        <v>0.00183686083815513</v>
      </c>
      <c r="R29" s="18">
        <f t="shared" si="7"/>
        <v>0.137317731481481</v>
      </c>
      <c r="S29" s="25">
        <f t="shared" si="8"/>
        <v>0.0133767199496945</v>
      </c>
      <c r="T29" s="3">
        <v>0.01</v>
      </c>
      <c r="U29" s="26">
        <f t="shared" si="9"/>
        <v>0.000133767199496945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0.0220337671994969</v>
      </c>
      <c r="AR29" s="29">
        <f t="shared" si="15"/>
        <v>100.476388888889</v>
      </c>
      <c r="AS29" s="1">
        <f t="shared" si="16"/>
        <v>0.136666666666667</v>
      </c>
      <c r="AT29" s="2">
        <f t="shared" si="20"/>
        <v>54.6073234980013</v>
      </c>
      <c r="AU29" s="1">
        <f t="shared" si="17"/>
        <v>110698.330249479</v>
      </c>
    </row>
    <row r="30" s="1" customFormat="1" spans="1:47">
      <c r="A30" s="13"/>
      <c r="B30" s="13"/>
      <c r="C30" s="16">
        <v>3</v>
      </c>
      <c r="D30" s="19">
        <v>0.39773417667742</v>
      </c>
      <c r="E30" s="20">
        <f t="shared" si="18"/>
        <v>-10.0475031562759</v>
      </c>
      <c r="F30" s="16" t="s">
        <v>110</v>
      </c>
      <c r="G30" s="13">
        <v>4</v>
      </c>
      <c r="H30" s="18">
        <f t="shared" si="0"/>
        <v>0.39773417667742</v>
      </c>
      <c r="I30" s="18">
        <f t="shared" si="1"/>
        <v>273.547734176677</v>
      </c>
      <c r="J30" s="18">
        <f t="shared" si="2"/>
        <v>0.0183533850710882</v>
      </c>
      <c r="K30" s="18">
        <f t="shared" si="3"/>
        <v>100.476388888889</v>
      </c>
      <c r="L30" s="18">
        <f t="shared" si="4"/>
        <v>1.00476388888889</v>
      </c>
      <c r="M30" s="13" t="s">
        <v>110</v>
      </c>
      <c r="N30" s="13"/>
      <c r="O30" s="18">
        <f t="shared" si="19"/>
        <v>4.00019309645352</v>
      </c>
      <c r="P30" s="18">
        <f t="shared" si="5"/>
        <v>0.0734170842579201</v>
      </c>
      <c r="Q30" s="24">
        <f t="shared" si="6"/>
        <v>0.0100336681819157</v>
      </c>
      <c r="R30" s="18">
        <f t="shared" si="7"/>
        <v>0.137317731481481</v>
      </c>
      <c r="S30" s="25">
        <f t="shared" si="8"/>
        <v>0.073068991700237</v>
      </c>
      <c r="T30" s="3">
        <v>0.01</v>
      </c>
      <c r="U30" s="26">
        <f t="shared" si="9"/>
        <v>0.00073068991700237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0.0226306899170024</v>
      </c>
      <c r="AR30" s="29">
        <f t="shared" si="15"/>
        <v>100.476388888889</v>
      </c>
      <c r="AS30" s="1">
        <f t="shared" si="16"/>
        <v>0.136666666666667</v>
      </c>
      <c r="AT30" s="2">
        <f t="shared" si="20"/>
        <v>54.6073234980013</v>
      </c>
      <c r="AU30" s="1">
        <f t="shared" si="17"/>
        <v>113697.288508298</v>
      </c>
    </row>
    <row r="31" s="1" customFormat="1" spans="1:47">
      <c r="A31" s="13"/>
      <c r="B31" s="13"/>
      <c r="C31" s="16">
        <v>4</v>
      </c>
      <c r="D31" s="19">
        <v>7.84401710186667</v>
      </c>
      <c r="E31" s="20">
        <f t="shared" si="18"/>
        <v>0.39773417667742</v>
      </c>
      <c r="F31" s="16" t="s">
        <v>110</v>
      </c>
      <c r="G31" s="13">
        <v>5</v>
      </c>
      <c r="H31" s="18">
        <f t="shared" si="0"/>
        <v>7.84401710186667</v>
      </c>
      <c r="I31" s="18">
        <f t="shared" si="1"/>
        <v>280.994017101867</v>
      </c>
      <c r="J31" s="18">
        <f t="shared" si="2"/>
        <v>0.0471370970614816</v>
      </c>
      <c r="K31" s="18">
        <f t="shared" si="3"/>
        <v>100.476388888889</v>
      </c>
      <c r="L31" s="18">
        <f t="shared" si="4"/>
        <v>1.00476388888889</v>
      </c>
      <c r="M31" s="13" t="s">
        <v>112</v>
      </c>
      <c r="N31" s="18">
        <f>(O30-P30)*C22/100</f>
        <v>3.73043721158582</v>
      </c>
      <c r="O31" s="18">
        <f t="shared" si="19"/>
        <v>1.20110268949867</v>
      </c>
      <c r="P31" s="18">
        <f t="shared" si="5"/>
        <v>0.0566164940557053</v>
      </c>
      <c r="Q31" s="24">
        <f t="shared" si="6"/>
        <v>0.0077375875209464</v>
      </c>
      <c r="R31" s="18">
        <f t="shared" si="7"/>
        <v>0.137317731481481</v>
      </c>
      <c r="S31" s="25">
        <f t="shared" si="8"/>
        <v>0.0563480581674908</v>
      </c>
      <c r="T31" s="3">
        <v>0.01</v>
      </c>
      <c r="U31" s="26">
        <f t="shared" si="9"/>
        <v>0.000563480581674908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0.0300134805816749</v>
      </c>
      <c r="AR31" s="29">
        <f t="shared" si="15"/>
        <v>100.476388888889</v>
      </c>
      <c r="AS31" s="1">
        <f t="shared" si="16"/>
        <v>0.136666666666667</v>
      </c>
      <c r="AT31" s="2">
        <f t="shared" si="20"/>
        <v>54.6073234980013</v>
      </c>
      <c r="AU31" s="1">
        <f t="shared" si="17"/>
        <v>150788.657939639</v>
      </c>
    </row>
    <row r="32" s="1" customFormat="1" spans="1:47">
      <c r="A32" s="13"/>
      <c r="B32" s="13"/>
      <c r="C32" s="16">
        <v>5</v>
      </c>
      <c r="D32" s="19">
        <v>15.4346452186452</v>
      </c>
      <c r="E32" s="20">
        <f t="shared" si="18"/>
        <v>7.84401710186667</v>
      </c>
      <c r="F32" s="16" t="s">
        <v>112</v>
      </c>
      <c r="G32" s="13">
        <v>6</v>
      </c>
      <c r="H32" s="18">
        <f t="shared" si="0"/>
        <v>15.4346452186452</v>
      </c>
      <c r="I32" s="18">
        <f t="shared" si="1"/>
        <v>288.584645218645</v>
      </c>
      <c r="J32" s="18">
        <f t="shared" si="2"/>
        <v>0.117271297839316</v>
      </c>
      <c r="K32" s="18">
        <f t="shared" si="3"/>
        <v>100.476388888889</v>
      </c>
      <c r="L32" s="18">
        <f t="shared" si="4"/>
        <v>1.00476388888889</v>
      </c>
      <c r="M32" s="13" t="s">
        <v>110</v>
      </c>
      <c r="N32" s="13"/>
      <c r="O32" s="18">
        <f t="shared" si="19"/>
        <v>2.14925008433185</v>
      </c>
      <c r="P32" s="18">
        <f t="shared" si="5"/>
        <v>0.252045346770856</v>
      </c>
      <c r="Q32" s="24">
        <f t="shared" si="6"/>
        <v>0.0344461973920169</v>
      </c>
      <c r="R32" s="18">
        <f t="shared" si="7"/>
        <v>0.137317731481481</v>
      </c>
      <c r="S32" s="25">
        <f t="shared" si="8"/>
        <v>0.250850323701002</v>
      </c>
      <c r="T32" s="3">
        <v>0.01</v>
      </c>
      <c r="U32" s="26">
        <f t="shared" si="9"/>
        <v>0.00250850323701002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0.03195850323701</v>
      </c>
      <c r="AR32" s="29">
        <f t="shared" si="15"/>
        <v>100.476388888889</v>
      </c>
      <c r="AS32" s="1">
        <f t="shared" si="16"/>
        <v>0.136666666666667</v>
      </c>
      <c r="AT32" s="2">
        <f t="shared" si="20"/>
        <v>54.6073234980013</v>
      </c>
      <c r="AU32" s="1">
        <f t="shared" si="17"/>
        <v>160560.512125695</v>
      </c>
    </row>
    <row r="33" s="1" customFormat="1" spans="1:47">
      <c r="A33" s="13"/>
      <c r="B33" s="13"/>
      <c r="C33" s="16">
        <v>6</v>
      </c>
      <c r="D33" s="19">
        <v>19.363786942</v>
      </c>
      <c r="E33" s="20">
        <f t="shared" si="18"/>
        <v>15.4346452186452</v>
      </c>
      <c r="F33" s="16" t="s">
        <v>110</v>
      </c>
      <c r="G33" s="13">
        <v>7</v>
      </c>
      <c r="H33" s="18">
        <f t="shared" si="0"/>
        <v>19.363786942</v>
      </c>
      <c r="I33" s="18">
        <f t="shared" si="1"/>
        <v>292.513786942</v>
      </c>
      <c r="J33" s="18">
        <f t="shared" si="2"/>
        <v>0.184508255325259</v>
      </c>
      <c r="K33" s="18">
        <f t="shared" si="3"/>
        <v>100.476388888889</v>
      </c>
      <c r="L33" s="18">
        <f t="shared" si="4"/>
        <v>1.00476388888889</v>
      </c>
      <c r="M33" s="13" t="s">
        <v>110</v>
      </c>
      <c r="N33" s="13"/>
      <c r="O33" s="18">
        <f t="shared" si="19"/>
        <v>2.90196862644988</v>
      </c>
      <c r="P33" s="18">
        <f t="shared" si="5"/>
        <v>0.535437168274907</v>
      </c>
      <c r="Q33" s="24">
        <f t="shared" si="6"/>
        <v>0.0731764129975706</v>
      </c>
      <c r="R33" s="18">
        <f t="shared" si="7"/>
        <v>0.137317731481481</v>
      </c>
      <c r="S33" s="25">
        <f t="shared" si="8"/>
        <v>0.532898499036441</v>
      </c>
      <c r="T33" s="3">
        <v>0.01</v>
      </c>
      <c r="U33" s="26">
        <f t="shared" si="9"/>
        <v>0.00532898499036441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0.0347789849903644</v>
      </c>
      <c r="AR33" s="29">
        <f t="shared" si="15"/>
        <v>100.476388888889</v>
      </c>
      <c r="AS33" s="1">
        <f t="shared" si="16"/>
        <v>0.136666666666667</v>
      </c>
      <c r="AT33" s="2">
        <f t="shared" si="20"/>
        <v>54.6073234980013</v>
      </c>
      <c r="AU33" s="1">
        <f t="shared" si="17"/>
        <v>174730.699990918</v>
      </c>
    </row>
    <row r="34" s="1" customFormat="1" spans="1:47">
      <c r="A34" s="13"/>
      <c r="B34" s="13"/>
      <c r="C34" s="16">
        <v>7</v>
      </c>
      <c r="D34" s="19">
        <v>23.1159934874194</v>
      </c>
      <c r="E34" s="20">
        <f t="shared" si="18"/>
        <v>19.363786942</v>
      </c>
      <c r="F34" s="16" t="s">
        <v>110</v>
      </c>
      <c r="G34" s="13">
        <v>8</v>
      </c>
      <c r="H34" s="18">
        <f t="shared" si="0"/>
        <v>23.1159934874194</v>
      </c>
      <c r="I34" s="18">
        <f t="shared" si="1"/>
        <v>296.265993487419</v>
      </c>
      <c r="J34" s="18">
        <f t="shared" si="2"/>
        <v>0.281256968199338</v>
      </c>
      <c r="K34" s="18">
        <f t="shared" si="3"/>
        <v>100.476388888889</v>
      </c>
      <c r="L34" s="18">
        <f t="shared" si="4"/>
        <v>1.00476388888889</v>
      </c>
      <c r="M34" s="13" t="s">
        <v>110</v>
      </c>
      <c r="N34" s="13"/>
      <c r="O34" s="18">
        <f t="shared" si="19"/>
        <v>3.37129534706387</v>
      </c>
      <c r="P34" s="18">
        <f t="shared" si="5"/>
        <v>0.948200308219718</v>
      </c>
      <c r="Q34" s="24">
        <f t="shared" si="6"/>
        <v>0.129587375456695</v>
      </c>
      <c r="R34" s="18">
        <f t="shared" si="7"/>
        <v>0.137317731481481</v>
      </c>
      <c r="S34" s="25">
        <f t="shared" si="8"/>
        <v>0.943704604340706</v>
      </c>
      <c r="T34" s="3">
        <v>0.01</v>
      </c>
      <c r="U34" s="26">
        <f t="shared" si="9"/>
        <v>0.00943704604340706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0.0388870460434071</v>
      </c>
      <c r="AR34" s="29">
        <f t="shared" si="15"/>
        <v>100.476388888889</v>
      </c>
      <c r="AS34" s="1">
        <f t="shared" si="16"/>
        <v>0.136666666666667</v>
      </c>
      <c r="AT34" s="2">
        <f t="shared" si="20"/>
        <v>54.6073234980013</v>
      </c>
      <c r="AU34" s="1">
        <f t="shared" si="17"/>
        <v>195369.726219039</v>
      </c>
    </row>
    <row r="35" s="1" customFormat="1" spans="1:47">
      <c r="A35" s="13"/>
      <c r="B35" s="13"/>
      <c r="C35" s="16">
        <v>8</v>
      </c>
      <c r="D35" s="19">
        <v>22.2324202509677</v>
      </c>
      <c r="E35" s="20">
        <f t="shared" si="18"/>
        <v>23.1159934874194</v>
      </c>
      <c r="F35" s="16" t="s">
        <v>110</v>
      </c>
      <c r="G35" s="13">
        <v>9</v>
      </c>
      <c r="H35" s="18">
        <f t="shared" si="0"/>
        <v>22.2324202509677</v>
      </c>
      <c r="I35" s="18">
        <f t="shared" si="1"/>
        <v>295.382420250968</v>
      </c>
      <c r="J35" s="18">
        <f t="shared" si="2"/>
        <v>0.254922620042234</v>
      </c>
      <c r="K35" s="18">
        <f t="shared" si="3"/>
        <v>100.476388888889</v>
      </c>
      <c r="L35" s="18">
        <f t="shared" si="4"/>
        <v>1.00476388888889</v>
      </c>
      <c r="M35" s="13" t="s">
        <v>110</v>
      </c>
      <c r="N35" s="13"/>
      <c r="O35" s="18">
        <f t="shared" si="19"/>
        <v>3.42785892773304</v>
      </c>
      <c r="P35" s="18">
        <f t="shared" si="5"/>
        <v>0.873838778992869</v>
      </c>
      <c r="Q35" s="24">
        <f t="shared" si="6"/>
        <v>0.119424633129025</v>
      </c>
      <c r="R35" s="18">
        <f t="shared" si="7"/>
        <v>0.137317731481481</v>
      </c>
      <c r="S35" s="25">
        <f t="shared" si="8"/>
        <v>0.869695645570222</v>
      </c>
      <c r="T35" s="3">
        <v>0.01</v>
      </c>
      <c r="U35" s="26">
        <f t="shared" si="9"/>
        <v>0.00869695645570222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0.0381469564557022</v>
      </c>
      <c r="AR35" s="29">
        <f t="shared" si="15"/>
        <v>100.476388888889</v>
      </c>
      <c r="AS35" s="1">
        <f t="shared" si="16"/>
        <v>0.136666666666667</v>
      </c>
      <c r="AT35" s="2">
        <f t="shared" si="20"/>
        <v>54.6073234980013</v>
      </c>
      <c r="AU35" s="1">
        <f t="shared" si="17"/>
        <v>191651.493161016</v>
      </c>
    </row>
    <row r="36" s="1" customFormat="1" spans="1:47">
      <c r="A36" s="13"/>
      <c r="B36" s="13"/>
      <c r="C36" s="16">
        <v>9</v>
      </c>
      <c r="D36" s="19">
        <v>15.9581719644667</v>
      </c>
      <c r="E36" s="20">
        <f t="shared" si="18"/>
        <v>22.2324202509677</v>
      </c>
      <c r="F36" s="16" t="s">
        <v>110</v>
      </c>
      <c r="G36" s="13">
        <v>10</v>
      </c>
      <c r="H36" s="18">
        <f t="shared" si="0"/>
        <v>15.9581719644667</v>
      </c>
      <c r="I36" s="18">
        <f t="shared" si="1"/>
        <v>289.108171964467</v>
      </c>
      <c r="J36" s="18">
        <f t="shared" si="2"/>
        <v>0.124659646965249</v>
      </c>
      <c r="K36" s="18">
        <f t="shared" si="3"/>
        <v>100.476388888889</v>
      </c>
      <c r="L36" s="18">
        <f t="shared" si="4"/>
        <v>1.00476388888889</v>
      </c>
      <c r="M36" s="13" t="s">
        <v>110</v>
      </c>
      <c r="N36" s="13"/>
      <c r="O36" s="18">
        <f t="shared" si="19"/>
        <v>3.55878403762906</v>
      </c>
      <c r="P36" s="18">
        <f t="shared" si="5"/>
        <v>0.443636761756402</v>
      </c>
      <c r="Q36" s="24">
        <f t="shared" si="6"/>
        <v>0.0606303574400416</v>
      </c>
      <c r="R36" s="18">
        <f t="shared" si="7"/>
        <v>0.137317731481481</v>
      </c>
      <c r="S36" s="25">
        <f t="shared" si="8"/>
        <v>0.44153334595553</v>
      </c>
      <c r="T36" s="3">
        <v>0.01</v>
      </c>
      <c r="U36" s="26">
        <f t="shared" si="9"/>
        <v>0.0044153334595553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0.0263153334595553</v>
      </c>
      <c r="AR36" s="29">
        <f t="shared" si="15"/>
        <v>100.476388888889</v>
      </c>
      <c r="AS36" s="1">
        <f t="shared" si="16"/>
        <v>0.136666666666667</v>
      </c>
      <c r="AT36" s="2">
        <f t="shared" si="20"/>
        <v>54.6073234980013</v>
      </c>
      <c r="AU36" s="1">
        <f t="shared" si="17"/>
        <v>132209.052022549</v>
      </c>
    </row>
    <row r="37" s="1" customFormat="1" spans="1:47">
      <c r="A37" s="13"/>
      <c r="B37" s="13"/>
      <c r="C37" s="16">
        <v>10</v>
      </c>
      <c r="D37" s="19">
        <v>5.04032324432258</v>
      </c>
      <c r="E37" s="20">
        <f t="shared" si="18"/>
        <v>15.9581719644667</v>
      </c>
      <c r="F37" s="16" t="s">
        <v>110</v>
      </c>
      <c r="G37" s="13">
        <v>11</v>
      </c>
      <c r="H37" s="18">
        <f t="shared" si="0"/>
        <v>5.04032324432258</v>
      </c>
      <c r="I37" s="18">
        <f t="shared" si="1"/>
        <v>278.190323244323</v>
      </c>
      <c r="J37" s="18">
        <f t="shared" si="2"/>
        <v>0.0332426522329213</v>
      </c>
      <c r="K37" s="18">
        <f t="shared" si="3"/>
        <v>100.476388888889</v>
      </c>
      <c r="L37" s="18">
        <f t="shared" si="4"/>
        <v>1.00476388888889</v>
      </c>
      <c r="M37" s="13" t="s">
        <v>112</v>
      </c>
      <c r="N37" s="18">
        <f>(O36-P36)*C22/100</f>
        <v>2.95938991207902</v>
      </c>
      <c r="O37" s="18">
        <f t="shared" si="19"/>
        <v>1.16052125268252</v>
      </c>
      <c r="P37" s="18">
        <f t="shared" si="5"/>
        <v>0.0385788044118393</v>
      </c>
      <c r="Q37" s="24">
        <f t="shared" si="6"/>
        <v>0.00527243660295137</v>
      </c>
      <c r="R37" s="18">
        <f t="shared" si="7"/>
        <v>0.137317731481481</v>
      </c>
      <c r="S37" s="25">
        <f t="shared" si="8"/>
        <v>0.0383958906549691</v>
      </c>
      <c r="T37" s="3">
        <v>0.01</v>
      </c>
      <c r="U37" s="26">
        <f t="shared" si="9"/>
        <v>0.000383958906549691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0.0222839589065497</v>
      </c>
      <c r="AR37" s="29">
        <f t="shared" si="15"/>
        <v>100.476388888889</v>
      </c>
      <c r="AS37" s="1">
        <f t="shared" si="16"/>
        <v>0.136666666666667</v>
      </c>
      <c r="AT37" s="2">
        <f t="shared" si="20"/>
        <v>54.6073234980013</v>
      </c>
      <c r="AU37" s="1">
        <f t="shared" si="17"/>
        <v>111955.301150653</v>
      </c>
    </row>
    <row r="38" s="1" customFormat="1" spans="1:48">
      <c r="A38" s="13"/>
      <c r="B38" s="13"/>
      <c r="C38" s="16">
        <v>11</v>
      </c>
      <c r="D38" s="19">
        <v>-6.5463735635</v>
      </c>
      <c r="E38" s="20">
        <f t="shared" si="18"/>
        <v>5.04032324432258</v>
      </c>
      <c r="F38" s="16" t="s">
        <v>112</v>
      </c>
      <c r="G38" s="13">
        <v>12</v>
      </c>
      <c r="H38" s="18">
        <f t="shared" si="0"/>
        <v>-6.5463735635</v>
      </c>
      <c r="I38" s="18">
        <f t="shared" si="1"/>
        <v>266.6036264365</v>
      </c>
      <c r="J38" s="18">
        <f t="shared" si="2"/>
        <v>0.00726232656176917</v>
      </c>
      <c r="K38" s="18">
        <f t="shared" si="3"/>
        <v>100.476388888889</v>
      </c>
      <c r="L38" s="18">
        <f t="shared" si="4"/>
        <v>1.00476388888889</v>
      </c>
      <c r="M38" s="13" t="s">
        <v>110</v>
      </c>
      <c r="N38" s="13"/>
      <c r="O38" s="18">
        <f t="shared" si="19"/>
        <v>2.12670633715957</v>
      </c>
      <c r="P38" s="18">
        <f t="shared" si="5"/>
        <v>0.0154448359214368</v>
      </c>
      <c r="Q38" s="24">
        <f t="shared" si="6"/>
        <v>0.00211079424259636</v>
      </c>
      <c r="R38" s="18">
        <f t="shared" si="7"/>
        <v>0.137317731481481</v>
      </c>
      <c r="S38" s="25">
        <f t="shared" si="8"/>
        <v>0.0153716072922529</v>
      </c>
      <c r="T38" s="3">
        <v>0.01</v>
      </c>
      <c r="U38" s="26">
        <f t="shared" si="9"/>
        <v>0.000153716072922529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0.0220537160729225</v>
      </c>
      <c r="AR38" s="29">
        <f t="shared" si="15"/>
        <v>100.476388888889</v>
      </c>
      <c r="AS38" s="1">
        <f t="shared" si="16"/>
        <v>0.136666666666667</v>
      </c>
      <c r="AT38" s="2">
        <f t="shared" si="20"/>
        <v>54.6073234980013</v>
      </c>
      <c r="AU38" s="1">
        <f t="shared" si="17"/>
        <v>110798.554008702</v>
      </c>
      <c r="AV38" s="1">
        <f>SUM(AU27:AU38)</f>
        <v>1672783.28686658</v>
      </c>
    </row>
    <row r="39" s="1" customFormat="1" spans="1:46">
      <c r="A39" s="13"/>
      <c r="B39" s="13"/>
      <c r="C39" s="16">
        <v>12</v>
      </c>
      <c r="D39" s="19">
        <v>-10.5867522601936</v>
      </c>
      <c r="E39" s="20">
        <f t="shared" si="18"/>
        <v>-6.5463735635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-15</v>
      </c>
      <c r="E42" s="16"/>
      <c r="F42" s="16"/>
      <c r="G42" s="13">
        <v>1</v>
      </c>
      <c r="H42" s="18">
        <f t="shared" ref="H42:H53" si="21">E43</f>
        <v>-15</v>
      </c>
      <c r="I42" s="18">
        <f t="shared" ref="I42:I53" si="22">H42+273.15</f>
        <v>258.15</v>
      </c>
      <c r="J42" s="18">
        <f t="shared" ref="J42:J53" si="23">EXP(($C$16*(I42-$C$14))/($C$17*I42*$C$14))</f>
        <v>0.00219620150298724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0.000169307461575185</v>
      </c>
      <c r="Q42" s="24">
        <f t="shared" ref="Q42:Q53" si="27">P42*$B$44</f>
        <v>2.70891938520296e-5</v>
      </c>
      <c r="R42" s="18">
        <f t="shared" ref="R42:R53" si="28">L42*$B$44</f>
        <v>0.0123345666666667</v>
      </c>
      <c r="S42" s="25">
        <f t="shared" ref="S42:S53" si="29">Q42/R42</f>
        <v>0.00219620150298724</v>
      </c>
      <c r="T42" s="3">
        <v>0.01</v>
      </c>
      <c r="U42" s="26">
        <f t="shared" ref="U42:U53" si="30">S42*T42</f>
        <v>2.19620150298724e-5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0.0148219620150299</v>
      </c>
      <c r="AR42" s="29">
        <f t="shared" ref="AR42:AR53" si="34">$B$42/12</f>
        <v>7.70910416666667</v>
      </c>
      <c r="AS42" s="1">
        <f t="shared" ref="AS42:AS53" si="35">$B$44</f>
        <v>0.16</v>
      </c>
      <c r="AT42" s="2">
        <f>$E$5/12</f>
        <v>63.4250684931507</v>
      </c>
      <c r="AU42" s="1">
        <f t="shared" ref="AU42:AU53" si="36">AT42*10000*AS42*0.67*AR42*AQ42</f>
        <v>7769.00391250644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-17.1420946003548</v>
      </c>
      <c r="E43" s="20">
        <f t="shared" ref="E43:E54" si="37">D42</f>
        <v>-15</v>
      </c>
      <c r="F43" s="16" t="s">
        <v>110</v>
      </c>
      <c r="G43" s="13">
        <v>2</v>
      </c>
      <c r="H43" s="18">
        <f t="shared" si="21"/>
        <v>-17.1420946003548</v>
      </c>
      <c r="I43" s="18">
        <f t="shared" si="22"/>
        <v>256.007905399645</v>
      </c>
      <c r="J43" s="18">
        <f t="shared" si="23"/>
        <v>0.00160181146890215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0.154012775871758</v>
      </c>
      <c r="P43" s="18">
        <f t="shared" si="26"/>
        <v>0.000246699430748839</v>
      </c>
      <c r="Q43" s="24">
        <f t="shared" si="27"/>
        <v>3.94719089198142e-5</v>
      </c>
      <c r="R43" s="18">
        <f t="shared" si="28"/>
        <v>0.0123345666666667</v>
      </c>
      <c r="S43" s="25">
        <f t="shared" si="29"/>
        <v>0.00320010503704879</v>
      </c>
      <c r="T43" s="3">
        <v>0.01</v>
      </c>
      <c r="U43" s="26">
        <f t="shared" si="30"/>
        <v>3.2001050370488e-5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0.0148320010503705</v>
      </c>
      <c r="AR43" s="29">
        <f t="shared" si="34"/>
        <v>7.70910416666667</v>
      </c>
      <c r="AS43" s="1">
        <f t="shared" si="35"/>
        <v>0.16</v>
      </c>
      <c r="AT43" s="2">
        <f t="shared" ref="AT43:AT53" si="39">$E$5/12</f>
        <v>63.4250684931507</v>
      </c>
      <c r="AU43" s="1">
        <f t="shared" si="36"/>
        <v>7774.26592200019</v>
      </c>
    </row>
    <row r="44" s="1" customFormat="1" spans="1:47">
      <c r="A44" s="13" t="s">
        <v>73</v>
      </c>
      <c r="B44" s="13">
        <f>I5</f>
        <v>0.16</v>
      </c>
      <c r="C44" s="16">
        <v>2</v>
      </c>
      <c r="D44" s="19">
        <v>-10.0475031562759</v>
      </c>
      <c r="E44" s="20">
        <f t="shared" si="37"/>
        <v>-17.1420946003548</v>
      </c>
      <c r="F44" s="16" t="s">
        <v>110</v>
      </c>
      <c r="G44" s="13">
        <v>3</v>
      </c>
      <c r="H44" s="18">
        <f t="shared" si="21"/>
        <v>-10.0475031562759</v>
      </c>
      <c r="I44" s="18">
        <f t="shared" si="22"/>
        <v>263.102496843724</v>
      </c>
      <c r="J44" s="18">
        <f t="shared" si="23"/>
        <v>0.0044669416453698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0.230857118107676</v>
      </c>
      <c r="P44" s="18">
        <f t="shared" si="26"/>
        <v>0.00103122527500523</v>
      </c>
      <c r="Q44" s="24">
        <f t="shared" si="27"/>
        <v>0.000164996044000837</v>
      </c>
      <c r="R44" s="18">
        <f t="shared" si="28"/>
        <v>0.0123345666666667</v>
      </c>
      <c r="S44" s="25">
        <f t="shared" si="29"/>
        <v>0.0133767199496945</v>
      </c>
      <c r="T44" s="3">
        <v>0.01</v>
      </c>
      <c r="U44" s="26">
        <f t="shared" si="30"/>
        <v>0.000133767199496945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0.0149337671994969</v>
      </c>
      <c r="AR44" s="29">
        <f t="shared" si="34"/>
        <v>7.70910416666667</v>
      </c>
      <c r="AS44" s="1">
        <f t="shared" si="35"/>
        <v>0.16</v>
      </c>
      <c r="AT44" s="2">
        <f t="shared" si="39"/>
        <v>63.4250684931507</v>
      </c>
      <c r="AU44" s="1">
        <f t="shared" si="36"/>
        <v>7827.60714699607</v>
      </c>
    </row>
    <row r="45" s="1" customFormat="1" spans="1:47">
      <c r="A45" s="13"/>
      <c r="B45" s="13"/>
      <c r="C45" s="16">
        <v>3</v>
      </c>
      <c r="D45" s="19">
        <v>0.39773417667742</v>
      </c>
      <c r="E45" s="20">
        <f t="shared" si="37"/>
        <v>-10.0475031562759</v>
      </c>
      <c r="F45" s="16" t="s">
        <v>110</v>
      </c>
      <c r="G45" s="13">
        <v>4</v>
      </c>
      <c r="H45" s="18">
        <f t="shared" si="21"/>
        <v>0.39773417667742</v>
      </c>
      <c r="I45" s="18">
        <f t="shared" si="22"/>
        <v>273.547734176677</v>
      </c>
      <c r="J45" s="18">
        <f t="shared" si="23"/>
        <v>0.0183533850710882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0.306916934499337</v>
      </c>
      <c r="P45" s="18">
        <f t="shared" si="26"/>
        <v>0.0056329646837043</v>
      </c>
      <c r="Q45" s="24">
        <f t="shared" si="27"/>
        <v>0.000901274349392687</v>
      </c>
      <c r="R45" s="18">
        <f t="shared" si="28"/>
        <v>0.0123345666666667</v>
      </c>
      <c r="S45" s="25">
        <f t="shared" si="29"/>
        <v>0.0730689917002371</v>
      </c>
      <c r="T45" s="3">
        <v>0.01</v>
      </c>
      <c r="U45" s="26">
        <f t="shared" si="30"/>
        <v>0.000730689917002371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0.0155306899170024</v>
      </c>
      <c r="AR45" s="29">
        <f t="shared" si="34"/>
        <v>7.70910416666667</v>
      </c>
      <c r="AS45" s="1">
        <f t="shared" si="35"/>
        <v>0.16</v>
      </c>
      <c r="AT45" s="2">
        <f t="shared" si="39"/>
        <v>63.4250684931507</v>
      </c>
      <c r="AU45" s="1">
        <f t="shared" si="36"/>
        <v>8140.48711005772</v>
      </c>
    </row>
    <row r="46" s="1" customFormat="1" spans="1:47">
      <c r="A46" s="13"/>
      <c r="B46" s="13"/>
      <c r="C46" s="16">
        <v>4</v>
      </c>
      <c r="D46" s="19">
        <v>7.84401710186667</v>
      </c>
      <c r="E46" s="20">
        <f t="shared" si="37"/>
        <v>0.39773417667742</v>
      </c>
      <c r="F46" s="16" t="s">
        <v>110</v>
      </c>
      <c r="G46" s="13">
        <v>5</v>
      </c>
      <c r="H46" s="18">
        <f t="shared" si="21"/>
        <v>7.84401710186667</v>
      </c>
      <c r="I46" s="18">
        <f t="shared" si="22"/>
        <v>280.994017101867</v>
      </c>
      <c r="J46" s="18">
        <f t="shared" si="23"/>
        <v>0.0471370970614816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0.286219771324851</v>
      </c>
      <c r="O46" s="18">
        <f t="shared" si="38"/>
        <v>0.0921552401574484</v>
      </c>
      <c r="P46" s="18">
        <f t="shared" si="26"/>
        <v>0.00434393050002579</v>
      </c>
      <c r="Q46" s="24">
        <f t="shared" si="27"/>
        <v>0.000695028880004126</v>
      </c>
      <c r="R46" s="18">
        <f t="shared" si="28"/>
        <v>0.0123345666666667</v>
      </c>
      <c r="S46" s="25">
        <f t="shared" si="29"/>
        <v>0.0563480581674908</v>
      </c>
      <c r="T46" s="3">
        <v>0.01</v>
      </c>
      <c r="U46" s="26">
        <f t="shared" si="30"/>
        <v>0.000563480581674908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0.0276634805816749</v>
      </c>
      <c r="AR46" s="29">
        <f t="shared" si="34"/>
        <v>7.70910416666667</v>
      </c>
      <c r="AS46" s="1">
        <f t="shared" si="35"/>
        <v>0.16</v>
      </c>
      <c r="AT46" s="2">
        <f t="shared" si="39"/>
        <v>63.4250684931507</v>
      </c>
      <c r="AU46" s="1">
        <f t="shared" si="36"/>
        <v>14499.9487014368</v>
      </c>
    </row>
    <row r="47" s="1" customFormat="1" spans="1:47">
      <c r="A47" s="13"/>
      <c r="B47" s="13"/>
      <c r="C47" s="16">
        <v>5</v>
      </c>
      <c r="D47" s="19">
        <v>15.4346452186452</v>
      </c>
      <c r="E47" s="20">
        <f t="shared" si="37"/>
        <v>7.84401710186667</v>
      </c>
      <c r="F47" s="16" t="s">
        <v>112</v>
      </c>
      <c r="G47" s="13">
        <v>6</v>
      </c>
      <c r="H47" s="18">
        <f t="shared" si="21"/>
        <v>15.4346452186452</v>
      </c>
      <c r="I47" s="18">
        <f t="shared" si="22"/>
        <v>288.584645218645</v>
      </c>
      <c r="J47" s="18">
        <f t="shared" si="23"/>
        <v>0.117271297839316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0.164902351324089</v>
      </c>
      <c r="P47" s="18">
        <f t="shared" si="26"/>
        <v>0.0193383127565308</v>
      </c>
      <c r="Q47" s="24">
        <f t="shared" si="27"/>
        <v>0.00309413004104493</v>
      </c>
      <c r="R47" s="18">
        <f t="shared" si="28"/>
        <v>0.0123345666666667</v>
      </c>
      <c r="S47" s="25">
        <f t="shared" si="29"/>
        <v>0.250850323701002</v>
      </c>
      <c r="T47" s="3">
        <v>0.01</v>
      </c>
      <c r="U47" s="26">
        <f t="shared" si="30"/>
        <v>0.00250850323701002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0.02960850323701</v>
      </c>
      <c r="AR47" s="29">
        <f t="shared" si="34"/>
        <v>7.70910416666667</v>
      </c>
      <c r="AS47" s="1">
        <f t="shared" si="35"/>
        <v>0.16</v>
      </c>
      <c r="AT47" s="2">
        <f t="shared" si="39"/>
        <v>63.4250684931507</v>
      </c>
      <c r="AU47" s="1">
        <f t="shared" si="36"/>
        <v>15519.4418430256</v>
      </c>
    </row>
    <row r="48" s="1" customFormat="1" spans="1:47">
      <c r="A48" s="13"/>
      <c r="B48" s="13"/>
      <c r="C48" s="16">
        <v>6</v>
      </c>
      <c r="D48" s="19">
        <v>19.363786942</v>
      </c>
      <c r="E48" s="20">
        <f t="shared" si="37"/>
        <v>15.4346452186452</v>
      </c>
      <c r="F48" s="16" t="s">
        <v>110</v>
      </c>
      <c r="G48" s="13">
        <v>7</v>
      </c>
      <c r="H48" s="18">
        <f t="shared" si="21"/>
        <v>19.363786942</v>
      </c>
      <c r="I48" s="18">
        <f t="shared" si="22"/>
        <v>292.513786942</v>
      </c>
      <c r="J48" s="18">
        <f t="shared" si="23"/>
        <v>0.184508255325259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0.222655080234225</v>
      </c>
      <c r="P48" s="18">
        <f t="shared" si="26"/>
        <v>0.0410817003933224</v>
      </c>
      <c r="Q48" s="24">
        <f t="shared" si="27"/>
        <v>0.00657307206293159</v>
      </c>
      <c r="R48" s="18">
        <f t="shared" si="28"/>
        <v>0.0123345666666667</v>
      </c>
      <c r="S48" s="25">
        <f t="shared" si="29"/>
        <v>0.532898499036441</v>
      </c>
      <c r="T48" s="3">
        <v>0.01</v>
      </c>
      <c r="U48" s="26">
        <f t="shared" si="30"/>
        <v>0.00532898499036441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0.0324289849903644</v>
      </c>
      <c r="AR48" s="29">
        <f t="shared" si="34"/>
        <v>7.70910416666667</v>
      </c>
      <c r="AS48" s="1">
        <f t="shared" si="35"/>
        <v>0.16</v>
      </c>
      <c r="AT48" s="2">
        <f t="shared" si="39"/>
        <v>63.4250684931507</v>
      </c>
      <c r="AU48" s="1">
        <f t="shared" si="36"/>
        <v>16997.8111543721</v>
      </c>
    </row>
    <row r="49" s="1" customFormat="1" spans="1:47">
      <c r="A49" s="13"/>
      <c r="B49" s="13"/>
      <c r="C49" s="16">
        <v>7</v>
      </c>
      <c r="D49" s="19">
        <v>23.1159934874194</v>
      </c>
      <c r="E49" s="20">
        <f t="shared" si="37"/>
        <v>19.363786942</v>
      </c>
      <c r="F49" s="16" t="s">
        <v>110</v>
      </c>
      <c r="G49" s="13">
        <v>8</v>
      </c>
      <c r="H49" s="18">
        <f t="shared" si="21"/>
        <v>23.1159934874194</v>
      </c>
      <c r="I49" s="18">
        <f t="shared" si="22"/>
        <v>296.265993487419</v>
      </c>
      <c r="J49" s="18">
        <f t="shared" si="23"/>
        <v>0.281256968199338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0.258664421507569</v>
      </c>
      <c r="P49" s="18">
        <f t="shared" si="26"/>
        <v>0.0727511709742546</v>
      </c>
      <c r="Q49" s="24">
        <f t="shared" si="27"/>
        <v>0.0116401873558807</v>
      </c>
      <c r="R49" s="18">
        <f t="shared" si="28"/>
        <v>0.0123345666666667</v>
      </c>
      <c r="S49" s="25">
        <f t="shared" si="29"/>
        <v>0.943704604340707</v>
      </c>
      <c r="T49" s="3">
        <v>0.01</v>
      </c>
      <c r="U49" s="26">
        <f t="shared" si="30"/>
        <v>0.00943704604340707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0.0365370460434071</v>
      </c>
      <c r="AR49" s="29">
        <f t="shared" si="34"/>
        <v>7.70910416666667</v>
      </c>
      <c r="AS49" s="1">
        <f t="shared" si="35"/>
        <v>0.16</v>
      </c>
      <c r="AT49" s="2">
        <f t="shared" si="39"/>
        <v>63.4250684931507</v>
      </c>
      <c r="AU49" s="1">
        <f t="shared" si="36"/>
        <v>19151.0714556426</v>
      </c>
    </row>
    <row r="50" s="1" customFormat="1" spans="1:47">
      <c r="A50" s="13"/>
      <c r="B50" s="13"/>
      <c r="C50" s="16">
        <v>8</v>
      </c>
      <c r="D50" s="19">
        <v>22.2324202509677</v>
      </c>
      <c r="E50" s="20">
        <f t="shared" si="37"/>
        <v>23.1159934874194</v>
      </c>
      <c r="F50" s="16" t="s">
        <v>110</v>
      </c>
      <c r="G50" s="13">
        <v>9</v>
      </c>
      <c r="H50" s="18">
        <f t="shared" si="21"/>
        <v>22.2324202509677</v>
      </c>
      <c r="I50" s="18">
        <f t="shared" si="22"/>
        <v>295.382420250968</v>
      </c>
      <c r="J50" s="18">
        <f t="shared" si="23"/>
        <v>0.254922620042234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0.263004292199981</v>
      </c>
      <c r="P50" s="18">
        <f t="shared" si="26"/>
        <v>0.0670457432499725</v>
      </c>
      <c r="Q50" s="24">
        <f t="shared" si="27"/>
        <v>0.0107273189199956</v>
      </c>
      <c r="R50" s="18">
        <f t="shared" si="28"/>
        <v>0.0123345666666667</v>
      </c>
      <c r="S50" s="25">
        <f t="shared" si="29"/>
        <v>0.869695645570222</v>
      </c>
      <c r="T50" s="3">
        <v>0.01</v>
      </c>
      <c r="U50" s="26">
        <f t="shared" si="30"/>
        <v>0.00869695645570222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0.0357969564557022</v>
      </c>
      <c r="AR50" s="29">
        <f t="shared" si="34"/>
        <v>7.70910416666667</v>
      </c>
      <c r="AS50" s="1">
        <f t="shared" si="35"/>
        <v>0.16</v>
      </c>
      <c r="AT50" s="2">
        <f t="shared" si="39"/>
        <v>63.4250684931507</v>
      </c>
      <c r="AU50" s="1">
        <f t="shared" si="36"/>
        <v>18763.1498770652</v>
      </c>
    </row>
    <row r="51" s="1" customFormat="1" spans="1:47">
      <c r="A51" s="13"/>
      <c r="B51" s="13"/>
      <c r="C51" s="16">
        <v>9</v>
      </c>
      <c r="D51" s="19">
        <v>15.9581719644667</v>
      </c>
      <c r="E51" s="20">
        <f t="shared" si="37"/>
        <v>22.2324202509677</v>
      </c>
      <c r="F51" s="16" t="s">
        <v>110</v>
      </c>
      <c r="G51" s="13">
        <v>10</v>
      </c>
      <c r="H51" s="18">
        <f t="shared" si="21"/>
        <v>15.9581719644667</v>
      </c>
      <c r="I51" s="18">
        <f t="shared" si="22"/>
        <v>289.108171964467</v>
      </c>
      <c r="J51" s="18">
        <f t="shared" si="23"/>
        <v>0.124659646965249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0.273049590616675</v>
      </c>
      <c r="P51" s="18">
        <f t="shared" si="26"/>
        <v>0.0340382655702805</v>
      </c>
      <c r="Q51" s="24">
        <f t="shared" si="27"/>
        <v>0.00544612249124489</v>
      </c>
      <c r="R51" s="18">
        <f t="shared" si="28"/>
        <v>0.0123345666666667</v>
      </c>
      <c r="S51" s="25">
        <f t="shared" si="29"/>
        <v>0.44153334595553</v>
      </c>
      <c r="T51" s="3">
        <v>0.01</v>
      </c>
      <c r="U51" s="26">
        <f t="shared" si="30"/>
        <v>0.0044153334595553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0.0192153334595553</v>
      </c>
      <c r="AR51" s="29">
        <f t="shared" si="34"/>
        <v>7.70910416666667</v>
      </c>
      <c r="AS51" s="1">
        <f t="shared" si="35"/>
        <v>0.16</v>
      </c>
      <c r="AT51" s="2">
        <f t="shared" si="39"/>
        <v>63.4250684931507</v>
      </c>
      <c r="AU51" s="1">
        <f t="shared" si="36"/>
        <v>10071.8110514669</v>
      </c>
    </row>
    <row r="52" s="1" customFormat="1" spans="1:47">
      <c r="A52" s="13"/>
      <c r="B52" s="13"/>
      <c r="C52" s="16">
        <v>10</v>
      </c>
      <c r="D52" s="19">
        <v>5.04032324432258</v>
      </c>
      <c r="E52" s="20">
        <f t="shared" si="37"/>
        <v>15.9581719644667</v>
      </c>
      <c r="F52" s="16" t="s">
        <v>110</v>
      </c>
      <c r="G52" s="13">
        <v>11</v>
      </c>
      <c r="H52" s="18">
        <f t="shared" si="21"/>
        <v>5.04032324432258</v>
      </c>
      <c r="I52" s="18">
        <f t="shared" si="22"/>
        <v>278.190323244323</v>
      </c>
      <c r="J52" s="18">
        <f t="shared" si="23"/>
        <v>0.0332426522329213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0.227060758794075</v>
      </c>
      <c r="O52" s="18">
        <f t="shared" si="38"/>
        <v>0.0890416079189864</v>
      </c>
      <c r="P52" s="18">
        <f t="shared" si="26"/>
        <v>0.00295997920631099</v>
      </c>
      <c r="Q52" s="24">
        <f t="shared" si="27"/>
        <v>0.000473596673009759</v>
      </c>
      <c r="R52" s="18">
        <f t="shared" si="28"/>
        <v>0.0123345666666667</v>
      </c>
      <c r="S52" s="25">
        <f t="shared" si="29"/>
        <v>0.038395890654969</v>
      </c>
      <c r="T52" s="3">
        <v>0.01</v>
      </c>
      <c r="U52" s="26">
        <f t="shared" si="30"/>
        <v>0.00038395890654969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0.0151839589065497</v>
      </c>
      <c r="AR52" s="29">
        <f t="shared" si="34"/>
        <v>7.70910416666667</v>
      </c>
      <c r="AS52" s="1">
        <f t="shared" si="35"/>
        <v>0.16</v>
      </c>
      <c r="AT52" s="2">
        <f t="shared" si="39"/>
        <v>63.4250684931507</v>
      </c>
      <c r="AU52" s="1">
        <f t="shared" si="36"/>
        <v>7958.74635440994</v>
      </c>
    </row>
    <row r="53" s="1" customFormat="1" spans="1:48">
      <c r="A53" s="13"/>
      <c r="B53" s="13"/>
      <c r="C53" s="16">
        <v>11</v>
      </c>
      <c r="D53" s="19">
        <v>-6.5463735635</v>
      </c>
      <c r="E53" s="20">
        <f t="shared" si="37"/>
        <v>5.04032324432258</v>
      </c>
      <c r="F53" s="16" t="s">
        <v>112</v>
      </c>
      <c r="G53" s="13">
        <v>12</v>
      </c>
      <c r="H53" s="18">
        <f t="shared" si="21"/>
        <v>-6.5463735635</v>
      </c>
      <c r="I53" s="18">
        <f t="shared" si="22"/>
        <v>266.6036264365</v>
      </c>
      <c r="J53" s="18">
        <f t="shared" si="23"/>
        <v>0.00726232656176917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0.163172670379342</v>
      </c>
      <c r="P53" s="18">
        <f t="shared" si="26"/>
        <v>0.0011850132182507</v>
      </c>
      <c r="Q53" s="24">
        <f t="shared" si="27"/>
        <v>0.000189602114920112</v>
      </c>
      <c r="R53" s="18">
        <f t="shared" si="28"/>
        <v>0.0123345666666667</v>
      </c>
      <c r="S53" s="25">
        <f t="shared" si="29"/>
        <v>0.0153716072922528</v>
      </c>
      <c r="T53" s="3">
        <v>0.01</v>
      </c>
      <c r="U53" s="26">
        <f t="shared" si="30"/>
        <v>0.000153716072922528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0.0149537160729225</v>
      </c>
      <c r="AR53" s="29">
        <f t="shared" si="34"/>
        <v>7.70910416666667</v>
      </c>
      <c r="AS53" s="1">
        <f t="shared" si="35"/>
        <v>0.16</v>
      </c>
      <c r="AT53" s="2">
        <f t="shared" si="39"/>
        <v>63.4250684931507</v>
      </c>
      <c r="AU53" s="1">
        <f t="shared" si="36"/>
        <v>7838.06344660987</v>
      </c>
      <c r="AV53" s="1">
        <f>SUM(AU42:AU53)</f>
        <v>142311.407975589</v>
      </c>
    </row>
    <row r="54" s="1" customFormat="1" spans="1:46">
      <c r="A54" s="13"/>
      <c r="B54" s="13"/>
      <c r="C54" s="16">
        <v>12</v>
      </c>
      <c r="D54" s="19">
        <v>-10.5867522601936</v>
      </c>
      <c r="E54" s="20">
        <f t="shared" si="37"/>
        <v>-6.5463735635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8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="1" customFormat="1" spans="1:78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-15</v>
      </c>
      <c r="E58" s="16"/>
      <c r="F58" s="16"/>
      <c r="G58" s="13">
        <v>1</v>
      </c>
      <c r="H58" s="18">
        <f t="shared" ref="H58:H69" si="40">E59</f>
        <v>-15</v>
      </c>
      <c r="I58" s="18">
        <f t="shared" ref="I58:I69" si="41">H58+273.15</f>
        <v>258.15</v>
      </c>
      <c r="J58" s="18">
        <f t="shared" ref="J58:J69" si="42">EXP(($C$16*(I58-$C$14))/($C$17*I58*$C$14))</f>
        <v>0.00219620150298724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0.0060674129492803</v>
      </c>
      <c r="Q58" s="24">
        <f t="shared" ref="Q58:Q69" si="46">P58*$B$60</f>
        <v>0.00175954975529129</v>
      </c>
      <c r="R58" s="18">
        <f t="shared" ref="R58:R69" si="47">L58*$B$60</f>
        <v>0.80117865</v>
      </c>
      <c r="S58" s="25">
        <f t="shared" ref="S58:S69" si="48">Q58/R58</f>
        <v>0.00219620150298724</v>
      </c>
      <c r="T58" s="3">
        <v>0.27</v>
      </c>
      <c r="U58" s="26">
        <f t="shared" ref="U58:U69" si="49">S58*T58</f>
        <v>0.000592974405806555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0.226515214927048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177.587435675856</v>
      </c>
      <c r="AF58" s="1">
        <f t="shared" ref="AF58:AF69" si="54">AE58*10000*AC58*AB58</f>
        <v>4116017.57409852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111</v>
      </c>
      <c r="B59" s="13">
        <v>27</v>
      </c>
      <c r="C59" s="16">
        <v>1</v>
      </c>
      <c r="D59" s="19">
        <v>-17.1420946003548</v>
      </c>
      <c r="E59" s="20">
        <f t="shared" ref="E59:E70" si="55">D58</f>
        <v>-15</v>
      </c>
      <c r="F59" s="16" t="s">
        <v>110</v>
      </c>
      <c r="G59" s="13">
        <v>2</v>
      </c>
      <c r="H59" s="18">
        <f t="shared" si="40"/>
        <v>-17.1420946003548</v>
      </c>
      <c r="I59" s="18">
        <f t="shared" si="41"/>
        <v>256.007905399645</v>
      </c>
      <c r="J59" s="18">
        <f t="shared" si="42"/>
        <v>0.00160181146890215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5.51930258705072</v>
      </c>
      <c r="P59" s="18">
        <f t="shared" si="45"/>
        <v>0.00884088218427915</v>
      </c>
      <c r="Q59" s="24">
        <f t="shared" si="46"/>
        <v>0.00256385583344095</v>
      </c>
      <c r="R59" s="18">
        <f t="shared" si="47"/>
        <v>0.80117865</v>
      </c>
      <c r="S59" s="25">
        <f t="shared" si="48"/>
        <v>0.00320010503704879</v>
      </c>
      <c r="T59" s="3">
        <v>0.27</v>
      </c>
      <c r="U59" s="26">
        <f t="shared" si="49"/>
        <v>0.000864028360003175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0.226567880710349</v>
      </c>
      <c r="AC59" s="29">
        <f t="shared" si="51"/>
        <v>10.2321666666667</v>
      </c>
      <c r="AD59" s="1">
        <f t="shared" si="52"/>
        <v>0.29</v>
      </c>
      <c r="AE59" s="30">
        <f t="shared" si="53"/>
        <v>177.587435675856</v>
      </c>
      <c r="AF59" s="1">
        <f t="shared" si="54"/>
        <v>4116974.56627976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-10.0475031562759</v>
      </c>
      <c r="E60" s="20">
        <f t="shared" si="55"/>
        <v>-17.1420946003548</v>
      </c>
      <c r="F60" s="16" t="s">
        <v>110</v>
      </c>
      <c r="G60" s="13">
        <v>3</v>
      </c>
      <c r="H60" s="18">
        <f t="shared" si="40"/>
        <v>-10.0475031562759</v>
      </c>
      <c r="I60" s="18">
        <f t="shared" si="41"/>
        <v>263.102496843724</v>
      </c>
      <c r="J60" s="18">
        <f t="shared" si="42"/>
        <v>0.0044669416453698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8.27314670486644</v>
      </c>
      <c r="P60" s="18">
        <f t="shared" si="45"/>
        <v>0.0369556635542218</v>
      </c>
      <c r="Q60" s="24">
        <f t="shared" si="46"/>
        <v>0.0107171424307243</v>
      </c>
      <c r="R60" s="18">
        <f t="shared" si="47"/>
        <v>0.80117865</v>
      </c>
      <c r="S60" s="25">
        <f t="shared" si="48"/>
        <v>0.0133767199496945</v>
      </c>
      <c r="T60" s="3">
        <v>0.27</v>
      </c>
      <c r="U60" s="26">
        <f t="shared" si="49"/>
        <v>0.00361171438641752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0.227101756105281</v>
      </c>
      <c r="AC60" s="29">
        <f t="shared" si="51"/>
        <v>10.2321666666667</v>
      </c>
      <c r="AD60" s="1">
        <f t="shared" si="52"/>
        <v>0.29</v>
      </c>
      <c r="AE60" s="30">
        <f t="shared" si="53"/>
        <v>177.587435675856</v>
      </c>
      <c r="AF60" s="1">
        <f t="shared" si="54"/>
        <v>4126675.63871601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/>
      <c r="B61" s="13"/>
      <c r="C61" s="16">
        <v>3</v>
      </c>
      <c r="D61" s="19">
        <v>0.39773417667742</v>
      </c>
      <c r="E61" s="20">
        <f t="shared" si="55"/>
        <v>-10.0475031562759</v>
      </c>
      <c r="F61" s="16" t="s">
        <v>110</v>
      </c>
      <c r="G61" s="13">
        <v>4</v>
      </c>
      <c r="H61" s="18">
        <f t="shared" si="40"/>
        <v>0.39773417667742</v>
      </c>
      <c r="I61" s="18">
        <f t="shared" si="41"/>
        <v>273.547734176677</v>
      </c>
      <c r="J61" s="18">
        <f t="shared" si="42"/>
        <v>0.0183533850710882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10.9988760413122</v>
      </c>
      <c r="P61" s="18">
        <f t="shared" si="45"/>
        <v>0.201866607335369</v>
      </c>
      <c r="Q61" s="24">
        <f t="shared" si="46"/>
        <v>0.0585413161272571</v>
      </c>
      <c r="R61" s="18">
        <f t="shared" si="47"/>
        <v>0.80117865</v>
      </c>
      <c r="S61" s="25">
        <f t="shared" si="48"/>
        <v>0.073068991700237</v>
      </c>
      <c r="T61" s="3">
        <v>0.27</v>
      </c>
      <c r="U61" s="26">
        <f t="shared" si="49"/>
        <v>0.019728627759064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0.230233272373586</v>
      </c>
      <c r="AC61" s="29">
        <f t="shared" si="51"/>
        <v>10.2321666666667</v>
      </c>
      <c r="AD61" s="1">
        <f t="shared" si="52"/>
        <v>0.29</v>
      </c>
      <c r="AE61" s="30">
        <f t="shared" si="53"/>
        <v>177.587435675856</v>
      </c>
      <c r="AF61" s="1">
        <f t="shared" si="54"/>
        <v>4183578.55359558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4</v>
      </c>
      <c r="D62" s="19">
        <v>7.84401710186667</v>
      </c>
      <c r="E62" s="20">
        <f t="shared" si="55"/>
        <v>0.39773417667742</v>
      </c>
      <c r="F62" s="16" t="s">
        <v>110</v>
      </c>
      <c r="G62" s="13">
        <v>5</v>
      </c>
      <c r="H62" s="18">
        <f t="shared" si="40"/>
        <v>7.84401710186667</v>
      </c>
      <c r="I62" s="18">
        <f t="shared" si="41"/>
        <v>280.994017101867</v>
      </c>
      <c r="J62" s="18">
        <f t="shared" si="42"/>
        <v>0.0471370970614816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10.257158962278</v>
      </c>
      <c r="O62" s="18">
        <f t="shared" si="56"/>
        <v>3.30253547169884</v>
      </c>
      <c r="P62" s="18">
        <f t="shared" si="45"/>
        <v>0.155671935078454</v>
      </c>
      <c r="Q62" s="24">
        <f t="shared" si="46"/>
        <v>0.0451448611727517</v>
      </c>
      <c r="R62" s="18">
        <f t="shared" si="47"/>
        <v>0.80117865</v>
      </c>
      <c r="S62" s="25">
        <f t="shared" si="48"/>
        <v>0.0563480581674908</v>
      </c>
      <c r="T62" s="3">
        <v>0.27</v>
      </c>
      <c r="U62" s="26">
        <f t="shared" si="49"/>
        <v>0.0152139757052225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0.278156075479525</v>
      </c>
      <c r="AC62" s="29">
        <f t="shared" si="51"/>
        <v>10.2321666666667</v>
      </c>
      <c r="AD62" s="1">
        <f t="shared" si="52"/>
        <v>0.29</v>
      </c>
      <c r="AE62" s="30">
        <f t="shared" si="53"/>
        <v>177.587435675856</v>
      </c>
      <c r="AF62" s="1">
        <f t="shared" si="54"/>
        <v>5054385.84063646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5</v>
      </c>
      <c r="D63" s="19">
        <v>15.4346452186452</v>
      </c>
      <c r="E63" s="20">
        <f t="shared" si="55"/>
        <v>7.84401710186667</v>
      </c>
      <c r="F63" s="16" t="s">
        <v>112</v>
      </c>
      <c r="G63" s="13">
        <v>6</v>
      </c>
      <c r="H63" s="18">
        <f t="shared" si="40"/>
        <v>15.4346452186452</v>
      </c>
      <c r="I63" s="18">
        <f t="shared" si="41"/>
        <v>288.584645218645</v>
      </c>
      <c r="J63" s="18">
        <f t="shared" si="42"/>
        <v>0.117271297839316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5.90954853662039</v>
      </c>
      <c r="P63" s="18">
        <f t="shared" si="45"/>
        <v>0.693020426533903</v>
      </c>
      <c r="Q63" s="24">
        <f t="shared" si="46"/>
        <v>0.200975923694832</v>
      </c>
      <c r="R63" s="18">
        <f t="shared" si="47"/>
        <v>0.80117865</v>
      </c>
      <c r="S63" s="25">
        <f t="shared" si="48"/>
        <v>0.250850323701002</v>
      </c>
      <c r="T63" s="3">
        <v>0.27</v>
      </c>
      <c r="U63" s="26">
        <f t="shared" si="49"/>
        <v>0.0677295873992706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0.288359858831678</v>
      </c>
      <c r="AC63" s="29">
        <f t="shared" si="51"/>
        <v>10.2321666666667</v>
      </c>
      <c r="AD63" s="1">
        <f t="shared" si="52"/>
        <v>0.29</v>
      </c>
      <c r="AE63" s="30">
        <f t="shared" si="53"/>
        <v>177.587435675856</v>
      </c>
      <c r="AF63" s="1">
        <f t="shared" si="54"/>
        <v>5239799.22054246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6</v>
      </c>
      <c r="D64" s="19">
        <v>19.363786942</v>
      </c>
      <c r="E64" s="20">
        <f t="shared" si="55"/>
        <v>15.4346452186452</v>
      </c>
      <c r="F64" s="16" t="s">
        <v>110</v>
      </c>
      <c r="G64" s="13">
        <v>7</v>
      </c>
      <c r="H64" s="18">
        <f t="shared" si="40"/>
        <v>19.363786942</v>
      </c>
      <c r="I64" s="18">
        <f t="shared" si="41"/>
        <v>292.513786942</v>
      </c>
      <c r="J64" s="18">
        <f t="shared" si="42"/>
        <v>0.184508255325259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7.97921311008648</v>
      </c>
      <c r="P64" s="18">
        <f t="shared" si="45"/>
        <v>1.47223068981049</v>
      </c>
      <c r="Q64" s="24">
        <f t="shared" si="46"/>
        <v>0.426946900045042</v>
      </c>
      <c r="R64" s="18">
        <f t="shared" si="47"/>
        <v>0.80117865</v>
      </c>
      <c r="S64" s="25">
        <f t="shared" si="48"/>
        <v>0.532898499036441</v>
      </c>
      <c r="T64" s="3">
        <v>0.27</v>
      </c>
      <c r="U64" s="26">
        <f t="shared" si="49"/>
        <v>0.143882594739839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0.303156388157951</v>
      </c>
      <c r="AC64" s="29">
        <f t="shared" si="51"/>
        <v>10.2321666666667</v>
      </c>
      <c r="AD64" s="1">
        <f t="shared" si="52"/>
        <v>0.29</v>
      </c>
      <c r="AE64" s="30">
        <f t="shared" si="53"/>
        <v>177.587435675856</v>
      </c>
      <c r="AF64" s="1">
        <f t="shared" si="54"/>
        <v>5508667.58226473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7</v>
      </c>
      <c r="D65" s="19">
        <v>23.1159934874194</v>
      </c>
      <c r="E65" s="20">
        <f t="shared" si="55"/>
        <v>19.363786942</v>
      </c>
      <c r="F65" s="16" t="s">
        <v>110</v>
      </c>
      <c r="G65" s="13">
        <v>8</v>
      </c>
      <c r="H65" s="18">
        <f t="shared" si="40"/>
        <v>23.1159934874194</v>
      </c>
      <c r="I65" s="18">
        <f t="shared" si="41"/>
        <v>296.265993487419</v>
      </c>
      <c r="J65" s="18">
        <f t="shared" si="42"/>
        <v>0.281256968199338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9.26966742027599</v>
      </c>
      <c r="P65" s="18">
        <f t="shared" si="45"/>
        <v>2.607158554843</v>
      </c>
      <c r="Q65" s="24">
        <f t="shared" si="46"/>
        <v>0.756075980904471</v>
      </c>
      <c r="R65" s="18">
        <f t="shared" si="47"/>
        <v>0.80117865</v>
      </c>
      <c r="S65" s="25">
        <f t="shared" si="48"/>
        <v>0.943704604340706</v>
      </c>
      <c r="T65" s="3">
        <v>0.27</v>
      </c>
      <c r="U65" s="26">
        <f t="shared" si="49"/>
        <v>0.254800243171991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0.324707687248318</v>
      </c>
      <c r="AC65" s="29">
        <f t="shared" si="51"/>
        <v>10.2321666666667</v>
      </c>
      <c r="AD65" s="1">
        <f t="shared" si="52"/>
        <v>0.29</v>
      </c>
      <c r="AE65" s="30">
        <f t="shared" si="53"/>
        <v>177.587435675856</v>
      </c>
      <c r="AF65" s="1">
        <f t="shared" si="54"/>
        <v>5900277.15175511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8</v>
      </c>
      <c r="D66" s="19">
        <v>22.2324202509677</v>
      </c>
      <c r="E66" s="20">
        <f t="shared" si="55"/>
        <v>23.1159934874194</v>
      </c>
      <c r="F66" s="16" t="s">
        <v>110</v>
      </c>
      <c r="G66" s="13">
        <v>9</v>
      </c>
      <c r="H66" s="18">
        <f t="shared" si="40"/>
        <v>22.2324202509677</v>
      </c>
      <c r="I66" s="18">
        <f t="shared" si="41"/>
        <v>295.382420250968</v>
      </c>
      <c r="J66" s="18">
        <f t="shared" si="42"/>
        <v>0.254922620042234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9.42519386543299</v>
      </c>
      <c r="P66" s="18">
        <f t="shared" si="45"/>
        <v>2.40269511458217</v>
      </c>
      <c r="Q66" s="24">
        <f t="shared" si="46"/>
        <v>0.696781583228829</v>
      </c>
      <c r="R66" s="18">
        <f t="shared" si="47"/>
        <v>0.80117865</v>
      </c>
      <c r="S66" s="25">
        <f t="shared" si="48"/>
        <v>0.869695645570222</v>
      </c>
      <c r="T66" s="3">
        <v>0.27</v>
      </c>
      <c r="U66" s="26">
        <f t="shared" si="49"/>
        <v>0.23481782430396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0.320825103262259</v>
      </c>
      <c r="AC66" s="29">
        <f t="shared" si="51"/>
        <v>10.2321666666667</v>
      </c>
      <c r="AD66" s="1">
        <f t="shared" si="52"/>
        <v>0.29</v>
      </c>
      <c r="AE66" s="30">
        <f t="shared" si="53"/>
        <v>177.587435675856</v>
      </c>
      <c r="AF66" s="1">
        <f t="shared" si="54"/>
        <v>5829726.55353293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9</v>
      </c>
      <c r="D67" s="19">
        <v>15.9581719644667</v>
      </c>
      <c r="E67" s="20">
        <f t="shared" si="55"/>
        <v>22.2324202509677</v>
      </c>
      <c r="F67" s="16" t="s">
        <v>110</v>
      </c>
      <c r="G67" s="13">
        <v>10</v>
      </c>
      <c r="H67" s="18">
        <f t="shared" si="40"/>
        <v>15.9581719644667</v>
      </c>
      <c r="I67" s="18">
        <f t="shared" si="41"/>
        <v>289.108171964467</v>
      </c>
      <c r="J67" s="18">
        <f t="shared" si="42"/>
        <v>0.124659646965249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9.78518375085082</v>
      </c>
      <c r="P67" s="18">
        <f t="shared" si="45"/>
        <v>1.21981755187115</v>
      </c>
      <c r="Q67" s="24">
        <f t="shared" si="46"/>
        <v>0.353747090042635</v>
      </c>
      <c r="R67" s="18">
        <f t="shared" si="47"/>
        <v>0.80117865</v>
      </c>
      <c r="S67" s="25">
        <f t="shared" si="48"/>
        <v>0.44153334595553</v>
      </c>
      <c r="T67" s="3">
        <v>0.27</v>
      </c>
      <c r="U67" s="26">
        <f t="shared" si="49"/>
        <v>0.119214003407993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0.249563280862173</v>
      </c>
      <c r="AC67" s="29">
        <f t="shared" si="51"/>
        <v>10.2321666666667</v>
      </c>
      <c r="AD67" s="1">
        <f t="shared" si="52"/>
        <v>0.29</v>
      </c>
      <c r="AE67" s="30">
        <f t="shared" si="53"/>
        <v>177.587435675856</v>
      </c>
      <c r="AF67" s="1">
        <f t="shared" si="54"/>
        <v>4534824.95738404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10</v>
      </c>
      <c r="D68" s="19">
        <v>5.04032324432258</v>
      </c>
      <c r="E68" s="20">
        <f t="shared" si="55"/>
        <v>15.9581719644667</v>
      </c>
      <c r="F68" s="16" t="s">
        <v>110</v>
      </c>
      <c r="G68" s="13">
        <v>11</v>
      </c>
      <c r="H68" s="18">
        <f t="shared" si="40"/>
        <v>5.04032324432258</v>
      </c>
      <c r="I68" s="18">
        <f t="shared" si="41"/>
        <v>278.190323244323</v>
      </c>
      <c r="J68" s="18">
        <f t="shared" si="42"/>
        <v>0.0332426522329213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8.13709788903068</v>
      </c>
      <c r="O68" s="18">
        <f t="shared" si="56"/>
        <v>3.19095330994898</v>
      </c>
      <c r="P68" s="18">
        <f t="shared" si="45"/>
        <v>0.106075751174123</v>
      </c>
      <c r="Q68" s="24">
        <f t="shared" si="46"/>
        <v>0.0307619678404957</v>
      </c>
      <c r="R68" s="18">
        <f t="shared" si="47"/>
        <v>0.80117865</v>
      </c>
      <c r="S68" s="25">
        <f t="shared" si="48"/>
        <v>0.038395890654969</v>
      </c>
      <c r="T68" s="3">
        <v>0.27</v>
      </c>
      <c r="U68" s="26">
        <f t="shared" si="49"/>
        <v>0.0103668904768416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0.22841428681965</v>
      </c>
      <c r="AC68" s="29">
        <f t="shared" si="51"/>
        <v>10.2321666666667</v>
      </c>
      <c r="AD68" s="1">
        <f t="shared" si="52"/>
        <v>0.29</v>
      </c>
      <c r="AE68" s="30">
        <f t="shared" si="53"/>
        <v>177.587435675856</v>
      </c>
      <c r="AF68" s="1">
        <f t="shared" si="54"/>
        <v>4150525.68997473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26"/>
      <c r="BC68" s="25"/>
      <c r="BD68" s="3"/>
      <c r="BE68" s="3"/>
      <c r="BF68" s="28"/>
      <c r="BG68" s="3"/>
      <c r="BH68" s="27"/>
      <c r="BI68" s="3"/>
      <c r="BJ68" s="3"/>
      <c r="BK68" s="27"/>
      <c r="BL68" s="25"/>
      <c r="BM68" s="3"/>
      <c r="BN68" s="26"/>
      <c r="BO68" s="35"/>
      <c r="BP68" s="3"/>
      <c r="BQ68" s="26"/>
      <c r="BR68" s="36"/>
      <c r="BS68" s="27"/>
      <c r="BT68" s="27"/>
      <c r="BU68" s="36"/>
      <c r="BV68" s="27"/>
      <c r="BW68" s="26"/>
      <c r="BX68" s="3"/>
      <c r="BY68" s="3"/>
      <c r="BZ68" s="3"/>
    </row>
    <row r="69" s="1" customFormat="1" spans="1:78">
      <c r="A69" s="13"/>
      <c r="B69" s="13"/>
      <c r="C69" s="16">
        <v>11</v>
      </c>
      <c r="D69" s="19">
        <v>-6.5463735635</v>
      </c>
      <c r="E69" s="20">
        <f t="shared" si="55"/>
        <v>5.04032324432258</v>
      </c>
      <c r="F69" s="16" t="s">
        <v>112</v>
      </c>
      <c r="G69" s="13">
        <v>12</v>
      </c>
      <c r="H69" s="18">
        <f t="shared" si="40"/>
        <v>-6.5463735635</v>
      </c>
      <c r="I69" s="18">
        <f t="shared" si="41"/>
        <v>266.6036264365</v>
      </c>
      <c r="J69" s="18">
        <f t="shared" si="42"/>
        <v>0.00726232656176917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5.84756255877486</v>
      </c>
      <c r="P69" s="18">
        <f t="shared" si="45"/>
        <v>0.0424669088921975</v>
      </c>
      <c r="Q69" s="24">
        <f t="shared" si="46"/>
        <v>0.0123154035787373</v>
      </c>
      <c r="R69" s="18">
        <f t="shared" si="47"/>
        <v>0.80117865</v>
      </c>
      <c r="S69" s="25">
        <f t="shared" si="48"/>
        <v>0.0153716072922528</v>
      </c>
      <c r="T69" s="3">
        <v>0.27</v>
      </c>
      <c r="U69" s="26">
        <f t="shared" si="49"/>
        <v>0.00415033396890827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0.227206409890159</v>
      </c>
      <c r="AC69" s="29">
        <f t="shared" si="51"/>
        <v>10.2321666666667</v>
      </c>
      <c r="AD69" s="1">
        <f t="shared" si="52"/>
        <v>0.29</v>
      </c>
      <c r="AE69" s="30">
        <f t="shared" si="53"/>
        <v>177.587435675856</v>
      </c>
      <c r="AF69" s="1">
        <f t="shared" si="54"/>
        <v>4128577.30707808</v>
      </c>
      <c r="AG69" s="1">
        <f>SUM(AF58:AF69)</f>
        <v>56890030.6358584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s="26"/>
      <c r="BC69" s="25"/>
      <c r="BD69" s="3"/>
      <c r="BE69" s="3"/>
      <c r="BF69" s="28"/>
      <c r="BG69" s="3"/>
      <c r="BH69" s="27"/>
      <c r="BI69" s="3"/>
      <c r="BJ69" s="3"/>
      <c r="BK69" s="27"/>
      <c r="BL69" s="25"/>
      <c r="BM69" s="3"/>
      <c r="BN69" s="26"/>
      <c r="BO69" s="35"/>
      <c r="BP69" s="3"/>
      <c r="BQ69" s="26"/>
      <c r="BR69" s="36"/>
      <c r="BS69" s="27"/>
      <c r="BT69" s="27"/>
      <c r="BU69" s="36"/>
      <c r="BV69" s="27"/>
      <c r="BW69" s="26"/>
      <c r="BX69" s="3"/>
      <c r="BY69" s="3"/>
      <c r="BZ69" s="3"/>
    </row>
    <row r="70" s="1" customFormat="1" spans="1:46">
      <c r="A70" s="13"/>
      <c r="B70" s="13"/>
      <c r="C70" s="16">
        <v>12</v>
      </c>
      <c r="D70" s="19">
        <v>-10.5867522601936</v>
      </c>
      <c r="E70" s="20">
        <f t="shared" si="55"/>
        <v>-6.5463735635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-15</v>
      </c>
      <c r="E74" s="16"/>
      <c r="F74" s="16"/>
      <c r="G74" s="13">
        <v>1</v>
      </c>
      <c r="H74" s="18">
        <f t="shared" ref="H74:H85" si="57">E75</f>
        <v>-15</v>
      </c>
      <c r="I74" s="18">
        <f t="shared" ref="I74:I85" si="58">H74+273.15</f>
        <v>258.15</v>
      </c>
      <c r="J74" s="18">
        <f t="shared" ref="J74:J85" si="59">EXP(($C$16*(I74-$C$14))/($C$17*I74*$C$14))</f>
        <v>0.00219620150298724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0.00114470414738701</v>
      </c>
      <c r="Q74" s="24">
        <f t="shared" ref="Q74:Q85" si="63">P74*$B$76</f>
        <v>0.000297623078320622</v>
      </c>
      <c r="R74" s="18">
        <f t="shared" ref="R74:R85" si="64">L74*$B$76</f>
        <v>0.1355172</v>
      </c>
      <c r="S74" s="25">
        <f t="shared" ref="S74:S85" si="65">Q74/R74</f>
        <v>0.00219620150298724</v>
      </c>
      <c r="T74" s="3">
        <v>0.01</v>
      </c>
      <c r="U74" s="26">
        <f t="shared" ref="U74:U85" si="66">S74*T74</f>
        <v>2.19620150298724e-5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0.00551196201502987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0.153102300605711</v>
      </c>
      <c r="AX74" s="1">
        <f t="shared" ref="AX74:AX85" si="72">AW74*10000*AV74*0.67*AU74*AT74</f>
        <v>76.6226477582234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-17.1420946003548</v>
      </c>
      <c r="E75" s="20">
        <f t="shared" ref="E75:E86" si="73">D74</f>
        <v>-15</v>
      </c>
      <c r="F75" s="16" t="s">
        <v>110</v>
      </c>
      <c r="G75" s="13">
        <v>2</v>
      </c>
      <c r="H75" s="18">
        <f t="shared" si="57"/>
        <v>-17.1420946003548</v>
      </c>
      <c r="I75" s="18">
        <f t="shared" si="58"/>
        <v>256.007905399645</v>
      </c>
      <c r="J75" s="18">
        <f t="shared" si="59"/>
        <v>0.00160181146890215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1.04129529585261</v>
      </c>
      <c r="P75" s="18">
        <f t="shared" si="62"/>
        <v>0.00166795874741057</v>
      </c>
      <c r="Q75" s="24">
        <f t="shared" si="63"/>
        <v>0.000433669274326749</v>
      </c>
      <c r="R75" s="18">
        <f t="shared" si="64"/>
        <v>0.1355172</v>
      </c>
      <c r="S75" s="25">
        <f t="shared" si="65"/>
        <v>0.00320010503704879</v>
      </c>
      <c r="T75" s="3">
        <v>0.01</v>
      </c>
      <c r="U75" s="26">
        <f t="shared" si="66"/>
        <v>3.2001050370488e-5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0.00552200105037049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0.153102300605711</v>
      </c>
      <c r="AX75" s="1">
        <f t="shared" si="72"/>
        <v>76.7622019617246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-10.0475031562759</v>
      </c>
      <c r="E76" s="20">
        <f t="shared" si="73"/>
        <v>-17.1420946003548</v>
      </c>
      <c r="F76" s="16" t="s">
        <v>110</v>
      </c>
      <c r="G76" s="13">
        <v>3</v>
      </c>
      <c r="H76" s="18">
        <f t="shared" si="57"/>
        <v>-10.0475031562759</v>
      </c>
      <c r="I76" s="18">
        <f t="shared" si="58"/>
        <v>263.102496843724</v>
      </c>
      <c r="J76" s="18">
        <f t="shared" si="59"/>
        <v>0.0044669416453698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1.5608473371052</v>
      </c>
      <c r="P76" s="18">
        <f t="shared" si="62"/>
        <v>0.00697221397217978</v>
      </c>
      <c r="Q76" s="24">
        <f t="shared" si="63"/>
        <v>0.00181277563276674</v>
      </c>
      <c r="R76" s="18">
        <f t="shared" si="64"/>
        <v>0.1355172</v>
      </c>
      <c r="S76" s="25">
        <f t="shared" si="65"/>
        <v>0.0133767199496945</v>
      </c>
      <c r="T76" s="3">
        <v>0.01</v>
      </c>
      <c r="U76" s="26">
        <f t="shared" si="66"/>
        <v>0.000133767199496945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0.00562376719949695</v>
      </c>
      <c r="AU76" s="29">
        <f t="shared" si="70"/>
        <v>52.122</v>
      </c>
      <c r="AV76" s="1">
        <f t="shared" si="71"/>
        <v>0.26</v>
      </c>
      <c r="AW76" s="2">
        <f t="shared" si="75"/>
        <v>0.153102300605711</v>
      </c>
      <c r="AX76" s="1">
        <f t="shared" si="72"/>
        <v>78.1768691486474</v>
      </c>
    </row>
    <row r="77" s="1" customFormat="1" spans="1:50">
      <c r="A77" s="13"/>
      <c r="B77" s="13"/>
      <c r="C77" s="16">
        <v>3</v>
      </c>
      <c r="D77" s="19">
        <v>0.39773417667742</v>
      </c>
      <c r="E77" s="20">
        <f t="shared" si="73"/>
        <v>-10.0475031562759</v>
      </c>
      <c r="F77" s="16" t="s">
        <v>110</v>
      </c>
      <c r="G77" s="13">
        <v>4</v>
      </c>
      <c r="H77" s="18">
        <f t="shared" si="57"/>
        <v>0.39773417667742</v>
      </c>
      <c r="I77" s="18">
        <f t="shared" si="58"/>
        <v>273.547734176677</v>
      </c>
      <c r="J77" s="18">
        <f t="shared" si="59"/>
        <v>0.0183533850710882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2.07509512313302</v>
      </c>
      <c r="P77" s="18">
        <f t="shared" si="62"/>
        <v>0.0380850198539976</v>
      </c>
      <c r="Q77" s="24">
        <f t="shared" si="63"/>
        <v>0.00990210516203936</v>
      </c>
      <c r="R77" s="18">
        <f t="shared" si="64"/>
        <v>0.1355172</v>
      </c>
      <c r="S77" s="25">
        <f t="shared" si="65"/>
        <v>0.073068991700237</v>
      </c>
      <c r="T77" s="3">
        <v>0.01</v>
      </c>
      <c r="U77" s="26">
        <f t="shared" si="66"/>
        <v>0.00073068991700237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0.00622068991700237</v>
      </c>
      <c r="AU77" s="29">
        <f t="shared" si="70"/>
        <v>52.122</v>
      </c>
      <c r="AV77" s="1">
        <f t="shared" si="71"/>
        <v>0.26</v>
      </c>
      <c r="AW77" s="2">
        <f t="shared" si="75"/>
        <v>0.153102300605711</v>
      </c>
      <c r="AX77" s="1">
        <f t="shared" si="72"/>
        <v>86.474785389286</v>
      </c>
    </row>
    <row r="78" s="1" customFormat="1" spans="1:50">
      <c r="A78" s="13"/>
      <c r="B78" s="13"/>
      <c r="C78" s="16">
        <v>4</v>
      </c>
      <c r="D78" s="19">
        <v>7.84401710186667</v>
      </c>
      <c r="E78" s="20">
        <f t="shared" si="73"/>
        <v>0.39773417667742</v>
      </c>
      <c r="F78" s="16" t="s">
        <v>110</v>
      </c>
      <c r="G78" s="13">
        <v>5</v>
      </c>
      <c r="H78" s="18">
        <f t="shared" si="57"/>
        <v>7.84401710186667</v>
      </c>
      <c r="I78" s="18">
        <f t="shared" si="58"/>
        <v>280.994017101867</v>
      </c>
      <c r="J78" s="18">
        <f t="shared" si="59"/>
        <v>0.0471370970614816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1.93515959811507</v>
      </c>
      <c r="O78" s="18">
        <f t="shared" si="74"/>
        <v>0.623070505163951</v>
      </c>
      <c r="P78" s="18">
        <f t="shared" si="62"/>
        <v>0.0293697348780595</v>
      </c>
      <c r="Q78" s="24">
        <f t="shared" si="63"/>
        <v>0.00763613106829548</v>
      </c>
      <c r="R78" s="18">
        <f t="shared" si="64"/>
        <v>0.1355172</v>
      </c>
      <c r="S78" s="25">
        <f t="shared" si="65"/>
        <v>0.0563480581674908</v>
      </c>
      <c r="T78" s="3">
        <v>0.01</v>
      </c>
      <c r="U78" s="26">
        <f t="shared" si="66"/>
        <v>0.000563480581674908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0.0105134805816749</v>
      </c>
      <c r="AU78" s="29">
        <f t="shared" si="70"/>
        <v>52.122</v>
      </c>
      <c r="AV78" s="1">
        <f t="shared" si="71"/>
        <v>0.26</v>
      </c>
      <c r="AW78" s="2">
        <f t="shared" si="75"/>
        <v>0.153102300605711</v>
      </c>
      <c r="AX78" s="1">
        <f t="shared" si="72"/>
        <v>146.149541148141</v>
      </c>
    </row>
    <row r="79" s="1" customFormat="1" spans="1:50">
      <c r="A79" s="13"/>
      <c r="B79" s="13"/>
      <c r="C79" s="16">
        <v>5</v>
      </c>
      <c r="D79" s="19">
        <v>15.4346452186452</v>
      </c>
      <c r="E79" s="20">
        <f t="shared" si="73"/>
        <v>7.84401710186667</v>
      </c>
      <c r="F79" s="16" t="s">
        <v>112</v>
      </c>
      <c r="G79" s="13">
        <v>6</v>
      </c>
      <c r="H79" s="18">
        <f t="shared" si="57"/>
        <v>15.4346452186452</v>
      </c>
      <c r="I79" s="18">
        <f t="shared" si="58"/>
        <v>288.584645218645</v>
      </c>
      <c r="J79" s="18">
        <f t="shared" si="59"/>
        <v>0.117271297839316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1.11492077028589</v>
      </c>
      <c r="P79" s="18">
        <f t="shared" si="62"/>
        <v>0.130748205719436</v>
      </c>
      <c r="Q79" s="24">
        <f t="shared" si="63"/>
        <v>0.0339945334870535</v>
      </c>
      <c r="R79" s="18">
        <f t="shared" si="64"/>
        <v>0.1355172</v>
      </c>
      <c r="S79" s="25">
        <f t="shared" si="65"/>
        <v>0.250850323701002</v>
      </c>
      <c r="T79" s="3">
        <v>0.01</v>
      </c>
      <c r="U79" s="26">
        <f t="shared" si="66"/>
        <v>0.00250850323701002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0.01245850323701</v>
      </c>
      <c r="AU79" s="29">
        <f t="shared" si="70"/>
        <v>52.122</v>
      </c>
      <c r="AV79" s="1">
        <f t="shared" si="71"/>
        <v>0.26</v>
      </c>
      <c r="AW79" s="2">
        <f t="shared" si="75"/>
        <v>0.153102300605711</v>
      </c>
      <c r="AX79" s="1">
        <f t="shared" si="72"/>
        <v>173.187605887181</v>
      </c>
    </row>
    <row r="80" s="1" customFormat="1" spans="1:50">
      <c r="A80" s="13"/>
      <c r="B80" s="13"/>
      <c r="C80" s="16">
        <v>6</v>
      </c>
      <c r="D80" s="19">
        <v>19.363786942</v>
      </c>
      <c r="E80" s="20">
        <f t="shared" si="73"/>
        <v>15.4346452186452</v>
      </c>
      <c r="F80" s="16" t="s">
        <v>110</v>
      </c>
      <c r="G80" s="13">
        <v>7</v>
      </c>
      <c r="H80" s="18">
        <f t="shared" si="57"/>
        <v>19.363786942</v>
      </c>
      <c r="I80" s="18">
        <f t="shared" si="58"/>
        <v>292.513786942</v>
      </c>
      <c r="J80" s="18">
        <f t="shared" si="59"/>
        <v>0.184508255325259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1.50539256456646</v>
      </c>
      <c r="P80" s="18">
        <f t="shared" si="62"/>
        <v>0.277757355667774</v>
      </c>
      <c r="Q80" s="24">
        <f t="shared" si="63"/>
        <v>0.0722169124736212</v>
      </c>
      <c r="R80" s="18">
        <f t="shared" si="64"/>
        <v>0.1355172</v>
      </c>
      <c r="S80" s="25">
        <f t="shared" si="65"/>
        <v>0.532898499036441</v>
      </c>
      <c r="T80" s="3">
        <v>0.01</v>
      </c>
      <c r="U80" s="26">
        <f t="shared" si="66"/>
        <v>0.00532898499036441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0.0152789849903644</v>
      </c>
      <c r="AU80" s="29">
        <f t="shared" si="70"/>
        <v>52.122</v>
      </c>
      <c r="AV80" s="1">
        <f t="shared" si="71"/>
        <v>0.26</v>
      </c>
      <c r="AW80" s="2">
        <f t="shared" si="75"/>
        <v>0.153102300605711</v>
      </c>
      <c r="AX80" s="1">
        <f t="shared" si="72"/>
        <v>212.395564742209</v>
      </c>
    </row>
    <row r="81" s="1" customFormat="1" spans="1:50">
      <c r="A81" s="13"/>
      <c r="B81" s="13"/>
      <c r="C81" s="16">
        <v>7</v>
      </c>
      <c r="D81" s="19">
        <v>23.1159934874194</v>
      </c>
      <c r="E81" s="20">
        <f t="shared" si="73"/>
        <v>19.363786942</v>
      </c>
      <c r="F81" s="16" t="s">
        <v>110</v>
      </c>
      <c r="G81" s="13">
        <v>8</v>
      </c>
      <c r="H81" s="18">
        <f t="shared" si="57"/>
        <v>23.1159934874194</v>
      </c>
      <c r="I81" s="18">
        <f t="shared" si="58"/>
        <v>296.265993487419</v>
      </c>
      <c r="J81" s="18">
        <f t="shared" si="59"/>
        <v>0.281256968199338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1.74885520889868</v>
      </c>
      <c r="P81" s="18">
        <f t="shared" si="62"/>
        <v>0.491877713874463</v>
      </c>
      <c r="Q81" s="24">
        <f t="shared" si="63"/>
        <v>0.12788820560736</v>
      </c>
      <c r="R81" s="18">
        <f t="shared" si="64"/>
        <v>0.1355172</v>
      </c>
      <c r="S81" s="25">
        <f t="shared" si="65"/>
        <v>0.943704604340706</v>
      </c>
      <c r="T81" s="3">
        <v>0.01</v>
      </c>
      <c r="U81" s="26">
        <f t="shared" si="66"/>
        <v>0.00943704604340706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0.0193870460434071</v>
      </c>
      <c r="AU81" s="29">
        <f t="shared" si="70"/>
        <v>52.122</v>
      </c>
      <c r="AV81" s="1">
        <f t="shared" si="71"/>
        <v>0.26</v>
      </c>
      <c r="AW81" s="2">
        <f t="shared" si="75"/>
        <v>0.153102300605711</v>
      </c>
      <c r="AX81" s="1">
        <f t="shared" si="72"/>
        <v>269.502365220561</v>
      </c>
    </row>
    <row r="82" s="1" customFormat="1" spans="1:50">
      <c r="A82" s="13"/>
      <c r="B82" s="13"/>
      <c r="C82" s="16">
        <v>8</v>
      </c>
      <c r="D82" s="19">
        <v>22.2324202509677</v>
      </c>
      <c r="E82" s="20">
        <f t="shared" si="73"/>
        <v>23.1159934874194</v>
      </c>
      <c r="F82" s="16" t="s">
        <v>110</v>
      </c>
      <c r="G82" s="13">
        <v>9</v>
      </c>
      <c r="H82" s="18">
        <f t="shared" si="57"/>
        <v>22.2324202509677</v>
      </c>
      <c r="I82" s="18">
        <f t="shared" si="58"/>
        <v>295.382420250968</v>
      </c>
      <c r="J82" s="18">
        <f t="shared" si="59"/>
        <v>0.254922620042234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1.77819749502422</v>
      </c>
      <c r="P82" s="18">
        <f t="shared" si="62"/>
        <v>0.453302764384111</v>
      </c>
      <c r="Q82" s="24">
        <f t="shared" si="63"/>
        <v>0.117858718739869</v>
      </c>
      <c r="R82" s="18">
        <f t="shared" si="64"/>
        <v>0.1355172</v>
      </c>
      <c r="S82" s="25">
        <f t="shared" si="65"/>
        <v>0.869695645570222</v>
      </c>
      <c r="T82" s="3">
        <v>0.01</v>
      </c>
      <c r="U82" s="26">
        <f t="shared" si="66"/>
        <v>0.00869695645570222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0.0186469564557022</v>
      </c>
      <c r="AU82" s="29">
        <f t="shared" si="70"/>
        <v>52.122</v>
      </c>
      <c r="AV82" s="1">
        <f t="shared" si="71"/>
        <v>0.26</v>
      </c>
      <c r="AW82" s="2">
        <f t="shared" si="75"/>
        <v>0.153102300605711</v>
      </c>
      <c r="AX82" s="1">
        <f t="shared" si="72"/>
        <v>259.214263881399</v>
      </c>
    </row>
    <row r="83" s="1" customFormat="1" spans="1:50">
      <c r="A83" s="13"/>
      <c r="B83" s="13"/>
      <c r="C83" s="16">
        <v>9</v>
      </c>
      <c r="D83" s="19">
        <v>15.9581719644667</v>
      </c>
      <c r="E83" s="20">
        <f t="shared" si="73"/>
        <v>22.2324202509677</v>
      </c>
      <c r="F83" s="16" t="s">
        <v>110</v>
      </c>
      <c r="G83" s="13">
        <v>10</v>
      </c>
      <c r="H83" s="18">
        <f t="shared" si="57"/>
        <v>15.9581719644667</v>
      </c>
      <c r="I83" s="18">
        <f t="shared" si="58"/>
        <v>289.108171964467</v>
      </c>
      <c r="J83" s="18">
        <f t="shared" si="59"/>
        <v>0.124659646965249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1.84611473064011</v>
      </c>
      <c r="P83" s="18">
        <f t="shared" si="62"/>
        <v>0.230136010578942</v>
      </c>
      <c r="Q83" s="24">
        <f t="shared" si="63"/>
        <v>0.0598353627505248</v>
      </c>
      <c r="R83" s="18">
        <f t="shared" si="64"/>
        <v>0.1355172</v>
      </c>
      <c r="S83" s="25">
        <f t="shared" si="65"/>
        <v>0.44153334595553</v>
      </c>
      <c r="T83" s="3">
        <v>0.01</v>
      </c>
      <c r="U83" s="26">
        <f t="shared" si="66"/>
        <v>0.0044153334595553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0.0099053334595553</v>
      </c>
      <c r="AU83" s="29">
        <f t="shared" si="70"/>
        <v>52.122</v>
      </c>
      <c r="AV83" s="1">
        <f t="shared" si="71"/>
        <v>0.26</v>
      </c>
      <c r="AW83" s="2">
        <f t="shared" si="75"/>
        <v>0.153102300605711</v>
      </c>
      <c r="AX83" s="1">
        <f t="shared" si="72"/>
        <v>137.695592699968</v>
      </c>
    </row>
    <row r="84" s="1" customFormat="1" spans="1:50">
      <c r="A84" s="13"/>
      <c r="B84" s="13"/>
      <c r="C84" s="16">
        <v>10</v>
      </c>
      <c r="D84" s="19">
        <v>5.04032324432258</v>
      </c>
      <c r="E84" s="20">
        <f t="shared" si="73"/>
        <v>15.9581719644667</v>
      </c>
      <c r="F84" s="16" t="s">
        <v>110</v>
      </c>
      <c r="G84" s="13">
        <v>11</v>
      </c>
      <c r="H84" s="18">
        <f t="shared" si="57"/>
        <v>5.04032324432258</v>
      </c>
      <c r="I84" s="18">
        <f t="shared" si="58"/>
        <v>278.190323244323</v>
      </c>
      <c r="J84" s="18">
        <f t="shared" si="59"/>
        <v>0.0332426522329213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1.53517978405811</v>
      </c>
      <c r="O84" s="18">
        <f t="shared" si="74"/>
        <v>0.602018936003058</v>
      </c>
      <c r="P84" s="18">
        <f t="shared" si="62"/>
        <v>0.020012706127183</v>
      </c>
      <c r="Q84" s="24">
        <f t="shared" si="63"/>
        <v>0.00520330359306757</v>
      </c>
      <c r="R84" s="18">
        <f t="shared" si="64"/>
        <v>0.1355172</v>
      </c>
      <c r="S84" s="25">
        <f t="shared" si="65"/>
        <v>0.0383958906549691</v>
      </c>
      <c r="T84" s="3">
        <v>0.01</v>
      </c>
      <c r="U84" s="26">
        <f t="shared" si="66"/>
        <v>0.000383958906549691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0.00587395890654969</v>
      </c>
      <c r="AU84" s="29">
        <f t="shared" si="70"/>
        <v>52.122</v>
      </c>
      <c r="AV84" s="1">
        <f t="shared" si="71"/>
        <v>0.26</v>
      </c>
      <c r="AW84" s="2">
        <f t="shared" si="75"/>
        <v>0.153102300605711</v>
      </c>
      <c r="AX84" s="1">
        <f t="shared" si="72"/>
        <v>81.6548232762807</v>
      </c>
    </row>
    <row r="85" s="1" customFormat="1" spans="1:51">
      <c r="A85" s="13"/>
      <c r="B85" s="13"/>
      <c r="C85" s="16">
        <v>11</v>
      </c>
      <c r="D85" s="19">
        <v>-6.5463735635</v>
      </c>
      <c r="E85" s="20">
        <f t="shared" si="73"/>
        <v>5.04032324432258</v>
      </c>
      <c r="F85" s="16" t="s">
        <v>112</v>
      </c>
      <c r="G85" s="13">
        <v>12</v>
      </c>
      <c r="H85" s="18">
        <f t="shared" si="57"/>
        <v>-6.5463735635</v>
      </c>
      <c r="I85" s="18">
        <f t="shared" si="58"/>
        <v>266.6036264365</v>
      </c>
      <c r="J85" s="18">
        <f t="shared" si="59"/>
        <v>0.00726232656176917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1.10322622987588</v>
      </c>
      <c r="P85" s="18">
        <f t="shared" si="62"/>
        <v>0.00801198915286803</v>
      </c>
      <c r="Q85" s="24">
        <f t="shared" si="63"/>
        <v>0.00208311717974569</v>
      </c>
      <c r="R85" s="18">
        <f t="shared" si="64"/>
        <v>0.1355172</v>
      </c>
      <c r="S85" s="25">
        <f t="shared" si="65"/>
        <v>0.0153716072922529</v>
      </c>
      <c r="T85" s="3">
        <v>0.01</v>
      </c>
      <c r="U85" s="26">
        <f t="shared" si="66"/>
        <v>0.000153716072922529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0.00564371607292253</v>
      </c>
      <c r="AU85" s="29">
        <f t="shared" si="70"/>
        <v>52.122</v>
      </c>
      <c r="AV85" s="1">
        <f t="shared" si="71"/>
        <v>0.26</v>
      </c>
      <c r="AW85" s="2">
        <f t="shared" si="75"/>
        <v>0.153102300605711</v>
      </c>
      <c r="AX85" s="1">
        <f t="shared" si="72"/>
        <v>78.4541815643523</v>
      </c>
      <c r="AY85" s="1">
        <f>SUM(AX74:AX85)</f>
        <v>1676.29044267797</v>
      </c>
    </row>
    <row r="86" s="1" customFormat="1" spans="1:46">
      <c r="A86" s="13"/>
      <c r="B86" s="13"/>
      <c r="C86" s="16">
        <v>12</v>
      </c>
      <c r="D86" s="19">
        <v>-10.5867522601936</v>
      </c>
      <c r="E86" s="20">
        <f t="shared" si="73"/>
        <v>-6.5463735635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-15</v>
      </c>
      <c r="E90" s="16"/>
      <c r="F90" s="16"/>
      <c r="G90" s="13">
        <v>1</v>
      </c>
      <c r="H90" s="18">
        <f t="shared" ref="H90:H101" si="76">E91</f>
        <v>-15</v>
      </c>
      <c r="I90" s="18">
        <f t="shared" ref="I90:I101" si="77">H90+273.15</f>
        <v>258.15</v>
      </c>
      <c r="J90" s="18">
        <f t="shared" ref="J90:J101" si="78">EXP(($C$16*(I90-$C$14))/($C$17*I90*$C$14))</f>
        <v>0.00219620150298724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0.000625258567900467</v>
      </c>
      <c r="Q90" s="24">
        <f t="shared" ref="Q90:Q101" si="82">P90*$B$76</f>
        <v>0.000162567227654122</v>
      </c>
      <c r="R90" s="18">
        <f t="shared" ref="R90:R101" si="83">L90*$B$76</f>
        <v>0.074022</v>
      </c>
      <c r="S90" s="25">
        <f t="shared" ref="S90:S101" si="84">Q90/R90</f>
        <v>0.00219620150298724</v>
      </c>
      <c r="T90" s="3">
        <v>0.01</v>
      </c>
      <c r="U90" s="26">
        <f t="shared" ref="U90:U101" si="85">S90*T90</f>
        <v>2.19620150298724e-5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0.00551196201502987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0.123398818468762</v>
      </c>
      <c r="AX90" s="1">
        <f t="shared" ref="AX90:AX101" si="91">AW90*10000*AV90*0.67*AU90*AT90</f>
        <v>33.732834472833</v>
      </c>
      <c r="AZ90" s="2">
        <f>$E$10/12</f>
        <v>0.0151351152630346</v>
      </c>
      <c r="BA90" s="1">
        <f t="shared" ref="BA90:BA101" si="92">AZ90*10000*AV90*0.67*AU90*AT90</f>
        <v>4.13740053778907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-17.1420946003548</v>
      </c>
      <c r="E91" s="20">
        <f t="shared" ref="E91:E102" si="93">D90</f>
        <v>-15</v>
      </c>
      <c r="F91" s="16" t="s">
        <v>110</v>
      </c>
      <c r="G91" s="13">
        <v>2</v>
      </c>
      <c r="H91" s="18">
        <f t="shared" si="76"/>
        <v>-17.1420946003548</v>
      </c>
      <c r="I91" s="18">
        <f t="shared" si="77"/>
        <v>256.007905399645</v>
      </c>
      <c r="J91" s="18">
        <f t="shared" si="78"/>
        <v>0.00160181146890215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0.568774741432099</v>
      </c>
      <c r="P91" s="18">
        <f t="shared" si="81"/>
        <v>0.000911069904047792</v>
      </c>
      <c r="Q91" s="24">
        <f t="shared" si="82"/>
        <v>0.000236878175052426</v>
      </c>
      <c r="R91" s="18">
        <f t="shared" si="83"/>
        <v>0.074022</v>
      </c>
      <c r="S91" s="25">
        <f t="shared" si="84"/>
        <v>0.00320010503704879</v>
      </c>
      <c r="T91" s="3">
        <v>0.01</v>
      </c>
      <c r="U91" s="26">
        <f t="shared" si="85"/>
        <v>3.20010503704879e-5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0.00552200105037049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0.123398818468762</v>
      </c>
      <c r="AX91" s="1">
        <f t="shared" si="91"/>
        <v>33.7942726896582</v>
      </c>
      <c r="AZ91" s="2">
        <f t="shared" ref="AZ91:AZ101" si="96">$E$10/12</f>
        <v>0.0151351152630346</v>
      </c>
      <c r="BA91" s="1">
        <f t="shared" si="92"/>
        <v>4.14493605964207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-10.0475031562759</v>
      </c>
      <c r="E92" s="20">
        <f t="shared" si="93"/>
        <v>-17.1420946003548</v>
      </c>
      <c r="F92" s="16" t="s">
        <v>110</v>
      </c>
      <c r="G92" s="13">
        <v>3</v>
      </c>
      <c r="H92" s="18">
        <f t="shared" si="76"/>
        <v>-10.0475031562759</v>
      </c>
      <c r="I92" s="18">
        <f t="shared" si="77"/>
        <v>263.102496843724</v>
      </c>
      <c r="J92" s="18">
        <f t="shared" si="78"/>
        <v>0.0044669416453698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0.852563671528052</v>
      </c>
      <c r="P92" s="18">
        <f t="shared" si="81"/>
        <v>0.00380835216967803</v>
      </c>
      <c r="Q92" s="24">
        <f t="shared" si="82"/>
        <v>0.000990171564116289</v>
      </c>
      <c r="R92" s="18">
        <f t="shared" si="83"/>
        <v>0.074022</v>
      </c>
      <c r="S92" s="25">
        <f t="shared" si="84"/>
        <v>0.0133767199496945</v>
      </c>
      <c r="T92" s="3">
        <v>0.01</v>
      </c>
      <c r="U92" s="26">
        <f t="shared" si="85"/>
        <v>0.000133767199496945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0.00562376719949695</v>
      </c>
      <c r="AU92" s="29">
        <f t="shared" si="89"/>
        <v>28.47</v>
      </c>
      <c r="AV92" s="1">
        <f t="shared" si="90"/>
        <v>0.26</v>
      </c>
      <c r="AW92" s="2">
        <f t="shared" si="95"/>
        <v>0.123398818468762</v>
      </c>
      <c r="AX92" s="1">
        <f t="shared" si="91"/>
        <v>34.4170746346027</v>
      </c>
      <c r="AZ92" s="2">
        <f t="shared" si="96"/>
        <v>0.0151351152630346</v>
      </c>
      <c r="BA92" s="1">
        <f t="shared" si="92"/>
        <v>4.2213239808535</v>
      </c>
    </row>
    <row r="93" s="1" customFormat="1" spans="1:53">
      <c r="A93" s="13"/>
      <c r="B93" s="13"/>
      <c r="C93" s="16">
        <v>3</v>
      </c>
      <c r="D93" s="19">
        <v>0.39773417667742</v>
      </c>
      <c r="E93" s="20">
        <f t="shared" si="93"/>
        <v>-10.0475031562759</v>
      </c>
      <c r="F93" s="16" t="s">
        <v>110</v>
      </c>
      <c r="G93" s="13">
        <v>4</v>
      </c>
      <c r="H93" s="18">
        <f t="shared" si="76"/>
        <v>0.39773417667742</v>
      </c>
      <c r="I93" s="18">
        <f t="shared" si="77"/>
        <v>273.547734176677</v>
      </c>
      <c r="J93" s="18">
        <f t="shared" si="78"/>
        <v>0.0183533850710882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1.13345531935837</v>
      </c>
      <c r="P93" s="18">
        <f t="shared" si="81"/>
        <v>0.0208027419370575</v>
      </c>
      <c r="Q93" s="24">
        <f t="shared" si="82"/>
        <v>0.00540871290363495</v>
      </c>
      <c r="R93" s="18">
        <f t="shared" si="83"/>
        <v>0.074022</v>
      </c>
      <c r="S93" s="25">
        <f t="shared" si="84"/>
        <v>0.073068991700237</v>
      </c>
      <c r="T93" s="3">
        <v>0.01</v>
      </c>
      <c r="U93" s="26">
        <f t="shared" si="85"/>
        <v>0.00073068991700237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0.00622068991700237</v>
      </c>
      <c r="AU93" s="29">
        <f t="shared" si="89"/>
        <v>28.47</v>
      </c>
      <c r="AV93" s="1">
        <f t="shared" si="90"/>
        <v>0.26</v>
      </c>
      <c r="AW93" s="2">
        <f t="shared" si="95"/>
        <v>0.123398818468762</v>
      </c>
      <c r="AX93" s="1">
        <f t="shared" si="91"/>
        <v>38.070201264971</v>
      </c>
      <c r="AZ93" s="2">
        <f t="shared" si="96"/>
        <v>0.0151351152630346</v>
      </c>
      <c r="BA93" s="1">
        <f t="shared" si="92"/>
        <v>4.66938736838976</v>
      </c>
    </row>
    <row r="94" s="1" customFormat="1" spans="1:53">
      <c r="A94" s="13"/>
      <c r="B94" s="13"/>
      <c r="C94" s="16">
        <v>4</v>
      </c>
      <c r="D94" s="19">
        <v>7.84401710186667</v>
      </c>
      <c r="E94" s="20">
        <f t="shared" si="93"/>
        <v>0.39773417667742</v>
      </c>
      <c r="F94" s="16" t="s">
        <v>110</v>
      </c>
      <c r="G94" s="13">
        <v>5</v>
      </c>
      <c r="H94" s="18">
        <f t="shared" si="76"/>
        <v>7.84401710186667</v>
      </c>
      <c r="I94" s="18">
        <f t="shared" si="77"/>
        <v>280.994017101867</v>
      </c>
      <c r="J94" s="18">
        <f t="shared" si="78"/>
        <v>0.0471370970614816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1.05701994855025</v>
      </c>
      <c r="O94" s="18">
        <f t="shared" si="94"/>
        <v>0.340332628871066</v>
      </c>
      <c r="P94" s="18">
        <f t="shared" si="81"/>
        <v>0.0160422921602846</v>
      </c>
      <c r="Q94" s="24">
        <f t="shared" si="82"/>
        <v>0.004170995961674</v>
      </c>
      <c r="R94" s="18">
        <f t="shared" si="83"/>
        <v>0.074022</v>
      </c>
      <c r="S94" s="25">
        <f t="shared" si="84"/>
        <v>0.0563480581674908</v>
      </c>
      <c r="T94" s="3">
        <v>0.01</v>
      </c>
      <c r="U94" s="26">
        <f t="shared" si="85"/>
        <v>0.000563480581674908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0.0105134805816749</v>
      </c>
      <c r="AU94" s="29">
        <f t="shared" si="89"/>
        <v>28.47</v>
      </c>
      <c r="AV94" s="1">
        <f t="shared" si="90"/>
        <v>0.26</v>
      </c>
      <c r="AW94" s="2">
        <f t="shared" si="95"/>
        <v>0.123398818468762</v>
      </c>
      <c r="AX94" s="1">
        <f t="shared" si="91"/>
        <v>64.3417895892488</v>
      </c>
      <c r="AZ94" s="2">
        <f t="shared" si="96"/>
        <v>0.0151351152630346</v>
      </c>
      <c r="BA94" s="1">
        <f t="shared" si="92"/>
        <v>7.89165093918395</v>
      </c>
    </row>
    <row r="95" s="1" customFormat="1" spans="1:53">
      <c r="A95" s="13"/>
      <c r="B95" s="13"/>
      <c r="C95" s="16">
        <v>5</v>
      </c>
      <c r="D95" s="19">
        <v>15.4346452186452</v>
      </c>
      <c r="E95" s="20">
        <f t="shared" si="93"/>
        <v>7.84401710186667</v>
      </c>
      <c r="F95" s="16" t="s">
        <v>112</v>
      </c>
      <c r="G95" s="13">
        <v>6</v>
      </c>
      <c r="H95" s="18">
        <f t="shared" si="76"/>
        <v>15.4346452186452</v>
      </c>
      <c r="I95" s="18">
        <f t="shared" si="77"/>
        <v>288.584645218645</v>
      </c>
      <c r="J95" s="18">
        <f t="shared" si="78"/>
        <v>0.117271297839316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0.608990336710781</v>
      </c>
      <c r="P95" s="18">
        <f t="shared" si="81"/>
        <v>0.0714170871576753</v>
      </c>
      <c r="Q95" s="24">
        <f t="shared" si="82"/>
        <v>0.0185684426609956</v>
      </c>
      <c r="R95" s="18">
        <f t="shared" si="83"/>
        <v>0.074022</v>
      </c>
      <c r="S95" s="25">
        <f t="shared" si="84"/>
        <v>0.250850323701002</v>
      </c>
      <c r="T95" s="3">
        <v>0.01</v>
      </c>
      <c r="U95" s="26">
        <f t="shared" si="85"/>
        <v>0.00250850323701002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0.01245850323701</v>
      </c>
      <c r="AU95" s="29">
        <f t="shared" si="89"/>
        <v>28.47</v>
      </c>
      <c r="AV95" s="1">
        <f t="shared" si="90"/>
        <v>0.26</v>
      </c>
      <c r="AW95" s="2">
        <f t="shared" si="95"/>
        <v>0.123398818468762</v>
      </c>
      <c r="AX95" s="1">
        <f t="shared" si="91"/>
        <v>76.2451965973927</v>
      </c>
      <c r="AZ95" s="2">
        <f t="shared" si="96"/>
        <v>0.0151351152630346</v>
      </c>
      <c r="BA95" s="1">
        <f t="shared" si="92"/>
        <v>9.35162794161106</v>
      </c>
    </row>
    <row r="96" s="1" customFormat="1" spans="1:53">
      <c r="A96" s="13"/>
      <c r="B96" s="13"/>
      <c r="C96" s="16">
        <v>6</v>
      </c>
      <c r="D96" s="19">
        <v>19.363786942</v>
      </c>
      <c r="E96" s="20">
        <f t="shared" si="93"/>
        <v>15.4346452186452</v>
      </c>
      <c r="F96" s="16" t="s">
        <v>110</v>
      </c>
      <c r="G96" s="13">
        <v>7</v>
      </c>
      <c r="H96" s="18">
        <f t="shared" si="76"/>
        <v>19.363786942</v>
      </c>
      <c r="I96" s="18">
        <f t="shared" si="77"/>
        <v>292.513786942</v>
      </c>
      <c r="J96" s="18">
        <f t="shared" si="78"/>
        <v>0.184508255325259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0.822273249553106</v>
      </c>
      <c r="P96" s="18">
        <f t="shared" si="81"/>
        <v>0.151716202675675</v>
      </c>
      <c r="Q96" s="24">
        <f t="shared" si="82"/>
        <v>0.0394462126956755</v>
      </c>
      <c r="R96" s="18">
        <f t="shared" si="83"/>
        <v>0.074022</v>
      </c>
      <c r="S96" s="25">
        <f t="shared" si="84"/>
        <v>0.532898499036441</v>
      </c>
      <c r="T96" s="3">
        <v>0.01</v>
      </c>
      <c r="U96" s="26">
        <f t="shared" si="85"/>
        <v>0.00532898499036441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0.0152789849903644</v>
      </c>
      <c r="AU96" s="29">
        <f t="shared" si="89"/>
        <v>28.47</v>
      </c>
      <c r="AV96" s="1">
        <f t="shared" si="90"/>
        <v>0.26</v>
      </c>
      <c r="AW96" s="2">
        <f t="shared" si="95"/>
        <v>0.123398818468762</v>
      </c>
      <c r="AX96" s="1">
        <f t="shared" si="91"/>
        <v>93.5063540328243</v>
      </c>
      <c r="AZ96" s="2">
        <f t="shared" si="96"/>
        <v>0.0151351152630346</v>
      </c>
      <c r="BA96" s="1">
        <f t="shared" si="92"/>
        <v>11.4687438962081</v>
      </c>
    </row>
    <row r="97" s="1" customFormat="1" spans="1:53">
      <c r="A97" s="13"/>
      <c r="B97" s="13"/>
      <c r="C97" s="16">
        <v>7</v>
      </c>
      <c r="D97" s="19">
        <v>23.1159934874194</v>
      </c>
      <c r="E97" s="20">
        <f t="shared" si="93"/>
        <v>19.363786942</v>
      </c>
      <c r="F97" s="16" t="s">
        <v>110</v>
      </c>
      <c r="G97" s="13">
        <v>8</v>
      </c>
      <c r="H97" s="18">
        <f t="shared" si="76"/>
        <v>23.1159934874194</v>
      </c>
      <c r="I97" s="18">
        <f t="shared" si="77"/>
        <v>296.265993487419</v>
      </c>
      <c r="J97" s="18">
        <f t="shared" si="78"/>
        <v>0.281256968199338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0.955257046877431</v>
      </c>
      <c r="P97" s="18">
        <f t="shared" si="81"/>
        <v>0.268672700855799</v>
      </c>
      <c r="Q97" s="24">
        <f t="shared" si="82"/>
        <v>0.0698549022225078</v>
      </c>
      <c r="R97" s="18">
        <f t="shared" si="83"/>
        <v>0.074022</v>
      </c>
      <c r="S97" s="25">
        <f t="shared" si="84"/>
        <v>0.943704604340706</v>
      </c>
      <c r="T97" s="3">
        <v>0.01</v>
      </c>
      <c r="U97" s="26">
        <f t="shared" si="85"/>
        <v>0.00943704604340706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0.0193870460434071</v>
      </c>
      <c r="AU97" s="29">
        <f t="shared" si="89"/>
        <v>28.47</v>
      </c>
      <c r="AV97" s="1">
        <f t="shared" si="90"/>
        <v>0.26</v>
      </c>
      <c r="AW97" s="2">
        <f t="shared" si="95"/>
        <v>0.123398818468762</v>
      </c>
      <c r="AX97" s="1">
        <f t="shared" si="91"/>
        <v>118.647409636748</v>
      </c>
      <c r="AZ97" s="2">
        <f t="shared" si="96"/>
        <v>0.0151351152630346</v>
      </c>
      <c r="BA97" s="1">
        <f t="shared" si="92"/>
        <v>14.5523453368173</v>
      </c>
    </row>
    <row r="98" s="1" customFormat="1" spans="1:53">
      <c r="A98" s="13"/>
      <c r="B98" s="13"/>
      <c r="C98" s="16">
        <v>8</v>
      </c>
      <c r="D98" s="19">
        <v>22.2324202509677</v>
      </c>
      <c r="E98" s="20">
        <f t="shared" si="93"/>
        <v>23.1159934874194</v>
      </c>
      <c r="F98" s="16" t="s">
        <v>110</v>
      </c>
      <c r="G98" s="13">
        <v>9</v>
      </c>
      <c r="H98" s="18">
        <f t="shared" si="76"/>
        <v>22.2324202509677</v>
      </c>
      <c r="I98" s="18">
        <f t="shared" si="77"/>
        <v>295.382420250968</v>
      </c>
      <c r="J98" s="18">
        <f t="shared" si="78"/>
        <v>0.254922620042234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0.971284346021632</v>
      </c>
      <c r="P98" s="18">
        <f t="shared" si="81"/>
        <v>0.247602350293842</v>
      </c>
      <c r="Q98" s="24">
        <f t="shared" si="82"/>
        <v>0.064376611076399</v>
      </c>
      <c r="R98" s="18">
        <f t="shared" si="83"/>
        <v>0.074022</v>
      </c>
      <c r="S98" s="25">
        <f t="shared" si="84"/>
        <v>0.869695645570222</v>
      </c>
      <c r="T98" s="3">
        <v>0.01</v>
      </c>
      <c r="U98" s="26">
        <f t="shared" si="85"/>
        <v>0.00869695645570222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0.0186469564557022</v>
      </c>
      <c r="AU98" s="29">
        <f t="shared" si="89"/>
        <v>28.47</v>
      </c>
      <c r="AV98" s="1">
        <f t="shared" si="90"/>
        <v>0.26</v>
      </c>
      <c r="AW98" s="2">
        <f t="shared" si="95"/>
        <v>0.123398818468762</v>
      </c>
      <c r="AX98" s="1">
        <f t="shared" si="91"/>
        <v>114.118111450541</v>
      </c>
      <c r="AZ98" s="2">
        <f t="shared" si="96"/>
        <v>0.0151351152630346</v>
      </c>
      <c r="BA98" s="1">
        <f t="shared" si="92"/>
        <v>13.9968177316138</v>
      </c>
    </row>
    <row r="99" s="1" customFormat="1" spans="1:53">
      <c r="A99" s="13"/>
      <c r="B99" s="13"/>
      <c r="C99" s="16">
        <v>9</v>
      </c>
      <c r="D99" s="19">
        <v>15.9581719644667</v>
      </c>
      <c r="E99" s="20">
        <f t="shared" si="93"/>
        <v>22.2324202509677</v>
      </c>
      <c r="F99" s="16" t="s">
        <v>110</v>
      </c>
      <c r="G99" s="13">
        <v>10</v>
      </c>
      <c r="H99" s="18">
        <f t="shared" si="76"/>
        <v>15.9581719644667</v>
      </c>
      <c r="I99" s="18">
        <f t="shared" si="77"/>
        <v>289.108171964467</v>
      </c>
      <c r="J99" s="18">
        <f t="shared" si="78"/>
        <v>0.124659646965249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1.00838199572779</v>
      </c>
      <c r="P99" s="18">
        <f t="shared" si="81"/>
        <v>0.125704543593539</v>
      </c>
      <c r="Q99" s="24">
        <f t="shared" si="82"/>
        <v>0.0326831813343203</v>
      </c>
      <c r="R99" s="18">
        <f t="shared" si="83"/>
        <v>0.074022</v>
      </c>
      <c r="S99" s="25">
        <f t="shared" si="84"/>
        <v>0.44153334595553</v>
      </c>
      <c r="T99" s="3">
        <v>0.01</v>
      </c>
      <c r="U99" s="26">
        <f t="shared" si="85"/>
        <v>0.0044153334595553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0.0099053334595553</v>
      </c>
      <c r="AU99" s="29">
        <f t="shared" si="89"/>
        <v>28.47</v>
      </c>
      <c r="AV99" s="1">
        <f t="shared" si="90"/>
        <v>0.26</v>
      </c>
      <c r="AW99" s="2">
        <f t="shared" si="95"/>
        <v>0.123398818468762</v>
      </c>
      <c r="AX99" s="1">
        <f t="shared" si="91"/>
        <v>60.6199703623288</v>
      </c>
      <c r="AZ99" s="2">
        <f t="shared" si="96"/>
        <v>0.0151351152630346</v>
      </c>
      <c r="BA99" s="1">
        <f t="shared" si="92"/>
        <v>7.43516226541378</v>
      </c>
    </row>
    <row r="100" s="1" customFormat="1" spans="1:53">
      <c r="A100" s="13"/>
      <c r="B100" s="13"/>
      <c r="C100" s="16">
        <v>10</v>
      </c>
      <c r="D100" s="19">
        <v>5.04032324432258</v>
      </c>
      <c r="E100" s="20">
        <f t="shared" si="93"/>
        <v>15.9581719644667</v>
      </c>
      <c r="F100" s="16" t="s">
        <v>110</v>
      </c>
      <c r="G100" s="13">
        <v>11</v>
      </c>
      <c r="H100" s="18">
        <f t="shared" si="76"/>
        <v>5.04032324432258</v>
      </c>
      <c r="I100" s="18">
        <f t="shared" si="77"/>
        <v>278.190323244323</v>
      </c>
      <c r="J100" s="18">
        <f t="shared" si="78"/>
        <v>0.0332426522329213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0.838543579527538</v>
      </c>
      <c r="O100" s="18">
        <f t="shared" si="94"/>
        <v>0.328833872606712</v>
      </c>
      <c r="P100" s="18">
        <f t="shared" si="81"/>
        <v>0.0109313100694697</v>
      </c>
      <c r="Q100" s="24">
        <f t="shared" si="82"/>
        <v>0.00284214061806212</v>
      </c>
      <c r="R100" s="18">
        <f t="shared" si="83"/>
        <v>0.074022</v>
      </c>
      <c r="S100" s="25">
        <f t="shared" si="84"/>
        <v>0.038395890654969</v>
      </c>
      <c r="T100" s="3">
        <v>0.01</v>
      </c>
      <c r="U100" s="26">
        <f t="shared" si="85"/>
        <v>0.00038395890654969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0.00587395890654969</v>
      </c>
      <c r="AU100" s="29">
        <f t="shared" si="89"/>
        <v>28.47</v>
      </c>
      <c r="AV100" s="1">
        <f t="shared" si="90"/>
        <v>0.26</v>
      </c>
      <c r="AW100" s="2">
        <f t="shared" si="95"/>
        <v>0.123398818468762</v>
      </c>
      <c r="AX100" s="1">
        <f t="shared" si="91"/>
        <v>35.9482309483568</v>
      </c>
      <c r="AZ100" s="2">
        <f t="shared" si="96"/>
        <v>0.0151351152630346</v>
      </c>
      <c r="BA100" s="1">
        <f t="shared" si="92"/>
        <v>4.40912340699029</v>
      </c>
    </row>
    <row r="101" s="1" customFormat="1" spans="1:54">
      <c r="A101" s="13"/>
      <c r="B101" s="13"/>
      <c r="C101" s="16">
        <v>11</v>
      </c>
      <c r="D101" s="19">
        <v>-6.5463735635</v>
      </c>
      <c r="E101" s="20">
        <f t="shared" si="93"/>
        <v>5.04032324432258</v>
      </c>
      <c r="F101" s="16" t="s">
        <v>112</v>
      </c>
      <c r="G101" s="13">
        <v>12</v>
      </c>
      <c r="H101" s="18">
        <f t="shared" si="76"/>
        <v>-6.5463735635</v>
      </c>
      <c r="I101" s="18">
        <f t="shared" si="77"/>
        <v>266.6036264365</v>
      </c>
      <c r="J101" s="18">
        <f t="shared" si="78"/>
        <v>0.00726232656176917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0.602602562537243</v>
      </c>
      <c r="P101" s="18">
        <f t="shared" si="81"/>
        <v>0.00437629659610438</v>
      </c>
      <c r="Q101" s="24">
        <f t="shared" si="82"/>
        <v>0.00113783711498714</v>
      </c>
      <c r="R101" s="18">
        <f t="shared" si="83"/>
        <v>0.074022</v>
      </c>
      <c r="S101" s="25">
        <f t="shared" si="84"/>
        <v>0.0153716072922528</v>
      </c>
      <c r="T101" s="3">
        <v>0.01</v>
      </c>
      <c r="U101" s="26">
        <f t="shared" si="85"/>
        <v>0.000153716072922528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0.00564371607292253</v>
      </c>
      <c r="AU101" s="29">
        <f t="shared" si="89"/>
        <v>28.47</v>
      </c>
      <c r="AV101" s="1">
        <f t="shared" si="90"/>
        <v>0.26</v>
      </c>
      <c r="AW101" s="2">
        <f t="shared" si="95"/>
        <v>0.123398818468762</v>
      </c>
      <c r="AX101" s="1">
        <f t="shared" si="91"/>
        <v>34.5391603897929</v>
      </c>
      <c r="AY101" s="1">
        <f>SUM(AX90:AX101)</f>
        <v>737.980606069298</v>
      </c>
      <c r="AZ101" s="2">
        <f t="shared" si="96"/>
        <v>0.0151351152630346</v>
      </c>
      <c r="BA101" s="1">
        <f t="shared" si="92"/>
        <v>4.23629804624333</v>
      </c>
      <c r="BB101" s="1">
        <f>SUM(BA90:BA101)</f>
        <v>90.514817510756</v>
      </c>
    </row>
    <row r="102" s="1" customFormat="1" spans="1:46">
      <c r="A102" s="13"/>
      <c r="B102" s="13"/>
      <c r="C102" s="16">
        <v>12</v>
      </c>
      <c r="D102" s="19">
        <v>-10.5867522601936</v>
      </c>
      <c r="E102" s="20">
        <f t="shared" si="93"/>
        <v>-6.5463735635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F17" sqref="F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790.0168</v>
      </c>
      <c r="F2" s="3">
        <v>769.42</v>
      </c>
      <c r="G2" s="7">
        <f>(F2+F3+F4)/3</f>
        <v>1286.32083333333</v>
      </c>
      <c r="H2" s="3">
        <v>0.18</v>
      </c>
      <c r="I2" s="21">
        <f>(H2+H3+H4)/3</f>
        <v>0.173333333333333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1433.9025</v>
      </c>
      <c r="G3" s="9"/>
      <c r="H3" s="3">
        <v>0.24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1388.31123287671</v>
      </c>
      <c r="F5" s="3">
        <v>91.104</v>
      </c>
      <c r="G5" s="7">
        <f>(F5+F6)/2</f>
        <v>92.50925</v>
      </c>
      <c r="H5" s="3">
        <v>0.13</v>
      </c>
      <c r="I5" s="21">
        <f>(H5+H6)/2</f>
        <v>0.16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0.19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2937.81807357691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12">
        <v>16.1520467989397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12">
        <v>4.90315675402676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12">
        <v>1.18318708457689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AV38+AV53+AY69+AY85+AY101+BB101+AG69</f>
        <v>78108510.0803092</v>
      </c>
      <c r="J14" s="14" t="s">
        <v>35</v>
      </c>
      <c r="K14" s="14">
        <f>I14/(10000*1000)</f>
        <v>7.81085100803092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38">
        <v>64583761.7793843</v>
      </c>
      <c r="J15" s="14" t="s">
        <v>35</v>
      </c>
      <c r="K15" s="14">
        <f>I15/(10000*1000)</f>
        <v>6.45837617793843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1286.32083333333</v>
      </c>
      <c r="C27" s="16" t="s">
        <v>109</v>
      </c>
      <c r="D27" s="17">
        <v>-19</v>
      </c>
      <c r="E27" s="16"/>
      <c r="F27" s="16"/>
      <c r="G27" s="13">
        <v>1</v>
      </c>
      <c r="H27" s="18">
        <f t="shared" ref="H27:H38" si="0">E28</f>
        <v>-19</v>
      </c>
      <c r="I27" s="18">
        <f t="shared" ref="I27:I38" si="1">H27+273.15</f>
        <v>254.15</v>
      </c>
      <c r="J27" s="18">
        <f t="shared" ref="J27:J38" si="2">EXP(($C$16*(I27-$C$14))/($C$17*I27*$C$14))</f>
        <v>0.00121300707280757</v>
      </c>
      <c r="K27" s="18">
        <f t="shared" ref="K27:K38" si="3">$B$27/12</f>
        <v>107.193402777778</v>
      </c>
      <c r="L27" s="18">
        <f t="shared" ref="L27:L38" si="4">K27*$B$28/100</f>
        <v>1.07193402777778</v>
      </c>
      <c r="M27" s="13" t="s">
        <v>110</v>
      </c>
      <c r="N27" s="13"/>
      <c r="O27" s="18">
        <f>L27</f>
        <v>1.07193402777778</v>
      </c>
      <c r="P27" s="18">
        <f t="shared" ref="P27:P38" si="5">O27*J27</f>
        <v>0.00130026355727755</v>
      </c>
      <c r="Q27" s="24">
        <f t="shared" ref="Q27:Q38" si="6">P27*$B$29</f>
        <v>0.000225379016594775</v>
      </c>
      <c r="R27" s="18">
        <f t="shared" ref="R27:R38" si="7">L27*$B$29</f>
        <v>0.185801898148148</v>
      </c>
      <c r="S27" s="25">
        <f t="shared" ref="S27:S38" si="8">Q27/R27</f>
        <v>0.00121300707280757</v>
      </c>
      <c r="T27" s="3">
        <v>0.01</v>
      </c>
      <c r="U27" s="26">
        <f t="shared" ref="U27:U38" si="9">S27*T27</f>
        <v>1.21300707280757e-5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0.0219121300707281</v>
      </c>
      <c r="AR27" s="29">
        <f t="shared" ref="AR27:AR38" si="15">$B$27/12</f>
        <v>107.193402777778</v>
      </c>
      <c r="AS27" s="1">
        <f t="shared" ref="AS27:AS38" si="16">$B$29</f>
        <v>0.173333333333333</v>
      </c>
      <c r="AT27" s="2">
        <f>$E$2/12</f>
        <v>65.8347333333333</v>
      </c>
      <c r="AU27" s="1">
        <f t="shared" ref="AU27:AU38" si="17">AT27*10000*AS27*0.67*AR27*AQ27</f>
        <v>179582.753880622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-21.0399991687097</v>
      </c>
      <c r="E28" s="20">
        <f t="shared" ref="E28:E39" si="18">D27</f>
        <v>-19</v>
      </c>
      <c r="F28" s="16" t="s">
        <v>110</v>
      </c>
      <c r="G28" s="13">
        <v>2</v>
      </c>
      <c r="H28" s="18">
        <f t="shared" si="0"/>
        <v>-21.0399991687097</v>
      </c>
      <c r="I28" s="18">
        <f t="shared" si="1"/>
        <v>252.11000083129</v>
      </c>
      <c r="J28" s="18">
        <f t="shared" si="2"/>
        <v>0.000889673885681315</v>
      </c>
      <c r="K28" s="18">
        <f t="shared" si="3"/>
        <v>107.193402777778</v>
      </c>
      <c r="L28" s="18">
        <f t="shared" si="4"/>
        <v>1.07193402777778</v>
      </c>
      <c r="M28" s="13" t="s">
        <v>110</v>
      </c>
      <c r="N28" s="13"/>
      <c r="O28" s="18">
        <f t="shared" ref="O28:O38" si="19">L28+O27-P27-N28</f>
        <v>2.14256779199828</v>
      </c>
      <c r="P28" s="18">
        <f t="shared" si="5"/>
        <v>0.00190618661284274</v>
      </c>
      <c r="Q28" s="24">
        <f t="shared" si="6"/>
        <v>0.000330405679559409</v>
      </c>
      <c r="R28" s="18">
        <f t="shared" si="7"/>
        <v>0.185801898148148</v>
      </c>
      <c r="S28" s="25">
        <f t="shared" si="8"/>
        <v>0.00177826859064681</v>
      </c>
      <c r="T28" s="3">
        <v>0.01</v>
      </c>
      <c r="U28" s="26">
        <f t="shared" si="9"/>
        <v>1.77826859064681e-5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0.0219177826859065</v>
      </c>
      <c r="AR28" s="29">
        <f t="shared" si="15"/>
        <v>107.193402777778</v>
      </c>
      <c r="AS28" s="1">
        <f t="shared" si="16"/>
        <v>0.173333333333333</v>
      </c>
      <c r="AT28" s="2">
        <f t="shared" ref="AT28:AT38" si="20">$E$2/12</f>
        <v>65.8347333333333</v>
      </c>
      <c r="AU28" s="1">
        <f t="shared" si="17"/>
        <v>179629.080376362</v>
      </c>
    </row>
    <row r="29" s="1" customFormat="1" spans="1:47">
      <c r="A29" s="13" t="s">
        <v>73</v>
      </c>
      <c r="B29" s="13">
        <f>I2</f>
        <v>0.173333333333333</v>
      </c>
      <c r="C29" s="16">
        <v>2</v>
      </c>
      <c r="D29" s="19">
        <v>-16.1650568213103</v>
      </c>
      <c r="E29" s="20">
        <f t="shared" si="18"/>
        <v>-21.0399991687097</v>
      </c>
      <c r="F29" s="16" t="s">
        <v>110</v>
      </c>
      <c r="G29" s="13">
        <v>3</v>
      </c>
      <c r="H29" s="18">
        <f t="shared" si="0"/>
        <v>-16.1650568213103</v>
      </c>
      <c r="I29" s="18">
        <f t="shared" si="1"/>
        <v>256.98494317869</v>
      </c>
      <c r="J29" s="18">
        <f t="shared" si="2"/>
        <v>0.00185101551511113</v>
      </c>
      <c r="K29" s="18">
        <f t="shared" si="3"/>
        <v>107.193402777778</v>
      </c>
      <c r="L29" s="18">
        <f t="shared" si="4"/>
        <v>1.07193402777778</v>
      </c>
      <c r="M29" s="13" t="s">
        <v>110</v>
      </c>
      <c r="N29" s="13"/>
      <c r="O29" s="18">
        <f t="shared" si="19"/>
        <v>3.21259563316321</v>
      </c>
      <c r="P29" s="18">
        <f t="shared" si="5"/>
        <v>0.00594656436076337</v>
      </c>
      <c r="Q29" s="24">
        <f t="shared" si="6"/>
        <v>0.00103073782253232</v>
      </c>
      <c r="R29" s="18">
        <f t="shared" si="7"/>
        <v>0.185801898148148</v>
      </c>
      <c r="S29" s="25">
        <f t="shared" si="8"/>
        <v>0.00554750964767036</v>
      </c>
      <c r="T29" s="3">
        <v>0.01</v>
      </c>
      <c r="U29" s="26">
        <f t="shared" si="9"/>
        <v>5.54750964767036e-5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0.0219554750964767</v>
      </c>
      <c r="AR29" s="29">
        <f t="shared" si="15"/>
        <v>107.193402777778</v>
      </c>
      <c r="AS29" s="1">
        <f t="shared" si="16"/>
        <v>0.173333333333333</v>
      </c>
      <c r="AT29" s="2">
        <f t="shared" si="20"/>
        <v>65.8347333333333</v>
      </c>
      <c r="AU29" s="1">
        <f t="shared" si="17"/>
        <v>179937.99178154</v>
      </c>
    </row>
    <row r="30" s="1" customFormat="1" spans="1:47">
      <c r="A30" s="13"/>
      <c r="B30" s="13"/>
      <c r="C30" s="16">
        <v>3</v>
      </c>
      <c r="D30" s="19">
        <v>-3.48945502316129</v>
      </c>
      <c r="E30" s="20">
        <f t="shared" si="18"/>
        <v>-16.1650568213103</v>
      </c>
      <c r="F30" s="16" t="s">
        <v>110</v>
      </c>
      <c r="G30" s="13">
        <v>4</v>
      </c>
      <c r="H30" s="18">
        <f t="shared" si="0"/>
        <v>-3.48945502316129</v>
      </c>
      <c r="I30" s="18">
        <f t="shared" si="1"/>
        <v>269.660544976839</v>
      </c>
      <c r="J30" s="18">
        <f t="shared" si="2"/>
        <v>0.0109870282847742</v>
      </c>
      <c r="K30" s="18">
        <f t="shared" si="3"/>
        <v>107.193402777778</v>
      </c>
      <c r="L30" s="18">
        <f t="shared" si="4"/>
        <v>1.07193402777778</v>
      </c>
      <c r="M30" s="13" t="s">
        <v>110</v>
      </c>
      <c r="N30" s="13"/>
      <c r="O30" s="18">
        <f t="shared" si="19"/>
        <v>4.27858309658023</v>
      </c>
      <c r="P30" s="18">
        <f t="shared" si="5"/>
        <v>0.0470089135008837</v>
      </c>
      <c r="Q30" s="24">
        <f t="shared" si="6"/>
        <v>0.00814821167348651</v>
      </c>
      <c r="R30" s="18">
        <f t="shared" si="7"/>
        <v>0.185801898148148</v>
      </c>
      <c r="S30" s="25">
        <f t="shared" si="8"/>
        <v>0.0438542972633659</v>
      </c>
      <c r="T30" s="3">
        <v>0.01</v>
      </c>
      <c r="U30" s="26">
        <f t="shared" si="9"/>
        <v>0.000438542972633659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0.0223385429726337</v>
      </c>
      <c r="AR30" s="29">
        <f t="shared" si="15"/>
        <v>107.193402777778</v>
      </c>
      <c r="AS30" s="1">
        <f t="shared" si="16"/>
        <v>0.173333333333333</v>
      </c>
      <c r="AT30" s="2">
        <f t="shared" si="20"/>
        <v>65.8347333333333</v>
      </c>
      <c r="AU30" s="1">
        <f t="shared" si="17"/>
        <v>183077.457634537</v>
      </c>
    </row>
    <row r="31" s="1" customFormat="1" spans="1:47">
      <c r="A31" s="13"/>
      <c r="B31" s="13"/>
      <c r="C31" s="16">
        <v>4</v>
      </c>
      <c r="D31" s="19">
        <v>4.75912481943333</v>
      </c>
      <c r="E31" s="20">
        <f t="shared" si="18"/>
        <v>-3.48945502316129</v>
      </c>
      <c r="F31" s="16" t="s">
        <v>110</v>
      </c>
      <c r="G31" s="13">
        <v>5</v>
      </c>
      <c r="H31" s="18">
        <f t="shared" si="0"/>
        <v>4.75912481943333</v>
      </c>
      <c r="I31" s="18">
        <f t="shared" si="1"/>
        <v>277.909124819433</v>
      </c>
      <c r="J31" s="18">
        <f t="shared" si="2"/>
        <v>0.0320859755650881</v>
      </c>
      <c r="K31" s="18">
        <f t="shared" si="3"/>
        <v>107.193402777778</v>
      </c>
      <c r="L31" s="18">
        <f t="shared" si="4"/>
        <v>1.07193402777778</v>
      </c>
      <c r="M31" s="13" t="s">
        <v>112</v>
      </c>
      <c r="N31" s="18">
        <f>(O30-P30)*C22/100</f>
        <v>4.01999547392538</v>
      </c>
      <c r="O31" s="18">
        <f t="shared" si="19"/>
        <v>1.28351273693174</v>
      </c>
      <c r="P31" s="18">
        <f t="shared" si="5"/>
        <v>0.0411827583146713</v>
      </c>
      <c r="Q31" s="24">
        <f t="shared" si="6"/>
        <v>0.00713834477454303</v>
      </c>
      <c r="R31" s="18">
        <f t="shared" si="7"/>
        <v>0.185801898148148</v>
      </c>
      <c r="S31" s="25">
        <f t="shared" si="8"/>
        <v>0.0384191165197425</v>
      </c>
      <c r="T31" s="3">
        <v>0.01</v>
      </c>
      <c r="U31" s="26">
        <f t="shared" si="9"/>
        <v>0.000384191165197425</v>
      </c>
      <c r="V31" s="25"/>
      <c r="W31" s="3"/>
      <c r="X31" s="26"/>
      <c r="Y31" s="28">
        <v>0.02</v>
      </c>
      <c r="Z31" s="3">
        <v>0.21</v>
      </c>
      <c r="AA31" s="27">
        <f t="shared" si="10"/>
        <v>0.0042</v>
      </c>
      <c r="AB31" s="3">
        <v>0.01</v>
      </c>
      <c r="AC31" s="3">
        <v>0.29</v>
      </c>
      <c r="AD31" s="27">
        <f t="shared" si="11"/>
        <v>0.0029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0.0222841911651974</v>
      </c>
      <c r="AR31" s="29">
        <f t="shared" si="15"/>
        <v>107.193402777778</v>
      </c>
      <c r="AS31" s="1">
        <f t="shared" si="16"/>
        <v>0.173333333333333</v>
      </c>
      <c r="AT31" s="2">
        <f t="shared" si="20"/>
        <v>65.8347333333333</v>
      </c>
      <c r="AU31" s="1">
        <f t="shared" si="17"/>
        <v>182632.012703976</v>
      </c>
    </row>
    <row r="32" s="1" customFormat="1" spans="1:47">
      <c r="A32" s="13"/>
      <c r="B32" s="13"/>
      <c r="C32" s="16">
        <v>5</v>
      </c>
      <c r="D32" s="19">
        <v>13.2161622785484</v>
      </c>
      <c r="E32" s="20">
        <f t="shared" si="18"/>
        <v>4.75912481943333</v>
      </c>
      <c r="F32" s="16" t="s">
        <v>112</v>
      </c>
      <c r="G32" s="13">
        <v>6</v>
      </c>
      <c r="H32" s="18">
        <f t="shared" si="0"/>
        <v>13.2161622785484</v>
      </c>
      <c r="I32" s="18">
        <f t="shared" si="1"/>
        <v>286.366162278548</v>
      </c>
      <c r="J32" s="18">
        <f t="shared" si="2"/>
        <v>0.0902972743813819</v>
      </c>
      <c r="K32" s="18">
        <f t="shared" si="3"/>
        <v>107.193402777778</v>
      </c>
      <c r="L32" s="18">
        <f t="shared" si="4"/>
        <v>1.07193402777778</v>
      </c>
      <c r="M32" s="13" t="s">
        <v>110</v>
      </c>
      <c r="N32" s="13"/>
      <c r="O32" s="18">
        <f t="shared" si="19"/>
        <v>2.31426400639485</v>
      </c>
      <c r="P32" s="18">
        <f t="shared" si="5"/>
        <v>0.208971731976392</v>
      </c>
      <c r="Q32" s="24">
        <f t="shared" si="6"/>
        <v>0.036221766875908</v>
      </c>
      <c r="R32" s="18">
        <f t="shared" si="7"/>
        <v>0.185801898148148</v>
      </c>
      <c r="S32" s="25">
        <f t="shared" si="8"/>
        <v>0.194948314505521</v>
      </c>
      <c r="T32" s="3">
        <v>0.01</v>
      </c>
      <c r="U32" s="26">
        <f t="shared" si="9"/>
        <v>0.00194948314505521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0.0313994831450552</v>
      </c>
      <c r="AR32" s="29">
        <f t="shared" si="15"/>
        <v>107.193402777778</v>
      </c>
      <c r="AS32" s="1">
        <f t="shared" si="16"/>
        <v>0.173333333333333</v>
      </c>
      <c r="AT32" s="2">
        <f t="shared" si="20"/>
        <v>65.8347333333333</v>
      </c>
      <c r="AU32" s="1">
        <f t="shared" si="17"/>
        <v>257337.175136157</v>
      </c>
    </row>
    <row r="33" s="1" customFormat="1" spans="1:47">
      <c r="A33" s="13"/>
      <c r="B33" s="13"/>
      <c r="C33" s="16">
        <v>6</v>
      </c>
      <c r="D33" s="19">
        <v>17.3630440873333</v>
      </c>
      <c r="E33" s="20">
        <f t="shared" si="18"/>
        <v>13.2161622785484</v>
      </c>
      <c r="F33" s="16" t="s">
        <v>110</v>
      </c>
      <c r="G33" s="13">
        <v>7</v>
      </c>
      <c r="H33" s="18">
        <f t="shared" si="0"/>
        <v>17.3630440873333</v>
      </c>
      <c r="I33" s="18">
        <f t="shared" si="1"/>
        <v>290.513044087333</v>
      </c>
      <c r="J33" s="18">
        <f t="shared" si="2"/>
        <v>0.146709104610864</v>
      </c>
      <c r="K33" s="18">
        <f t="shared" si="3"/>
        <v>107.193402777778</v>
      </c>
      <c r="L33" s="18">
        <f t="shared" si="4"/>
        <v>1.07193402777778</v>
      </c>
      <c r="M33" s="13" t="s">
        <v>110</v>
      </c>
      <c r="N33" s="13"/>
      <c r="O33" s="18">
        <f t="shared" si="19"/>
        <v>3.17722630219624</v>
      </c>
      <c r="P33" s="18">
        <f t="shared" si="5"/>
        <v>0.466128025941296</v>
      </c>
      <c r="Q33" s="24">
        <f t="shared" si="6"/>
        <v>0.0807955244964914</v>
      </c>
      <c r="R33" s="18">
        <f t="shared" si="7"/>
        <v>0.185801898148148</v>
      </c>
      <c r="S33" s="25">
        <f t="shared" si="8"/>
        <v>0.434847680792096</v>
      </c>
      <c r="T33" s="3">
        <v>0.01</v>
      </c>
      <c r="U33" s="26">
        <f t="shared" si="9"/>
        <v>0.00434847680792096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0.033798476807921</v>
      </c>
      <c r="AR33" s="29">
        <f t="shared" si="15"/>
        <v>107.193402777778</v>
      </c>
      <c r="AS33" s="1">
        <f t="shared" si="16"/>
        <v>0.173333333333333</v>
      </c>
      <c r="AT33" s="2">
        <f t="shared" si="20"/>
        <v>65.8347333333333</v>
      </c>
      <c r="AU33" s="1">
        <f t="shared" si="17"/>
        <v>276998.334828482</v>
      </c>
    </row>
    <row r="34" s="1" customFormat="1" spans="1:47">
      <c r="A34" s="13"/>
      <c r="B34" s="13"/>
      <c r="C34" s="16">
        <v>7</v>
      </c>
      <c r="D34" s="19">
        <v>21.9346023283871</v>
      </c>
      <c r="E34" s="20">
        <f t="shared" si="18"/>
        <v>17.3630440873333</v>
      </c>
      <c r="F34" s="16" t="s">
        <v>110</v>
      </c>
      <c r="G34" s="13">
        <v>8</v>
      </c>
      <c r="H34" s="18">
        <f t="shared" si="0"/>
        <v>21.9346023283871</v>
      </c>
      <c r="I34" s="18">
        <f t="shared" si="1"/>
        <v>295.084602328387</v>
      </c>
      <c r="J34" s="18">
        <f t="shared" si="2"/>
        <v>0.246581207441861</v>
      </c>
      <c r="K34" s="18">
        <f t="shared" si="3"/>
        <v>107.193402777778</v>
      </c>
      <c r="L34" s="18">
        <f t="shared" si="4"/>
        <v>1.07193402777778</v>
      </c>
      <c r="M34" s="13" t="s">
        <v>110</v>
      </c>
      <c r="N34" s="13"/>
      <c r="O34" s="18">
        <f t="shared" si="19"/>
        <v>3.78303230403272</v>
      </c>
      <c r="P34" s="18">
        <f t="shared" si="5"/>
        <v>0.932824673319953</v>
      </c>
      <c r="Q34" s="24">
        <f t="shared" si="6"/>
        <v>0.161689610042125</v>
      </c>
      <c r="R34" s="18">
        <f t="shared" si="7"/>
        <v>0.185801898148148</v>
      </c>
      <c r="S34" s="25">
        <f t="shared" si="8"/>
        <v>0.870225824674853</v>
      </c>
      <c r="T34" s="3">
        <v>0.01</v>
      </c>
      <c r="U34" s="26">
        <f t="shared" si="9"/>
        <v>0.00870225824674853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0.0381522582467485</v>
      </c>
      <c r="AR34" s="29">
        <f t="shared" si="15"/>
        <v>107.193402777778</v>
      </c>
      <c r="AS34" s="1">
        <f t="shared" si="16"/>
        <v>0.173333333333333</v>
      </c>
      <c r="AT34" s="2">
        <f t="shared" si="20"/>
        <v>65.8347333333333</v>
      </c>
      <c r="AU34" s="1">
        <f t="shared" si="17"/>
        <v>312680.126514425</v>
      </c>
    </row>
    <row r="35" s="1" customFormat="1" spans="1:47">
      <c r="A35" s="13"/>
      <c r="B35" s="13"/>
      <c r="C35" s="16">
        <v>8</v>
      </c>
      <c r="D35" s="19">
        <v>19.7250249035484</v>
      </c>
      <c r="E35" s="20">
        <f t="shared" si="18"/>
        <v>21.9346023283871</v>
      </c>
      <c r="F35" s="16" t="s">
        <v>110</v>
      </c>
      <c r="G35" s="13">
        <v>9</v>
      </c>
      <c r="H35" s="18">
        <f t="shared" si="0"/>
        <v>19.7250249035484</v>
      </c>
      <c r="I35" s="18">
        <f t="shared" si="1"/>
        <v>292.875024903548</v>
      </c>
      <c r="J35" s="18">
        <f t="shared" si="2"/>
        <v>0.192241149175605</v>
      </c>
      <c r="K35" s="18">
        <f t="shared" si="3"/>
        <v>107.193402777778</v>
      </c>
      <c r="L35" s="18">
        <f t="shared" si="4"/>
        <v>1.07193402777778</v>
      </c>
      <c r="M35" s="13" t="s">
        <v>110</v>
      </c>
      <c r="N35" s="13"/>
      <c r="O35" s="18">
        <f t="shared" si="19"/>
        <v>3.92214165849054</v>
      </c>
      <c r="P35" s="18">
        <f t="shared" si="5"/>
        <v>0.753997019657735</v>
      </c>
      <c r="Q35" s="24">
        <f t="shared" si="6"/>
        <v>0.130692816740674</v>
      </c>
      <c r="R35" s="18">
        <f t="shared" si="7"/>
        <v>0.185801898148148</v>
      </c>
      <c r="S35" s="25">
        <f t="shared" si="8"/>
        <v>0.703398716822941</v>
      </c>
      <c r="T35" s="3">
        <v>0.01</v>
      </c>
      <c r="U35" s="26">
        <f t="shared" si="9"/>
        <v>0.00703398716822941</v>
      </c>
      <c r="V35" s="25"/>
      <c r="W35" s="3"/>
      <c r="X35" s="26"/>
      <c r="Y35" s="28">
        <v>0.02</v>
      </c>
      <c r="Z35" s="3">
        <v>0.21</v>
      </c>
      <c r="AA35" s="27">
        <f t="shared" si="10"/>
        <v>0.0042</v>
      </c>
      <c r="AB35" s="3">
        <v>0.01</v>
      </c>
      <c r="AC35" s="3">
        <v>0.29</v>
      </c>
      <c r="AD35" s="27">
        <f t="shared" si="11"/>
        <v>0.0029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0.0289339871682294</v>
      </c>
      <c r="AR35" s="29">
        <f t="shared" si="15"/>
        <v>107.193402777778</v>
      </c>
      <c r="AS35" s="1">
        <f t="shared" si="16"/>
        <v>0.173333333333333</v>
      </c>
      <c r="AT35" s="2">
        <f t="shared" si="20"/>
        <v>65.8347333333333</v>
      </c>
      <c r="AU35" s="1">
        <f t="shared" si="17"/>
        <v>237130.989987984</v>
      </c>
    </row>
    <row r="36" s="1" customFormat="1" spans="1:47">
      <c r="A36" s="13"/>
      <c r="B36" s="13"/>
      <c r="C36" s="16">
        <v>9</v>
      </c>
      <c r="D36" s="19">
        <v>14.1405394353667</v>
      </c>
      <c r="E36" s="20">
        <f t="shared" si="18"/>
        <v>19.7250249035484</v>
      </c>
      <c r="F36" s="16" t="s">
        <v>110</v>
      </c>
      <c r="G36" s="13">
        <v>10</v>
      </c>
      <c r="H36" s="18">
        <f t="shared" si="0"/>
        <v>14.1405394353667</v>
      </c>
      <c r="I36" s="18">
        <f t="shared" si="1"/>
        <v>287.290539435367</v>
      </c>
      <c r="J36" s="18">
        <f t="shared" si="2"/>
        <v>0.100736524548139</v>
      </c>
      <c r="K36" s="18">
        <f t="shared" si="3"/>
        <v>107.193402777778</v>
      </c>
      <c r="L36" s="18">
        <f t="shared" si="4"/>
        <v>1.07193402777778</v>
      </c>
      <c r="M36" s="13" t="s">
        <v>110</v>
      </c>
      <c r="N36" s="13"/>
      <c r="O36" s="18">
        <f t="shared" si="19"/>
        <v>4.24007866661058</v>
      </c>
      <c r="P36" s="18">
        <f t="shared" si="5"/>
        <v>0.427130788685058</v>
      </c>
      <c r="Q36" s="24">
        <f t="shared" si="6"/>
        <v>0.0740360033720766</v>
      </c>
      <c r="R36" s="18">
        <f t="shared" si="7"/>
        <v>0.185801898148148</v>
      </c>
      <c r="S36" s="25">
        <f t="shared" si="8"/>
        <v>0.398467422076843</v>
      </c>
      <c r="T36" s="3">
        <v>0.01</v>
      </c>
      <c r="U36" s="26">
        <f t="shared" si="9"/>
        <v>0.00398467422076843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0.0258846742207684</v>
      </c>
      <c r="AR36" s="29">
        <f t="shared" si="15"/>
        <v>107.193402777778</v>
      </c>
      <c r="AS36" s="1">
        <f t="shared" si="16"/>
        <v>0.173333333333333</v>
      </c>
      <c r="AT36" s="2">
        <f t="shared" si="20"/>
        <v>65.8347333333333</v>
      </c>
      <c r="AU36" s="1">
        <f t="shared" si="17"/>
        <v>212140.082450409</v>
      </c>
    </row>
    <row r="37" s="1" customFormat="1" spans="1:47">
      <c r="A37" s="13"/>
      <c r="B37" s="13"/>
      <c r="C37" s="16">
        <v>10</v>
      </c>
      <c r="D37" s="19">
        <v>0.564143603161291</v>
      </c>
      <c r="E37" s="20">
        <f t="shared" si="18"/>
        <v>14.1405394353667</v>
      </c>
      <c r="F37" s="16" t="s">
        <v>110</v>
      </c>
      <c r="G37" s="13">
        <v>11</v>
      </c>
      <c r="H37" s="18">
        <f t="shared" si="0"/>
        <v>0.564143603161291</v>
      </c>
      <c r="I37" s="18">
        <f t="shared" si="1"/>
        <v>273.714143603161</v>
      </c>
      <c r="J37" s="18">
        <f t="shared" si="2"/>
        <v>0.0187548865137351</v>
      </c>
      <c r="K37" s="18">
        <f t="shared" si="3"/>
        <v>107.193402777778</v>
      </c>
      <c r="L37" s="18">
        <f t="shared" si="4"/>
        <v>1.07193402777778</v>
      </c>
      <c r="M37" s="13" t="s">
        <v>112</v>
      </c>
      <c r="N37" s="18">
        <f>(O36-P36)*C22/100</f>
        <v>3.62230048402925</v>
      </c>
      <c r="O37" s="18">
        <f t="shared" si="19"/>
        <v>1.26258142167405</v>
      </c>
      <c r="P37" s="18">
        <f t="shared" si="5"/>
        <v>0.0236795712778472</v>
      </c>
      <c r="Q37" s="24">
        <f t="shared" si="6"/>
        <v>0.00410445902149352</v>
      </c>
      <c r="R37" s="18">
        <f t="shared" si="7"/>
        <v>0.185801898148148</v>
      </c>
      <c r="S37" s="25">
        <f t="shared" si="8"/>
        <v>0.0220905117891791</v>
      </c>
      <c r="T37" s="3">
        <v>0.01</v>
      </c>
      <c r="U37" s="26">
        <f t="shared" si="9"/>
        <v>0.000220905117891791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0.0221209051178918</v>
      </c>
      <c r="AR37" s="29">
        <f t="shared" si="15"/>
        <v>107.193402777778</v>
      </c>
      <c r="AS37" s="1">
        <f t="shared" si="16"/>
        <v>0.173333333333333</v>
      </c>
      <c r="AT37" s="2">
        <f t="shared" si="20"/>
        <v>65.8347333333333</v>
      </c>
      <c r="AU37" s="1">
        <f t="shared" si="17"/>
        <v>181293.78780522</v>
      </c>
    </row>
    <row r="38" s="1" customFormat="1" spans="1:48">
      <c r="A38" s="13"/>
      <c r="B38" s="13"/>
      <c r="C38" s="16">
        <v>11</v>
      </c>
      <c r="D38" s="19">
        <v>-13.3564916991</v>
      </c>
      <c r="E38" s="20">
        <f t="shared" si="18"/>
        <v>0.564143603161291</v>
      </c>
      <c r="F38" s="16" t="s">
        <v>112</v>
      </c>
      <c r="G38" s="13">
        <v>12</v>
      </c>
      <c r="H38" s="18">
        <f t="shared" si="0"/>
        <v>-13.3564916991</v>
      </c>
      <c r="I38" s="18">
        <f t="shared" si="1"/>
        <v>259.7935083009</v>
      </c>
      <c r="J38" s="18">
        <f t="shared" si="2"/>
        <v>0.00278803908059417</v>
      </c>
      <c r="K38" s="18">
        <f t="shared" si="3"/>
        <v>107.193402777778</v>
      </c>
      <c r="L38" s="18">
        <f t="shared" si="4"/>
        <v>1.07193402777778</v>
      </c>
      <c r="M38" s="13" t="s">
        <v>110</v>
      </c>
      <c r="N38" s="13"/>
      <c r="O38" s="18">
        <f t="shared" si="19"/>
        <v>2.31083587817398</v>
      </c>
      <c r="P38" s="18">
        <f t="shared" si="5"/>
        <v>0.00644270073718822</v>
      </c>
      <c r="Q38" s="24">
        <f t="shared" si="6"/>
        <v>0.00111673479444596</v>
      </c>
      <c r="R38" s="18">
        <f t="shared" si="7"/>
        <v>0.185801898148148</v>
      </c>
      <c r="S38" s="25">
        <f t="shared" si="8"/>
        <v>0.00601035191554144</v>
      </c>
      <c r="T38" s="3">
        <v>0.01</v>
      </c>
      <c r="U38" s="26">
        <f t="shared" si="9"/>
        <v>6.01035191554144e-5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0.0219601035191554</v>
      </c>
      <c r="AR38" s="29">
        <f t="shared" si="15"/>
        <v>107.193402777778</v>
      </c>
      <c r="AS38" s="1">
        <f t="shared" si="16"/>
        <v>0.173333333333333</v>
      </c>
      <c r="AT38" s="2">
        <f t="shared" si="20"/>
        <v>65.8347333333333</v>
      </c>
      <c r="AU38" s="1">
        <f t="shared" si="17"/>
        <v>179975.92441922</v>
      </c>
      <c r="AV38" s="1">
        <f>SUM(AU27:AU38)</f>
        <v>2562415.71751893</v>
      </c>
    </row>
    <row r="39" s="1" customFormat="1" spans="1:46">
      <c r="A39" s="13"/>
      <c r="B39" s="13"/>
      <c r="C39" s="16">
        <v>12</v>
      </c>
      <c r="D39" s="19">
        <v>-17.5063042547742</v>
      </c>
      <c r="E39" s="20">
        <f t="shared" si="18"/>
        <v>-13.3564916991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-19</v>
      </c>
      <c r="E42" s="16"/>
      <c r="F42" s="16"/>
      <c r="G42" s="13">
        <v>1</v>
      </c>
      <c r="H42" s="18">
        <f t="shared" ref="H42:H53" si="21">E43</f>
        <v>-19</v>
      </c>
      <c r="I42" s="18">
        <f t="shared" ref="I42:I53" si="22">H42+273.15</f>
        <v>254.15</v>
      </c>
      <c r="J42" s="18">
        <f t="shared" ref="J42:J53" si="23">EXP(($C$16*(I42-$C$14))/($C$17*I42*$C$14))</f>
        <v>0.00121300707280757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9.35119787917697e-5</v>
      </c>
      <c r="Q42" s="24">
        <f t="shared" ref="Q42:Q53" si="27">P42*$B$44</f>
        <v>1.49619166066832e-5</v>
      </c>
      <c r="R42" s="18">
        <f t="shared" ref="R42:R53" si="28">L42*$B$44</f>
        <v>0.0123345666666667</v>
      </c>
      <c r="S42" s="25">
        <f t="shared" ref="S42:S53" si="29">Q42/R42</f>
        <v>0.00121300707280757</v>
      </c>
      <c r="T42" s="3">
        <v>0.01</v>
      </c>
      <c r="U42" s="26">
        <f t="shared" ref="U42:U53" si="30">S42*T42</f>
        <v>1.21300707280757e-5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0.0148121300707281</v>
      </c>
      <c r="AR42" s="29">
        <f t="shared" ref="AR42:AR53" si="34">$B$42/12</f>
        <v>7.70910416666667</v>
      </c>
      <c r="AS42" s="1">
        <f t="shared" ref="AS42:AS53" si="35">$B$44</f>
        <v>0.16</v>
      </c>
      <c r="AT42" s="2">
        <f>$E$5/12</f>
        <v>115.692602739726</v>
      </c>
      <c r="AU42" s="1">
        <f t="shared" ref="AU42:AU53" si="36">AT42*10000*AS42*0.67*AR42*AQ42</f>
        <v>14161.9092777385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-21.0399991687097</v>
      </c>
      <c r="E43" s="20">
        <f t="shared" ref="E43:E54" si="37">D42</f>
        <v>-19</v>
      </c>
      <c r="F43" s="16" t="s">
        <v>110</v>
      </c>
      <c r="G43" s="13">
        <v>2</v>
      </c>
      <c r="H43" s="18">
        <f t="shared" si="21"/>
        <v>-21.0399991687097</v>
      </c>
      <c r="I43" s="18">
        <f t="shared" si="22"/>
        <v>252.11000083129</v>
      </c>
      <c r="J43" s="18">
        <f t="shared" si="23"/>
        <v>0.000889673885681315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0.154088571354542</v>
      </c>
      <c r="P43" s="18">
        <f t="shared" si="26"/>
        <v>0.000137088578016078</v>
      </c>
      <c r="Q43" s="24">
        <f t="shared" si="27"/>
        <v>2.19341724825724e-5</v>
      </c>
      <c r="R43" s="18">
        <f t="shared" si="28"/>
        <v>0.0123345666666667</v>
      </c>
      <c r="S43" s="25">
        <f t="shared" si="29"/>
        <v>0.00177826859064681</v>
      </c>
      <c r="T43" s="3">
        <v>0.01</v>
      </c>
      <c r="U43" s="26">
        <f t="shared" si="30"/>
        <v>1.77826859064681e-5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0.0148177826859065</v>
      </c>
      <c r="AR43" s="29">
        <f t="shared" si="34"/>
        <v>7.70910416666667</v>
      </c>
      <c r="AS43" s="1">
        <f t="shared" si="35"/>
        <v>0.16</v>
      </c>
      <c r="AT43" s="2">
        <f t="shared" ref="AT43:AT53" si="39">$E$5/12</f>
        <v>115.692602739726</v>
      </c>
      <c r="AU43" s="1">
        <f t="shared" si="36"/>
        <v>14167.3137552144</v>
      </c>
    </row>
    <row r="44" s="1" customFormat="1" spans="1:47">
      <c r="A44" s="13" t="s">
        <v>73</v>
      </c>
      <c r="B44" s="13">
        <f>I5</f>
        <v>0.16</v>
      </c>
      <c r="C44" s="16">
        <v>2</v>
      </c>
      <c r="D44" s="19">
        <v>-16.1650568213103</v>
      </c>
      <c r="E44" s="20">
        <f t="shared" si="37"/>
        <v>-21.0399991687097</v>
      </c>
      <c r="F44" s="16" t="s">
        <v>110</v>
      </c>
      <c r="G44" s="13">
        <v>3</v>
      </c>
      <c r="H44" s="18">
        <f t="shared" si="21"/>
        <v>-16.1650568213103</v>
      </c>
      <c r="I44" s="18">
        <f t="shared" si="22"/>
        <v>256.98494317869</v>
      </c>
      <c r="J44" s="18">
        <f t="shared" si="23"/>
        <v>0.00185101551511113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0.231042524443192</v>
      </c>
      <c r="P44" s="18">
        <f t="shared" si="26"/>
        <v>0.000427663297394791</v>
      </c>
      <c r="Q44" s="24">
        <f t="shared" si="27"/>
        <v>6.84261275831666e-5</v>
      </c>
      <c r="R44" s="18">
        <f t="shared" si="28"/>
        <v>0.0123345666666667</v>
      </c>
      <c r="S44" s="25">
        <f t="shared" si="29"/>
        <v>0.00554750964767036</v>
      </c>
      <c r="T44" s="3">
        <v>0.01</v>
      </c>
      <c r="U44" s="26">
        <f t="shared" si="30"/>
        <v>5.54750964767036e-5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0.0148554750964767</v>
      </c>
      <c r="AR44" s="29">
        <f t="shared" si="34"/>
        <v>7.70910416666667</v>
      </c>
      <c r="AS44" s="1">
        <f t="shared" si="35"/>
        <v>0.16</v>
      </c>
      <c r="AT44" s="2">
        <f t="shared" si="39"/>
        <v>115.692602739726</v>
      </c>
      <c r="AU44" s="1">
        <f t="shared" si="36"/>
        <v>14203.3515496711</v>
      </c>
    </row>
    <row r="45" s="1" customFormat="1" spans="1:47">
      <c r="A45" s="13"/>
      <c r="B45" s="13"/>
      <c r="C45" s="16">
        <v>3</v>
      </c>
      <c r="D45" s="19">
        <v>-3.48945502316129</v>
      </c>
      <c r="E45" s="20">
        <f t="shared" si="37"/>
        <v>-16.1650568213103</v>
      </c>
      <c r="F45" s="16" t="s">
        <v>110</v>
      </c>
      <c r="G45" s="13">
        <v>4</v>
      </c>
      <c r="H45" s="18">
        <f t="shared" si="21"/>
        <v>-3.48945502316129</v>
      </c>
      <c r="I45" s="18">
        <f t="shared" si="22"/>
        <v>269.660544976839</v>
      </c>
      <c r="J45" s="18">
        <f t="shared" si="23"/>
        <v>0.0109870282847742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0.307705902812464</v>
      </c>
      <c r="P45" s="18">
        <f t="shared" si="26"/>
        <v>0.00338077345759252</v>
      </c>
      <c r="Q45" s="24">
        <f t="shared" si="27"/>
        <v>0.000540923753214804</v>
      </c>
      <c r="R45" s="18">
        <f t="shared" si="28"/>
        <v>0.0123345666666667</v>
      </c>
      <c r="S45" s="25">
        <f t="shared" si="29"/>
        <v>0.0438542972633659</v>
      </c>
      <c r="T45" s="3">
        <v>0.01</v>
      </c>
      <c r="U45" s="26">
        <f t="shared" si="30"/>
        <v>0.000438542972633659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0.0152385429726337</v>
      </c>
      <c r="AR45" s="29">
        <f t="shared" si="34"/>
        <v>7.70910416666667</v>
      </c>
      <c r="AS45" s="1">
        <f t="shared" si="35"/>
        <v>0.16</v>
      </c>
      <c r="AT45" s="2">
        <f t="shared" si="39"/>
        <v>115.692602739726</v>
      </c>
      <c r="AU45" s="1">
        <f t="shared" si="36"/>
        <v>14569.6035663255</v>
      </c>
    </row>
    <row r="46" s="1" customFormat="1" spans="1:47">
      <c r="A46" s="13"/>
      <c r="B46" s="13"/>
      <c r="C46" s="16">
        <v>4</v>
      </c>
      <c r="D46" s="19">
        <v>4.75912481943333</v>
      </c>
      <c r="E46" s="20">
        <f t="shared" si="37"/>
        <v>-3.48945502316129</v>
      </c>
      <c r="F46" s="16" t="s">
        <v>110</v>
      </c>
      <c r="G46" s="13">
        <v>5</v>
      </c>
      <c r="H46" s="18">
        <f t="shared" si="21"/>
        <v>4.75912481943333</v>
      </c>
      <c r="I46" s="18">
        <f t="shared" si="22"/>
        <v>277.909124819433</v>
      </c>
      <c r="J46" s="18">
        <f t="shared" si="23"/>
        <v>0.0320859755650881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0.289108872887128</v>
      </c>
      <c r="O46" s="18">
        <f t="shared" si="38"/>
        <v>0.0923072981344102</v>
      </c>
      <c r="P46" s="18">
        <f t="shared" si="26"/>
        <v>0.00296176971241999</v>
      </c>
      <c r="Q46" s="24">
        <f t="shared" si="27"/>
        <v>0.000473883153987198</v>
      </c>
      <c r="R46" s="18">
        <f t="shared" si="28"/>
        <v>0.0123345666666667</v>
      </c>
      <c r="S46" s="25">
        <f t="shared" si="29"/>
        <v>0.0384191165197425</v>
      </c>
      <c r="T46" s="3">
        <v>0.01</v>
      </c>
      <c r="U46" s="26">
        <f t="shared" si="30"/>
        <v>0.000384191165197425</v>
      </c>
      <c r="V46" s="25"/>
      <c r="W46" s="3"/>
      <c r="X46" s="26"/>
      <c r="Y46" s="28">
        <v>0.02</v>
      </c>
      <c r="Z46" s="3">
        <v>0.49</v>
      </c>
      <c r="AA46" s="27">
        <f t="shared" si="31"/>
        <v>0.0098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</v>
      </c>
      <c r="AO46" s="3">
        <v>0.5</v>
      </c>
      <c r="AP46" s="3">
        <f t="shared" si="32"/>
        <v>0.005</v>
      </c>
      <c r="AQ46" s="1">
        <f t="shared" si="33"/>
        <v>0.0151841911651974</v>
      </c>
      <c r="AR46" s="29">
        <f t="shared" si="34"/>
        <v>7.70910416666667</v>
      </c>
      <c r="AS46" s="1">
        <f t="shared" si="35"/>
        <v>0.16</v>
      </c>
      <c r="AT46" s="2">
        <f t="shared" si="39"/>
        <v>115.692602739726</v>
      </c>
      <c r="AU46" s="1">
        <f t="shared" si="36"/>
        <v>14517.6376868525</v>
      </c>
    </row>
    <row r="47" s="1" customFormat="1" spans="1:47">
      <c r="A47" s="13"/>
      <c r="B47" s="13"/>
      <c r="C47" s="16">
        <v>5</v>
      </c>
      <c r="D47" s="19">
        <v>13.2161622785484</v>
      </c>
      <c r="E47" s="20">
        <f t="shared" si="37"/>
        <v>4.75912481943333</v>
      </c>
      <c r="F47" s="16" t="s">
        <v>112</v>
      </c>
      <c r="G47" s="13">
        <v>6</v>
      </c>
      <c r="H47" s="18">
        <f t="shared" si="21"/>
        <v>13.2161622785484</v>
      </c>
      <c r="I47" s="18">
        <f t="shared" si="22"/>
        <v>286.366162278548</v>
      </c>
      <c r="J47" s="18">
        <f t="shared" si="23"/>
        <v>0.0902972743813819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0.166436570088657</v>
      </c>
      <c r="P47" s="18">
        <f t="shared" si="26"/>
        <v>0.0150287686363916</v>
      </c>
      <c r="Q47" s="24">
        <f t="shared" si="27"/>
        <v>0.00240460298182265</v>
      </c>
      <c r="R47" s="18">
        <f t="shared" si="28"/>
        <v>0.0123345666666667</v>
      </c>
      <c r="S47" s="25">
        <f t="shared" si="29"/>
        <v>0.194948314505521</v>
      </c>
      <c r="T47" s="3">
        <v>0.01</v>
      </c>
      <c r="U47" s="26">
        <f t="shared" si="30"/>
        <v>0.00194948314505521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0.0290494831450552</v>
      </c>
      <c r="AR47" s="29">
        <f t="shared" si="34"/>
        <v>7.70910416666667</v>
      </c>
      <c r="AS47" s="1">
        <f t="shared" si="35"/>
        <v>0.16</v>
      </c>
      <c r="AT47" s="2">
        <f t="shared" si="39"/>
        <v>115.692602739726</v>
      </c>
      <c r="AU47" s="1">
        <f t="shared" si="36"/>
        <v>27774.2730384518</v>
      </c>
    </row>
    <row r="48" s="1" customFormat="1" spans="1:47">
      <c r="A48" s="13"/>
      <c r="B48" s="13"/>
      <c r="C48" s="16">
        <v>6</v>
      </c>
      <c r="D48" s="19">
        <v>17.3630440873333</v>
      </c>
      <c r="E48" s="20">
        <f t="shared" si="37"/>
        <v>13.2161622785484</v>
      </c>
      <c r="F48" s="16" t="s">
        <v>110</v>
      </c>
      <c r="G48" s="13">
        <v>7</v>
      </c>
      <c r="H48" s="18">
        <f t="shared" si="21"/>
        <v>17.3630440873333</v>
      </c>
      <c r="I48" s="18">
        <f t="shared" si="22"/>
        <v>290.513044087333</v>
      </c>
      <c r="J48" s="18">
        <f t="shared" si="23"/>
        <v>0.146709104610864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0.228498843118932</v>
      </c>
      <c r="P48" s="18">
        <f t="shared" si="26"/>
        <v>0.0335228606785968</v>
      </c>
      <c r="Q48" s="24">
        <f t="shared" si="27"/>
        <v>0.00536365770857549</v>
      </c>
      <c r="R48" s="18">
        <f t="shared" si="28"/>
        <v>0.0123345666666667</v>
      </c>
      <c r="S48" s="25">
        <f t="shared" si="29"/>
        <v>0.434847680792096</v>
      </c>
      <c r="T48" s="3">
        <v>0.01</v>
      </c>
      <c r="U48" s="26">
        <f t="shared" si="30"/>
        <v>0.00434847680792096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0.031448476807921</v>
      </c>
      <c r="AR48" s="29">
        <f t="shared" si="34"/>
        <v>7.70910416666667</v>
      </c>
      <c r="AS48" s="1">
        <f t="shared" si="35"/>
        <v>0.16</v>
      </c>
      <c r="AT48" s="2">
        <f t="shared" si="39"/>
        <v>115.692602739726</v>
      </c>
      <c r="AU48" s="1">
        <f t="shared" si="36"/>
        <v>30067.9560164669</v>
      </c>
    </row>
    <row r="49" s="1" customFormat="1" spans="1:47">
      <c r="A49" s="13"/>
      <c r="B49" s="13"/>
      <c r="C49" s="16">
        <v>7</v>
      </c>
      <c r="D49" s="19">
        <v>21.9346023283871</v>
      </c>
      <c r="E49" s="20">
        <f t="shared" si="37"/>
        <v>17.3630440873333</v>
      </c>
      <c r="F49" s="16" t="s">
        <v>110</v>
      </c>
      <c r="G49" s="13">
        <v>8</v>
      </c>
      <c r="H49" s="18">
        <f t="shared" si="21"/>
        <v>21.9346023283871</v>
      </c>
      <c r="I49" s="18">
        <f t="shared" si="22"/>
        <v>295.084602328387</v>
      </c>
      <c r="J49" s="18">
        <f t="shared" si="23"/>
        <v>0.246581207441861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0.272067024107002</v>
      </c>
      <c r="P49" s="18">
        <f t="shared" si="26"/>
        <v>0.0670866153094184</v>
      </c>
      <c r="Q49" s="24">
        <f t="shared" si="27"/>
        <v>0.0107338584495069</v>
      </c>
      <c r="R49" s="18">
        <f t="shared" si="28"/>
        <v>0.0123345666666667</v>
      </c>
      <c r="S49" s="25">
        <f t="shared" si="29"/>
        <v>0.870225824674853</v>
      </c>
      <c r="T49" s="3">
        <v>0.01</v>
      </c>
      <c r="U49" s="26">
        <f t="shared" si="30"/>
        <v>0.00870225824674853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0.0358022582467485</v>
      </c>
      <c r="AR49" s="29">
        <f t="shared" si="34"/>
        <v>7.70910416666667</v>
      </c>
      <c r="AS49" s="1">
        <f t="shared" si="35"/>
        <v>0.16</v>
      </c>
      <c r="AT49" s="2">
        <f t="shared" si="39"/>
        <v>115.692602739726</v>
      </c>
      <c r="AU49" s="1">
        <f t="shared" si="36"/>
        <v>34230.6157728531</v>
      </c>
    </row>
    <row r="50" s="1" customFormat="1" spans="1:47">
      <c r="A50" s="13"/>
      <c r="B50" s="13"/>
      <c r="C50" s="16">
        <v>8</v>
      </c>
      <c r="D50" s="19">
        <v>19.7250249035484</v>
      </c>
      <c r="E50" s="20">
        <f t="shared" si="37"/>
        <v>21.9346023283871</v>
      </c>
      <c r="F50" s="16" t="s">
        <v>110</v>
      </c>
      <c r="G50" s="13">
        <v>9</v>
      </c>
      <c r="H50" s="18">
        <f t="shared" si="21"/>
        <v>19.7250249035484</v>
      </c>
      <c r="I50" s="18">
        <f t="shared" si="22"/>
        <v>292.875024903548</v>
      </c>
      <c r="J50" s="18">
        <f t="shared" si="23"/>
        <v>0.192241149175605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0.28207145046425</v>
      </c>
      <c r="P50" s="18">
        <f t="shared" si="26"/>
        <v>0.0542257397868772</v>
      </c>
      <c r="Q50" s="24">
        <f t="shared" si="27"/>
        <v>0.00867611836590035</v>
      </c>
      <c r="R50" s="18">
        <f t="shared" si="28"/>
        <v>0.0123345666666667</v>
      </c>
      <c r="S50" s="25">
        <f t="shared" si="29"/>
        <v>0.703398716822941</v>
      </c>
      <c r="T50" s="3">
        <v>0.01</v>
      </c>
      <c r="U50" s="26">
        <f t="shared" si="30"/>
        <v>0.00703398716822941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0.0218339871682294</v>
      </c>
      <c r="AR50" s="29">
        <f t="shared" si="34"/>
        <v>7.70910416666667</v>
      </c>
      <c r="AS50" s="1">
        <f t="shared" si="35"/>
        <v>0.16</v>
      </c>
      <c r="AT50" s="2">
        <f t="shared" si="39"/>
        <v>115.692602739726</v>
      </c>
      <c r="AU50" s="1">
        <f t="shared" si="36"/>
        <v>20875.5218845153</v>
      </c>
    </row>
    <row r="51" s="1" customFormat="1" spans="1:47">
      <c r="A51" s="13"/>
      <c r="B51" s="13"/>
      <c r="C51" s="16">
        <v>9</v>
      </c>
      <c r="D51" s="19">
        <v>14.1405394353667</v>
      </c>
      <c r="E51" s="20">
        <f t="shared" si="37"/>
        <v>19.7250249035484</v>
      </c>
      <c r="F51" s="16" t="s">
        <v>110</v>
      </c>
      <c r="G51" s="13">
        <v>10</v>
      </c>
      <c r="H51" s="18">
        <f t="shared" si="21"/>
        <v>14.1405394353667</v>
      </c>
      <c r="I51" s="18">
        <f t="shared" si="22"/>
        <v>287.290539435367</v>
      </c>
      <c r="J51" s="18">
        <f t="shared" si="23"/>
        <v>0.100736524548139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0.30493675234404</v>
      </c>
      <c r="P51" s="18">
        <f t="shared" si="26"/>
        <v>0.0307182686381351</v>
      </c>
      <c r="Q51" s="24">
        <f t="shared" si="27"/>
        <v>0.00491492298210162</v>
      </c>
      <c r="R51" s="18">
        <f t="shared" si="28"/>
        <v>0.0123345666666667</v>
      </c>
      <c r="S51" s="25">
        <f t="shared" si="29"/>
        <v>0.398467422076843</v>
      </c>
      <c r="T51" s="3">
        <v>0.01</v>
      </c>
      <c r="U51" s="26">
        <f t="shared" si="30"/>
        <v>0.00398467422076843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0.0187846742207684</v>
      </c>
      <c r="AR51" s="29">
        <f t="shared" si="34"/>
        <v>7.70910416666667</v>
      </c>
      <c r="AS51" s="1">
        <f t="shared" si="35"/>
        <v>0.16</v>
      </c>
      <c r="AT51" s="2">
        <f t="shared" si="39"/>
        <v>115.692602739726</v>
      </c>
      <c r="AU51" s="1">
        <f t="shared" si="36"/>
        <v>17960.0672459743</v>
      </c>
    </row>
    <row r="52" s="1" customFormat="1" spans="1:47">
      <c r="A52" s="13"/>
      <c r="B52" s="13"/>
      <c r="C52" s="16">
        <v>10</v>
      </c>
      <c r="D52" s="19">
        <v>0.564143603161291</v>
      </c>
      <c r="E52" s="20">
        <f t="shared" si="37"/>
        <v>14.1405394353667</v>
      </c>
      <c r="F52" s="16" t="s">
        <v>110</v>
      </c>
      <c r="G52" s="13">
        <v>11</v>
      </c>
      <c r="H52" s="18">
        <f t="shared" si="21"/>
        <v>0.564143603161291</v>
      </c>
      <c r="I52" s="18">
        <f t="shared" si="22"/>
        <v>273.714143603161</v>
      </c>
      <c r="J52" s="18">
        <f t="shared" si="23"/>
        <v>0.0187548865137351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0.260507559520609</v>
      </c>
      <c r="O52" s="18">
        <f t="shared" si="38"/>
        <v>0.0908019658519619</v>
      </c>
      <c r="P52" s="18">
        <f t="shared" si="26"/>
        <v>0.0017029805647776</v>
      </c>
      <c r="Q52" s="24">
        <f t="shared" si="27"/>
        <v>0.000272476890364415</v>
      </c>
      <c r="R52" s="18">
        <f t="shared" si="28"/>
        <v>0.0123345666666667</v>
      </c>
      <c r="S52" s="25">
        <f t="shared" si="29"/>
        <v>0.0220905117891791</v>
      </c>
      <c r="T52" s="3">
        <v>0.01</v>
      </c>
      <c r="U52" s="26">
        <f t="shared" si="30"/>
        <v>0.000220905117891791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0.0150209051178918</v>
      </c>
      <c r="AR52" s="29">
        <f t="shared" si="34"/>
        <v>7.70910416666667</v>
      </c>
      <c r="AS52" s="1">
        <f t="shared" si="35"/>
        <v>0.16</v>
      </c>
      <c r="AT52" s="2">
        <f t="shared" si="39"/>
        <v>115.692602739726</v>
      </c>
      <c r="AU52" s="1">
        <f t="shared" si="36"/>
        <v>14361.5195473803</v>
      </c>
    </row>
    <row r="53" s="1" customFormat="1" spans="1:48">
      <c r="A53" s="13"/>
      <c r="B53" s="13"/>
      <c r="C53" s="16">
        <v>11</v>
      </c>
      <c r="D53" s="19">
        <v>-13.3564916991</v>
      </c>
      <c r="E53" s="20">
        <f t="shared" si="37"/>
        <v>0.564143603161291</v>
      </c>
      <c r="F53" s="16" t="s">
        <v>112</v>
      </c>
      <c r="G53" s="13">
        <v>12</v>
      </c>
      <c r="H53" s="18">
        <f t="shared" si="21"/>
        <v>-13.3564916991</v>
      </c>
      <c r="I53" s="18">
        <f t="shared" si="22"/>
        <v>259.7935083009</v>
      </c>
      <c r="J53" s="18">
        <f t="shared" si="23"/>
        <v>0.00278803908059417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0.166190026953851</v>
      </c>
      <c r="P53" s="18">
        <f t="shared" si="26"/>
        <v>0.000463344289952335</v>
      </c>
      <c r="Q53" s="24">
        <f t="shared" si="27"/>
        <v>7.41350863923736e-5</v>
      </c>
      <c r="R53" s="18">
        <f t="shared" si="28"/>
        <v>0.0123345666666667</v>
      </c>
      <c r="S53" s="25">
        <f t="shared" si="29"/>
        <v>0.00601035191554144</v>
      </c>
      <c r="T53" s="3">
        <v>0.01</v>
      </c>
      <c r="U53" s="26">
        <f t="shared" si="30"/>
        <v>6.01035191554144e-5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0.0148601035191554</v>
      </c>
      <c r="AR53" s="29">
        <f t="shared" si="34"/>
        <v>7.70910416666667</v>
      </c>
      <c r="AS53" s="1">
        <f t="shared" si="35"/>
        <v>0.16</v>
      </c>
      <c r="AT53" s="2">
        <f t="shared" si="39"/>
        <v>115.692602739726</v>
      </c>
      <c r="AU53" s="1">
        <f t="shared" si="36"/>
        <v>14207.7767945051</v>
      </c>
      <c r="AV53" s="1">
        <f>SUM(AU42:AU53)</f>
        <v>231097.546135949</v>
      </c>
    </row>
    <row r="54" s="1" customFormat="1" spans="1:46">
      <c r="A54" s="13"/>
      <c r="B54" s="13"/>
      <c r="C54" s="16">
        <v>12</v>
      </c>
      <c r="D54" s="19">
        <v>-17.5063042547742</v>
      </c>
      <c r="E54" s="20">
        <f t="shared" si="37"/>
        <v>-13.3564916991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108</v>
      </c>
      <c r="B58" s="13">
        <f>F7</f>
        <v>122.786</v>
      </c>
      <c r="C58" s="16" t="s">
        <v>109</v>
      </c>
      <c r="D58" s="17">
        <v>-19</v>
      </c>
      <c r="E58" s="16"/>
      <c r="F58" s="16"/>
      <c r="G58" s="13">
        <v>1</v>
      </c>
      <c r="H58" s="18">
        <f t="shared" ref="H58:H69" si="40">E59</f>
        <v>-19</v>
      </c>
      <c r="I58" s="18">
        <f t="shared" ref="I58:I69" si="41">H58+273.15</f>
        <v>254.15</v>
      </c>
      <c r="J58" s="18">
        <f t="shared" ref="J58:J69" si="42">EXP(($C$16*(I58-$C$14))/($C$17*I58*$C$14))</f>
        <v>0.00121300707280757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0.00335115644493938</v>
      </c>
      <c r="Q58" s="24">
        <f t="shared" ref="Q58:Q69" si="46">P58*$B$60</f>
        <v>0.00097183536903242</v>
      </c>
      <c r="R58" s="18">
        <f t="shared" ref="R58:R69" si="47">L58*$B$60</f>
        <v>0.80117865</v>
      </c>
      <c r="S58" s="25">
        <f t="shared" ref="S58:S69" si="48">Q58/R58</f>
        <v>0.00121300707280757</v>
      </c>
      <c r="T58" s="3">
        <v>0.27</v>
      </c>
      <c r="U58" s="26">
        <f t="shared" ref="U58:U69" si="49">S58*T58</f>
        <v>0.000327511909658044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0.226463635564047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244.818172798076</v>
      </c>
      <c r="AF58" s="1">
        <f t="shared" ref="AF58:AF69" si="54">AE58*10000*AC58*AB58</f>
        <v>5672960.14965884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111</v>
      </c>
      <c r="B59" s="13">
        <v>27</v>
      </c>
      <c r="C59" s="16">
        <v>1</v>
      </c>
      <c r="D59" s="19">
        <v>-21.0399991687097</v>
      </c>
      <c r="E59" s="20">
        <f t="shared" ref="E59:E70" si="55">D58</f>
        <v>-19</v>
      </c>
      <c r="F59" s="16" t="s">
        <v>110</v>
      </c>
      <c r="G59" s="13">
        <v>2</v>
      </c>
      <c r="H59" s="18">
        <f t="shared" si="40"/>
        <v>-21.0399991687097</v>
      </c>
      <c r="I59" s="18">
        <f t="shared" si="41"/>
        <v>252.11000083129</v>
      </c>
      <c r="J59" s="18">
        <f t="shared" si="42"/>
        <v>0.000889673885681315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5.52201884355506</v>
      </c>
      <c r="P59" s="18">
        <f t="shared" si="45"/>
        <v>0.00491279596135107</v>
      </c>
      <c r="Q59" s="24">
        <f t="shared" si="46"/>
        <v>0.00142471082879181</v>
      </c>
      <c r="R59" s="18">
        <f t="shared" si="47"/>
        <v>0.80117865</v>
      </c>
      <c r="S59" s="25">
        <f t="shared" si="48"/>
        <v>0.00177826859064681</v>
      </c>
      <c r="T59" s="3">
        <v>0.27</v>
      </c>
      <c r="U59" s="26">
        <f t="shared" si="49"/>
        <v>0.000480132519474638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0.226493289748534</v>
      </c>
      <c r="AC59" s="29">
        <f t="shared" si="51"/>
        <v>10.2321666666667</v>
      </c>
      <c r="AD59" s="1">
        <f t="shared" si="52"/>
        <v>0.29</v>
      </c>
      <c r="AE59" s="30">
        <f t="shared" si="53"/>
        <v>244.818172798076</v>
      </c>
      <c r="AF59" s="1">
        <f t="shared" si="54"/>
        <v>5673702.99301402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73</v>
      </c>
      <c r="B60" s="13">
        <f>H7</f>
        <v>0.29</v>
      </c>
      <c r="C60" s="16">
        <v>2</v>
      </c>
      <c r="D60" s="19">
        <v>-16.1650568213103</v>
      </c>
      <c r="E60" s="20">
        <f t="shared" si="55"/>
        <v>-21.0399991687097</v>
      </c>
      <c r="F60" s="16" t="s">
        <v>110</v>
      </c>
      <c r="G60" s="13">
        <v>3</v>
      </c>
      <c r="H60" s="18">
        <f t="shared" si="40"/>
        <v>-16.1650568213103</v>
      </c>
      <c r="I60" s="18">
        <f t="shared" si="41"/>
        <v>256.98494317869</v>
      </c>
      <c r="J60" s="18">
        <f t="shared" si="42"/>
        <v>0.00185101551511113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8.27979104759371</v>
      </c>
      <c r="P60" s="18">
        <f t="shared" si="45"/>
        <v>0.0153260216909742</v>
      </c>
      <c r="Q60" s="24">
        <f t="shared" si="46"/>
        <v>0.00444454629038252</v>
      </c>
      <c r="R60" s="18">
        <f t="shared" si="47"/>
        <v>0.80117865</v>
      </c>
      <c r="S60" s="25">
        <f t="shared" si="48"/>
        <v>0.00554750964767036</v>
      </c>
      <c r="T60" s="3">
        <v>0.27</v>
      </c>
      <c r="U60" s="26">
        <f t="shared" si="49"/>
        <v>0.001497827604871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0.226691027903626</v>
      </c>
      <c r="AC60" s="29">
        <f t="shared" si="51"/>
        <v>10.2321666666667</v>
      </c>
      <c r="AD60" s="1">
        <f t="shared" si="52"/>
        <v>0.29</v>
      </c>
      <c r="AE60" s="30">
        <f t="shared" si="53"/>
        <v>244.818172798076</v>
      </c>
      <c r="AF60" s="1">
        <f t="shared" si="54"/>
        <v>5678656.37403306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19">
        <v>-3.48945502316129</v>
      </c>
      <c r="E61" s="20">
        <f t="shared" si="55"/>
        <v>-16.1650568213103</v>
      </c>
      <c r="F61" s="16" t="s">
        <v>110</v>
      </c>
      <c r="G61" s="13">
        <v>4</v>
      </c>
      <c r="H61" s="18">
        <f t="shared" si="40"/>
        <v>-3.48945502316129</v>
      </c>
      <c r="I61" s="18">
        <f t="shared" si="41"/>
        <v>269.660544976839</v>
      </c>
      <c r="J61" s="18">
        <f t="shared" si="42"/>
        <v>0.0109870282847742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11.0271500259027</v>
      </c>
      <c r="P61" s="18">
        <f t="shared" si="45"/>
        <v>0.121155609235042</v>
      </c>
      <c r="Q61" s="24">
        <f t="shared" si="46"/>
        <v>0.0351351266781621</v>
      </c>
      <c r="R61" s="18">
        <f t="shared" si="47"/>
        <v>0.80117865</v>
      </c>
      <c r="S61" s="25">
        <f t="shared" si="48"/>
        <v>0.0438542972633659</v>
      </c>
      <c r="T61" s="3">
        <v>0.27</v>
      </c>
      <c r="U61" s="26">
        <f t="shared" si="49"/>
        <v>0.0118406602611088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0.228700640288733</v>
      </c>
      <c r="AC61" s="29">
        <f t="shared" si="51"/>
        <v>10.2321666666667</v>
      </c>
      <c r="AD61" s="1">
        <f t="shared" si="52"/>
        <v>0.29</v>
      </c>
      <c r="AE61" s="30">
        <f t="shared" si="53"/>
        <v>244.818172798076</v>
      </c>
      <c r="AF61" s="1">
        <f t="shared" si="54"/>
        <v>5728997.57317781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19">
        <v>4.75912481943333</v>
      </c>
      <c r="E62" s="20">
        <f t="shared" si="55"/>
        <v>-3.48945502316129</v>
      </c>
      <c r="F62" s="16" t="s">
        <v>110</v>
      </c>
      <c r="G62" s="13">
        <v>5</v>
      </c>
      <c r="H62" s="18">
        <f t="shared" si="40"/>
        <v>4.75912481943333</v>
      </c>
      <c r="I62" s="18">
        <f t="shared" si="41"/>
        <v>277.909124819433</v>
      </c>
      <c r="J62" s="18">
        <f t="shared" si="42"/>
        <v>0.0320859755650881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10.3606946958343</v>
      </c>
      <c r="O62" s="18">
        <f t="shared" si="56"/>
        <v>3.30798472083338</v>
      </c>
      <c r="P62" s="18">
        <f t="shared" si="45"/>
        <v>0.106139916922345</v>
      </c>
      <c r="Q62" s="24">
        <f t="shared" si="46"/>
        <v>0.03078057590748</v>
      </c>
      <c r="R62" s="18">
        <f t="shared" si="47"/>
        <v>0.80117865</v>
      </c>
      <c r="S62" s="25">
        <f t="shared" si="48"/>
        <v>0.0384191165197425</v>
      </c>
      <c r="T62" s="3">
        <v>0.27</v>
      </c>
      <c r="U62" s="26">
        <f t="shared" si="49"/>
        <v>0.0103731614603305</v>
      </c>
      <c r="V62" s="3">
        <v>180.9</v>
      </c>
      <c r="W62" s="27">
        <v>6</v>
      </c>
      <c r="X62" s="27">
        <v>3</v>
      </c>
      <c r="Y62" s="27">
        <v>0.3</v>
      </c>
      <c r="Z62" s="27">
        <v>6</v>
      </c>
      <c r="AA62" s="3">
        <v>30.2</v>
      </c>
      <c r="AB62" s="2">
        <f t="shared" si="50"/>
        <v>0.228415505271742</v>
      </c>
      <c r="AC62" s="29">
        <f t="shared" si="51"/>
        <v>10.2321666666667</v>
      </c>
      <c r="AD62" s="1">
        <f t="shared" si="52"/>
        <v>0.29</v>
      </c>
      <c r="AE62" s="30">
        <f t="shared" si="53"/>
        <v>244.818172798076</v>
      </c>
      <c r="AF62" s="1">
        <f t="shared" si="54"/>
        <v>5721854.88298547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19">
        <v>13.2161622785484</v>
      </c>
      <c r="E63" s="20">
        <f t="shared" si="55"/>
        <v>4.75912481943333</v>
      </c>
      <c r="F63" s="16" t="s">
        <v>112</v>
      </c>
      <c r="G63" s="13">
        <v>6</v>
      </c>
      <c r="H63" s="18">
        <f t="shared" si="40"/>
        <v>13.2161622785484</v>
      </c>
      <c r="I63" s="18">
        <f t="shared" si="41"/>
        <v>286.366162278548</v>
      </c>
      <c r="J63" s="18">
        <f t="shared" si="42"/>
        <v>0.0902972743813819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5.96452980391104</v>
      </c>
      <c r="P63" s="18">
        <f t="shared" si="45"/>
        <v>0.538580784259685</v>
      </c>
      <c r="Q63" s="24">
        <f t="shared" si="46"/>
        <v>0.156188427435309</v>
      </c>
      <c r="R63" s="18">
        <f t="shared" si="47"/>
        <v>0.80117865</v>
      </c>
      <c r="S63" s="25">
        <f t="shared" si="48"/>
        <v>0.194948314505521</v>
      </c>
      <c r="T63" s="3">
        <v>0.27</v>
      </c>
      <c r="U63" s="26">
        <f t="shared" si="49"/>
        <v>0.0526360449164906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0.285427183527274</v>
      </c>
      <c r="AC63" s="29">
        <f t="shared" si="51"/>
        <v>10.2321666666667</v>
      </c>
      <c r="AD63" s="1">
        <f t="shared" si="52"/>
        <v>0.29</v>
      </c>
      <c r="AE63" s="30">
        <f t="shared" si="53"/>
        <v>244.818172798076</v>
      </c>
      <c r="AF63" s="1">
        <f t="shared" si="54"/>
        <v>7150009.023509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19">
        <v>17.3630440873333</v>
      </c>
      <c r="E64" s="20">
        <f t="shared" si="55"/>
        <v>13.2161622785484</v>
      </c>
      <c r="F64" s="16" t="s">
        <v>110</v>
      </c>
      <c r="G64" s="13">
        <v>7</v>
      </c>
      <c r="H64" s="18">
        <f t="shared" si="40"/>
        <v>17.3630440873333</v>
      </c>
      <c r="I64" s="18">
        <f t="shared" si="41"/>
        <v>290.513044087333</v>
      </c>
      <c r="J64" s="18">
        <f t="shared" si="42"/>
        <v>0.146709104610864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8.18863401965135</v>
      </c>
      <c r="P64" s="18">
        <f t="shared" si="45"/>
        <v>1.20134716500911</v>
      </c>
      <c r="Q64" s="24">
        <f t="shared" si="46"/>
        <v>0.348390677852642</v>
      </c>
      <c r="R64" s="18">
        <f t="shared" si="47"/>
        <v>0.80117865</v>
      </c>
      <c r="S64" s="25">
        <f t="shared" si="48"/>
        <v>0.434847680792095</v>
      </c>
      <c r="T64" s="3">
        <v>0.27</v>
      </c>
      <c r="U64" s="26">
        <f t="shared" si="49"/>
        <v>0.117408873813866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0.298012544182034</v>
      </c>
      <c r="AC64" s="29">
        <f t="shared" si="51"/>
        <v>10.2321666666667</v>
      </c>
      <c r="AD64" s="1">
        <f t="shared" si="52"/>
        <v>0.29</v>
      </c>
      <c r="AE64" s="30">
        <f t="shared" si="53"/>
        <v>244.818172798076</v>
      </c>
      <c r="AF64" s="1">
        <f t="shared" si="54"/>
        <v>7465274.86866649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19">
        <v>21.9346023283871</v>
      </c>
      <c r="E65" s="20">
        <f t="shared" si="55"/>
        <v>17.3630440873333</v>
      </c>
      <c r="F65" s="16" t="s">
        <v>110</v>
      </c>
      <c r="G65" s="13">
        <v>8</v>
      </c>
      <c r="H65" s="18">
        <f t="shared" si="40"/>
        <v>21.9346023283871</v>
      </c>
      <c r="I65" s="18">
        <f t="shared" si="41"/>
        <v>295.084602328387</v>
      </c>
      <c r="J65" s="18">
        <f t="shared" si="42"/>
        <v>0.246581207441861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9.74997185464224</v>
      </c>
      <c r="P65" s="18">
        <f t="shared" si="45"/>
        <v>2.40415983244184</v>
      </c>
      <c r="Q65" s="24">
        <f t="shared" si="46"/>
        <v>0.697206351408135</v>
      </c>
      <c r="R65" s="18">
        <f t="shared" si="47"/>
        <v>0.80117865</v>
      </c>
      <c r="S65" s="25">
        <f t="shared" si="48"/>
        <v>0.870225824674853</v>
      </c>
      <c r="T65" s="3">
        <v>0.27</v>
      </c>
      <c r="U65" s="26">
        <f t="shared" si="49"/>
        <v>0.23496097266221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0.320852916988267</v>
      </c>
      <c r="AC65" s="29">
        <f t="shared" si="51"/>
        <v>10.2321666666667</v>
      </c>
      <c r="AD65" s="1">
        <f t="shared" si="52"/>
        <v>0.29</v>
      </c>
      <c r="AE65" s="30">
        <f t="shared" si="53"/>
        <v>244.818172798076</v>
      </c>
      <c r="AF65" s="1">
        <f t="shared" si="54"/>
        <v>8037430.85481584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19">
        <v>19.7250249035484</v>
      </c>
      <c r="E66" s="20">
        <f t="shared" si="55"/>
        <v>21.9346023283871</v>
      </c>
      <c r="F66" s="16" t="s">
        <v>110</v>
      </c>
      <c r="G66" s="13">
        <v>9</v>
      </c>
      <c r="H66" s="18">
        <f t="shared" si="40"/>
        <v>19.7250249035484</v>
      </c>
      <c r="I66" s="18">
        <f t="shared" si="41"/>
        <v>292.875024903548</v>
      </c>
      <c r="J66" s="18">
        <f t="shared" si="42"/>
        <v>0.192241149175605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10.1084970222004</v>
      </c>
      <c r="P66" s="18">
        <f t="shared" si="45"/>
        <v>1.94326908398599</v>
      </c>
      <c r="Q66" s="24">
        <f t="shared" si="46"/>
        <v>0.563548034355936</v>
      </c>
      <c r="R66" s="18">
        <f t="shared" si="47"/>
        <v>0.80117865</v>
      </c>
      <c r="S66" s="25">
        <f t="shared" si="48"/>
        <v>0.703398716822941</v>
      </c>
      <c r="T66" s="3">
        <v>0.27</v>
      </c>
      <c r="U66" s="26">
        <f t="shared" si="49"/>
        <v>0.189917653542194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0.263301000083248</v>
      </c>
      <c r="AC66" s="29">
        <f t="shared" si="51"/>
        <v>10.2321666666667</v>
      </c>
      <c r="AD66" s="1">
        <f t="shared" si="52"/>
        <v>0.29</v>
      </c>
      <c r="AE66" s="30">
        <f t="shared" si="53"/>
        <v>244.818172798076</v>
      </c>
      <c r="AF66" s="1">
        <f t="shared" si="54"/>
        <v>6595743.62619977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19">
        <v>14.1405394353667</v>
      </c>
      <c r="E67" s="20">
        <f t="shared" si="55"/>
        <v>19.7250249035484</v>
      </c>
      <c r="F67" s="16" t="s">
        <v>110</v>
      </c>
      <c r="G67" s="13">
        <v>10</v>
      </c>
      <c r="H67" s="18">
        <f t="shared" si="40"/>
        <v>14.1405394353667</v>
      </c>
      <c r="I67" s="18">
        <f t="shared" si="41"/>
        <v>287.290539435367</v>
      </c>
      <c r="J67" s="18">
        <f t="shared" si="42"/>
        <v>0.100736524548139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10.9279129382144</v>
      </c>
      <c r="P67" s="18">
        <f t="shared" si="45"/>
        <v>1.10083996996036</v>
      </c>
      <c r="Q67" s="24">
        <f t="shared" si="46"/>
        <v>0.319243591288505</v>
      </c>
      <c r="R67" s="18">
        <f t="shared" si="47"/>
        <v>0.80117865</v>
      </c>
      <c r="S67" s="25">
        <f t="shared" si="48"/>
        <v>0.398467422076843</v>
      </c>
      <c r="T67" s="3">
        <v>0.27</v>
      </c>
      <c r="U67" s="26">
        <f t="shared" si="49"/>
        <v>0.107586203960748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0.247303999429573</v>
      </c>
      <c r="AC67" s="29">
        <f t="shared" si="51"/>
        <v>10.2321666666667</v>
      </c>
      <c r="AD67" s="1">
        <f t="shared" si="52"/>
        <v>0.29</v>
      </c>
      <c r="AE67" s="30">
        <f t="shared" si="53"/>
        <v>244.818172798076</v>
      </c>
      <c r="AF67" s="1">
        <f t="shared" si="54"/>
        <v>6195015.50489969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19">
        <v>0.564143603161291</v>
      </c>
      <c r="E68" s="20">
        <f t="shared" si="55"/>
        <v>14.1405394353667</v>
      </c>
      <c r="F68" s="16" t="s">
        <v>110</v>
      </c>
      <c r="G68" s="13">
        <v>11</v>
      </c>
      <c r="H68" s="18">
        <f t="shared" si="40"/>
        <v>0.564143603161291</v>
      </c>
      <c r="I68" s="18">
        <f t="shared" si="41"/>
        <v>273.714143603161</v>
      </c>
      <c r="J68" s="18">
        <f t="shared" si="42"/>
        <v>0.0187548865137351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9.33571931984135</v>
      </c>
      <c r="O68" s="18">
        <f t="shared" si="56"/>
        <v>3.2540386484127</v>
      </c>
      <c r="P68" s="18">
        <f t="shared" si="45"/>
        <v>0.0610291255622882</v>
      </c>
      <c r="Q68" s="24">
        <f t="shared" si="46"/>
        <v>0.0176984464130636</v>
      </c>
      <c r="R68" s="18">
        <f t="shared" si="47"/>
        <v>0.80117865</v>
      </c>
      <c r="S68" s="25">
        <f t="shared" si="48"/>
        <v>0.0220905117891791</v>
      </c>
      <c r="T68" s="3">
        <v>0.27</v>
      </c>
      <c r="U68" s="26">
        <f t="shared" si="49"/>
        <v>0.00596443818307835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0.227558890338972</v>
      </c>
      <c r="AC68" s="29">
        <f t="shared" si="51"/>
        <v>10.2321666666667</v>
      </c>
      <c r="AD68" s="1">
        <f t="shared" si="52"/>
        <v>0.29</v>
      </c>
      <c r="AE68" s="30">
        <f t="shared" si="53"/>
        <v>244.818172798076</v>
      </c>
      <c r="AF68" s="1">
        <f t="shared" si="54"/>
        <v>5700396.5046233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19">
        <v>-13.3564916991</v>
      </c>
      <c r="E69" s="20">
        <f t="shared" si="55"/>
        <v>0.564143603161291</v>
      </c>
      <c r="F69" s="16" t="s">
        <v>112</v>
      </c>
      <c r="G69" s="13">
        <v>12</v>
      </c>
      <c r="H69" s="18">
        <f t="shared" si="40"/>
        <v>-13.3564916991</v>
      </c>
      <c r="I69" s="18">
        <f t="shared" si="41"/>
        <v>259.7935083009</v>
      </c>
      <c r="J69" s="18">
        <f t="shared" si="42"/>
        <v>0.00278803908059417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5.95569452285041</v>
      </c>
      <c r="P69" s="18">
        <f t="shared" si="45"/>
        <v>0.0166047090817876</v>
      </c>
      <c r="Q69" s="24">
        <f t="shared" si="46"/>
        <v>0.0048153656337184</v>
      </c>
      <c r="R69" s="18">
        <f t="shared" si="47"/>
        <v>0.80117865</v>
      </c>
      <c r="S69" s="25">
        <f t="shared" si="48"/>
        <v>0.00601035191554144</v>
      </c>
      <c r="T69" s="3">
        <v>0.27</v>
      </c>
      <c r="U69" s="26">
        <f t="shared" si="49"/>
        <v>0.00162279501719619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0.226715309071841</v>
      </c>
      <c r="AC69" s="29">
        <f t="shared" si="51"/>
        <v>10.2321666666667</v>
      </c>
      <c r="AD69" s="1">
        <f t="shared" si="52"/>
        <v>0.29</v>
      </c>
      <c r="AE69" s="30">
        <f t="shared" si="53"/>
        <v>244.818172798076</v>
      </c>
      <c r="AF69" s="1">
        <f t="shared" si="54"/>
        <v>5679264.62223735</v>
      </c>
      <c r="AG69" s="1">
        <f>SUM(AF58:AF69)</f>
        <v>75299306.9778206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19">
        <v>-17.5063042547742</v>
      </c>
      <c r="E70" s="20">
        <f t="shared" si="55"/>
        <v>-13.3564916991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-19</v>
      </c>
      <c r="E74" s="16"/>
      <c r="F74" s="16"/>
      <c r="G74" s="13">
        <v>1</v>
      </c>
      <c r="H74" s="18">
        <f t="shared" ref="H74:H85" si="57">E75</f>
        <v>-19</v>
      </c>
      <c r="I74" s="18">
        <f t="shared" ref="I74:I85" si="58">H74+273.15</f>
        <v>254.15</v>
      </c>
      <c r="J74" s="18">
        <f t="shared" ref="J74:J85" si="59">EXP(($C$16*(I74-$C$14))/($C$17*I74*$C$14))</f>
        <v>0.00121300707280757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0.000632243546488762</v>
      </c>
      <c r="Q74" s="24">
        <f t="shared" ref="Q74:Q85" si="63">P74*$B$76</f>
        <v>0.000164383322087078</v>
      </c>
      <c r="R74" s="18">
        <f t="shared" ref="R74:R85" si="64">L74*$B$76</f>
        <v>0.1355172</v>
      </c>
      <c r="S74" s="25">
        <f t="shared" ref="S74:S85" si="65">Q74/R74</f>
        <v>0.00121300707280757</v>
      </c>
      <c r="T74" s="3">
        <v>0.01</v>
      </c>
      <c r="U74" s="26">
        <f t="shared" ref="U74:U85" si="66">S74*T74</f>
        <v>1.21300707280757e-5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0.00550213007072808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1.34600389991164</v>
      </c>
      <c r="AX74" s="1">
        <f t="shared" ref="AX74:AX85" si="72">AW74*10000*AV74*0.67*AU74*AT74</f>
        <v>672.428935929776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-21.0399991687097</v>
      </c>
      <c r="E75" s="20">
        <f t="shared" ref="E75:E86" si="73">D74</f>
        <v>-19</v>
      </c>
      <c r="F75" s="16" t="s">
        <v>110</v>
      </c>
      <c r="G75" s="13">
        <v>2</v>
      </c>
      <c r="H75" s="18">
        <f t="shared" si="57"/>
        <v>-21.0399991687097</v>
      </c>
      <c r="I75" s="18">
        <f t="shared" si="58"/>
        <v>252.11000083129</v>
      </c>
      <c r="J75" s="18">
        <f t="shared" si="59"/>
        <v>0.000889673885681315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1.04180775645351</v>
      </c>
      <c r="P75" s="18">
        <f t="shared" si="62"/>
        <v>0.000926869154816928</v>
      </c>
      <c r="Q75" s="24">
        <f t="shared" si="63"/>
        <v>0.000240985980252401</v>
      </c>
      <c r="R75" s="18">
        <f t="shared" si="64"/>
        <v>0.1355172</v>
      </c>
      <c r="S75" s="25">
        <f t="shared" si="65"/>
        <v>0.00177826859064681</v>
      </c>
      <c r="T75" s="3">
        <v>0.01</v>
      </c>
      <c r="U75" s="26">
        <f t="shared" si="66"/>
        <v>1.77826859064681e-5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0.00550778268590647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1.34600389991164</v>
      </c>
      <c r="AX75" s="1">
        <f t="shared" si="72"/>
        <v>673.119756023224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-16.1650568213103</v>
      </c>
      <c r="E76" s="20">
        <f t="shared" si="73"/>
        <v>-21.0399991687097</v>
      </c>
      <c r="F76" s="16" t="s">
        <v>110</v>
      </c>
      <c r="G76" s="13">
        <v>3</v>
      </c>
      <c r="H76" s="18">
        <f t="shared" si="57"/>
        <v>-16.1650568213103</v>
      </c>
      <c r="I76" s="18">
        <f t="shared" si="58"/>
        <v>256.98494317869</v>
      </c>
      <c r="J76" s="18">
        <f t="shared" si="59"/>
        <v>0.00185101551511113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1.56210088729869</v>
      </c>
      <c r="P76" s="18">
        <f t="shared" si="62"/>
        <v>0.00289147297855875</v>
      </c>
      <c r="Q76" s="24">
        <f t="shared" si="63"/>
        <v>0.000751782974425274</v>
      </c>
      <c r="R76" s="18">
        <f t="shared" si="64"/>
        <v>0.1355172</v>
      </c>
      <c r="S76" s="25">
        <f t="shared" si="65"/>
        <v>0.00554750964767036</v>
      </c>
      <c r="T76" s="3">
        <v>0.01</v>
      </c>
      <c r="U76" s="26">
        <f t="shared" si="66"/>
        <v>5.54750964767036e-5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0.0055454750964767</v>
      </c>
      <c r="AU76" s="29">
        <f t="shared" si="70"/>
        <v>52.122</v>
      </c>
      <c r="AV76" s="1">
        <f t="shared" si="71"/>
        <v>0.26</v>
      </c>
      <c r="AW76" s="2">
        <f t="shared" si="75"/>
        <v>1.34600389991164</v>
      </c>
      <c r="AX76" s="1">
        <f t="shared" si="72"/>
        <v>677.726238822897</v>
      </c>
    </row>
    <row r="77" s="1" customFormat="1" spans="1:50">
      <c r="A77" s="13"/>
      <c r="B77" s="13"/>
      <c r="C77" s="16">
        <v>3</v>
      </c>
      <c r="D77" s="19">
        <v>-3.48945502316129</v>
      </c>
      <c r="E77" s="20">
        <f t="shared" si="73"/>
        <v>-16.1650568213103</v>
      </c>
      <c r="F77" s="16" t="s">
        <v>110</v>
      </c>
      <c r="G77" s="13">
        <v>4</v>
      </c>
      <c r="H77" s="18">
        <f t="shared" si="57"/>
        <v>-3.48945502316129</v>
      </c>
      <c r="I77" s="18">
        <f t="shared" si="58"/>
        <v>269.660544976839</v>
      </c>
      <c r="J77" s="18">
        <f t="shared" si="59"/>
        <v>0.0109870282847742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2.08042941432014</v>
      </c>
      <c r="P77" s="18">
        <f t="shared" si="62"/>
        <v>0.0228577368196116</v>
      </c>
      <c r="Q77" s="24">
        <f t="shared" si="63"/>
        <v>0.005943011573099</v>
      </c>
      <c r="R77" s="18">
        <f t="shared" si="64"/>
        <v>0.1355172</v>
      </c>
      <c r="S77" s="25">
        <f t="shared" si="65"/>
        <v>0.0438542972633659</v>
      </c>
      <c r="T77" s="3">
        <v>0.01</v>
      </c>
      <c r="U77" s="26">
        <f t="shared" si="66"/>
        <v>0.000438542972633659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0.00592854297263366</v>
      </c>
      <c r="AU77" s="29">
        <f t="shared" si="70"/>
        <v>52.122</v>
      </c>
      <c r="AV77" s="1">
        <f t="shared" si="71"/>
        <v>0.26</v>
      </c>
      <c r="AW77" s="2">
        <f t="shared" si="75"/>
        <v>1.34600389991164</v>
      </c>
      <c r="AX77" s="1">
        <f t="shared" si="72"/>
        <v>724.541912215187</v>
      </c>
    </row>
    <row r="78" s="1" customFormat="1" spans="1:50">
      <c r="A78" s="13"/>
      <c r="B78" s="13"/>
      <c r="C78" s="16">
        <v>4</v>
      </c>
      <c r="D78" s="19">
        <v>4.75912481943333</v>
      </c>
      <c r="E78" s="20">
        <f t="shared" si="73"/>
        <v>-3.48945502316129</v>
      </c>
      <c r="F78" s="16" t="s">
        <v>110</v>
      </c>
      <c r="G78" s="13">
        <v>5</v>
      </c>
      <c r="H78" s="18">
        <f t="shared" si="57"/>
        <v>4.75912481943333</v>
      </c>
      <c r="I78" s="18">
        <f t="shared" si="58"/>
        <v>277.909124819433</v>
      </c>
      <c r="J78" s="18">
        <f t="shared" si="59"/>
        <v>0.0320859755650881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1.9546930936255</v>
      </c>
      <c r="O78" s="18">
        <f t="shared" si="74"/>
        <v>0.624098583875026</v>
      </c>
      <c r="P78" s="18">
        <f t="shared" si="62"/>
        <v>0.0200248119124202</v>
      </c>
      <c r="Q78" s="24">
        <f t="shared" si="63"/>
        <v>0.00520645109722925</v>
      </c>
      <c r="R78" s="18">
        <f t="shared" si="64"/>
        <v>0.1355172</v>
      </c>
      <c r="S78" s="25">
        <f t="shared" si="65"/>
        <v>0.0384191165197425</v>
      </c>
      <c r="T78" s="3">
        <v>0.01</v>
      </c>
      <c r="U78" s="26">
        <f t="shared" si="66"/>
        <v>0.000384191165197425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0.001</v>
      </c>
      <c r="AF78" s="3">
        <v>0.49</v>
      </c>
      <c r="AG78" s="26">
        <f t="shared" si="67"/>
        <v>0.00049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</v>
      </c>
      <c r="AR78" s="3">
        <v>0.5</v>
      </c>
      <c r="AS78" s="3">
        <f t="shared" si="68"/>
        <v>0.005</v>
      </c>
      <c r="AT78" s="2">
        <f t="shared" si="69"/>
        <v>0.00587419116519743</v>
      </c>
      <c r="AU78" s="29">
        <f t="shared" si="70"/>
        <v>52.122</v>
      </c>
      <c r="AV78" s="1">
        <f t="shared" si="71"/>
        <v>0.26</v>
      </c>
      <c r="AW78" s="2">
        <f t="shared" si="75"/>
        <v>1.34600389991164</v>
      </c>
      <c r="AX78" s="1">
        <f t="shared" si="72"/>
        <v>717.899443285809</v>
      </c>
    </row>
    <row r="79" s="1" customFormat="1" spans="1:50">
      <c r="A79" s="13"/>
      <c r="B79" s="13"/>
      <c r="C79" s="16">
        <v>5</v>
      </c>
      <c r="D79" s="19">
        <v>13.2161622785484</v>
      </c>
      <c r="E79" s="20">
        <f t="shared" si="73"/>
        <v>4.75912481943333</v>
      </c>
      <c r="F79" s="16" t="s">
        <v>112</v>
      </c>
      <c r="G79" s="13">
        <v>6</v>
      </c>
      <c r="H79" s="18">
        <f t="shared" si="57"/>
        <v>13.2161622785484</v>
      </c>
      <c r="I79" s="18">
        <f t="shared" si="58"/>
        <v>286.366162278548</v>
      </c>
      <c r="J79" s="18">
        <f t="shared" si="59"/>
        <v>0.0902972743813819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1.12529377196261</v>
      </c>
      <c r="P79" s="18">
        <f t="shared" si="62"/>
        <v>0.101610960486568</v>
      </c>
      <c r="Q79" s="24">
        <f t="shared" si="63"/>
        <v>0.0264188497265076</v>
      </c>
      <c r="R79" s="18">
        <f t="shared" si="64"/>
        <v>0.1355172</v>
      </c>
      <c r="S79" s="25">
        <f t="shared" si="65"/>
        <v>0.194948314505521</v>
      </c>
      <c r="T79" s="3">
        <v>0.01</v>
      </c>
      <c r="U79" s="26">
        <f t="shared" si="66"/>
        <v>0.00194948314505521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0.0118994831450552</v>
      </c>
      <c r="AU79" s="29">
        <f t="shared" si="70"/>
        <v>52.122</v>
      </c>
      <c r="AV79" s="1">
        <f t="shared" si="71"/>
        <v>0.26</v>
      </c>
      <c r="AW79" s="2">
        <f t="shared" si="75"/>
        <v>1.34600389991164</v>
      </c>
      <c r="AX79" s="1">
        <f t="shared" si="72"/>
        <v>1454.26529116658</v>
      </c>
    </row>
    <row r="80" s="1" customFormat="1" spans="1:50">
      <c r="A80" s="13"/>
      <c r="B80" s="13"/>
      <c r="C80" s="16">
        <v>6</v>
      </c>
      <c r="D80" s="19">
        <v>17.3630440873333</v>
      </c>
      <c r="E80" s="20">
        <f t="shared" si="73"/>
        <v>13.2161622785484</v>
      </c>
      <c r="F80" s="16" t="s">
        <v>110</v>
      </c>
      <c r="G80" s="13">
        <v>7</v>
      </c>
      <c r="H80" s="18">
        <f t="shared" si="57"/>
        <v>17.3630440873333</v>
      </c>
      <c r="I80" s="18">
        <f t="shared" si="58"/>
        <v>290.513044087333</v>
      </c>
      <c r="J80" s="18">
        <f t="shared" si="59"/>
        <v>0.146709104610864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1.54490281147604</v>
      </c>
      <c r="P80" s="18">
        <f t="shared" si="62"/>
        <v>0.226651308182456</v>
      </c>
      <c r="Q80" s="24">
        <f t="shared" si="63"/>
        <v>0.0589293401274386</v>
      </c>
      <c r="R80" s="18">
        <f t="shared" si="64"/>
        <v>0.1355172</v>
      </c>
      <c r="S80" s="25">
        <f t="shared" si="65"/>
        <v>0.434847680792095</v>
      </c>
      <c r="T80" s="3">
        <v>0.01</v>
      </c>
      <c r="U80" s="26">
        <f t="shared" si="66"/>
        <v>0.00434847680792095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0.014298476807921</v>
      </c>
      <c r="AU80" s="29">
        <f t="shared" si="70"/>
        <v>52.122</v>
      </c>
      <c r="AV80" s="1">
        <f t="shared" si="71"/>
        <v>0.26</v>
      </c>
      <c r="AW80" s="2">
        <f t="shared" si="75"/>
        <v>1.34600389991164</v>
      </c>
      <c r="AX80" s="1">
        <f t="shared" si="72"/>
        <v>1747.45224518013</v>
      </c>
    </row>
    <row r="81" s="1" customFormat="1" spans="1:50">
      <c r="A81" s="13"/>
      <c r="B81" s="13"/>
      <c r="C81" s="16">
        <v>7</v>
      </c>
      <c r="D81" s="19">
        <v>21.9346023283871</v>
      </c>
      <c r="E81" s="20">
        <f t="shared" si="73"/>
        <v>17.3630440873333</v>
      </c>
      <c r="F81" s="16" t="s">
        <v>110</v>
      </c>
      <c r="G81" s="13">
        <v>8</v>
      </c>
      <c r="H81" s="18">
        <f t="shared" si="57"/>
        <v>21.9346023283871</v>
      </c>
      <c r="I81" s="18">
        <f t="shared" si="58"/>
        <v>295.084602328387</v>
      </c>
      <c r="J81" s="18">
        <f t="shared" si="59"/>
        <v>0.246581207441861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1.83947150329358</v>
      </c>
      <c r="P81" s="18">
        <f t="shared" si="62"/>
        <v>0.453579104337027</v>
      </c>
      <c r="Q81" s="24">
        <f t="shared" si="63"/>
        <v>0.117930567127627</v>
      </c>
      <c r="R81" s="18">
        <f t="shared" si="64"/>
        <v>0.1355172</v>
      </c>
      <c r="S81" s="25">
        <f t="shared" si="65"/>
        <v>0.870225824674853</v>
      </c>
      <c r="T81" s="3">
        <v>0.01</v>
      </c>
      <c r="U81" s="26">
        <f t="shared" si="66"/>
        <v>0.00870225824674853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0.0186522582467485</v>
      </c>
      <c r="AU81" s="29">
        <f t="shared" si="70"/>
        <v>52.122</v>
      </c>
      <c r="AV81" s="1">
        <f t="shared" si="71"/>
        <v>0.26</v>
      </c>
      <c r="AW81" s="2">
        <f t="shared" si="75"/>
        <v>1.34600389991164</v>
      </c>
      <c r="AX81" s="1">
        <f t="shared" si="72"/>
        <v>2279.53865218036</v>
      </c>
    </row>
    <row r="82" s="1" customFormat="1" spans="1:50">
      <c r="A82" s="13"/>
      <c r="B82" s="13"/>
      <c r="C82" s="16">
        <v>8</v>
      </c>
      <c r="D82" s="19">
        <v>19.7250249035484</v>
      </c>
      <c r="E82" s="20">
        <f t="shared" si="73"/>
        <v>21.9346023283871</v>
      </c>
      <c r="F82" s="16" t="s">
        <v>110</v>
      </c>
      <c r="G82" s="13">
        <v>9</v>
      </c>
      <c r="H82" s="18">
        <f t="shared" si="57"/>
        <v>19.7250249035484</v>
      </c>
      <c r="I82" s="18">
        <f t="shared" si="58"/>
        <v>292.875024903548</v>
      </c>
      <c r="J82" s="18">
        <f t="shared" si="59"/>
        <v>0.192241149175605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1.90711239895656</v>
      </c>
      <c r="P82" s="18">
        <f t="shared" si="62"/>
        <v>0.366625479182453</v>
      </c>
      <c r="Q82" s="24">
        <f t="shared" si="63"/>
        <v>0.0953226245874378</v>
      </c>
      <c r="R82" s="18">
        <f t="shared" si="64"/>
        <v>0.1355172</v>
      </c>
      <c r="S82" s="25">
        <f t="shared" si="65"/>
        <v>0.703398716822941</v>
      </c>
      <c r="T82" s="3">
        <v>0.01</v>
      </c>
      <c r="U82" s="26">
        <f t="shared" si="66"/>
        <v>0.00703398716822941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0.0125239871682294</v>
      </c>
      <c r="AU82" s="29">
        <f t="shared" si="70"/>
        <v>52.122</v>
      </c>
      <c r="AV82" s="1">
        <f t="shared" si="71"/>
        <v>0.26</v>
      </c>
      <c r="AW82" s="2">
        <f t="shared" si="75"/>
        <v>1.34600389991164</v>
      </c>
      <c r="AX82" s="1">
        <f t="shared" si="72"/>
        <v>1530.58747373747</v>
      </c>
    </row>
    <row r="83" s="1" customFormat="1" spans="1:50">
      <c r="A83" s="13"/>
      <c r="B83" s="13"/>
      <c r="C83" s="16">
        <v>9</v>
      </c>
      <c r="D83" s="19">
        <v>14.1405394353667</v>
      </c>
      <c r="E83" s="20">
        <f t="shared" si="73"/>
        <v>19.7250249035484</v>
      </c>
      <c r="F83" s="16" t="s">
        <v>110</v>
      </c>
      <c r="G83" s="13">
        <v>10</v>
      </c>
      <c r="H83" s="18">
        <f t="shared" si="57"/>
        <v>14.1405394353667</v>
      </c>
      <c r="I83" s="18">
        <f t="shared" si="58"/>
        <v>287.290539435367</v>
      </c>
      <c r="J83" s="18">
        <f t="shared" si="59"/>
        <v>0.100736524548139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2.0617069197741</v>
      </c>
      <c r="P83" s="18">
        <f t="shared" si="62"/>
        <v>0.207689189734892</v>
      </c>
      <c r="Q83" s="24">
        <f t="shared" si="63"/>
        <v>0.0539991893310719</v>
      </c>
      <c r="R83" s="18">
        <f t="shared" si="64"/>
        <v>0.1355172</v>
      </c>
      <c r="S83" s="25">
        <f t="shared" si="65"/>
        <v>0.398467422076843</v>
      </c>
      <c r="T83" s="3">
        <v>0.01</v>
      </c>
      <c r="U83" s="26">
        <f t="shared" si="66"/>
        <v>0.00398467422076843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0.00947467422076843</v>
      </c>
      <c r="AU83" s="29">
        <f t="shared" si="70"/>
        <v>52.122</v>
      </c>
      <c r="AV83" s="1">
        <f t="shared" si="71"/>
        <v>0.26</v>
      </c>
      <c r="AW83" s="2">
        <f t="shared" si="75"/>
        <v>1.34600389991164</v>
      </c>
      <c r="AX83" s="1">
        <f t="shared" si="72"/>
        <v>1157.92339015161</v>
      </c>
    </row>
    <row r="84" s="1" customFormat="1" spans="1:50">
      <c r="A84" s="13"/>
      <c r="B84" s="13"/>
      <c r="C84" s="16">
        <v>10</v>
      </c>
      <c r="D84" s="19">
        <v>0.564143603161291</v>
      </c>
      <c r="E84" s="20">
        <f t="shared" si="73"/>
        <v>14.1405394353667</v>
      </c>
      <c r="F84" s="16" t="s">
        <v>110</v>
      </c>
      <c r="G84" s="13">
        <v>11</v>
      </c>
      <c r="H84" s="18">
        <f t="shared" si="57"/>
        <v>0.564143603161291</v>
      </c>
      <c r="I84" s="18">
        <f t="shared" si="58"/>
        <v>273.714143603161</v>
      </c>
      <c r="J84" s="18">
        <f t="shared" si="59"/>
        <v>0.0187548865137351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1.76131684353725</v>
      </c>
      <c r="O84" s="18">
        <f t="shared" si="74"/>
        <v>0.613920886501961</v>
      </c>
      <c r="P84" s="18">
        <f t="shared" si="62"/>
        <v>0.0115140165547559</v>
      </c>
      <c r="Q84" s="24">
        <f t="shared" si="63"/>
        <v>0.00299364430423654</v>
      </c>
      <c r="R84" s="18">
        <f t="shared" si="64"/>
        <v>0.1355172</v>
      </c>
      <c r="S84" s="25">
        <f t="shared" si="65"/>
        <v>0.0220905117891791</v>
      </c>
      <c r="T84" s="3">
        <v>0.01</v>
      </c>
      <c r="U84" s="26">
        <f t="shared" si="66"/>
        <v>0.000220905117891791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0.00571090511789179</v>
      </c>
      <c r="AU84" s="29">
        <f t="shared" si="70"/>
        <v>52.122</v>
      </c>
      <c r="AV84" s="1">
        <f t="shared" si="71"/>
        <v>0.26</v>
      </c>
      <c r="AW84" s="2">
        <f t="shared" si="75"/>
        <v>1.34600389991164</v>
      </c>
      <c r="AX84" s="1">
        <f t="shared" si="72"/>
        <v>697.943851245911</v>
      </c>
    </row>
    <row r="85" s="1" customFormat="1" spans="1:51">
      <c r="A85" s="13"/>
      <c r="B85" s="13"/>
      <c r="C85" s="16">
        <v>11</v>
      </c>
      <c r="D85" s="19">
        <v>-13.3564916991</v>
      </c>
      <c r="E85" s="20">
        <f t="shared" si="73"/>
        <v>0.564143603161291</v>
      </c>
      <c r="F85" s="16" t="s">
        <v>112</v>
      </c>
      <c r="G85" s="13">
        <v>12</v>
      </c>
      <c r="H85" s="18">
        <f t="shared" si="57"/>
        <v>-13.3564916991</v>
      </c>
      <c r="I85" s="18">
        <f t="shared" si="58"/>
        <v>259.7935083009</v>
      </c>
      <c r="J85" s="18">
        <f t="shared" si="59"/>
        <v>0.00278803908059417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1.1236268699472</v>
      </c>
      <c r="P85" s="18">
        <f t="shared" si="62"/>
        <v>0.00313271562541851</v>
      </c>
      <c r="Q85" s="24">
        <f t="shared" si="63"/>
        <v>0.000814506062608813</v>
      </c>
      <c r="R85" s="18">
        <f t="shared" si="64"/>
        <v>0.1355172</v>
      </c>
      <c r="S85" s="25">
        <f t="shared" si="65"/>
        <v>0.00601035191554144</v>
      </c>
      <c r="T85" s="3">
        <v>0.01</v>
      </c>
      <c r="U85" s="26">
        <f t="shared" si="66"/>
        <v>6.01035191554144e-5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0.00555010351915541</v>
      </c>
      <c r="AU85" s="29">
        <f t="shared" si="70"/>
        <v>52.122</v>
      </c>
      <c r="AV85" s="1">
        <f t="shared" si="71"/>
        <v>0.26</v>
      </c>
      <c r="AW85" s="2">
        <f t="shared" si="75"/>
        <v>1.34600389991164</v>
      </c>
      <c r="AX85" s="1">
        <f t="shared" si="72"/>
        <v>678.291889815671</v>
      </c>
      <c r="AY85" s="1">
        <f>SUM(AX74:AX85)</f>
        <v>13011.7190797546</v>
      </c>
    </row>
    <row r="86" s="1" customFormat="1" spans="1:46">
      <c r="A86" s="13"/>
      <c r="B86" s="13"/>
      <c r="C86" s="16">
        <v>12</v>
      </c>
      <c r="D86" s="19">
        <v>-17.5063042547742</v>
      </c>
      <c r="E86" s="20">
        <f t="shared" si="73"/>
        <v>-13.3564916991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-19</v>
      </c>
      <c r="E90" s="16"/>
      <c r="F90" s="16"/>
      <c r="G90" s="13">
        <v>1</v>
      </c>
      <c r="H90" s="18">
        <f t="shared" ref="H90:H101" si="76">E91</f>
        <v>-19</v>
      </c>
      <c r="I90" s="18">
        <f t="shared" ref="I90:I101" si="77">H90+273.15</f>
        <v>254.15</v>
      </c>
      <c r="J90" s="18">
        <f t="shared" ref="J90:J101" si="78">EXP(($C$16*(I90-$C$14))/($C$17*I90*$C$14))</f>
        <v>0.00121300707280757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0.000345343113628315</v>
      </c>
      <c r="Q90" s="24">
        <f t="shared" ref="Q90:Q101" si="82">P90*$B$76</f>
        <v>8.97892095433619e-5</v>
      </c>
      <c r="R90" s="18">
        <f t="shared" ref="R90:R101" si="83">L90*$B$76</f>
        <v>0.074022</v>
      </c>
      <c r="S90" s="25">
        <f t="shared" ref="S90:S101" si="84">Q90/R90</f>
        <v>0.00121300707280757</v>
      </c>
      <c r="T90" s="3">
        <v>0.01</v>
      </c>
      <c r="U90" s="26">
        <f t="shared" ref="U90:U101" si="85">S90*T90</f>
        <v>1.21300707280757e-5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0.00550213007072808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0.408596396168897</v>
      </c>
      <c r="AX90" s="1">
        <f t="shared" ref="AX90:AX101" si="91">AW90*10000*AV90*0.67*AU90*AT90</f>
        <v>111.496440428614</v>
      </c>
      <c r="AZ90" s="2">
        <f>$E$10/12</f>
        <v>0.0985989237147408</v>
      </c>
      <c r="BA90" s="1">
        <f t="shared" ref="BA90:BA101" si="92">AZ90*10000*AV90*0.67*AU90*AT90</f>
        <v>26.9053499427877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-21.0399991687097</v>
      </c>
      <c r="E91" s="20">
        <f t="shared" ref="E91:E102" si="93">D90</f>
        <v>-19</v>
      </c>
      <c r="F91" s="16" t="s">
        <v>110</v>
      </c>
      <c r="G91" s="13">
        <v>2</v>
      </c>
      <c r="H91" s="18">
        <f t="shared" si="76"/>
        <v>-21.0399991687097</v>
      </c>
      <c r="I91" s="18">
        <f t="shared" si="77"/>
        <v>252.11000083129</v>
      </c>
      <c r="J91" s="18">
        <f t="shared" si="78"/>
        <v>0.000889673885681315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0.569054656886372</v>
      </c>
      <c r="P91" s="18">
        <f t="shared" si="81"/>
        <v>0.000506273067757146</v>
      </c>
      <c r="Q91" s="24">
        <f t="shared" si="82"/>
        <v>0.000131630997616858</v>
      </c>
      <c r="R91" s="18">
        <f t="shared" si="83"/>
        <v>0.074022</v>
      </c>
      <c r="S91" s="25">
        <f t="shared" si="84"/>
        <v>0.00177826859064681</v>
      </c>
      <c r="T91" s="3">
        <v>0.01</v>
      </c>
      <c r="U91" s="26">
        <f t="shared" si="85"/>
        <v>1.77826859064681e-5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0.00550778268590647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0.408596396168897</v>
      </c>
      <c r="AX91" s="1">
        <f t="shared" si="91"/>
        <v>111.610986334182</v>
      </c>
      <c r="AZ91" s="2">
        <f t="shared" ref="AZ91:AZ101" si="96">$E$10/12</f>
        <v>0.0985989237147408</v>
      </c>
      <c r="BA91" s="1">
        <f t="shared" si="92"/>
        <v>26.932991163099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-16.1650568213103</v>
      </c>
      <c r="E92" s="20">
        <f t="shared" si="93"/>
        <v>-21.0399991687097</v>
      </c>
      <c r="F92" s="16" t="s">
        <v>110</v>
      </c>
      <c r="G92" s="13">
        <v>3</v>
      </c>
      <c r="H92" s="18">
        <f t="shared" si="76"/>
        <v>-16.1650568213103</v>
      </c>
      <c r="I92" s="18">
        <f t="shared" si="77"/>
        <v>256.98494317869</v>
      </c>
      <c r="J92" s="18">
        <f t="shared" si="78"/>
        <v>0.00185101551511113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0.853248383818614</v>
      </c>
      <c r="P92" s="18">
        <f t="shared" si="81"/>
        <v>0.00157937599669175</v>
      </c>
      <c r="Q92" s="24">
        <f t="shared" si="82"/>
        <v>0.000410637759139856</v>
      </c>
      <c r="R92" s="18">
        <f t="shared" si="83"/>
        <v>0.074022</v>
      </c>
      <c r="S92" s="25">
        <f t="shared" si="84"/>
        <v>0.00554750964767036</v>
      </c>
      <c r="T92" s="3">
        <v>0.01</v>
      </c>
      <c r="U92" s="26">
        <f t="shared" si="85"/>
        <v>5.54750964767036e-5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0.0055454750964767</v>
      </c>
      <c r="AU92" s="29">
        <f t="shared" si="89"/>
        <v>28.47</v>
      </c>
      <c r="AV92" s="1">
        <f t="shared" si="90"/>
        <v>0.26</v>
      </c>
      <c r="AW92" s="2">
        <f t="shared" si="95"/>
        <v>0.408596396168897</v>
      </c>
      <c r="AX92" s="1">
        <f t="shared" si="91"/>
        <v>112.374794087858</v>
      </c>
      <c r="AZ92" s="2">
        <f t="shared" si="96"/>
        <v>0.0985989237147408</v>
      </c>
      <c r="BA92" s="1">
        <f t="shared" si="92"/>
        <v>27.1173065979475</v>
      </c>
    </row>
    <row r="93" s="1" customFormat="1" spans="1:53">
      <c r="A93" s="13"/>
      <c r="B93" s="13"/>
      <c r="C93" s="16">
        <v>3</v>
      </c>
      <c r="D93" s="19">
        <v>-3.48945502316129</v>
      </c>
      <c r="E93" s="20">
        <f t="shared" si="93"/>
        <v>-16.1650568213103</v>
      </c>
      <c r="F93" s="16" t="s">
        <v>110</v>
      </c>
      <c r="G93" s="13">
        <v>4</v>
      </c>
      <c r="H93" s="18">
        <f t="shared" si="76"/>
        <v>-3.48945502316129</v>
      </c>
      <c r="I93" s="18">
        <f t="shared" si="77"/>
        <v>269.660544976839</v>
      </c>
      <c r="J93" s="18">
        <f t="shared" si="78"/>
        <v>0.0109870282847742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1.13636900782192</v>
      </c>
      <c r="P93" s="18">
        <f t="shared" si="81"/>
        <v>0.0124853184308803</v>
      </c>
      <c r="Q93" s="24">
        <f t="shared" si="82"/>
        <v>0.00324618279202887</v>
      </c>
      <c r="R93" s="18">
        <f t="shared" si="83"/>
        <v>0.074022</v>
      </c>
      <c r="S93" s="25">
        <f t="shared" si="84"/>
        <v>0.0438542972633659</v>
      </c>
      <c r="T93" s="3">
        <v>0.01</v>
      </c>
      <c r="U93" s="26">
        <f t="shared" si="85"/>
        <v>0.000438542972633659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0.00592854297263366</v>
      </c>
      <c r="AU93" s="29">
        <f t="shared" si="89"/>
        <v>28.47</v>
      </c>
      <c r="AV93" s="1">
        <f t="shared" si="90"/>
        <v>0.26</v>
      </c>
      <c r="AW93" s="2">
        <f t="shared" si="95"/>
        <v>0.408596396168897</v>
      </c>
      <c r="AX93" s="1">
        <f t="shared" si="91"/>
        <v>120.137370414665</v>
      </c>
      <c r="AZ93" s="2">
        <f t="shared" si="96"/>
        <v>0.0985989237147408</v>
      </c>
      <c r="BA93" s="1">
        <f t="shared" si="92"/>
        <v>28.990503910144</v>
      </c>
    </row>
    <row r="94" s="1" customFormat="1" spans="1:53">
      <c r="A94" s="13"/>
      <c r="B94" s="13"/>
      <c r="C94" s="16">
        <v>4</v>
      </c>
      <c r="D94" s="19">
        <v>4.75912481943333</v>
      </c>
      <c r="E94" s="20">
        <f t="shared" si="93"/>
        <v>-3.48945502316129</v>
      </c>
      <c r="F94" s="16" t="s">
        <v>110</v>
      </c>
      <c r="G94" s="13">
        <v>5</v>
      </c>
      <c r="H94" s="18">
        <f t="shared" si="76"/>
        <v>4.75912481943333</v>
      </c>
      <c r="I94" s="18">
        <f t="shared" si="77"/>
        <v>277.909124819433</v>
      </c>
      <c r="J94" s="18">
        <f t="shared" si="78"/>
        <v>0.0320859755650881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1.06768950492149</v>
      </c>
      <c r="O94" s="18">
        <f t="shared" si="94"/>
        <v>0.340894184469552</v>
      </c>
      <c r="P94" s="18">
        <f t="shared" si="81"/>
        <v>0.0109379224731707</v>
      </c>
      <c r="Q94" s="24">
        <f t="shared" si="82"/>
        <v>0.00284385984302438</v>
      </c>
      <c r="R94" s="18">
        <f t="shared" si="83"/>
        <v>0.074022</v>
      </c>
      <c r="S94" s="25">
        <f t="shared" si="84"/>
        <v>0.0384191165197425</v>
      </c>
      <c r="T94" s="3">
        <v>0.01</v>
      </c>
      <c r="U94" s="26">
        <f t="shared" si="85"/>
        <v>0.000384191165197425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0.001</v>
      </c>
      <c r="AF94" s="3">
        <v>0.49</v>
      </c>
      <c r="AG94" s="26">
        <f t="shared" si="86"/>
        <v>0.00049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</v>
      </c>
      <c r="AR94" s="3">
        <v>0.5</v>
      </c>
      <c r="AS94" s="3">
        <f t="shared" si="87"/>
        <v>0.005</v>
      </c>
      <c r="AT94" s="2">
        <f t="shared" si="88"/>
        <v>0.00587419116519743</v>
      </c>
      <c r="AU94" s="29">
        <f t="shared" si="89"/>
        <v>28.47</v>
      </c>
      <c r="AV94" s="1">
        <f t="shared" si="90"/>
        <v>0.26</v>
      </c>
      <c r="AW94" s="2">
        <f t="shared" si="95"/>
        <v>0.408596396168897</v>
      </c>
      <c r="AX94" s="1">
        <f t="shared" si="91"/>
        <v>119.035972777368</v>
      </c>
      <c r="AZ94" s="2">
        <f t="shared" si="96"/>
        <v>0.0985989237147408</v>
      </c>
      <c r="BA94" s="1">
        <f t="shared" si="92"/>
        <v>28.7247242247682</v>
      </c>
    </row>
    <row r="95" s="1" customFormat="1" spans="1:53">
      <c r="A95" s="13"/>
      <c r="B95" s="13"/>
      <c r="C95" s="16">
        <v>5</v>
      </c>
      <c r="D95" s="19">
        <v>13.2161622785484</v>
      </c>
      <c r="E95" s="20">
        <f t="shared" si="93"/>
        <v>4.75912481943333</v>
      </c>
      <c r="F95" s="16" t="s">
        <v>112</v>
      </c>
      <c r="G95" s="13">
        <v>6</v>
      </c>
      <c r="H95" s="18">
        <f t="shared" si="76"/>
        <v>13.2161622785484</v>
      </c>
      <c r="I95" s="18">
        <f t="shared" si="77"/>
        <v>286.366162278548</v>
      </c>
      <c r="J95" s="18">
        <f t="shared" si="78"/>
        <v>0.0902972743813819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0.614656261996381</v>
      </c>
      <c r="P95" s="18">
        <f t="shared" si="81"/>
        <v>0.0555017851397218</v>
      </c>
      <c r="Q95" s="24">
        <f t="shared" si="82"/>
        <v>0.0144304641363277</v>
      </c>
      <c r="R95" s="18">
        <f t="shared" si="83"/>
        <v>0.074022</v>
      </c>
      <c r="S95" s="25">
        <f t="shared" si="84"/>
        <v>0.194948314505521</v>
      </c>
      <c r="T95" s="3">
        <v>0.01</v>
      </c>
      <c r="U95" s="26">
        <f t="shared" si="85"/>
        <v>0.00194948314505521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0.0118994831450552</v>
      </c>
      <c r="AU95" s="29">
        <f t="shared" si="89"/>
        <v>28.47</v>
      </c>
      <c r="AV95" s="1">
        <f t="shared" si="90"/>
        <v>0.26</v>
      </c>
      <c r="AW95" s="2">
        <f t="shared" si="95"/>
        <v>0.408596396168897</v>
      </c>
      <c r="AX95" s="1">
        <f t="shared" si="91"/>
        <v>241.133887523379</v>
      </c>
      <c r="AZ95" s="2">
        <f t="shared" si="96"/>
        <v>0.0985989237147408</v>
      </c>
      <c r="BA95" s="1">
        <f t="shared" si="92"/>
        <v>58.1883296178871</v>
      </c>
    </row>
    <row r="96" s="1" customFormat="1" spans="1:53">
      <c r="A96" s="13"/>
      <c r="B96" s="13"/>
      <c r="C96" s="16">
        <v>6</v>
      </c>
      <c r="D96" s="19">
        <v>17.3630440873333</v>
      </c>
      <c r="E96" s="20">
        <f t="shared" si="93"/>
        <v>13.2161622785484</v>
      </c>
      <c r="F96" s="16" t="s">
        <v>110</v>
      </c>
      <c r="G96" s="13">
        <v>7</v>
      </c>
      <c r="H96" s="18">
        <f t="shared" si="76"/>
        <v>17.3630440873333</v>
      </c>
      <c r="I96" s="18">
        <f t="shared" si="77"/>
        <v>290.513044087333</v>
      </c>
      <c r="J96" s="18">
        <f t="shared" si="78"/>
        <v>0.146709104610864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0.843854476856659</v>
      </c>
      <c r="P96" s="18">
        <f t="shared" si="81"/>
        <v>0.12380113472151</v>
      </c>
      <c r="Q96" s="24">
        <f t="shared" si="82"/>
        <v>0.0321882950275925</v>
      </c>
      <c r="R96" s="18">
        <f t="shared" si="83"/>
        <v>0.074022</v>
      </c>
      <c r="S96" s="25">
        <f t="shared" si="84"/>
        <v>0.434847680792095</v>
      </c>
      <c r="T96" s="3">
        <v>0.01</v>
      </c>
      <c r="U96" s="26">
        <f t="shared" si="85"/>
        <v>0.00434847680792095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0.014298476807921</v>
      </c>
      <c r="AU96" s="29">
        <f t="shared" si="89"/>
        <v>28.47</v>
      </c>
      <c r="AV96" s="1">
        <f t="shared" si="90"/>
        <v>0.26</v>
      </c>
      <c r="AW96" s="2">
        <f t="shared" si="95"/>
        <v>0.408596396168897</v>
      </c>
      <c r="AX96" s="1">
        <f t="shared" si="91"/>
        <v>289.747651753228</v>
      </c>
      <c r="AZ96" s="2">
        <f t="shared" si="96"/>
        <v>0.0985989237147408</v>
      </c>
      <c r="BA96" s="1">
        <f t="shared" si="92"/>
        <v>69.9193798075806</v>
      </c>
    </row>
    <row r="97" s="1" customFormat="1" spans="1:53">
      <c r="A97" s="13"/>
      <c r="B97" s="13"/>
      <c r="C97" s="16">
        <v>7</v>
      </c>
      <c r="D97" s="19">
        <v>21.9346023283871</v>
      </c>
      <c r="E97" s="20">
        <f t="shared" si="93"/>
        <v>17.3630440873333</v>
      </c>
      <c r="F97" s="16" t="s">
        <v>110</v>
      </c>
      <c r="G97" s="13">
        <v>8</v>
      </c>
      <c r="H97" s="18">
        <f t="shared" si="76"/>
        <v>21.9346023283871</v>
      </c>
      <c r="I97" s="18">
        <f t="shared" si="77"/>
        <v>295.084602328387</v>
      </c>
      <c r="J97" s="18">
        <f t="shared" si="78"/>
        <v>0.246581207441861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1.00475334213515</v>
      </c>
      <c r="P97" s="18">
        <f t="shared" si="81"/>
        <v>0.247753292284931</v>
      </c>
      <c r="Q97" s="24">
        <f t="shared" si="82"/>
        <v>0.0644158559940819</v>
      </c>
      <c r="R97" s="18">
        <f t="shared" si="83"/>
        <v>0.074022</v>
      </c>
      <c r="S97" s="25">
        <f t="shared" si="84"/>
        <v>0.870225824674853</v>
      </c>
      <c r="T97" s="3">
        <v>0.01</v>
      </c>
      <c r="U97" s="26">
        <f t="shared" si="85"/>
        <v>0.00870225824674853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0.0186522582467485</v>
      </c>
      <c r="AU97" s="29">
        <f t="shared" si="89"/>
        <v>28.47</v>
      </c>
      <c r="AV97" s="1">
        <f t="shared" si="90"/>
        <v>0.26</v>
      </c>
      <c r="AW97" s="2">
        <f t="shared" si="95"/>
        <v>0.408596396168897</v>
      </c>
      <c r="AX97" s="1">
        <f t="shared" si="91"/>
        <v>377.973689050308</v>
      </c>
      <c r="AZ97" s="2">
        <f t="shared" si="96"/>
        <v>0.0985989237147408</v>
      </c>
      <c r="BA97" s="1">
        <f t="shared" si="92"/>
        <v>91.2093187367359</v>
      </c>
    </row>
    <row r="98" s="1" customFormat="1" spans="1:53">
      <c r="A98" s="13"/>
      <c r="B98" s="13"/>
      <c r="C98" s="16">
        <v>8</v>
      </c>
      <c r="D98" s="19">
        <v>19.7250249035484</v>
      </c>
      <c r="E98" s="20">
        <f t="shared" si="93"/>
        <v>21.9346023283871</v>
      </c>
      <c r="F98" s="16" t="s">
        <v>110</v>
      </c>
      <c r="G98" s="13">
        <v>9</v>
      </c>
      <c r="H98" s="18">
        <f t="shared" si="76"/>
        <v>19.7250249035484</v>
      </c>
      <c r="I98" s="18">
        <f t="shared" si="77"/>
        <v>292.875024903548</v>
      </c>
      <c r="J98" s="18">
        <f t="shared" si="78"/>
        <v>0.192241149175605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1.04170004985022</v>
      </c>
      <c r="P98" s="18">
        <f t="shared" si="81"/>
        <v>0.200257614679491</v>
      </c>
      <c r="Q98" s="24">
        <f t="shared" si="82"/>
        <v>0.0520669798166677</v>
      </c>
      <c r="R98" s="18">
        <f t="shared" si="83"/>
        <v>0.074022</v>
      </c>
      <c r="S98" s="25">
        <f t="shared" si="84"/>
        <v>0.703398716822941</v>
      </c>
      <c r="T98" s="3">
        <v>0.01</v>
      </c>
      <c r="U98" s="26">
        <f t="shared" si="85"/>
        <v>0.00703398716822941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0.0125239871682294</v>
      </c>
      <c r="AU98" s="29">
        <f t="shared" si="89"/>
        <v>28.47</v>
      </c>
      <c r="AV98" s="1">
        <f t="shared" si="90"/>
        <v>0.26</v>
      </c>
      <c r="AW98" s="2">
        <f t="shared" si="95"/>
        <v>0.408596396168897</v>
      </c>
      <c r="AX98" s="1">
        <f t="shared" si="91"/>
        <v>253.788981954482</v>
      </c>
      <c r="AZ98" s="2">
        <f t="shared" si="96"/>
        <v>0.0985989237147408</v>
      </c>
      <c r="BA98" s="1">
        <f t="shared" si="92"/>
        <v>61.2421467883629</v>
      </c>
    </row>
    <row r="99" s="1" customFormat="1" spans="1:53">
      <c r="A99" s="13"/>
      <c r="B99" s="13"/>
      <c r="C99" s="16">
        <v>9</v>
      </c>
      <c r="D99" s="19">
        <v>14.1405394353667</v>
      </c>
      <c r="E99" s="20">
        <f t="shared" si="93"/>
        <v>19.7250249035484</v>
      </c>
      <c r="F99" s="16" t="s">
        <v>110</v>
      </c>
      <c r="G99" s="13">
        <v>10</v>
      </c>
      <c r="H99" s="18">
        <f t="shared" si="76"/>
        <v>14.1405394353667</v>
      </c>
      <c r="I99" s="18">
        <f t="shared" si="77"/>
        <v>287.290539435367</v>
      </c>
      <c r="J99" s="18">
        <f t="shared" si="78"/>
        <v>0.100736524548139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1.12614243517073</v>
      </c>
      <c r="P99" s="18">
        <f t="shared" si="81"/>
        <v>0.113443675065277</v>
      </c>
      <c r="Q99" s="24">
        <f t="shared" si="82"/>
        <v>0.029495355516972</v>
      </c>
      <c r="R99" s="18">
        <f t="shared" si="83"/>
        <v>0.074022</v>
      </c>
      <c r="S99" s="25">
        <f t="shared" si="84"/>
        <v>0.398467422076843</v>
      </c>
      <c r="T99" s="3">
        <v>0.01</v>
      </c>
      <c r="U99" s="26">
        <f t="shared" si="85"/>
        <v>0.00398467422076843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0.00947467422076843</v>
      </c>
      <c r="AU99" s="29">
        <f t="shared" si="89"/>
        <v>28.47</v>
      </c>
      <c r="AV99" s="1">
        <f t="shared" si="90"/>
        <v>0.26</v>
      </c>
      <c r="AW99" s="2">
        <f t="shared" si="95"/>
        <v>0.408596396168897</v>
      </c>
      <c r="AX99" s="1">
        <f t="shared" si="91"/>
        <v>191.996996846104</v>
      </c>
      <c r="AZ99" s="2">
        <f t="shared" si="96"/>
        <v>0.0985989237147408</v>
      </c>
      <c r="BA99" s="1">
        <f t="shared" si="92"/>
        <v>46.3310431099916</v>
      </c>
    </row>
    <row r="100" s="1" customFormat="1" spans="1:53">
      <c r="A100" s="13"/>
      <c r="B100" s="13"/>
      <c r="C100" s="16">
        <v>10</v>
      </c>
      <c r="D100" s="19">
        <v>0.564143603161291</v>
      </c>
      <c r="E100" s="20">
        <f t="shared" si="93"/>
        <v>14.1405394353667</v>
      </c>
      <c r="F100" s="16" t="s">
        <v>110</v>
      </c>
      <c r="G100" s="13">
        <v>11</v>
      </c>
      <c r="H100" s="18">
        <f t="shared" si="76"/>
        <v>0.564143603161291</v>
      </c>
      <c r="I100" s="18">
        <f t="shared" si="77"/>
        <v>273.714143603161</v>
      </c>
      <c r="J100" s="18">
        <f t="shared" si="78"/>
        <v>0.0187548865137351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0.962063822100178</v>
      </c>
      <c r="O100" s="18">
        <f t="shared" si="94"/>
        <v>0.335334938005272</v>
      </c>
      <c r="P100" s="18">
        <f t="shared" si="81"/>
        <v>0.00628916870637928</v>
      </c>
      <c r="Q100" s="24">
        <f t="shared" si="82"/>
        <v>0.00163518386365861</v>
      </c>
      <c r="R100" s="18">
        <f t="shared" si="83"/>
        <v>0.074022</v>
      </c>
      <c r="S100" s="25">
        <f t="shared" si="84"/>
        <v>0.0220905117891791</v>
      </c>
      <c r="T100" s="3">
        <v>0.01</v>
      </c>
      <c r="U100" s="26">
        <f t="shared" si="85"/>
        <v>0.000220905117891791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0.00571090511789179</v>
      </c>
      <c r="AU100" s="29">
        <f t="shared" si="89"/>
        <v>28.47</v>
      </c>
      <c r="AV100" s="1">
        <f t="shared" si="90"/>
        <v>0.26</v>
      </c>
      <c r="AW100" s="2">
        <f t="shared" si="95"/>
        <v>0.408596396168897</v>
      </c>
      <c r="AX100" s="1">
        <f t="shared" si="91"/>
        <v>115.727106427026</v>
      </c>
      <c r="AZ100" s="2">
        <f t="shared" si="96"/>
        <v>0.0985989237147408</v>
      </c>
      <c r="BA100" s="1">
        <f t="shared" si="92"/>
        <v>27.9262574151765</v>
      </c>
    </row>
    <row r="101" s="1" customFormat="1" spans="1:54">
      <c r="A101" s="13"/>
      <c r="B101" s="13"/>
      <c r="C101" s="16">
        <v>11</v>
      </c>
      <c r="D101" s="19">
        <v>-13.3564916991</v>
      </c>
      <c r="E101" s="20">
        <f t="shared" si="93"/>
        <v>0.564143603161291</v>
      </c>
      <c r="F101" s="16" t="s">
        <v>112</v>
      </c>
      <c r="G101" s="13">
        <v>12</v>
      </c>
      <c r="H101" s="18">
        <f t="shared" si="76"/>
        <v>-13.3564916991</v>
      </c>
      <c r="I101" s="18">
        <f t="shared" si="77"/>
        <v>259.7935083009</v>
      </c>
      <c r="J101" s="18">
        <f t="shared" si="78"/>
        <v>0.00278803908059417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0.613745769298893</v>
      </c>
      <c r="P101" s="18">
        <f t="shared" si="81"/>
        <v>0.00171114719035465</v>
      </c>
      <c r="Q101" s="24">
        <f t="shared" si="82"/>
        <v>0.000444898269492208</v>
      </c>
      <c r="R101" s="18">
        <f t="shared" si="83"/>
        <v>0.074022</v>
      </c>
      <c r="S101" s="25">
        <f t="shared" si="84"/>
        <v>0.00601035191554144</v>
      </c>
      <c r="T101" s="3">
        <v>0.01</v>
      </c>
      <c r="U101" s="26">
        <f t="shared" si="85"/>
        <v>6.01035191554144e-5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0.00555010351915541</v>
      </c>
      <c r="AU101" s="29">
        <f t="shared" si="89"/>
        <v>28.47</v>
      </c>
      <c r="AV101" s="1">
        <f t="shared" si="90"/>
        <v>0.26</v>
      </c>
      <c r="AW101" s="2">
        <f t="shared" si="95"/>
        <v>0.408596396168897</v>
      </c>
      <c r="AX101" s="1">
        <f t="shared" si="91"/>
        <v>112.468585518966</v>
      </c>
      <c r="AY101" s="1">
        <f>SUM(AX90:AX101)</f>
        <v>2157.49246311618</v>
      </c>
      <c r="AZ101" s="2">
        <f t="shared" si="96"/>
        <v>0.0985989237147408</v>
      </c>
      <c r="BA101" s="1">
        <f t="shared" si="92"/>
        <v>27.1399395292401</v>
      </c>
      <c r="BB101" s="1">
        <f>SUM(BA90:BA101)</f>
        <v>520.627290843721</v>
      </c>
    </row>
    <row r="102" s="1" customFormat="1" spans="1:46">
      <c r="A102" s="13"/>
      <c r="B102" s="13"/>
      <c r="C102" s="16">
        <v>12</v>
      </c>
      <c r="D102" s="19">
        <v>-17.5063042547742</v>
      </c>
      <c r="E102" s="20">
        <f t="shared" si="93"/>
        <v>-13.3564916991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3"/>
  <sheetViews>
    <sheetView workbookViewId="0">
      <selection activeCell="F16" sqref="F1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19" width="9.11111111111111" style="1"/>
    <col min="20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9.11111111111111" style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5555555555556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L1" s="2"/>
    </row>
    <row r="2" s="1" customFormat="1" spans="1:12">
      <c r="A2" s="4" t="s">
        <v>41</v>
      </c>
      <c r="B2" s="5" t="s">
        <v>42</v>
      </c>
      <c r="C2" s="3"/>
      <c r="D2" s="3"/>
      <c r="E2" s="6">
        <v>5.83</v>
      </c>
      <c r="F2" s="3">
        <v>1166.832</v>
      </c>
      <c r="G2" s="7">
        <f>(F2+F3+F4)/3</f>
        <v>1338.18733333333</v>
      </c>
      <c r="H2" s="3">
        <v>0.13</v>
      </c>
      <c r="I2" s="21">
        <f>(H2+H3+H4)/3</f>
        <v>0.12</v>
      </c>
      <c r="L2" s="2"/>
    </row>
    <row r="3" s="1" customFormat="1" spans="1:12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L3" s="2"/>
    </row>
    <row r="4" s="1" customFormat="1" spans="1:12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L4" s="2"/>
    </row>
    <row r="5" s="1" customFormat="1" spans="1:12">
      <c r="A5" s="4" t="s">
        <v>45</v>
      </c>
      <c r="B5" s="5" t="s">
        <v>46</v>
      </c>
      <c r="C5" s="3"/>
      <c r="D5" s="3"/>
      <c r="E5" s="6">
        <v>36.2712328767123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L5" s="2"/>
    </row>
    <row r="6" s="1" customFormat="1" spans="1:12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L6" s="2"/>
    </row>
    <row r="7" s="1" customFormat="1" spans="1:12">
      <c r="A7" s="4" t="s">
        <v>48</v>
      </c>
      <c r="B7" s="5"/>
      <c r="C7" s="3"/>
      <c r="D7" s="3"/>
      <c r="E7" s="12">
        <v>250.804931506849</v>
      </c>
      <c r="F7" s="3">
        <v>134.758</v>
      </c>
      <c r="G7" s="3"/>
      <c r="H7" s="3">
        <v>0.29</v>
      </c>
      <c r="L7" s="2"/>
    </row>
    <row r="8" s="1" customFormat="1" spans="1:12">
      <c r="A8" s="4" t="s">
        <v>49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L8" s="2"/>
    </row>
    <row r="9" s="1" customFormat="1" spans="1:12">
      <c r="A9" s="4" t="s">
        <v>50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L9" s="2"/>
    </row>
    <row r="10" s="1" customFormat="1" spans="1:12">
      <c r="A10" s="4" t="s">
        <v>51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L10" s="2"/>
    </row>
    <row r="11" s="1" customFormat="1" spans="1:46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(AV38+AV53+AY69+AY85+AY101+BB101+AG69)</f>
        <v>8049587.2143597</v>
      </c>
      <c r="J14" s="14" t="s">
        <v>35</v>
      </c>
      <c r="K14" s="14">
        <f>I14/(10000*1000)</f>
        <v>0.80495872143597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38">
        <v>4975814.02649899</v>
      </c>
      <c r="J15" s="14" t="s">
        <v>35</v>
      </c>
      <c r="K15" s="14">
        <f>I15/(10000*1000)</f>
        <v>0.497581402649899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7</v>
      </c>
      <c r="E27" s="16"/>
      <c r="F27" s="16"/>
      <c r="G27" s="13">
        <v>1</v>
      </c>
      <c r="H27" s="18">
        <f t="shared" ref="H27:H38" si="0">E28</f>
        <v>7</v>
      </c>
      <c r="I27" s="18">
        <f t="shared" ref="I27:I38" si="1">H27+273.15</f>
        <v>280.15</v>
      </c>
      <c r="J27" s="18">
        <f t="shared" ref="J27:J38" si="2">EXP(($C$16*(I27-$C$14))/($C$17*I27*$C$14))</f>
        <v>0.0424643715341541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0.0473544034208047</v>
      </c>
      <c r="Q27" s="24">
        <f t="shared" ref="Q27:Q38" si="6">P27*$B$29</f>
        <v>0.00568252841049656</v>
      </c>
      <c r="R27" s="18">
        <f t="shared" ref="R27:R38" si="7">L27*$B$29</f>
        <v>0.133818733333333</v>
      </c>
      <c r="S27" s="25">
        <f t="shared" ref="S27:S38" si="8">Q27/R27</f>
        <v>0.0424643715341541</v>
      </c>
      <c r="T27" s="3">
        <v>0.01</v>
      </c>
      <c r="U27" s="26">
        <f t="shared" ref="U27:U38" si="9">S27*T27</f>
        <v>0.000424643715341541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0.0223246437153415</v>
      </c>
      <c r="AR27" s="29">
        <f t="shared" ref="AR27:AR38" si="15">$B$27/12</f>
        <v>111.515611111111</v>
      </c>
      <c r="AS27" s="1">
        <f t="shared" ref="AS27:AS38" si="16">$B$29</f>
        <v>0.12</v>
      </c>
      <c r="AT27" s="2">
        <f>$E$2/12</f>
        <v>0.485833333333333</v>
      </c>
      <c r="AU27" s="1">
        <f t="shared" ref="AU27:AU38" si="17">AT27*10000*AS27*0.67*AR27*AQ27</f>
        <v>972.441675069034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4.59449050554839</v>
      </c>
      <c r="E28" s="20">
        <f t="shared" ref="E28:E39" si="18">D27</f>
        <v>7</v>
      </c>
      <c r="F28" s="16" t="s">
        <v>110</v>
      </c>
      <c r="G28" s="13">
        <v>2</v>
      </c>
      <c r="H28" s="18">
        <f t="shared" si="0"/>
        <v>4.59449050554839</v>
      </c>
      <c r="I28" s="18">
        <f t="shared" si="1"/>
        <v>277.744490505548</v>
      </c>
      <c r="J28" s="18">
        <f t="shared" si="2"/>
        <v>0.0314264961059627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2.18295781880142</v>
      </c>
      <c r="P28" s="18">
        <f t="shared" si="5"/>
        <v>0.0686027153920436</v>
      </c>
      <c r="Q28" s="24">
        <f t="shared" si="6"/>
        <v>0.00823232584704523</v>
      </c>
      <c r="R28" s="18">
        <f t="shared" si="7"/>
        <v>0.133818733333333</v>
      </c>
      <c r="S28" s="25">
        <f t="shared" si="8"/>
        <v>0.0615184858052651</v>
      </c>
      <c r="T28" s="3">
        <v>0.01</v>
      </c>
      <c r="U28" s="26">
        <f t="shared" si="9"/>
        <v>0.000615184858052651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0.0225151848580527</v>
      </c>
      <c r="AR28" s="29">
        <f t="shared" si="15"/>
        <v>111.515611111111</v>
      </c>
      <c r="AS28" s="1">
        <f t="shared" si="16"/>
        <v>0.12</v>
      </c>
      <c r="AT28" s="2">
        <f t="shared" ref="AT28:AT38" si="20">$E$2/12</f>
        <v>0.485833333333333</v>
      </c>
      <c r="AU28" s="1">
        <f t="shared" si="17"/>
        <v>980.741478208119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6.77763046017241</v>
      </c>
      <c r="E29" s="20">
        <f t="shared" si="18"/>
        <v>4.59449050554839</v>
      </c>
      <c r="F29" s="16" t="s">
        <v>110</v>
      </c>
      <c r="G29" s="13">
        <v>3</v>
      </c>
      <c r="H29" s="18">
        <f t="shared" si="0"/>
        <v>6.77763046017241</v>
      </c>
      <c r="I29" s="18">
        <f t="shared" si="1"/>
        <v>279.927630460172</v>
      </c>
      <c r="J29" s="18">
        <f t="shared" si="2"/>
        <v>0.0413079986787372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3.22951121452049</v>
      </c>
      <c r="P29" s="18">
        <f t="shared" si="5"/>
        <v>0.133404644982379</v>
      </c>
      <c r="Q29" s="24">
        <f t="shared" si="6"/>
        <v>0.0160085573978855</v>
      </c>
      <c r="R29" s="18">
        <f t="shared" si="7"/>
        <v>0.133818733333333</v>
      </c>
      <c r="S29" s="25">
        <f t="shared" si="8"/>
        <v>0.119628672302624</v>
      </c>
      <c r="T29" s="3">
        <v>0.01</v>
      </c>
      <c r="U29" s="26">
        <f t="shared" si="9"/>
        <v>0.00119628672302624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0.0230962867230262</v>
      </c>
      <c r="AR29" s="29">
        <f t="shared" si="15"/>
        <v>111.515611111111</v>
      </c>
      <c r="AS29" s="1">
        <f t="shared" si="16"/>
        <v>0.12</v>
      </c>
      <c r="AT29" s="2">
        <f t="shared" si="20"/>
        <v>0.485833333333333</v>
      </c>
      <c r="AU29" s="1">
        <f t="shared" si="17"/>
        <v>1006.0537599254</v>
      </c>
    </row>
    <row r="30" s="1" customFormat="1" spans="1:47">
      <c r="A30" s="13"/>
      <c r="B30" s="13"/>
      <c r="C30" s="16">
        <v>3</v>
      </c>
      <c r="D30" s="19">
        <v>11.1210237664516</v>
      </c>
      <c r="E30" s="20">
        <f t="shared" si="18"/>
        <v>6.77763046017241</v>
      </c>
      <c r="F30" s="16" t="s">
        <v>110</v>
      </c>
      <c r="G30" s="13">
        <v>4</v>
      </c>
      <c r="H30" s="18">
        <f t="shared" si="0"/>
        <v>11.1210237664516</v>
      </c>
      <c r="I30" s="18">
        <f t="shared" si="1"/>
        <v>284.271023766452</v>
      </c>
      <c r="J30" s="18">
        <f t="shared" si="2"/>
        <v>0.0702816845016928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4.21126268064922</v>
      </c>
      <c r="P30" s="18">
        <f t="shared" si="5"/>
        <v>0.295974635075141</v>
      </c>
      <c r="Q30" s="24">
        <f t="shared" si="6"/>
        <v>0.035516956209017</v>
      </c>
      <c r="R30" s="18">
        <f t="shared" si="7"/>
        <v>0.133818733333333</v>
      </c>
      <c r="S30" s="25">
        <f t="shared" si="8"/>
        <v>0.265410943029528</v>
      </c>
      <c r="T30" s="3">
        <v>0.01</v>
      </c>
      <c r="U30" s="26">
        <f t="shared" si="9"/>
        <v>0.00265410943029528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0.0245541094302953</v>
      </c>
      <c r="AR30" s="29">
        <f t="shared" si="15"/>
        <v>111.515611111111</v>
      </c>
      <c r="AS30" s="1">
        <f t="shared" si="16"/>
        <v>0.12</v>
      </c>
      <c r="AT30" s="2">
        <f t="shared" si="20"/>
        <v>0.485833333333333</v>
      </c>
      <c r="AU30" s="1">
        <f t="shared" si="17"/>
        <v>1069.55522375553</v>
      </c>
    </row>
    <row r="31" s="1" customFormat="1" spans="1:47">
      <c r="A31" s="13"/>
      <c r="B31" s="13"/>
      <c r="C31" s="16">
        <v>4</v>
      </c>
      <c r="D31" s="19">
        <v>16.526401538</v>
      </c>
      <c r="E31" s="20">
        <f t="shared" si="18"/>
        <v>11.1210237664516</v>
      </c>
      <c r="F31" s="16" t="s">
        <v>110</v>
      </c>
      <c r="G31" s="13">
        <v>5</v>
      </c>
      <c r="H31" s="18">
        <f t="shared" si="0"/>
        <v>16.526401538</v>
      </c>
      <c r="I31" s="18">
        <f t="shared" si="1"/>
        <v>289.676401538</v>
      </c>
      <c r="J31" s="18">
        <f t="shared" si="2"/>
        <v>0.133173313526827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3.71952364329537</v>
      </c>
      <c r="O31" s="18">
        <f t="shared" si="19"/>
        <v>1.31092051338982</v>
      </c>
      <c r="P31" s="18">
        <f t="shared" si="5"/>
        <v>0.174579628538411</v>
      </c>
      <c r="Q31" s="24">
        <f t="shared" si="6"/>
        <v>0.0209495554246093</v>
      </c>
      <c r="R31" s="18">
        <f t="shared" si="7"/>
        <v>0.133818733333333</v>
      </c>
      <c r="S31" s="25">
        <f t="shared" si="8"/>
        <v>0.156551739078455</v>
      </c>
      <c r="T31" s="3">
        <v>0.01</v>
      </c>
      <c r="U31" s="26">
        <f t="shared" si="9"/>
        <v>0.00156551739078455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0.0310155173907845</v>
      </c>
      <c r="AR31" s="29">
        <f t="shared" si="15"/>
        <v>111.515611111111</v>
      </c>
      <c r="AS31" s="1">
        <f t="shared" si="16"/>
        <v>0.12</v>
      </c>
      <c r="AT31" s="2">
        <f t="shared" si="20"/>
        <v>0.485833333333333</v>
      </c>
      <c r="AU31" s="1">
        <f t="shared" si="17"/>
        <v>1351.00842231586</v>
      </c>
    </row>
    <row r="32" s="1" customFormat="1" spans="1:47">
      <c r="A32" s="13"/>
      <c r="B32" s="13"/>
      <c r="C32" s="16">
        <v>5</v>
      </c>
      <c r="D32" s="19">
        <v>20.526606356129</v>
      </c>
      <c r="E32" s="20">
        <f t="shared" si="18"/>
        <v>16.526401538</v>
      </c>
      <c r="F32" s="16" t="s">
        <v>112</v>
      </c>
      <c r="G32" s="13">
        <v>6</v>
      </c>
      <c r="H32" s="18">
        <f t="shared" si="0"/>
        <v>20.526606356129</v>
      </c>
      <c r="I32" s="18">
        <f t="shared" si="1"/>
        <v>293.676606356129</v>
      </c>
      <c r="J32" s="18">
        <f t="shared" si="2"/>
        <v>0.21050160475567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2.25149699596252</v>
      </c>
      <c r="P32" s="18">
        <f t="shared" si="5"/>
        <v>0.47394373075268</v>
      </c>
      <c r="Q32" s="24">
        <f t="shared" si="6"/>
        <v>0.0568732476903216</v>
      </c>
      <c r="R32" s="18">
        <f t="shared" si="7"/>
        <v>0.133818733333333</v>
      </c>
      <c r="S32" s="25">
        <f t="shared" si="8"/>
        <v>0.425002137396221</v>
      </c>
      <c r="T32" s="3">
        <v>0.01</v>
      </c>
      <c r="U32" s="26">
        <f t="shared" si="9"/>
        <v>0.00425002137396221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0.0337000213739622</v>
      </c>
      <c r="AR32" s="29">
        <f t="shared" si="15"/>
        <v>111.515611111111</v>
      </c>
      <c r="AS32" s="1">
        <f t="shared" si="16"/>
        <v>0.12</v>
      </c>
      <c r="AT32" s="2">
        <f t="shared" si="20"/>
        <v>0.485833333333333</v>
      </c>
      <c r="AU32" s="1">
        <f t="shared" si="17"/>
        <v>1467.94303428178</v>
      </c>
    </row>
    <row r="33" s="1" customFormat="1" spans="1:47">
      <c r="A33" s="13"/>
      <c r="B33" s="13"/>
      <c r="C33" s="16">
        <v>6</v>
      </c>
      <c r="D33" s="19">
        <v>24.2213020506667</v>
      </c>
      <c r="E33" s="20">
        <f t="shared" si="18"/>
        <v>20.526606356129</v>
      </c>
      <c r="F33" s="16" t="s">
        <v>110</v>
      </c>
      <c r="G33" s="13">
        <v>7</v>
      </c>
      <c r="H33" s="18">
        <f t="shared" si="0"/>
        <v>24.2213020506667</v>
      </c>
      <c r="I33" s="18">
        <f t="shared" si="1"/>
        <v>297.371302050667</v>
      </c>
      <c r="J33" s="18">
        <f t="shared" si="2"/>
        <v>0.317801111652171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2.89270937632095</v>
      </c>
      <c r="P33" s="18">
        <f t="shared" si="5"/>
        <v>0.919306255481455</v>
      </c>
      <c r="Q33" s="24">
        <f t="shared" si="6"/>
        <v>0.110316750657775</v>
      </c>
      <c r="R33" s="18">
        <f t="shared" si="7"/>
        <v>0.133818733333333</v>
      </c>
      <c r="S33" s="25">
        <f t="shared" si="8"/>
        <v>0.82437449458577</v>
      </c>
      <c r="T33" s="3">
        <v>0.01</v>
      </c>
      <c r="U33" s="26">
        <f t="shared" si="9"/>
        <v>0.0082437449458577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0.0412437449458577</v>
      </c>
      <c r="AR33" s="29">
        <f t="shared" si="15"/>
        <v>111.515611111111</v>
      </c>
      <c r="AS33" s="1">
        <f t="shared" si="16"/>
        <v>0.12</v>
      </c>
      <c r="AT33" s="2">
        <f t="shared" si="20"/>
        <v>0.485833333333333</v>
      </c>
      <c r="AU33" s="1">
        <f t="shared" si="17"/>
        <v>1796.54094070528</v>
      </c>
    </row>
    <row r="34" s="1" customFormat="1" spans="1:47">
      <c r="A34" s="13"/>
      <c r="B34" s="13"/>
      <c r="C34" s="16">
        <v>7</v>
      </c>
      <c r="D34" s="19">
        <v>29.74193995</v>
      </c>
      <c r="E34" s="20">
        <f t="shared" si="18"/>
        <v>24.2213020506667</v>
      </c>
      <c r="F34" s="16" t="s">
        <v>110</v>
      </c>
      <c r="G34" s="13">
        <v>8</v>
      </c>
      <c r="H34" s="18">
        <f t="shared" si="0"/>
        <v>29.74193995</v>
      </c>
      <c r="I34" s="18">
        <f t="shared" si="1"/>
        <v>302.89193995</v>
      </c>
      <c r="J34" s="18">
        <f t="shared" si="2"/>
        <v>0.577212938613321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3.0885592319506</v>
      </c>
      <c r="P34" s="18">
        <f t="shared" si="5"/>
        <v>1.78275635035551</v>
      </c>
      <c r="Q34" s="24">
        <f t="shared" si="6"/>
        <v>0.213930762042661</v>
      </c>
      <c r="R34" s="18">
        <f t="shared" si="7"/>
        <v>0.133818733333333</v>
      </c>
      <c r="S34" s="25">
        <f t="shared" si="8"/>
        <v>1.59866079071137</v>
      </c>
      <c r="T34" s="3">
        <v>0.01</v>
      </c>
      <c r="U34" s="26">
        <f t="shared" si="9"/>
        <v>0.0159866079071137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0.0489866079071137</v>
      </c>
      <c r="AR34" s="29">
        <f t="shared" si="15"/>
        <v>111.515611111111</v>
      </c>
      <c r="AS34" s="1">
        <f t="shared" si="16"/>
        <v>0.12</v>
      </c>
      <c r="AT34" s="2">
        <f t="shared" si="20"/>
        <v>0.485833333333333</v>
      </c>
      <c r="AU34" s="1">
        <f t="shared" si="17"/>
        <v>2133.81318226403</v>
      </c>
    </row>
    <row r="35" s="1" customFormat="1" spans="1:47">
      <c r="A35" s="13"/>
      <c r="B35" s="13"/>
      <c r="C35" s="16">
        <v>8</v>
      </c>
      <c r="D35" s="19">
        <v>29.140520926129</v>
      </c>
      <c r="E35" s="20">
        <f t="shared" si="18"/>
        <v>29.74193995</v>
      </c>
      <c r="F35" s="16" t="s">
        <v>110</v>
      </c>
      <c r="G35" s="13">
        <v>9</v>
      </c>
      <c r="H35" s="18">
        <f t="shared" si="0"/>
        <v>29.140520926129</v>
      </c>
      <c r="I35" s="18">
        <f t="shared" si="1"/>
        <v>302.290520926129</v>
      </c>
      <c r="J35" s="18">
        <f t="shared" si="2"/>
        <v>0.541452494526531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2.4209589927062</v>
      </c>
      <c r="P35" s="18">
        <f t="shared" si="5"/>
        <v>1.31083428574721</v>
      </c>
      <c r="Q35" s="24">
        <f t="shared" si="6"/>
        <v>0.157300114289665</v>
      </c>
      <c r="R35" s="18">
        <f t="shared" si="7"/>
        <v>0.133818733333333</v>
      </c>
      <c r="S35" s="25">
        <f t="shared" si="8"/>
        <v>1.17547155298385</v>
      </c>
      <c r="T35" s="3">
        <v>0.01</v>
      </c>
      <c r="U35" s="26">
        <f t="shared" si="9"/>
        <v>0.0117547155298385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0.0412047155298385</v>
      </c>
      <c r="AR35" s="29">
        <f t="shared" si="15"/>
        <v>111.515611111111</v>
      </c>
      <c r="AS35" s="1">
        <f t="shared" si="16"/>
        <v>0.12</v>
      </c>
      <c r="AT35" s="2">
        <f t="shared" si="20"/>
        <v>0.485833333333333</v>
      </c>
      <c r="AU35" s="1">
        <f t="shared" si="17"/>
        <v>1794.84085396819</v>
      </c>
    </row>
    <row r="36" s="1" customFormat="1" spans="1:47">
      <c r="A36" s="13"/>
      <c r="B36" s="13"/>
      <c r="C36" s="16">
        <v>9</v>
      </c>
      <c r="D36" s="19">
        <v>24.6161307696667</v>
      </c>
      <c r="E36" s="20">
        <f t="shared" si="18"/>
        <v>29.140520926129</v>
      </c>
      <c r="F36" s="16" t="s">
        <v>110</v>
      </c>
      <c r="G36" s="13">
        <v>10</v>
      </c>
      <c r="H36" s="18">
        <f t="shared" si="0"/>
        <v>24.6161307696667</v>
      </c>
      <c r="I36" s="18">
        <f t="shared" si="1"/>
        <v>297.766130769667</v>
      </c>
      <c r="J36" s="18">
        <f t="shared" si="2"/>
        <v>0.331902677511424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2.2252808180701</v>
      </c>
      <c r="P36" s="18">
        <f t="shared" si="5"/>
        <v>0.738576661732279</v>
      </c>
      <c r="Q36" s="24">
        <f t="shared" si="6"/>
        <v>0.0886291994078735</v>
      </c>
      <c r="R36" s="18">
        <f t="shared" si="7"/>
        <v>0.133818733333333</v>
      </c>
      <c r="S36" s="25">
        <f t="shared" si="8"/>
        <v>0.662307863780957</v>
      </c>
      <c r="T36" s="3">
        <v>0.01</v>
      </c>
      <c r="U36" s="26">
        <f t="shared" si="9"/>
        <v>0.00662307863780957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0.0360730786378096</v>
      </c>
      <c r="AR36" s="29">
        <f t="shared" si="15"/>
        <v>111.515611111111</v>
      </c>
      <c r="AS36" s="1">
        <f t="shared" si="16"/>
        <v>0.12</v>
      </c>
      <c r="AT36" s="2">
        <f t="shared" si="20"/>
        <v>0.485833333333333</v>
      </c>
      <c r="AU36" s="1">
        <f t="shared" si="17"/>
        <v>1571.31130345172</v>
      </c>
    </row>
    <row r="37" s="1" customFormat="1" spans="1:47">
      <c r="A37" s="13"/>
      <c r="B37" s="13"/>
      <c r="C37" s="16">
        <v>10</v>
      </c>
      <c r="D37" s="19">
        <v>20.6811148358065</v>
      </c>
      <c r="E37" s="20">
        <f t="shared" si="18"/>
        <v>24.6161307696667</v>
      </c>
      <c r="F37" s="16" t="s">
        <v>110</v>
      </c>
      <c r="G37" s="13">
        <v>11</v>
      </c>
      <c r="H37" s="18">
        <f t="shared" si="0"/>
        <v>20.6811148358065</v>
      </c>
      <c r="I37" s="18">
        <f t="shared" si="1"/>
        <v>293.831114835806</v>
      </c>
      <c r="J37" s="18">
        <f t="shared" si="2"/>
        <v>0.214203700429718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1.41236894852093</v>
      </c>
      <c r="O37" s="18">
        <f t="shared" si="19"/>
        <v>1.189491318928</v>
      </c>
      <c r="P37" s="18">
        <f t="shared" si="5"/>
        <v>0.254793442143404</v>
      </c>
      <c r="Q37" s="24">
        <f t="shared" si="6"/>
        <v>0.0305752130572085</v>
      </c>
      <c r="R37" s="18">
        <f t="shared" si="7"/>
        <v>0.133818733333333</v>
      </c>
      <c r="S37" s="25">
        <f t="shared" si="8"/>
        <v>0.228482308086475</v>
      </c>
      <c r="T37" s="3">
        <v>0.01</v>
      </c>
      <c r="U37" s="26">
        <f t="shared" si="9"/>
        <v>0.00228482308086475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0.0241848230808647</v>
      </c>
      <c r="AR37" s="29">
        <f t="shared" si="15"/>
        <v>111.515611111111</v>
      </c>
      <c r="AS37" s="1">
        <f t="shared" si="16"/>
        <v>0.12</v>
      </c>
      <c r="AT37" s="2">
        <f t="shared" si="20"/>
        <v>0.485833333333333</v>
      </c>
      <c r="AU37" s="1">
        <f t="shared" si="17"/>
        <v>1053.46943798447</v>
      </c>
    </row>
    <row r="38" s="1" customFormat="1" spans="1:48">
      <c r="A38" s="13"/>
      <c r="B38" s="13"/>
      <c r="C38" s="16">
        <v>11</v>
      </c>
      <c r="D38" s="19">
        <v>13.5611605662</v>
      </c>
      <c r="E38" s="20">
        <f t="shared" si="18"/>
        <v>20.6811148358065</v>
      </c>
      <c r="F38" s="16" t="s">
        <v>112</v>
      </c>
      <c r="G38" s="13">
        <v>12</v>
      </c>
      <c r="H38" s="18">
        <f t="shared" si="0"/>
        <v>13.5611605662</v>
      </c>
      <c r="I38" s="18">
        <f t="shared" si="1"/>
        <v>286.7111605662</v>
      </c>
      <c r="J38" s="18">
        <f t="shared" si="2"/>
        <v>0.0940682661670207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2.04985398789571</v>
      </c>
      <c r="P38" s="18">
        <f t="shared" si="5"/>
        <v>0.192826210536902</v>
      </c>
      <c r="Q38" s="24">
        <f t="shared" si="6"/>
        <v>0.0231391452644283</v>
      </c>
      <c r="R38" s="18">
        <f t="shared" si="7"/>
        <v>0.133818733333333</v>
      </c>
      <c r="S38" s="25">
        <f t="shared" si="8"/>
        <v>0.172914095717752</v>
      </c>
      <c r="T38" s="3">
        <v>0.01</v>
      </c>
      <c r="U38" s="26">
        <f t="shared" si="9"/>
        <v>0.00172914095717752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0.0236291409571775</v>
      </c>
      <c r="AR38" s="29">
        <f t="shared" si="15"/>
        <v>111.515611111111</v>
      </c>
      <c r="AS38" s="1">
        <f t="shared" si="16"/>
        <v>0.12</v>
      </c>
      <c r="AT38" s="2">
        <f t="shared" si="20"/>
        <v>0.485833333333333</v>
      </c>
      <c r="AU38" s="1">
        <f t="shared" si="17"/>
        <v>1029.26441764665</v>
      </c>
      <c r="AV38" s="1">
        <f>SUM(AU27:AU38)</f>
        <v>16226.9837295761</v>
      </c>
    </row>
    <row r="39" s="1" customFormat="1" spans="1:46">
      <c r="A39" s="13"/>
      <c r="B39" s="13"/>
      <c r="C39" s="16">
        <v>12</v>
      </c>
      <c r="D39" s="19">
        <v>9.27566404483871</v>
      </c>
      <c r="E39" s="20">
        <f t="shared" si="18"/>
        <v>13.5611605662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7</v>
      </c>
      <c r="E42" s="16"/>
      <c r="F42" s="16"/>
      <c r="G42" s="13">
        <v>1</v>
      </c>
      <c r="H42" s="18">
        <f t="shared" ref="H42:H53" si="21">E43</f>
        <v>7</v>
      </c>
      <c r="I42" s="18">
        <f t="shared" ref="I42:I53" si="22">H42+273.15</f>
        <v>280.15</v>
      </c>
      <c r="J42" s="18">
        <f t="shared" ref="J42:J53" si="23">EXP(($C$16*(I42-$C$14))/($C$17*I42*$C$14))</f>
        <v>0.0424643715341541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0.00327362263528829</v>
      </c>
      <c r="Q42" s="24">
        <f t="shared" ref="Q42:Q53" si="27">P42*$B$44</f>
        <v>0.000425570942587477</v>
      </c>
      <c r="R42" s="18">
        <f t="shared" ref="R42:R53" si="28">L42*$B$44</f>
        <v>0.0100218354166667</v>
      </c>
      <c r="S42" s="25">
        <f t="shared" ref="S42:S53" si="29">Q42/R42</f>
        <v>0.0424643715341541</v>
      </c>
      <c r="T42" s="3">
        <v>0.01</v>
      </c>
      <c r="U42" s="26">
        <f t="shared" ref="U42:U53" si="30">S42*T42</f>
        <v>0.000424643715341541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0.0152246437153415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>$E$5/12</f>
        <v>3.02260273972602</v>
      </c>
      <c r="AU42" s="1">
        <f t="shared" ref="AU42:AU53" si="36">AT42*10000*AS42*0.67*AR42*AQ42</f>
        <v>308.994165301235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4.59449050554839</v>
      </c>
      <c r="E43" s="20">
        <f t="shared" ref="E43:E54" si="37">D42</f>
        <v>7</v>
      </c>
      <c r="F43" s="16" t="s">
        <v>110</v>
      </c>
      <c r="G43" s="13">
        <v>2</v>
      </c>
      <c r="H43" s="18">
        <f t="shared" si="21"/>
        <v>4.59449050554839</v>
      </c>
      <c r="I43" s="18">
        <f t="shared" si="22"/>
        <v>277.744490505548</v>
      </c>
      <c r="J43" s="18">
        <f t="shared" si="23"/>
        <v>0.0314264961059627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0.150908460698045</v>
      </c>
      <c r="P43" s="18">
        <f t="shared" si="26"/>
        <v>0.00474252415248394</v>
      </c>
      <c r="Q43" s="24">
        <f t="shared" si="27"/>
        <v>0.000616528139822912</v>
      </c>
      <c r="R43" s="18">
        <f t="shared" si="28"/>
        <v>0.0100218354166667</v>
      </c>
      <c r="S43" s="25">
        <f t="shared" si="29"/>
        <v>0.0615184858052652</v>
      </c>
      <c r="T43" s="3">
        <v>0.01</v>
      </c>
      <c r="U43" s="26">
        <f t="shared" si="30"/>
        <v>0.000615184858052652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0.0154151848580527</v>
      </c>
      <c r="AR43" s="29">
        <f t="shared" si="34"/>
        <v>7.70910416666667</v>
      </c>
      <c r="AS43" s="1">
        <f t="shared" si="35"/>
        <v>0.13</v>
      </c>
      <c r="AT43" s="2">
        <f t="shared" ref="AT43:AT53" si="39">$E$5/12</f>
        <v>3.02260273972602</v>
      </c>
      <c r="AU43" s="1">
        <f t="shared" si="36"/>
        <v>312.861323209714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6.77763046017241</v>
      </c>
      <c r="E44" s="20">
        <f t="shared" si="37"/>
        <v>4.59449050554839</v>
      </c>
      <c r="F44" s="16" t="s">
        <v>110</v>
      </c>
      <c r="G44" s="13">
        <v>3</v>
      </c>
      <c r="H44" s="18">
        <f t="shared" si="21"/>
        <v>6.77763046017241</v>
      </c>
      <c r="I44" s="18">
        <f t="shared" si="22"/>
        <v>279.927630460172</v>
      </c>
      <c r="J44" s="18">
        <f t="shared" si="23"/>
        <v>0.0413079986787372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0.223256978212228</v>
      </c>
      <c r="P44" s="18">
        <f t="shared" si="26"/>
        <v>0.00922229896100956</v>
      </c>
      <c r="Q44" s="24">
        <f t="shared" si="27"/>
        <v>0.00119889886493124</v>
      </c>
      <c r="R44" s="18">
        <f t="shared" si="28"/>
        <v>0.0100218354166667</v>
      </c>
      <c r="S44" s="25">
        <f t="shared" si="29"/>
        <v>0.119628672302624</v>
      </c>
      <c r="T44" s="3">
        <v>0.01</v>
      </c>
      <c r="U44" s="26">
        <f t="shared" si="30"/>
        <v>0.00119628672302624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0.0159962867230262</v>
      </c>
      <c r="AR44" s="29">
        <f t="shared" si="34"/>
        <v>7.70910416666667</v>
      </c>
      <c r="AS44" s="1">
        <f t="shared" si="35"/>
        <v>0.13</v>
      </c>
      <c r="AT44" s="2">
        <f t="shared" si="39"/>
        <v>3.02260273972602</v>
      </c>
      <c r="AU44" s="1">
        <f t="shared" si="36"/>
        <v>324.65516804968</v>
      </c>
    </row>
    <row r="45" s="1" customFormat="1" spans="1:47">
      <c r="A45" s="13"/>
      <c r="B45" s="13"/>
      <c r="C45" s="16">
        <v>3</v>
      </c>
      <c r="D45" s="19">
        <v>11.1210237664516</v>
      </c>
      <c r="E45" s="20">
        <f t="shared" si="37"/>
        <v>6.77763046017241</v>
      </c>
      <c r="F45" s="16" t="s">
        <v>110</v>
      </c>
      <c r="G45" s="13">
        <v>4</v>
      </c>
      <c r="H45" s="18">
        <f t="shared" si="21"/>
        <v>11.1210237664516</v>
      </c>
      <c r="I45" s="18">
        <f t="shared" si="22"/>
        <v>284.271023766452</v>
      </c>
      <c r="J45" s="18">
        <f t="shared" si="23"/>
        <v>0.0702816845016928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0.291125720917885</v>
      </c>
      <c r="P45" s="18">
        <f t="shared" si="26"/>
        <v>0.0204608060678786</v>
      </c>
      <c r="Q45" s="24">
        <f t="shared" si="27"/>
        <v>0.00265990478882422</v>
      </c>
      <c r="R45" s="18">
        <f t="shared" si="28"/>
        <v>0.0100218354166667</v>
      </c>
      <c r="S45" s="25">
        <f t="shared" si="29"/>
        <v>0.265410943029528</v>
      </c>
      <c r="T45" s="3">
        <v>0.01</v>
      </c>
      <c r="U45" s="26">
        <f t="shared" si="30"/>
        <v>0.00265410943029528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0.0174541094302953</v>
      </c>
      <c r="AR45" s="29">
        <f t="shared" si="34"/>
        <v>7.70910416666667</v>
      </c>
      <c r="AS45" s="1">
        <f t="shared" si="35"/>
        <v>0.13</v>
      </c>
      <c r="AT45" s="2">
        <f t="shared" si="39"/>
        <v>3.02260273972602</v>
      </c>
      <c r="AU45" s="1">
        <f t="shared" si="36"/>
        <v>354.24263945539</v>
      </c>
    </row>
    <row r="46" s="1" customFormat="1" spans="1:47">
      <c r="A46" s="13"/>
      <c r="B46" s="13"/>
      <c r="C46" s="16">
        <v>4</v>
      </c>
      <c r="D46" s="19">
        <v>16.526401538</v>
      </c>
      <c r="E46" s="20">
        <f t="shared" si="37"/>
        <v>11.1210237664516</v>
      </c>
      <c r="F46" s="16" t="s">
        <v>110</v>
      </c>
      <c r="G46" s="13">
        <v>5</v>
      </c>
      <c r="H46" s="18">
        <f t="shared" si="21"/>
        <v>16.526401538</v>
      </c>
      <c r="I46" s="18">
        <f t="shared" si="22"/>
        <v>289.676401538</v>
      </c>
      <c r="J46" s="18">
        <f t="shared" si="23"/>
        <v>0.133173313526827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0.257131669107506</v>
      </c>
      <c r="O46" s="18">
        <f t="shared" si="38"/>
        <v>0.0906242874091669</v>
      </c>
      <c r="P46" s="18">
        <f t="shared" si="26"/>
        <v>0.0120687366402863</v>
      </c>
      <c r="Q46" s="24">
        <f t="shared" si="27"/>
        <v>0.00156893576323722</v>
      </c>
      <c r="R46" s="18">
        <f t="shared" si="28"/>
        <v>0.0100218354166667</v>
      </c>
      <c r="S46" s="25">
        <f t="shared" si="29"/>
        <v>0.156551739078455</v>
      </c>
      <c r="T46" s="3">
        <v>0.01</v>
      </c>
      <c r="U46" s="26">
        <f t="shared" si="30"/>
        <v>0.00156551739078455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0.0286655173907845</v>
      </c>
      <c r="AR46" s="29">
        <f t="shared" si="34"/>
        <v>7.70910416666667</v>
      </c>
      <c r="AS46" s="1">
        <f t="shared" si="35"/>
        <v>0.13</v>
      </c>
      <c r="AT46" s="2">
        <f t="shared" si="39"/>
        <v>3.02260273972602</v>
      </c>
      <c r="AU46" s="1">
        <f t="shared" si="36"/>
        <v>581.785543537417</v>
      </c>
    </row>
    <row r="47" s="1" customFormat="1" spans="1:47">
      <c r="A47" s="13"/>
      <c r="B47" s="13"/>
      <c r="C47" s="16">
        <v>5</v>
      </c>
      <c r="D47" s="19">
        <v>20.526606356129</v>
      </c>
      <c r="E47" s="20">
        <f t="shared" si="37"/>
        <v>16.526401538</v>
      </c>
      <c r="F47" s="16" t="s">
        <v>112</v>
      </c>
      <c r="G47" s="13">
        <v>6</v>
      </c>
      <c r="H47" s="18">
        <f t="shared" si="21"/>
        <v>20.526606356129</v>
      </c>
      <c r="I47" s="18">
        <f t="shared" si="22"/>
        <v>293.676606356129</v>
      </c>
      <c r="J47" s="18">
        <f t="shared" si="23"/>
        <v>0.21050160475567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0.155646592435547</v>
      </c>
      <c r="P47" s="18">
        <f t="shared" si="26"/>
        <v>0.0327638574824344</v>
      </c>
      <c r="Q47" s="24">
        <f t="shared" si="27"/>
        <v>0.00425930147271648</v>
      </c>
      <c r="R47" s="18">
        <f t="shared" si="28"/>
        <v>0.0100218354166667</v>
      </c>
      <c r="S47" s="25">
        <f t="shared" si="29"/>
        <v>0.425002137396221</v>
      </c>
      <c r="T47" s="3">
        <v>0.01</v>
      </c>
      <c r="U47" s="26">
        <f t="shared" si="30"/>
        <v>0.00425002137396221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0.0313500213739622</v>
      </c>
      <c r="AR47" s="29">
        <f t="shared" si="34"/>
        <v>7.70910416666667</v>
      </c>
      <c r="AS47" s="1">
        <f t="shared" si="35"/>
        <v>0.13</v>
      </c>
      <c r="AT47" s="2">
        <f t="shared" si="39"/>
        <v>3.02260273972602</v>
      </c>
      <c r="AU47" s="1">
        <f t="shared" si="36"/>
        <v>636.269318858475</v>
      </c>
    </row>
    <row r="48" s="1" customFormat="1" spans="1:47">
      <c r="A48" s="13"/>
      <c r="B48" s="13"/>
      <c r="C48" s="16">
        <v>6</v>
      </c>
      <c r="D48" s="19">
        <v>24.2213020506667</v>
      </c>
      <c r="E48" s="20">
        <f t="shared" si="37"/>
        <v>20.526606356129</v>
      </c>
      <c r="F48" s="16" t="s">
        <v>110</v>
      </c>
      <c r="G48" s="13">
        <v>7</v>
      </c>
      <c r="H48" s="18">
        <f t="shared" si="21"/>
        <v>24.2213020506667</v>
      </c>
      <c r="I48" s="18">
        <f t="shared" si="22"/>
        <v>297.371302050667</v>
      </c>
      <c r="J48" s="18">
        <f t="shared" si="23"/>
        <v>0.317801111652171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0.19997377661978</v>
      </c>
      <c r="P48" s="18">
        <f t="shared" si="26"/>
        <v>0.0635518885110489</v>
      </c>
      <c r="Q48" s="24">
        <f t="shared" si="27"/>
        <v>0.00826174550643635</v>
      </c>
      <c r="R48" s="18">
        <f t="shared" si="28"/>
        <v>0.0100218354166667</v>
      </c>
      <c r="S48" s="25">
        <f t="shared" si="29"/>
        <v>0.82437449458577</v>
      </c>
      <c r="T48" s="3">
        <v>0.01</v>
      </c>
      <c r="U48" s="26">
        <f t="shared" si="30"/>
        <v>0.0082437449458577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0.0402437449458577</v>
      </c>
      <c r="AR48" s="29">
        <f t="shared" si="34"/>
        <v>7.70910416666667</v>
      </c>
      <c r="AS48" s="1">
        <f t="shared" si="35"/>
        <v>0.13</v>
      </c>
      <c r="AT48" s="2">
        <f t="shared" si="39"/>
        <v>3.02260273972602</v>
      </c>
      <c r="AU48" s="1">
        <f t="shared" si="36"/>
        <v>816.773292737913</v>
      </c>
    </row>
    <row r="49" s="1" customFormat="1" spans="1:47">
      <c r="A49" s="13"/>
      <c r="B49" s="13"/>
      <c r="C49" s="16">
        <v>7</v>
      </c>
      <c r="D49" s="19">
        <v>29.74193995</v>
      </c>
      <c r="E49" s="20">
        <f t="shared" si="37"/>
        <v>24.2213020506667</v>
      </c>
      <c r="F49" s="16" t="s">
        <v>110</v>
      </c>
      <c r="G49" s="13">
        <v>8</v>
      </c>
      <c r="H49" s="18">
        <f t="shared" si="21"/>
        <v>29.74193995</v>
      </c>
      <c r="I49" s="18">
        <f t="shared" si="22"/>
        <v>302.89193995</v>
      </c>
      <c r="J49" s="18">
        <f t="shared" si="23"/>
        <v>0.577212938613321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0.213512929775397</v>
      </c>
      <c r="P49" s="18">
        <f t="shared" si="26"/>
        <v>0.123242425627597</v>
      </c>
      <c r="Q49" s="24">
        <f t="shared" si="27"/>
        <v>0.0160215153315876</v>
      </c>
      <c r="R49" s="18">
        <f t="shared" si="28"/>
        <v>0.0100218354166667</v>
      </c>
      <c r="S49" s="25">
        <f t="shared" si="29"/>
        <v>1.59866079071137</v>
      </c>
      <c r="T49" s="3">
        <v>0.01</v>
      </c>
      <c r="U49" s="26">
        <f t="shared" si="30"/>
        <v>0.0159866079071137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0.0479866079071137</v>
      </c>
      <c r="AR49" s="29">
        <f t="shared" si="34"/>
        <v>7.70910416666667</v>
      </c>
      <c r="AS49" s="1">
        <f t="shared" si="35"/>
        <v>0.13</v>
      </c>
      <c r="AT49" s="2">
        <f t="shared" si="39"/>
        <v>3.02260273972602</v>
      </c>
      <c r="AU49" s="1">
        <f t="shared" si="36"/>
        <v>973.919793009988</v>
      </c>
    </row>
    <row r="50" s="1" customFormat="1" spans="1:47">
      <c r="A50" s="13"/>
      <c r="B50" s="13"/>
      <c r="C50" s="16">
        <v>8</v>
      </c>
      <c r="D50" s="19">
        <v>29.140520926129</v>
      </c>
      <c r="E50" s="20">
        <f t="shared" si="37"/>
        <v>29.74193995</v>
      </c>
      <c r="F50" s="16" t="s">
        <v>110</v>
      </c>
      <c r="G50" s="13">
        <v>9</v>
      </c>
      <c r="H50" s="18">
        <f t="shared" si="21"/>
        <v>29.140520926129</v>
      </c>
      <c r="I50" s="18">
        <f t="shared" si="22"/>
        <v>302.290520926129</v>
      </c>
      <c r="J50" s="18">
        <f t="shared" si="23"/>
        <v>0.541452494526531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0.167361545814467</v>
      </c>
      <c r="P50" s="18">
        <f t="shared" si="26"/>
        <v>0.0906183264690596</v>
      </c>
      <c r="Q50" s="24">
        <f t="shared" si="27"/>
        <v>0.0117803824409778</v>
      </c>
      <c r="R50" s="18">
        <f t="shared" si="28"/>
        <v>0.0100218354166667</v>
      </c>
      <c r="S50" s="25">
        <f t="shared" si="29"/>
        <v>1.17547155298385</v>
      </c>
      <c r="T50" s="3">
        <v>0.01</v>
      </c>
      <c r="U50" s="26">
        <f t="shared" si="30"/>
        <v>0.0117547155298385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0.0388547155298385</v>
      </c>
      <c r="AR50" s="29">
        <f t="shared" si="34"/>
        <v>7.70910416666667</v>
      </c>
      <c r="AS50" s="1">
        <f t="shared" si="35"/>
        <v>0.13</v>
      </c>
      <c r="AT50" s="2">
        <f t="shared" si="39"/>
        <v>3.02260273972602</v>
      </c>
      <c r="AU50" s="1">
        <f t="shared" si="36"/>
        <v>788.582026458939</v>
      </c>
    </row>
    <row r="51" s="1" customFormat="1" spans="1:47">
      <c r="A51" s="13"/>
      <c r="B51" s="13"/>
      <c r="C51" s="16">
        <v>9</v>
      </c>
      <c r="D51" s="19">
        <v>24.6161307696667</v>
      </c>
      <c r="E51" s="20">
        <f t="shared" si="37"/>
        <v>29.140520926129</v>
      </c>
      <c r="F51" s="16" t="s">
        <v>110</v>
      </c>
      <c r="G51" s="13">
        <v>10</v>
      </c>
      <c r="H51" s="18">
        <f t="shared" si="21"/>
        <v>24.6161307696667</v>
      </c>
      <c r="I51" s="18">
        <f t="shared" si="22"/>
        <v>297.766130769667</v>
      </c>
      <c r="J51" s="18">
        <f t="shared" si="23"/>
        <v>0.331902677511424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0.153834261012074</v>
      </c>
      <c r="P51" s="18">
        <f t="shared" si="26"/>
        <v>0.0510580031228987</v>
      </c>
      <c r="Q51" s="24">
        <f t="shared" si="27"/>
        <v>0.00663754040597684</v>
      </c>
      <c r="R51" s="18">
        <f t="shared" si="28"/>
        <v>0.0100218354166667</v>
      </c>
      <c r="S51" s="25">
        <f t="shared" si="29"/>
        <v>0.662307863780957</v>
      </c>
      <c r="T51" s="3">
        <v>0.01</v>
      </c>
      <c r="U51" s="26">
        <f t="shared" si="30"/>
        <v>0.00662307863780957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0.0337230786378096</v>
      </c>
      <c r="AR51" s="29">
        <f t="shared" si="34"/>
        <v>7.70910416666667</v>
      </c>
      <c r="AS51" s="1">
        <f t="shared" si="35"/>
        <v>0.13</v>
      </c>
      <c r="AT51" s="2">
        <f t="shared" si="39"/>
        <v>3.02260273972602</v>
      </c>
      <c r="AU51" s="1">
        <f t="shared" si="36"/>
        <v>684.432078011627</v>
      </c>
    </row>
    <row r="52" s="1" customFormat="1" spans="1:47">
      <c r="A52" s="13"/>
      <c r="B52" s="13"/>
      <c r="C52" s="16">
        <v>10</v>
      </c>
      <c r="D52" s="19">
        <v>20.6811148358065</v>
      </c>
      <c r="E52" s="20">
        <f t="shared" si="37"/>
        <v>24.6161307696667</v>
      </c>
      <c r="F52" s="16" t="s">
        <v>110</v>
      </c>
      <c r="G52" s="13">
        <v>11</v>
      </c>
      <c r="H52" s="18">
        <f t="shared" si="21"/>
        <v>20.6811148358065</v>
      </c>
      <c r="I52" s="18">
        <f t="shared" si="22"/>
        <v>293.831114835806</v>
      </c>
      <c r="J52" s="18">
        <f t="shared" si="23"/>
        <v>0.214203700429718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0.0976374449947168</v>
      </c>
      <c r="O52" s="18">
        <f t="shared" si="38"/>
        <v>0.0822298545611254</v>
      </c>
      <c r="P52" s="18">
        <f t="shared" si="26"/>
        <v>0.0176139391327906</v>
      </c>
      <c r="Q52" s="24">
        <f t="shared" si="27"/>
        <v>0.00228981208726278</v>
      </c>
      <c r="R52" s="18">
        <f t="shared" si="28"/>
        <v>0.0100218354166667</v>
      </c>
      <c r="S52" s="25">
        <f t="shared" si="29"/>
        <v>0.228482308086475</v>
      </c>
      <c r="T52" s="3">
        <v>0.01</v>
      </c>
      <c r="U52" s="26">
        <f t="shared" si="30"/>
        <v>0.00228482308086475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0.0170848230808647</v>
      </c>
      <c r="AR52" s="29">
        <f t="shared" si="34"/>
        <v>7.70910416666667</v>
      </c>
      <c r="AS52" s="1">
        <f t="shared" si="35"/>
        <v>0.13</v>
      </c>
      <c r="AT52" s="2">
        <f t="shared" si="39"/>
        <v>3.02260273972602</v>
      </c>
      <c r="AU52" s="1">
        <f t="shared" si="36"/>
        <v>346.747729923652</v>
      </c>
    </row>
    <row r="53" s="1" customFormat="1" spans="1:48">
      <c r="A53" s="13"/>
      <c r="B53" s="13"/>
      <c r="C53" s="16">
        <v>11</v>
      </c>
      <c r="D53" s="19">
        <v>13.5611605662</v>
      </c>
      <c r="E53" s="20">
        <f t="shared" si="37"/>
        <v>20.6811148358065</v>
      </c>
      <c r="F53" s="16" t="s">
        <v>112</v>
      </c>
      <c r="G53" s="13">
        <v>12</v>
      </c>
      <c r="H53" s="18">
        <f t="shared" si="21"/>
        <v>13.5611605662</v>
      </c>
      <c r="I53" s="18">
        <f t="shared" si="22"/>
        <v>286.7111605662</v>
      </c>
      <c r="J53" s="18">
        <f t="shared" si="23"/>
        <v>0.0940682661670207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0.141706957095002</v>
      </c>
      <c r="P53" s="18">
        <f t="shared" si="26"/>
        <v>0.0133301277577312</v>
      </c>
      <c r="Q53" s="24">
        <f t="shared" si="27"/>
        <v>0.00173291660850505</v>
      </c>
      <c r="R53" s="18">
        <f t="shared" si="28"/>
        <v>0.0100218354166667</v>
      </c>
      <c r="S53" s="25">
        <f t="shared" si="29"/>
        <v>0.172914095717752</v>
      </c>
      <c r="T53" s="3">
        <v>0.01</v>
      </c>
      <c r="U53" s="26">
        <f t="shared" si="30"/>
        <v>0.00172914095717752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0.0165291409571775</v>
      </c>
      <c r="AR53" s="29">
        <f t="shared" si="34"/>
        <v>7.70910416666667</v>
      </c>
      <c r="AS53" s="1">
        <f t="shared" si="35"/>
        <v>0.13</v>
      </c>
      <c r="AT53" s="2">
        <f t="shared" si="39"/>
        <v>3.02260273972602</v>
      </c>
      <c r="AU53" s="1">
        <f t="shared" si="36"/>
        <v>335.469795464763</v>
      </c>
      <c r="AV53" s="1">
        <f>SUM(AU42:AU53)</f>
        <v>6464.73287401879</v>
      </c>
    </row>
    <row r="54" s="1" customFormat="1" spans="1:46">
      <c r="A54" s="13"/>
      <c r="B54" s="13"/>
      <c r="C54" s="16">
        <v>12</v>
      </c>
      <c r="D54" s="19">
        <v>9.27566404483871</v>
      </c>
      <c r="E54" s="20">
        <f t="shared" si="37"/>
        <v>13.5611605662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134.758</v>
      </c>
      <c r="C58" s="16" t="s">
        <v>109</v>
      </c>
      <c r="D58" s="17">
        <v>7</v>
      </c>
      <c r="E58" s="16"/>
      <c r="F58" s="16"/>
      <c r="G58" s="13">
        <v>1</v>
      </c>
      <c r="H58" s="18">
        <f t="shared" ref="H58:H69" si="40">E59</f>
        <v>7</v>
      </c>
      <c r="I58" s="18">
        <f t="shared" ref="I58:I69" si="41">H58+273.15</f>
        <v>280.15</v>
      </c>
      <c r="J58" s="18">
        <f t="shared" ref="J58:J69" si="42">EXP(($C$16*(I58-$C$14))/($C$17*I58*$C$14))</f>
        <v>0.0424643715341541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110</v>
      </c>
      <c r="N58" s="13"/>
      <c r="O58" s="18">
        <f>L58</f>
        <v>3.032055</v>
      </c>
      <c r="P58" s="18">
        <f t="shared" ref="P58:P69" si="45">O58*J58</f>
        <v>0.12875431003199</v>
      </c>
      <c r="Q58" s="24">
        <f t="shared" ref="Q58:Q69" si="46">P58*$B$60</f>
        <v>0.037338749909277</v>
      </c>
      <c r="R58" s="18">
        <f t="shared" ref="R58:R69" si="47">L58*$B$60</f>
        <v>0.87929595</v>
      </c>
      <c r="S58" s="25">
        <f t="shared" ref="S58:S69" si="48">Q58/R58</f>
        <v>0.0424643715341541</v>
      </c>
      <c r="T58" s="3">
        <v>0.27</v>
      </c>
      <c r="U58" s="26">
        <f t="shared" ref="U58:U69" si="49">S58*T58</f>
        <v>0.0114653803142216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0.228627723395053</v>
      </c>
      <c r="AC58" s="29">
        <f t="shared" ref="AC58:AC69" si="51">$B$58/12</f>
        <v>11.2298333333333</v>
      </c>
      <c r="AD58" s="1">
        <f t="shared" ref="AD58:AD69" si="52">$B$60</f>
        <v>0.29</v>
      </c>
      <c r="AE58" s="30">
        <f>$E$7/12</f>
        <v>20.9004109589041</v>
      </c>
      <c r="AF58" s="1">
        <f t="shared" ref="AF58:AF69" si="53">AE58*10000*AC58*AB58</f>
        <v>536607.858052563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4.59449050554839</v>
      </c>
      <c r="E59" s="20">
        <f t="shared" ref="E59:E70" si="54">D58</f>
        <v>7</v>
      </c>
      <c r="F59" s="16" t="s">
        <v>110</v>
      </c>
      <c r="G59" s="13">
        <v>2</v>
      </c>
      <c r="H59" s="18">
        <f t="shared" si="40"/>
        <v>4.59449050554839</v>
      </c>
      <c r="I59" s="18">
        <f t="shared" si="41"/>
        <v>277.744490505548</v>
      </c>
      <c r="J59" s="18">
        <f t="shared" si="42"/>
        <v>0.0314264961059627</v>
      </c>
      <c r="K59" s="18">
        <f t="shared" si="43"/>
        <v>11.2298333333333</v>
      </c>
      <c r="L59" s="18">
        <f t="shared" si="44"/>
        <v>3.032055</v>
      </c>
      <c r="M59" s="13" t="s">
        <v>110</v>
      </c>
      <c r="N59" s="13"/>
      <c r="O59" s="18">
        <f t="shared" ref="O59:O69" si="55">L59+O58-P58-N59</f>
        <v>5.93535568996801</v>
      </c>
      <c r="P59" s="18">
        <f t="shared" si="45"/>
        <v>0.186527432478283</v>
      </c>
      <c r="Q59" s="24">
        <f t="shared" si="46"/>
        <v>0.0540929554187021</v>
      </c>
      <c r="R59" s="18">
        <f t="shared" si="47"/>
        <v>0.87929595</v>
      </c>
      <c r="S59" s="25">
        <f t="shared" si="48"/>
        <v>0.0615184858052652</v>
      </c>
      <c r="T59" s="3">
        <v>0.27</v>
      </c>
      <c r="U59" s="26">
        <f t="shared" si="49"/>
        <v>0.0166099911674216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0.22962732128383</v>
      </c>
      <c r="AC59" s="29">
        <f t="shared" si="51"/>
        <v>11.2298333333333</v>
      </c>
      <c r="AD59" s="1">
        <f t="shared" si="52"/>
        <v>0.29</v>
      </c>
      <c r="AE59" s="30">
        <f t="shared" ref="AE59:AE69" si="56">$E$7/12</f>
        <v>20.9004109589041</v>
      </c>
      <c r="AF59" s="1">
        <f t="shared" si="53"/>
        <v>538953.995581491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6.77763046017241</v>
      </c>
      <c r="E60" s="20">
        <f t="shared" si="54"/>
        <v>4.59449050554839</v>
      </c>
      <c r="F60" s="16" t="s">
        <v>110</v>
      </c>
      <c r="G60" s="13">
        <v>3</v>
      </c>
      <c r="H60" s="18">
        <f t="shared" si="40"/>
        <v>6.77763046017241</v>
      </c>
      <c r="I60" s="18">
        <f t="shared" si="41"/>
        <v>279.927630460172</v>
      </c>
      <c r="J60" s="18">
        <f t="shared" si="42"/>
        <v>0.0413079986787372</v>
      </c>
      <c r="K60" s="18">
        <f t="shared" si="43"/>
        <v>11.2298333333333</v>
      </c>
      <c r="L60" s="18">
        <f t="shared" si="44"/>
        <v>3.032055</v>
      </c>
      <c r="M60" s="13" t="s">
        <v>110</v>
      </c>
      <c r="N60" s="13"/>
      <c r="O60" s="18">
        <f t="shared" si="55"/>
        <v>8.78088325748973</v>
      </c>
      <c r="P60" s="18">
        <f t="shared" si="45"/>
        <v>0.362720713998531</v>
      </c>
      <c r="Q60" s="24">
        <f t="shared" si="46"/>
        <v>0.105189007059574</v>
      </c>
      <c r="R60" s="18">
        <f t="shared" si="47"/>
        <v>0.87929595</v>
      </c>
      <c r="S60" s="25">
        <f t="shared" si="48"/>
        <v>0.119628672302624</v>
      </c>
      <c r="T60" s="3">
        <v>0.27</v>
      </c>
      <c r="U60" s="26">
        <f t="shared" si="49"/>
        <v>0.0322997415217084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0.232675839777668</v>
      </c>
      <c r="AC60" s="29">
        <f t="shared" si="51"/>
        <v>11.2298333333333</v>
      </c>
      <c r="AD60" s="1">
        <f t="shared" si="52"/>
        <v>0.29</v>
      </c>
      <c r="AE60" s="30">
        <f t="shared" si="56"/>
        <v>20.9004109589041</v>
      </c>
      <c r="AF60" s="1">
        <f t="shared" si="53"/>
        <v>546109.116381891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11.1210237664516</v>
      </c>
      <c r="E61" s="20">
        <f t="shared" si="54"/>
        <v>6.77763046017241</v>
      </c>
      <c r="F61" s="16" t="s">
        <v>110</v>
      </c>
      <c r="G61" s="13">
        <v>4</v>
      </c>
      <c r="H61" s="18">
        <f t="shared" si="40"/>
        <v>11.1210237664516</v>
      </c>
      <c r="I61" s="18">
        <f t="shared" si="41"/>
        <v>284.271023766452</v>
      </c>
      <c r="J61" s="18">
        <f t="shared" si="42"/>
        <v>0.0702816845016928</v>
      </c>
      <c r="K61" s="18">
        <f t="shared" si="43"/>
        <v>11.2298333333333</v>
      </c>
      <c r="L61" s="18">
        <f t="shared" si="44"/>
        <v>3.032055</v>
      </c>
      <c r="M61" s="13" t="s">
        <v>110</v>
      </c>
      <c r="N61" s="13"/>
      <c r="O61" s="18">
        <f t="shared" si="55"/>
        <v>11.4502175434912</v>
      </c>
      <c r="P61" s="18">
        <f t="shared" si="45"/>
        <v>0.804740576867396</v>
      </c>
      <c r="Q61" s="24">
        <f t="shared" si="46"/>
        <v>0.233374767291545</v>
      </c>
      <c r="R61" s="18">
        <f t="shared" si="47"/>
        <v>0.87929595</v>
      </c>
      <c r="S61" s="25">
        <f t="shared" si="48"/>
        <v>0.265410943029528</v>
      </c>
      <c r="T61" s="3">
        <v>0.27</v>
      </c>
      <c r="U61" s="26">
        <f t="shared" si="49"/>
        <v>0.0716609546179726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0.289123723482272</v>
      </c>
      <c r="AC61" s="29">
        <f t="shared" si="51"/>
        <v>11.2298333333333</v>
      </c>
      <c r="AD61" s="1">
        <f t="shared" si="52"/>
        <v>0.29</v>
      </c>
      <c r="AE61" s="30">
        <f t="shared" si="56"/>
        <v>20.9004109589041</v>
      </c>
      <c r="AF61" s="1">
        <f t="shared" si="53"/>
        <v>678596.88959034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16.526401538</v>
      </c>
      <c r="E62" s="20">
        <f t="shared" si="54"/>
        <v>11.1210237664516</v>
      </c>
      <c r="F62" s="16" t="s">
        <v>110</v>
      </c>
      <c r="G62" s="13">
        <v>5</v>
      </c>
      <c r="H62" s="18">
        <f t="shared" si="40"/>
        <v>16.526401538</v>
      </c>
      <c r="I62" s="18">
        <f t="shared" si="41"/>
        <v>289.676401538</v>
      </c>
      <c r="J62" s="18">
        <f t="shared" si="42"/>
        <v>0.133173313526827</v>
      </c>
      <c r="K62" s="18">
        <f t="shared" si="43"/>
        <v>11.2298333333333</v>
      </c>
      <c r="L62" s="18">
        <f t="shared" si="44"/>
        <v>3.032055</v>
      </c>
      <c r="M62" s="13" t="s">
        <v>112</v>
      </c>
      <c r="N62" s="18">
        <f>(O61-P61)*$C$22/100</f>
        <v>10.1132031182926</v>
      </c>
      <c r="O62" s="18">
        <f t="shared" si="55"/>
        <v>3.56432884833119</v>
      </c>
      <c r="P62" s="18">
        <f t="shared" si="45"/>
        <v>0.474673483231524</v>
      </c>
      <c r="Q62" s="24">
        <f t="shared" si="46"/>
        <v>0.137655310137142</v>
      </c>
      <c r="R62" s="18">
        <f t="shared" si="47"/>
        <v>0.87929595</v>
      </c>
      <c r="S62" s="25">
        <f t="shared" si="48"/>
        <v>0.156551739078455</v>
      </c>
      <c r="T62" s="3">
        <v>0.27</v>
      </c>
      <c r="U62" s="26">
        <f t="shared" si="49"/>
        <v>0.0422689695511827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0.283412860783795</v>
      </c>
      <c r="AC62" s="29">
        <f t="shared" si="51"/>
        <v>11.2298333333333</v>
      </c>
      <c r="AD62" s="1">
        <f t="shared" si="52"/>
        <v>0.29</v>
      </c>
      <c r="AE62" s="30">
        <f t="shared" si="56"/>
        <v>20.9004109589041</v>
      </c>
      <c r="AF62" s="1">
        <f t="shared" si="53"/>
        <v>665193.030448695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20.526606356129</v>
      </c>
      <c r="E63" s="20">
        <f t="shared" si="54"/>
        <v>16.526401538</v>
      </c>
      <c r="F63" s="16" t="s">
        <v>112</v>
      </c>
      <c r="G63" s="13">
        <v>6</v>
      </c>
      <c r="H63" s="18">
        <f t="shared" si="40"/>
        <v>20.526606356129</v>
      </c>
      <c r="I63" s="18">
        <f t="shared" si="41"/>
        <v>293.676606356129</v>
      </c>
      <c r="J63" s="18">
        <f t="shared" si="42"/>
        <v>0.21050160475567</v>
      </c>
      <c r="K63" s="18">
        <f t="shared" si="43"/>
        <v>11.2298333333333</v>
      </c>
      <c r="L63" s="18">
        <f t="shared" si="44"/>
        <v>3.032055</v>
      </c>
      <c r="M63" s="13" t="s">
        <v>110</v>
      </c>
      <c r="N63" s="13"/>
      <c r="O63" s="18">
        <f t="shared" si="55"/>
        <v>6.12171036509967</v>
      </c>
      <c r="P63" s="18">
        <f t="shared" si="45"/>
        <v>1.2886298557029</v>
      </c>
      <c r="Q63" s="24">
        <f t="shared" si="46"/>
        <v>0.373702658153841</v>
      </c>
      <c r="R63" s="18">
        <f t="shared" si="47"/>
        <v>0.87929595</v>
      </c>
      <c r="S63" s="25">
        <f t="shared" si="48"/>
        <v>0.425002137396221</v>
      </c>
      <c r="T63" s="3">
        <v>0.27</v>
      </c>
      <c r="U63" s="26">
        <f t="shared" si="49"/>
        <v>0.11475057709698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0.297496037129943</v>
      </c>
      <c r="AC63" s="29">
        <f t="shared" si="51"/>
        <v>11.2298333333333</v>
      </c>
      <c r="AD63" s="1">
        <f t="shared" si="52"/>
        <v>0.29</v>
      </c>
      <c r="AE63" s="30">
        <f t="shared" si="56"/>
        <v>20.9004109589041</v>
      </c>
      <c r="AF63" s="1">
        <f t="shared" si="53"/>
        <v>698247.390530062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24.2213020506667</v>
      </c>
      <c r="E64" s="20">
        <f t="shared" si="54"/>
        <v>20.526606356129</v>
      </c>
      <c r="F64" s="16" t="s">
        <v>110</v>
      </c>
      <c r="G64" s="13">
        <v>7</v>
      </c>
      <c r="H64" s="18">
        <f t="shared" si="40"/>
        <v>24.2213020506667</v>
      </c>
      <c r="I64" s="18">
        <f t="shared" si="41"/>
        <v>297.371302050667</v>
      </c>
      <c r="J64" s="18">
        <f t="shared" si="42"/>
        <v>0.317801111652171</v>
      </c>
      <c r="K64" s="18">
        <f t="shared" si="43"/>
        <v>11.2298333333333</v>
      </c>
      <c r="L64" s="18">
        <f t="shared" si="44"/>
        <v>3.032055</v>
      </c>
      <c r="M64" s="13" t="s">
        <v>110</v>
      </c>
      <c r="N64" s="13"/>
      <c r="O64" s="18">
        <f t="shared" si="55"/>
        <v>7.86513550939677</v>
      </c>
      <c r="P64" s="18">
        <f t="shared" si="45"/>
        <v>2.49954880818126</v>
      </c>
      <c r="Q64" s="24">
        <f t="shared" si="46"/>
        <v>0.724869154372564</v>
      </c>
      <c r="R64" s="18">
        <f t="shared" si="47"/>
        <v>0.87929595</v>
      </c>
      <c r="S64" s="25">
        <f t="shared" si="48"/>
        <v>0.82437449458577</v>
      </c>
      <c r="T64" s="3">
        <v>0.27</v>
      </c>
      <c r="U64" s="26">
        <f t="shared" si="49"/>
        <v>0.222581113538158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0.333647510360464</v>
      </c>
      <c r="AC64" s="29">
        <f t="shared" si="51"/>
        <v>11.2298333333333</v>
      </c>
      <c r="AD64" s="1">
        <f t="shared" si="52"/>
        <v>0.29</v>
      </c>
      <c r="AE64" s="30">
        <f t="shared" si="56"/>
        <v>20.9004109589041</v>
      </c>
      <c r="AF64" s="1">
        <f t="shared" si="53"/>
        <v>783097.837919392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29.74193995</v>
      </c>
      <c r="E65" s="20">
        <f t="shared" si="54"/>
        <v>24.2213020506667</v>
      </c>
      <c r="F65" s="16" t="s">
        <v>110</v>
      </c>
      <c r="G65" s="13">
        <v>8</v>
      </c>
      <c r="H65" s="18">
        <f t="shared" si="40"/>
        <v>29.74193995</v>
      </c>
      <c r="I65" s="18">
        <f t="shared" si="41"/>
        <v>302.89193995</v>
      </c>
      <c r="J65" s="18">
        <f t="shared" si="42"/>
        <v>0.577212938613321</v>
      </c>
      <c r="K65" s="18">
        <f t="shared" si="43"/>
        <v>11.2298333333333</v>
      </c>
      <c r="L65" s="18">
        <f t="shared" si="44"/>
        <v>3.032055</v>
      </c>
      <c r="M65" s="13" t="s">
        <v>110</v>
      </c>
      <c r="N65" s="13"/>
      <c r="O65" s="18">
        <f t="shared" si="55"/>
        <v>8.39764170121551</v>
      </c>
      <c r="P65" s="18">
        <f t="shared" si="45"/>
        <v>4.84722744378037</v>
      </c>
      <c r="Q65" s="24">
        <f t="shared" si="46"/>
        <v>1.40569595869631</v>
      </c>
      <c r="R65" s="18">
        <f t="shared" si="47"/>
        <v>0.87929595</v>
      </c>
      <c r="S65" s="25">
        <f t="shared" si="48"/>
        <v>1.59866079071137</v>
      </c>
      <c r="T65" s="3">
        <v>0.27</v>
      </c>
      <c r="U65" s="26">
        <f t="shared" si="49"/>
        <v>0.431638413492071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0.374267343741509</v>
      </c>
      <c r="AC65" s="29">
        <f t="shared" si="51"/>
        <v>11.2298333333333</v>
      </c>
      <c r="AD65" s="1">
        <f t="shared" si="52"/>
        <v>0.29</v>
      </c>
      <c r="AE65" s="30">
        <f t="shared" si="56"/>
        <v>20.9004109589041</v>
      </c>
      <c r="AF65" s="1">
        <f t="shared" si="53"/>
        <v>878435.889934157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29.140520926129</v>
      </c>
      <c r="E66" s="20">
        <f t="shared" si="54"/>
        <v>29.74193995</v>
      </c>
      <c r="F66" s="16" t="s">
        <v>110</v>
      </c>
      <c r="G66" s="13">
        <v>9</v>
      </c>
      <c r="H66" s="18">
        <f t="shared" si="40"/>
        <v>29.140520926129</v>
      </c>
      <c r="I66" s="18">
        <f t="shared" si="41"/>
        <v>302.290520926129</v>
      </c>
      <c r="J66" s="18">
        <f t="shared" si="42"/>
        <v>0.541452494526531</v>
      </c>
      <c r="K66" s="18">
        <f t="shared" si="43"/>
        <v>11.2298333333333</v>
      </c>
      <c r="L66" s="18">
        <f t="shared" si="44"/>
        <v>3.032055</v>
      </c>
      <c r="M66" s="13" t="s">
        <v>110</v>
      </c>
      <c r="N66" s="13"/>
      <c r="O66" s="18">
        <f t="shared" si="55"/>
        <v>6.58246925743514</v>
      </c>
      <c r="P66" s="18">
        <f t="shared" si="45"/>
        <v>3.56409439958246</v>
      </c>
      <c r="Q66" s="24">
        <f t="shared" si="46"/>
        <v>1.03358737587891</v>
      </c>
      <c r="R66" s="18">
        <f t="shared" si="47"/>
        <v>0.87929595</v>
      </c>
      <c r="S66" s="25">
        <f t="shared" si="48"/>
        <v>1.17547155298385</v>
      </c>
      <c r="T66" s="3">
        <v>0.27</v>
      </c>
      <c r="U66" s="26">
        <f t="shared" si="49"/>
        <v>0.31737731930564</v>
      </c>
      <c r="V66" s="3">
        <v>229.1</v>
      </c>
      <c r="W66" s="27">
        <v>15.1</v>
      </c>
      <c r="X66" s="27">
        <v>6</v>
      </c>
      <c r="Y66" s="27">
        <v>3</v>
      </c>
      <c r="Z66" s="27">
        <v>7</v>
      </c>
      <c r="AA66" s="3">
        <v>30.2</v>
      </c>
      <c r="AB66" s="2">
        <f t="shared" si="50"/>
        <v>0.352066413141086</v>
      </c>
      <c r="AC66" s="29">
        <f t="shared" si="51"/>
        <v>11.2298333333333</v>
      </c>
      <c r="AD66" s="1">
        <f t="shared" si="52"/>
        <v>0.29</v>
      </c>
      <c r="AE66" s="30">
        <f t="shared" si="56"/>
        <v>20.9004109589041</v>
      </c>
      <c r="AF66" s="1">
        <f t="shared" si="53"/>
        <v>826328.50050929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24.6161307696667</v>
      </c>
      <c r="E67" s="20">
        <f t="shared" si="54"/>
        <v>29.140520926129</v>
      </c>
      <c r="F67" s="16" t="s">
        <v>110</v>
      </c>
      <c r="G67" s="13">
        <v>10</v>
      </c>
      <c r="H67" s="18">
        <f t="shared" si="40"/>
        <v>24.6161307696667</v>
      </c>
      <c r="I67" s="18">
        <f t="shared" si="41"/>
        <v>297.766130769667</v>
      </c>
      <c r="J67" s="18">
        <f t="shared" si="42"/>
        <v>0.331902677511424</v>
      </c>
      <c r="K67" s="18">
        <f t="shared" si="43"/>
        <v>11.2298333333333</v>
      </c>
      <c r="L67" s="18">
        <f t="shared" si="44"/>
        <v>3.032055</v>
      </c>
      <c r="M67" s="13" t="s">
        <v>110</v>
      </c>
      <c r="N67" s="13"/>
      <c r="O67" s="18">
        <f t="shared" si="55"/>
        <v>6.05042985785268</v>
      </c>
      <c r="P67" s="18">
        <f t="shared" si="45"/>
        <v>2.00815386991637</v>
      </c>
      <c r="Q67" s="24">
        <f t="shared" si="46"/>
        <v>0.582364622275747</v>
      </c>
      <c r="R67" s="18">
        <f t="shared" si="47"/>
        <v>0.87929595</v>
      </c>
      <c r="S67" s="25">
        <f t="shared" si="48"/>
        <v>0.662307863780957</v>
      </c>
      <c r="T67" s="3">
        <v>0.27</v>
      </c>
      <c r="U67" s="26">
        <f t="shared" si="49"/>
        <v>0.178823123220858</v>
      </c>
      <c r="V67" s="3">
        <v>229.1</v>
      </c>
      <c r="W67" s="27">
        <v>15.1</v>
      </c>
      <c r="X67" s="27">
        <v>6</v>
      </c>
      <c r="Y67" s="27">
        <v>3</v>
      </c>
      <c r="Z67" s="27">
        <v>7</v>
      </c>
      <c r="AA67" s="3">
        <v>30.2</v>
      </c>
      <c r="AB67" s="2">
        <f t="shared" si="50"/>
        <v>0.325145332841813</v>
      </c>
      <c r="AC67" s="29">
        <f t="shared" si="51"/>
        <v>11.2298333333333</v>
      </c>
      <c r="AD67" s="1">
        <f t="shared" si="52"/>
        <v>0.29</v>
      </c>
      <c r="AE67" s="30">
        <f t="shared" si="56"/>
        <v>20.9004109589041</v>
      </c>
      <c r="AF67" s="1">
        <f t="shared" si="53"/>
        <v>763142.535914383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20.6811148358065</v>
      </c>
      <c r="E68" s="20">
        <f t="shared" si="54"/>
        <v>24.6161307696667</v>
      </c>
      <c r="F68" s="16" t="s">
        <v>110</v>
      </c>
      <c r="G68" s="13">
        <v>11</v>
      </c>
      <c r="H68" s="18">
        <f t="shared" si="40"/>
        <v>20.6811148358065</v>
      </c>
      <c r="I68" s="18">
        <f t="shared" si="41"/>
        <v>293.831114835806</v>
      </c>
      <c r="J68" s="18">
        <f t="shared" si="42"/>
        <v>0.214203700429718</v>
      </c>
      <c r="K68" s="18">
        <f t="shared" si="43"/>
        <v>11.2298333333333</v>
      </c>
      <c r="L68" s="18">
        <f t="shared" si="44"/>
        <v>3.032055</v>
      </c>
      <c r="M68" s="13" t="s">
        <v>112</v>
      </c>
      <c r="N68" s="18">
        <f>(O67-P67)*$C$22/100</f>
        <v>3.84016218853949</v>
      </c>
      <c r="O68" s="18">
        <f t="shared" si="55"/>
        <v>3.23416879939682</v>
      </c>
      <c r="P68" s="18">
        <f t="shared" si="45"/>
        <v>0.692770924645137</v>
      </c>
      <c r="Q68" s="24">
        <f t="shared" si="46"/>
        <v>0.20090356814709</v>
      </c>
      <c r="R68" s="18">
        <f t="shared" si="47"/>
        <v>0.87929595</v>
      </c>
      <c r="S68" s="25">
        <f t="shared" si="48"/>
        <v>0.228482308086475</v>
      </c>
      <c r="T68" s="3">
        <v>0.27</v>
      </c>
      <c r="U68" s="26">
        <f t="shared" si="49"/>
        <v>0.0616902231833482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0.238386410364525</v>
      </c>
      <c r="AC68" s="29">
        <f t="shared" si="51"/>
        <v>11.2298333333333</v>
      </c>
      <c r="AD68" s="1">
        <f t="shared" si="52"/>
        <v>0.29</v>
      </c>
      <c r="AE68" s="30">
        <f t="shared" si="56"/>
        <v>20.9004109589041</v>
      </c>
      <c r="AF68" s="1">
        <f t="shared" si="53"/>
        <v>559512.289913808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13.5611605662</v>
      </c>
      <c r="E69" s="20">
        <f t="shared" si="54"/>
        <v>20.6811148358065</v>
      </c>
      <c r="F69" s="16" t="s">
        <v>112</v>
      </c>
      <c r="G69" s="13">
        <v>12</v>
      </c>
      <c r="H69" s="18">
        <f t="shared" si="40"/>
        <v>13.5611605662</v>
      </c>
      <c r="I69" s="18">
        <f t="shared" si="41"/>
        <v>286.7111605662</v>
      </c>
      <c r="J69" s="18">
        <f t="shared" si="42"/>
        <v>0.0940682661670207</v>
      </c>
      <c r="K69" s="18">
        <f t="shared" si="43"/>
        <v>11.2298333333333</v>
      </c>
      <c r="L69" s="18">
        <f t="shared" si="44"/>
        <v>3.032055</v>
      </c>
      <c r="M69" s="13" t="s">
        <v>110</v>
      </c>
      <c r="N69" s="13"/>
      <c r="O69" s="18">
        <f t="shared" si="55"/>
        <v>5.57345287475168</v>
      </c>
      <c r="P69" s="18">
        <f t="shared" si="45"/>
        <v>0.524285048491488</v>
      </c>
      <c r="Q69" s="24">
        <f t="shared" si="46"/>
        <v>0.152042664062531</v>
      </c>
      <c r="R69" s="18">
        <f t="shared" si="47"/>
        <v>0.87929595</v>
      </c>
      <c r="S69" s="25">
        <f t="shared" si="48"/>
        <v>0.172914095717752</v>
      </c>
      <c r="T69" s="3">
        <v>0.27</v>
      </c>
      <c r="U69" s="26">
        <f t="shared" si="49"/>
        <v>0.046686805843793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0.235471246375449</v>
      </c>
      <c r="AC69" s="29">
        <f t="shared" si="51"/>
        <v>11.2298333333333</v>
      </c>
      <c r="AD69" s="1">
        <f t="shared" si="52"/>
        <v>0.29</v>
      </c>
      <c r="AE69" s="30">
        <f t="shared" si="56"/>
        <v>20.9004109589041</v>
      </c>
      <c r="AF69" s="1">
        <f t="shared" si="53"/>
        <v>552670.162980029</v>
      </c>
      <c r="AG69" s="1">
        <f>SUM(AF58:AF69)</f>
        <v>8026895.4977561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46">
      <c r="A70" s="13"/>
      <c r="B70" s="13"/>
      <c r="C70" s="16">
        <v>12</v>
      </c>
      <c r="D70" s="19">
        <v>9.27566404483871</v>
      </c>
      <c r="E70" s="20">
        <f t="shared" si="54"/>
        <v>13.5611605662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7</v>
      </c>
      <c r="E74" s="16"/>
      <c r="F74" s="16"/>
      <c r="G74" s="13">
        <v>1</v>
      </c>
      <c r="H74" s="18">
        <f t="shared" ref="H74:H85" si="57">E75</f>
        <v>7</v>
      </c>
      <c r="I74" s="18">
        <f t="shared" ref="I74:I85" si="58">H74+273.15</f>
        <v>280.15</v>
      </c>
      <c r="J74" s="18">
        <f t="shared" ref="J74:J85" si="59">EXP(($C$16*(I74-$C$14))/($C$17*I74*$C$14))</f>
        <v>0.0424643715341541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0.0221332797310318</v>
      </c>
      <c r="Q74" s="24">
        <f t="shared" ref="Q74:Q85" si="63">P74*$B$76</f>
        <v>0.00575465273006827</v>
      </c>
      <c r="R74" s="18">
        <f t="shared" ref="R74:R85" si="64">L74*$B$76</f>
        <v>0.1355172</v>
      </c>
      <c r="S74" s="25">
        <f t="shared" ref="S74:S85" si="65">Q74/R74</f>
        <v>0.0424643715341541</v>
      </c>
      <c r="T74" s="3">
        <v>0.01</v>
      </c>
      <c r="U74" s="26">
        <f t="shared" ref="U74:U85" si="66">S74*T74</f>
        <v>0.000424643715341541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0.00591464371534154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4.59449050554839</v>
      </c>
      <c r="E75" s="20">
        <f t="shared" ref="E75:E86" si="74">D74</f>
        <v>7</v>
      </c>
      <c r="F75" s="16" t="s">
        <v>110</v>
      </c>
      <c r="G75" s="13">
        <v>2</v>
      </c>
      <c r="H75" s="18">
        <f t="shared" si="57"/>
        <v>4.59449050554839</v>
      </c>
      <c r="I75" s="18">
        <f t="shared" si="58"/>
        <v>277.744490505548</v>
      </c>
      <c r="J75" s="18">
        <f t="shared" si="59"/>
        <v>0.0314264961059627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1.02030672026897</v>
      </c>
      <c r="P75" s="18">
        <f t="shared" si="62"/>
        <v>0.0320646651714203</v>
      </c>
      <c r="Q75" s="24">
        <f t="shared" si="63"/>
        <v>0.00833681294456928</v>
      </c>
      <c r="R75" s="18">
        <f t="shared" si="64"/>
        <v>0.1355172</v>
      </c>
      <c r="S75" s="25">
        <f t="shared" si="65"/>
        <v>0.0615184858052652</v>
      </c>
      <c r="T75" s="3">
        <v>0.01</v>
      </c>
      <c r="U75" s="26">
        <f t="shared" si="66"/>
        <v>0.000615184858052652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0.00610518485805265</v>
      </c>
      <c r="AU75" s="29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6.77763046017241</v>
      </c>
      <c r="E76" s="20">
        <f t="shared" si="74"/>
        <v>4.59449050554839</v>
      </c>
      <c r="F76" s="16" t="s">
        <v>110</v>
      </c>
      <c r="G76" s="13">
        <v>3</v>
      </c>
      <c r="H76" s="18">
        <f t="shared" si="57"/>
        <v>6.77763046017241</v>
      </c>
      <c r="I76" s="18">
        <f t="shared" si="58"/>
        <v>279.927630460172</v>
      </c>
      <c r="J76" s="18">
        <f t="shared" si="59"/>
        <v>0.0413079986787372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1.50946205509755</v>
      </c>
      <c r="P76" s="18">
        <f t="shared" si="62"/>
        <v>0.0623528565775734</v>
      </c>
      <c r="Q76" s="24">
        <f t="shared" si="63"/>
        <v>0.0162117427101691</v>
      </c>
      <c r="R76" s="18">
        <f t="shared" si="64"/>
        <v>0.1355172</v>
      </c>
      <c r="S76" s="25">
        <f t="shared" si="65"/>
        <v>0.119628672302624</v>
      </c>
      <c r="T76" s="3">
        <v>0.01</v>
      </c>
      <c r="U76" s="26">
        <f t="shared" si="66"/>
        <v>0.00119628672302624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0.00668628672302624</v>
      </c>
      <c r="AU76" s="29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9">
        <v>11.1210237664516</v>
      </c>
      <c r="E77" s="20">
        <f t="shared" si="74"/>
        <v>6.77763046017241</v>
      </c>
      <c r="F77" s="16" t="s">
        <v>110</v>
      </c>
      <c r="G77" s="13">
        <v>4</v>
      </c>
      <c r="H77" s="18">
        <f t="shared" si="57"/>
        <v>11.1210237664516</v>
      </c>
      <c r="I77" s="18">
        <f t="shared" si="58"/>
        <v>284.271023766452</v>
      </c>
      <c r="J77" s="18">
        <f t="shared" si="59"/>
        <v>0.0702816845016928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1.96832919851997</v>
      </c>
      <c r="P77" s="18">
        <f t="shared" si="62"/>
        <v>0.138337491725851</v>
      </c>
      <c r="Q77" s="24">
        <f t="shared" si="63"/>
        <v>0.0359677478487212</v>
      </c>
      <c r="R77" s="18">
        <f t="shared" si="64"/>
        <v>0.1355172</v>
      </c>
      <c r="S77" s="25">
        <f t="shared" si="65"/>
        <v>0.265410943029528</v>
      </c>
      <c r="T77" s="3">
        <v>0.01</v>
      </c>
      <c r="U77" s="26">
        <f t="shared" si="66"/>
        <v>0.00265410943029528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0.00814410943029528</v>
      </c>
      <c r="AU77" s="29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9">
        <v>16.526401538</v>
      </c>
      <c r="E78" s="20">
        <f t="shared" si="74"/>
        <v>11.1210237664516</v>
      </c>
      <c r="F78" s="16" t="s">
        <v>110</v>
      </c>
      <c r="G78" s="13">
        <v>5</v>
      </c>
      <c r="H78" s="18">
        <f t="shared" si="57"/>
        <v>16.526401538</v>
      </c>
      <c r="I78" s="18">
        <f t="shared" si="58"/>
        <v>289.676401538</v>
      </c>
      <c r="J78" s="18">
        <f t="shared" si="59"/>
        <v>0.133173313526827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1.73849212145442</v>
      </c>
      <c r="O78" s="18">
        <f t="shared" si="75"/>
        <v>0.612719585339706</v>
      </c>
      <c r="P78" s="18">
        <f t="shared" si="62"/>
        <v>0.0815978974424721</v>
      </c>
      <c r="Q78" s="24">
        <f t="shared" si="63"/>
        <v>0.0212154533350428</v>
      </c>
      <c r="R78" s="18">
        <f t="shared" si="64"/>
        <v>0.1355172</v>
      </c>
      <c r="S78" s="25">
        <f t="shared" si="65"/>
        <v>0.156551739078455</v>
      </c>
      <c r="T78" s="3">
        <v>0.01</v>
      </c>
      <c r="U78" s="26">
        <f t="shared" si="66"/>
        <v>0.00156551739078455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0.0115155173907845</v>
      </c>
      <c r="AU78" s="29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9">
        <v>20.526606356129</v>
      </c>
      <c r="E79" s="20">
        <f t="shared" si="74"/>
        <v>16.526401538</v>
      </c>
      <c r="F79" s="16" t="s">
        <v>112</v>
      </c>
      <c r="G79" s="13">
        <v>6</v>
      </c>
      <c r="H79" s="18">
        <f t="shared" si="57"/>
        <v>20.526606356129</v>
      </c>
      <c r="I79" s="18">
        <f t="shared" si="58"/>
        <v>293.676606356129</v>
      </c>
      <c r="J79" s="18">
        <f t="shared" si="59"/>
        <v>0.21050160475567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1.05234168789723</v>
      </c>
      <c r="P79" s="18">
        <f t="shared" si="62"/>
        <v>0.221519614053658</v>
      </c>
      <c r="Q79" s="24">
        <f t="shared" si="63"/>
        <v>0.0575950996539511</v>
      </c>
      <c r="R79" s="18">
        <f t="shared" si="64"/>
        <v>0.1355172</v>
      </c>
      <c r="S79" s="25">
        <f t="shared" si="65"/>
        <v>0.425002137396221</v>
      </c>
      <c r="T79" s="3">
        <v>0.01</v>
      </c>
      <c r="U79" s="26">
        <f t="shared" si="66"/>
        <v>0.00425002137396221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0.0142000213739622</v>
      </c>
      <c r="AU79" s="29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9">
        <v>24.2213020506667</v>
      </c>
      <c r="E80" s="20">
        <f t="shared" si="74"/>
        <v>20.526606356129</v>
      </c>
      <c r="F80" s="16" t="s">
        <v>110</v>
      </c>
      <c r="G80" s="13">
        <v>7</v>
      </c>
      <c r="H80" s="18">
        <f t="shared" si="57"/>
        <v>24.2213020506667</v>
      </c>
      <c r="I80" s="18">
        <f t="shared" si="58"/>
        <v>297.371302050667</v>
      </c>
      <c r="J80" s="18">
        <f t="shared" si="59"/>
        <v>0.317801111652171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1.35204207384358</v>
      </c>
      <c r="P80" s="18">
        <f t="shared" si="62"/>
        <v>0.429680474067995</v>
      </c>
      <c r="Q80" s="24">
        <f t="shared" si="63"/>
        <v>0.111716923257679</v>
      </c>
      <c r="R80" s="18">
        <f t="shared" si="64"/>
        <v>0.1355172</v>
      </c>
      <c r="S80" s="25">
        <f t="shared" si="65"/>
        <v>0.82437449458577</v>
      </c>
      <c r="T80" s="3">
        <v>0.01</v>
      </c>
      <c r="U80" s="26">
        <f t="shared" si="66"/>
        <v>0.0082437449458577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0.0181937449458577</v>
      </c>
      <c r="AU80" s="29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9">
        <v>29.74193995</v>
      </c>
      <c r="E81" s="20">
        <f t="shared" si="74"/>
        <v>24.2213020506667</v>
      </c>
      <c r="F81" s="16" t="s">
        <v>110</v>
      </c>
      <c r="G81" s="13">
        <v>8</v>
      </c>
      <c r="H81" s="18">
        <f t="shared" si="57"/>
        <v>29.74193995</v>
      </c>
      <c r="I81" s="18">
        <f t="shared" si="58"/>
        <v>302.89193995</v>
      </c>
      <c r="J81" s="18">
        <f t="shared" si="59"/>
        <v>0.577212938613321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1.44358159977558</v>
      </c>
      <c r="P81" s="18">
        <f t="shared" si="62"/>
        <v>0.833253977334582</v>
      </c>
      <c r="Q81" s="24">
        <f t="shared" si="63"/>
        <v>0.216646034106991</v>
      </c>
      <c r="R81" s="18">
        <f t="shared" si="64"/>
        <v>0.1355172</v>
      </c>
      <c r="S81" s="25">
        <f t="shared" si="65"/>
        <v>1.59866079071137</v>
      </c>
      <c r="T81" s="3">
        <v>0.01</v>
      </c>
      <c r="U81" s="26">
        <f t="shared" si="66"/>
        <v>0.0159866079071137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0.0259366079071137</v>
      </c>
      <c r="AU81" s="29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9">
        <v>29.140520926129</v>
      </c>
      <c r="E82" s="20">
        <f t="shared" si="74"/>
        <v>29.74193995</v>
      </c>
      <c r="F82" s="16" t="s">
        <v>110</v>
      </c>
      <c r="G82" s="13">
        <v>9</v>
      </c>
      <c r="H82" s="18">
        <f t="shared" si="57"/>
        <v>29.140520926129</v>
      </c>
      <c r="I82" s="18">
        <f t="shared" si="58"/>
        <v>302.290520926129</v>
      </c>
      <c r="J82" s="18">
        <f t="shared" si="59"/>
        <v>0.541452494526531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1.131547622441</v>
      </c>
      <c r="P82" s="18">
        <f t="shared" si="62"/>
        <v>0.612679282846244</v>
      </c>
      <c r="Q82" s="24">
        <f t="shared" si="63"/>
        <v>0.159296613540023</v>
      </c>
      <c r="R82" s="18">
        <f t="shared" si="64"/>
        <v>0.1355172</v>
      </c>
      <c r="S82" s="25">
        <f t="shared" si="65"/>
        <v>1.17547155298385</v>
      </c>
      <c r="T82" s="3">
        <v>0.01</v>
      </c>
      <c r="U82" s="26">
        <f t="shared" si="66"/>
        <v>0.0117547155298385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0.0217047155298385</v>
      </c>
      <c r="AU82" s="29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9">
        <v>24.6161307696667</v>
      </c>
      <c r="E83" s="20">
        <f t="shared" si="74"/>
        <v>29.140520926129</v>
      </c>
      <c r="F83" s="16" t="s">
        <v>110</v>
      </c>
      <c r="G83" s="13">
        <v>10</v>
      </c>
      <c r="H83" s="18">
        <f t="shared" si="57"/>
        <v>24.6161307696667</v>
      </c>
      <c r="I83" s="18">
        <f t="shared" si="58"/>
        <v>297.766130769667</v>
      </c>
      <c r="J83" s="18">
        <f t="shared" si="59"/>
        <v>0.331902677511424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1.04008833959475</v>
      </c>
      <c r="P83" s="18">
        <f t="shared" si="62"/>
        <v>0.34520810475991</v>
      </c>
      <c r="Q83" s="24">
        <f t="shared" si="63"/>
        <v>0.0897541072375767</v>
      </c>
      <c r="R83" s="18">
        <f t="shared" si="64"/>
        <v>0.1355172</v>
      </c>
      <c r="S83" s="25">
        <f t="shared" si="65"/>
        <v>0.662307863780957</v>
      </c>
      <c r="T83" s="3">
        <v>0.01</v>
      </c>
      <c r="U83" s="26">
        <f t="shared" si="66"/>
        <v>0.00662307863780957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0.0165730786378096</v>
      </c>
      <c r="AU83" s="29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9">
        <v>20.6811148358065</v>
      </c>
      <c r="E84" s="20">
        <f t="shared" si="74"/>
        <v>24.6161307696667</v>
      </c>
      <c r="F84" s="16" t="s">
        <v>110</v>
      </c>
      <c r="G84" s="13">
        <v>11</v>
      </c>
      <c r="H84" s="18">
        <f t="shared" si="57"/>
        <v>20.6811148358065</v>
      </c>
      <c r="I84" s="18">
        <f t="shared" si="58"/>
        <v>293.831114835806</v>
      </c>
      <c r="J84" s="18">
        <f t="shared" si="59"/>
        <v>0.214203700429718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0.660136223093102</v>
      </c>
      <c r="O84" s="18">
        <f t="shared" si="75"/>
        <v>0.555964011741742</v>
      </c>
      <c r="P84" s="18">
        <f t="shared" si="62"/>
        <v>0.119089548620832</v>
      </c>
      <c r="Q84" s="24">
        <f t="shared" si="63"/>
        <v>0.0309632826414164</v>
      </c>
      <c r="R84" s="18">
        <f t="shared" si="64"/>
        <v>0.1355172</v>
      </c>
      <c r="S84" s="25">
        <f t="shared" si="65"/>
        <v>0.228482308086475</v>
      </c>
      <c r="T84" s="3">
        <v>0.01</v>
      </c>
      <c r="U84" s="26">
        <f t="shared" si="66"/>
        <v>0.00228482308086475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0.00777482308086475</v>
      </c>
      <c r="AU84" s="29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9">
        <v>13.5611605662</v>
      </c>
      <c r="E85" s="20">
        <f t="shared" si="74"/>
        <v>20.6811148358065</v>
      </c>
      <c r="F85" s="16" t="s">
        <v>112</v>
      </c>
      <c r="G85" s="13">
        <v>12</v>
      </c>
      <c r="H85" s="18">
        <f t="shared" si="57"/>
        <v>13.5611605662</v>
      </c>
      <c r="I85" s="18">
        <f t="shared" si="58"/>
        <v>286.7111605662</v>
      </c>
      <c r="J85" s="18">
        <f t="shared" si="59"/>
        <v>0.0940682661670207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0.95809446312091</v>
      </c>
      <c r="P85" s="18">
        <f t="shared" si="62"/>
        <v>0.0901262849700065</v>
      </c>
      <c r="Q85" s="24">
        <f t="shared" si="63"/>
        <v>0.0234328340922017</v>
      </c>
      <c r="R85" s="18">
        <f t="shared" si="64"/>
        <v>0.1355172</v>
      </c>
      <c r="S85" s="25">
        <f t="shared" si="65"/>
        <v>0.172914095717752</v>
      </c>
      <c r="T85" s="3">
        <v>0.01</v>
      </c>
      <c r="U85" s="26">
        <f t="shared" si="66"/>
        <v>0.00172914095717752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0.00721914095717752</v>
      </c>
      <c r="AU85" s="29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9">
        <v>9.27566404483871</v>
      </c>
      <c r="E86" s="20">
        <f t="shared" si="74"/>
        <v>13.5611605662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7</v>
      </c>
      <c r="E90" s="16"/>
      <c r="F90" s="16"/>
      <c r="G90" s="13">
        <v>1</v>
      </c>
      <c r="H90" s="18">
        <f t="shared" ref="H90:H101" si="76">E91</f>
        <v>7</v>
      </c>
      <c r="I90" s="18">
        <f t="shared" ref="I90:I101" si="77">H90+273.15</f>
        <v>280.15</v>
      </c>
      <c r="J90" s="18">
        <f t="shared" ref="J90:J101" si="78">EXP(($C$16*(I90-$C$14))/($C$17*I90*$C$14))</f>
        <v>0.0424643715341541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0.0120896065757737</v>
      </c>
      <c r="Q90" s="24">
        <f t="shared" ref="Q90:Q101" si="82">P90*$B$76</f>
        <v>0.00314329770970115</v>
      </c>
      <c r="R90" s="18">
        <f t="shared" ref="R90:R101" si="83">L90*$B$76</f>
        <v>0.074022</v>
      </c>
      <c r="S90" s="25">
        <f t="shared" ref="S90:S101" si="84">Q90/R90</f>
        <v>0.0424643715341541</v>
      </c>
      <c r="T90" s="3">
        <v>0.01</v>
      </c>
      <c r="U90" s="26">
        <f t="shared" ref="U90:U101" si="85">S90*T90</f>
        <v>0.000424643715341541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0.00591464371534154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4.59449050554839</v>
      </c>
      <c r="E91" s="20">
        <f t="shared" ref="E91:E102" si="95">D90</f>
        <v>7</v>
      </c>
      <c r="F91" s="16" t="s">
        <v>110</v>
      </c>
      <c r="G91" s="13">
        <v>2</v>
      </c>
      <c r="H91" s="18">
        <f t="shared" si="76"/>
        <v>4.59449050554839</v>
      </c>
      <c r="I91" s="18">
        <f t="shared" si="77"/>
        <v>277.744490505548</v>
      </c>
      <c r="J91" s="18">
        <f t="shared" si="78"/>
        <v>0.0314264961059627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0.557310393424226</v>
      </c>
      <c r="P91" s="18">
        <f t="shared" si="81"/>
        <v>0.017514312908759</v>
      </c>
      <c r="Q91" s="24">
        <f t="shared" si="82"/>
        <v>0.00455372135627734</v>
      </c>
      <c r="R91" s="18">
        <f t="shared" si="83"/>
        <v>0.074022</v>
      </c>
      <c r="S91" s="25">
        <f t="shared" si="84"/>
        <v>0.0615184858052652</v>
      </c>
      <c r="T91" s="3">
        <v>0.01</v>
      </c>
      <c r="U91" s="26">
        <f t="shared" si="85"/>
        <v>0.000615184858052652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0.00610518485805265</v>
      </c>
      <c r="AU91" s="29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6.77763046017241</v>
      </c>
      <c r="E92" s="20">
        <f t="shared" si="95"/>
        <v>4.59449050554839</v>
      </c>
      <c r="F92" s="16" t="s">
        <v>110</v>
      </c>
      <c r="G92" s="13">
        <v>3</v>
      </c>
      <c r="H92" s="18">
        <f t="shared" si="76"/>
        <v>6.77763046017241</v>
      </c>
      <c r="I92" s="18">
        <f t="shared" si="77"/>
        <v>279.927630460172</v>
      </c>
      <c r="J92" s="18">
        <f t="shared" si="78"/>
        <v>0.0413079986787372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0.824496080515467</v>
      </c>
      <c r="P92" s="18">
        <f t="shared" si="81"/>
        <v>0.0340582830045569</v>
      </c>
      <c r="Q92" s="24">
        <f t="shared" si="82"/>
        <v>0.0088551535811848</v>
      </c>
      <c r="R92" s="18">
        <f t="shared" si="83"/>
        <v>0.074022</v>
      </c>
      <c r="S92" s="25">
        <f t="shared" si="84"/>
        <v>0.119628672302624</v>
      </c>
      <c r="T92" s="3">
        <v>0.01</v>
      </c>
      <c r="U92" s="26">
        <f t="shared" si="85"/>
        <v>0.00119628672302624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0.00668628672302624</v>
      </c>
      <c r="AU92" s="29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9">
        <v>11.1210237664516</v>
      </c>
      <c r="E93" s="20">
        <f t="shared" si="95"/>
        <v>6.77763046017241</v>
      </c>
      <c r="F93" s="16" t="s">
        <v>110</v>
      </c>
      <c r="G93" s="13">
        <v>4</v>
      </c>
      <c r="H93" s="18">
        <f t="shared" si="76"/>
        <v>11.1210237664516</v>
      </c>
      <c r="I93" s="18">
        <f t="shared" si="77"/>
        <v>284.271023766452</v>
      </c>
      <c r="J93" s="18">
        <f t="shared" si="78"/>
        <v>0.0702816845016928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1.07513779751091</v>
      </c>
      <c r="P93" s="18">
        <f t="shared" si="81"/>
        <v>0.0755624954805067</v>
      </c>
      <c r="Q93" s="24">
        <f t="shared" si="82"/>
        <v>0.0196462488249317</v>
      </c>
      <c r="R93" s="18">
        <f t="shared" si="83"/>
        <v>0.074022</v>
      </c>
      <c r="S93" s="25">
        <f t="shared" si="84"/>
        <v>0.265410943029528</v>
      </c>
      <c r="T93" s="3">
        <v>0.01</v>
      </c>
      <c r="U93" s="26">
        <f t="shared" si="85"/>
        <v>0.00265410943029528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0.00814410943029528</v>
      </c>
      <c r="AU93" s="29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9">
        <v>16.526401538</v>
      </c>
      <c r="E94" s="20">
        <f t="shared" si="95"/>
        <v>11.1210237664516</v>
      </c>
      <c r="F94" s="16" t="s">
        <v>110</v>
      </c>
      <c r="G94" s="13">
        <v>5</v>
      </c>
      <c r="H94" s="18">
        <f t="shared" si="76"/>
        <v>16.526401538</v>
      </c>
      <c r="I94" s="18">
        <f t="shared" si="77"/>
        <v>289.676401538</v>
      </c>
      <c r="J94" s="18">
        <f t="shared" si="78"/>
        <v>0.133173313526827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0.949596536928884</v>
      </c>
      <c r="O94" s="18">
        <f t="shared" si="96"/>
        <v>0.33467876510152</v>
      </c>
      <c r="P94" s="18">
        <f t="shared" si="81"/>
        <v>0.044570280115636</v>
      </c>
      <c r="Q94" s="24">
        <f t="shared" si="82"/>
        <v>0.0115882728300654</v>
      </c>
      <c r="R94" s="18">
        <f t="shared" si="83"/>
        <v>0.074022</v>
      </c>
      <c r="S94" s="25">
        <f t="shared" si="84"/>
        <v>0.156551739078455</v>
      </c>
      <c r="T94" s="3">
        <v>0.01</v>
      </c>
      <c r="U94" s="26">
        <f t="shared" si="85"/>
        <v>0.00156551739078455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0.0115155173907845</v>
      </c>
      <c r="AU94" s="29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9">
        <v>20.526606356129</v>
      </c>
      <c r="E95" s="20">
        <f t="shared" si="95"/>
        <v>16.526401538</v>
      </c>
      <c r="F95" s="16" t="s">
        <v>112</v>
      </c>
      <c r="G95" s="13">
        <v>6</v>
      </c>
      <c r="H95" s="18">
        <f t="shared" si="76"/>
        <v>20.526606356129</v>
      </c>
      <c r="I95" s="18">
        <f t="shared" si="77"/>
        <v>293.676606356129</v>
      </c>
      <c r="J95" s="18">
        <f t="shared" si="78"/>
        <v>0.21050160475567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0.574808484985884</v>
      </c>
      <c r="P95" s="18">
        <f t="shared" si="81"/>
        <v>0.120998108516704</v>
      </c>
      <c r="Q95" s="24">
        <f t="shared" si="82"/>
        <v>0.0314595082143431</v>
      </c>
      <c r="R95" s="18">
        <f t="shared" si="83"/>
        <v>0.074022</v>
      </c>
      <c r="S95" s="25">
        <f t="shared" si="84"/>
        <v>0.425002137396221</v>
      </c>
      <c r="T95" s="3">
        <v>0.01</v>
      </c>
      <c r="U95" s="26">
        <f t="shared" si="85"/>
        <v>0.00425002137396221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0.0142000213739622</v>
      </c>
      <c r="AU95" s="29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9">
        <v>24.2213020506667</v>
      </c>
      <c r="E96" s="20">
        <f t="shared" si="95"/>
        <v>20.526606356129</v>
      </c>
      <c r="F96" s="16" t="s">
        <v>110</v>
      </c>
      <c r="G96" s="13">
        <v>7</v>
      </c>
      <c r="H96" s="18">
        <f t="shared" si="76"/>
        <v>24.2213020506667</v>
      </c>
      <c r="I96" s="18">
        <f t="shared" si="77"/>
        <v>297.371302050667</v>
      </c>
      <c r="J96" s="18">
        <f t="shared" si="78"/>
        <v>0.317801111652171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0.73851037646918</v>
      </c>
      <c r="P96" s="18">
        <f t="shared" si="81"/>
        <v>0.234699418608569</v>
      </c>
      <c r="Q96" s="24">
        <f t="shared" si="82"/>
        <v>0.0610218488382279</v>
      </c>
      <c r="R96" s="18">
        <f t="shared" si="83"/>
        <v>0.074022</v>
      </c>
      <c r="S96" s="25">
        <f t="shared" si="84"/>
        <v>0.82437449458577</v>
      </c>
      <c r="T96" s="3">
        <v>0.01</v>
      </c>
      <c r="U96" s="26">
        <f t="shared" si="85"/>
        <v>0.0082437449458577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0.0181937449458577</v>
      </c>
      <c r="AU96" s="29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9">
        <v>29.74193995</v>
      </c>
      <c r="E97" s="20">
        <f t="shared" si="95"/>
        <v>24.2213020506667</v>
      </c>
      <c r="F97" s="16" t="s">
        <v>110</v>
      </c>
      <c r="G97" s="13">
        <v>8</v>
      </c>
      <c r="H97" s="18">
        <f t="shared" si="76"/>
        <v>29.74193995</v>
      </c>
      <c r="I97" s="18">
        <f t="shared" si="77"/>
        <v>302.89193995</v>
      </c>
      <c r="J97" s="18">
        <f t="shared" si="78"/>
        <v>0.577212938613321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0.788510957860611</v>
      </c>
      <c r="P97" s="18">
        <f t="shared" si="81"/>
        <v>0.455138727115528</v>
      </c>
      <c r="Q97" s="24">
        <f t="shared" si="82"/>
        <v>0.118336069050037</v>
      </c>
      <c r="R97" s="18">
        <f t="shared" si="83"/>
        <v>0.074022</v>
      </c>
      <c r="S97" s="25">
        <f t="shared" si="84"/>
        <v>1.59866079071137</v>
      </c>
      <c r="T97" s="3">
        <v>0.01</v>
      </c>
      <c r="U97" s="26">
        <f t="shared" si="85"/>
        <v>0.0159866079071137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0.0259366079071137</v>
      </c>
      <c r="AU97" s="29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9">
        <v>29.140520926129</v>
      </c>
      <c r="E98" s="20">
        <f t="shared" si="95"/>
        <v>29.74193995</v>
      </c>
      <c r="F98" s="16" t="s">
        <v>110</v>
      </c>
      <c r="G98" s="13">
        <v>9</v>
      </c>
      <c r="H98" s="18">
        <f t="shared" si="76"/>
        <v>29.140520926129</v>
      </c>
      <c r="I98" s="18">
        <f t="shared" si="77"/>
        <v>302.290520926129</v>
      </c>
      <c r="J98" s="18">
        <f t="shared" si="78"/>
        <v>0.541452494526531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0.618072230745083</v>
      </c>
      <c r="P98" s="18">
        <f t="shared" si="81"/>
        <v>0.334656751134503</v>
      </c>
      <c r="Q98" s="24">
        <f t="shared" si="82"/>
        <v>0.0870107552949708</v>
      </c>
      <c r="R98" s="18">
        <f t="shared" si="83"/>
        <v>0.074022</v>
      </c>
      <c r="S98" s="25">
        <f t="shared" si="84"/>
        <v>1.17547155298385</v>
      </c>
      <c r="T98" s="3">
        <v>0.01</v>
      </c>
      <c r="U98" s="26">
        <f t="shared" si="85"/>
        <v>0.0117547155298385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0.0217047155298385</v>
      </c>
      <c r="AU98" s="29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9">
        <v>24.6161307696667</v>
      </c>
      <c r="E99" s="20">
        <f t="shared" si="95"/>
        <v>29.140520926129</v>
      </c>
      <c r="F99" s="16" t="s">
        <v>110</v>
      </c>
      <c r="G99" s="13">
        <v>10</v>
      </c>
      <c r="H99" s="18">
        <f t="shared" si="76"/>
        <v>24.6161307696667</v>
      </c>
      <c r="I99" s="18">
        <f t="shared" si="77"/>
        <v>297.766130769667</v>
      </c>
      <c r="J99" s="18">
        <f t="shared" si="78"/>
        <v>0.331902677511424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0.56811547961058</v>
      </c>
      <c r="P99" s="18">
        <f t="shared" si="81"/>
        <v>0.188559048818438</v>
      </c>
      <c r="Q99" s="24">
        <f t="shared" si="82"/>
        <v>0.049025352692794</v>
      </c>
      <c r="R99" s="18">
        <f t="shared" si="83"/>
        <v>0.074022</v>
      </c>
      <c r="S99" s="25">
        <f t="shared" si="84"/>
        <v>0.662307863780957</v>
      </c>
      <c r="T99" s="3">
        <v>0.01</v>
      </c>
      <c r="U99" s="26">
        <f t="shared" si="85"/>
        <v>0.00662307863780957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0.0165730786378096</v>
      </c>
      <c r="AU99" s="29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9">
        <v>20.6811148358065</v>
      </c>
      <c r="E100" s="20">
        <f t="shared" si="95"/>
        <v>24.6161307696667</v>
      </c>
      <c r="F100" s="16" t="s">
        <v>110</v>
      </c>
      <c r="G100" s="13">
        <v>11</v>
      </c>
      <c r="H100" s="18">
        <f t="shared" si="76"/>
        <v>20.6811148358065</v>
      </c>
      <c r="I100" s="18">
        <f t="shared" si="77"/>
        <v>293.831114835806</v>
      </c>
      <c r="J100" s="18">
        <f t="shared" si="78"/>
        <v>0.214203700429718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0.360578609252535</v>
      </c>
      <c r="O100" s="18">
        <f t="shared" si="96"/>
        <v>0.303677821539607</v>
      </c>
      <c r="P100" s="18">
        <f t="shared" si="81"/>
        <v>0.0650489131122194</v>
      </c>
      <c r="Q100" s="24">
        <f t="shared" si="82"/>
        <v>0.016912717409177</v>
      </c>
      <c r="R100" s="18">
        <f t="shared" si="83"/>
        <v>0.074022</v>
      </c>
      <c r="S100" s="25">
        <f t="shared" si="84"/>
        <v>0.228482308086475</v>
      </c>
      <c r="T100" s="3">
        <v>0.01</v>
      </c>
      <c r="U100" s="26">
        <f t="shared" si="85"/>
        <v>0.00228482308086475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0.00777482308086475</v>
      </c>
      <c r="AU100" s="29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9">
        <v>13.5611605662</v>
      </c>
      <c r="E101" s="20">
        <f t="shared" si="95"/>
        <v>20.6811148358065</v>
      </c>
      <c r="F101" s="16" t="s">
        <v>112</v>
      </c>
      <c r="G101" s="13">
        <v>12</v>
      </c>
      <c r="H101" s="18">
        <f t="shared" si="76"/>
        <v>13.5611605662</v>
      </c>
      <c r="I101" s="18">
        <f t="shared" si="77"/>
        <v>286.7111605662</v>
      </c>
      <c r="J101" s="18">
        <f t="shared" si="78"/>
        <v>0.0940682661670207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0.523328908427388</v>
      </c>
      <c r="P101" s="18">
        <f t="shared" si="81"/>
        <v>0.0492286430508439</v>
      </c>
      <c r="Q101" s="24">
        <f t="shared" si="82"/>
        <v>0.0127994471932194</v>
      </c>
      <c r="R101" s="18">
        <f t="shared" si="83"/>
        <v>0.074022</v>
      </c>
      <c r="S101" s="25">
        <f t="shared" si="84"/>
        <v>0.172914095717752</v>
      </c>
      <c r="T101" s="3">
        <v>0.01</v>
      </c>
      <c r="U101" s="26">
        <f t="shared" si="85"/>
        <v>0.00172914095717752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0.00721914095717752</v>
      </c>
      <c r="AU101" s="29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9">
        <v>9.27566404483871</v>
      </c>
      <c r="E102" s="20">
        <f t="shared" si="95"/>
        <v>13.5611605662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pans="4:4">
      <c r="D103" s="4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47.27</v>
      </c>
      <c r="F2" s="3">
        <v>1166.832</v>
      </c>
      <c r="G2" s="7">
        <f>(F2+F3+F4)/3</f>
        <v>1338.18733333333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917.568765570506</v>
      </c>
      <c r="F5" s="3">
        <v>91.104</v>
      </c>
      <c r="G5" s="7">
        <f>(F5+F6)/2</f>
        <v>92.50925</v>
      </c>
      <c r="H5" s="3">
        <v>0.18</v>
      </c>
      <c r="I5" s="21">
        <f>(H5+H6)/2</f>
        <v>0.155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3801.0206708613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3">
        <v>0.21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2.275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0.69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(AV38+AV53+AY69+AY85+AY101+BB101+AG69)</f>
        <v>110001046.494047</v>
      </c>
      <c r="J14" s="14" t="s">
        <v>35</v>
      </c>
      <c r="K14" s="14">
        <f>I14/(10000*1000)</f>
        <v>11.0001046494047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38">
        <v>63155423.7178246</v>
      </c>
      <c r="J15" s="14" t="s">
        <v>35</v>
      </c>
      <c r="K15" s="14">
        <f>I15/(10000*1000)</f>
        <v>6.31554237178246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4</v>
      </c>
      <c r="E27" s="16"/>
      <c r="F27" s="16"/>
      <c r="G27" s="13">
        <v>1</v>
      </c>
      <c r="H27" s="18">
        <f t="shared" ref="H27:H38" si="0">E28</f>
        <v>4</v>
      </c>
      <c r="I27" s="18">
        <f t="shared" ref="I27:I38" si="1">H27+273.15</f>
        <v>277.15</v>
      </c>
      <c r="J27" s="18">
        <f t="shared" ref="J27:J38" si="2">EXP(($C$16*(I27-$C$14))/($C$17*I27*$C$14))</f>
        <v>0.0291499847697819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0.0325067836548181</v>
      </c>
      <c r="Q27" s="24">
        <f t="shared" ref="Q27:Q38" si="6">P27*$B$29</f>
        <v>0.00390081403857817</v>
      </c>
      <c r="R27" s="18">
        <f t="shared" ref="R27:R38" si="7">L27*$B$29</f>
        <v>0.133818733333333</v>
      </c>
      <c r="S27" s="25">
        <f t="shared" ref="S27:S38" si="8">Q27/R27</f>
        <v>0.0291499847697819</v>
      </c>
      <c r="T27" s="3">
        <v>0.01</v>
      </c>
      <c r="U27" s="26">
        <f t="shared" ref="U27:U38" si="9">S27*T27</f>
        <v>0.000291499847697819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0.0221914998476978</v>
      </c>
      <c r="AR27" s="29">
        <f t="shared" ref="AR27:AR38" si="15">$B$27/12</f>
        <v>111.515611111111</v>
      </c>
      <c r="AS27" s="1">
        <f t="shared" ref="AS27:AS38" si="16">$B$29</f>
        <v>0.12</v>
      </c>
      <c r="AT27" s="2">
        <f>$E$2/12</f>
        <v>3.93916666666667</v>
      </c>
      <c r="AU27" s="1">
        <f t="shared" ref="AU27:AU38" si="17">AT27*10000*AS27*0.67*AR27*AQ27</f>
        <v>7837.5934012315</v>
      </c>
    </row>
    <row r="28" s="1" customFormat="1" spans="1:47">
      <c r="A28" s="13" t="s">
        <v>111</v>
      </c>
      <c r="B28" s="13">
        <v>1</v>
      </c>
      <c r="C28" s="16">
        <v>1</v>
      </c>
      <c r="D28" s="43">
        <v>1.84278478641935</v>
      </c>
      <c r="E28" s="20">
        <f t="shared" ref="E28:E39" si="18">D27</f>
        <v>4</v>
      </c>
      <c r="F28" s="16" t="s">
        <v>110</v>
      </c>
      <c r="G28" s="13">
        <v>2</v>
      </c>
      <c r="H28" s="18">
        <f t="shared" si="0"/>
        <v>1.84278478641935</v>
      </c>
      <c r="I28" s="18">
        <f t="shared" si="1"/>
        <v>274.992784786419</v>
      </c>
      <c r="J28" s="18">
        <f t="shared" si="2"/>
        <v>0.0221283213461836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2.1978054385674</v>
      </c>
      <c r="P28" s="18">
        <f t="shared" si="5"/>
        <v>0.0486337450010095</v>
      </c>
      <c r="Q28" s="24">
        <f t="shared" si="6"/>
        <v>0.00583604940012114</v>
      </c>
      <c r="R28" s="18">
        <f t="shared" si="7"/>
        <v>0.133818733333333</v>
      </c>
      <c r="S28" s="25">
        <f t="shared" si="8"/>
        <v>0.0436116024621451</v>
      </c>
      <c r="T28" s="3">
        <v>0.01</v>
      </c>
      <c r="U28" s="26">
        <f t="shared" si="9"/>
        <v>0.000436116024621451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0.0223361160246215</v>
      </c>
      <c r="AR28" s="29">
        <f t="shared" si="15"/>
        <v>111.515611111111</v>
      </c>
      <c r="AS28" s="1">
        <f t="shared" si="16"/>
        <v>0.12</v>
      </c>
      <c r="AT28" s="2">
        <f t="shared" ref="AT28:AT38" si="20">$E$2/12</f>
        <v>3.93916666666667</v>
      </c>
      <c r="AU28" s="1">
        <f t="shared" si="17"/>
        <v>7888.66893924141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43">
        <v>5.25553844689655</v>
      </c>
      <c r="E29" s="20">
        <f t="shared" si="18"/>
        <v>1.84278478641935</v>
      </c>
      <c r="F29" s="16" t="s">
        <v>110</v>
      </c>
      <c r="G29" s="13">
        <v>3</v>
      </c>
      <c r="H29" s="18">
        <f t="shared" si="0"/>
        <v>5.25553844689655</v>
      </c>
      <c r="I29" s="18">
        <f t="shared" si="1"/>
        <v>278.405538446897</v>
      </c>
      <c r="J29" s="18">
        <f t="shared" si="2"/>
        <v>0.0341543543020413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3.26432780467751</v>
      </c>
      <c r="P29" s="18">
        <f t="shared" si="5"/>
        <v>0.11149100839896</v>
      </c>
      <c r="Q29" s="24">
        <f t="shared" si="6"/>
        <v>0.0133789210078752</v>
      </c>
      <c r="R29" s="18">
        <f t="shared" si="7"/>
        <v>0.133818733333333</v>
      </c>
      <c r="S29" s="25">
        <f t="shared" si="8"/>
        <v>0.0999779378762258</v>
      </c>
      <c r="T29" s="3">
        <v>0.01</v>
      </c>
      <c r="U29" s="26">
        <f t="shared" si="9"/>
        <v>0.000999779378762258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0.0228997793787623</v>
      </c>
      <c r="AR29" s="29">
        <f t="shared" si="15"/>
        <v>111.515611111111</v>
      </c>
      <c r="AS29" s="1">
        <f t="shared" si="16"/>
        <v>0.12</v>
      </c>
      <c r="AT29" s="2">
        <f t="shared" si="20"/>
        <v>3.93916666666667</v>
      </c>
      <c r="AU29" s="1">
        <f t="shared" si="17"/>
        <v>8087.74354957643</v>
      </c>
    </row>
    <row r="30" s="1" customFormat="1" spans="1:47">
      <c r="A30" s="13"/>
      <c r="B30" s="13"/>
      <c r="C30" s="16">
        <v>3</v>
      </c>
      <c r="D30" s="43">
        <v>10.2803298127742</v>
      </c>
      <c r="E30" s="20">
        <f t="shared" si="18"/>
        <v>5.25553844689655</v>
      </c>
      <c r="F30" s="16" t="s">
        <v>110</v>
      </c>
      <c r="G30" s="13">
        <v>4</v>
      </c>
      <c r="H30" s="18">
        <f t="shared" si="0"/>
        <v>10.2803298127742</v>
      </c>
      <c r="I30" s="18">
        <f t="shared" si="1"/>
        <v>283.430329812774</v>
      </c>
      <c r="J30" s="18">
        <f t="shared" si="2"/>
        <v>0.0634921109461502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4.26799290738966</v>
      </c>
      <c r="P30" s="18">
        <f t="shared" si="5"/>
        <v>0.270983879193366</v>
      </c>
      <c r="Q30" s="24">
        <f t="shared" si="6"/>
        <v>0.0325180655032039</v>
      </c>
      <c r="R30" s="18">
        <f t="shared" si="7"/>
        <v>0.133818733333333</v>
      </c>
      <c r="S30" s="25">
        <f t="shared" si="8"/>
        <v>0.243000846691649</v>
      </c>
      <c r="T30" s="3">
        <v>0.01</v>
      </c>
      <c r="U30" s="26">
        <f t="shared" si="9"/>
        <v>0.00243000846691649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0.0243300084669165</v>
      </c>
      <c r="AR30" s="29">
        <f t="shared" si="15"/>
        <v>111.515611111111</v>
      </c>
      <c r="AS30" s="1">
        <f t="shared" si="16"/>
        <v>0.12</v>
      </c>
      <c r="AT30" s="2">
        <f t="shared" si="20"/>
        <v>3.93916666666667</v>
      </c>
      <c r="AU30" s="1">
        <f t="shared" si="17"/>
        <v>8592.87182574069</v>
      </c>
    </row>
    <row r="31" s="1" customFormat="1" spans="1:47">
      <c r="A31" s="13"/>
      <c r="B31" s="13"/>
      <c r="C31" s="16">
        <v>4</v>
      </c>
      <c r="D31" s="43">
        <v>16.726239055</v>
      </c>
      <c r="E31" s="20">
        <f t="shared" si="18"/>
        <v>10.2803298127742</v>
      </c>
      <c r="F31" s="16" t="s">
        <v>110</v>
      </c>
      <c r="G31" s="13">
        <v>5</v>
      </c>
      <c r="H31" s="18">
        <f t="shared" si="0"/>
        <v>16.726239055</v>
      </c>
      <c r="I31" s="18">
        <f t="shared" si="1"/>
        <v>289.876239055</v>
      </c>
      <c r="J31" s="18">
        <f t="shared" si="2"/>
        <v>0.13629526216243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3.79715857678647</v>
      </c>
      <c r="O31" s="18">
        <f t="shared" si="19"/>
        <v>1.31500656252093</v>
      </c>
      <c r="P31" s="18">
        <f t="shared" si="5"/>
        <v>0.179229164184106</v>
      </c>
      <c r="Q31" s="24">
        <f t="shared" si="6"/>
        <v>0.0215074997020927</v>
      </c>
      <c r="R31" s="18">
        <f t="shared" si="7"/>
        <v>0.133818733333333</v>
      </c>
      <c r="S31" s="25">
        <f t="shared" si="8"/>
        <v>0.160721142446618</v>
      </c>
      <c r="T31" s="3">
        <v>0.01</v>
      </c>
      <c r="U31" s="26">
        <f t="shared" si="9"/>
        <v>0.00160721142446618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0.0310572114244662</v>
      </c>
      <c r="AR31" s="29">
        <f t="shared" si="15"/>
        <v>111.515611111111</v>
      </c>
      <c r="AS31" s="1">
        <f t="shared" si="16"/>
        <v>0.12</v>
      </c>
      <c r="AT31" s="2">
        <f t="shared" si="20"/>
        <v>3.93916666666667</v>
      </c>
      <c r="AU31" s="1">
        <f t="shared" si="17"/>
        <v>10968.7852101759</v>
      </c>
    </row>
    <row r="32" s="1" customFormat="1" spans="1:47">
      <c r="A32" s="13"/>
      <c r="B32" s="13"/>
      <c r="C32" s="16">
        <v>5</v>
      </c>
      <c r="D32" s="43">
        <v>19.992658583871</v>
      </c>
      <c r="E32" s="20">
        <f t="shared" si="18"/>
        <v>16.726239055</v>
      </c>
      <c r="F32" s="16" t="s">
        <v>112</v>
      </c>
      <c r="G32" s="13">
        <v>6</v>
      </c>
      <c r="H32" s="18">
        <f t="shared" si="0"/>
        <v>19.992658583871</v>
      </c>
      <c r="I32" s="18">
        <f t="shared" si="1"/>
        <v>293.142658583871</v>
      </c>
      <c r="J32" s="18">
        <f t="shared" si="2"/>
        <v>0.198165614571641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2.25093350944793</v>
      </c>
      <c r="P32" s="18">
        <f t="shared" si="5"/>
        <v>0.44605762225965</v>
      </c>
      <c r="Q32" s="24">
        <f t="shared" si="6"/>
        <v>0.053526914671158</v>
      </c>
      <c r="R32" s="18">
        <f t="shared" si="7"/>
        <v>0.133818733333333</v>
      </c>
      <c r="S32" s="25">
        <f t="shared" si="8"/>
        <v>0.399995675776022</v>
      </c>
      <c r="T32" s="3">
        <v>0.01</v>
      </c>
      <c r="U32" s="26">
        <f t="shared" si="9"/>
        <v>0.00399995675776022</v>
      </c>
      <c r="V32" s="25"/>
      <c r="W32" s="3"/>
      <c r="X32" s="26"/>
      <c r="Y32" s="28">
        <v>0.05</v>
      </c>
      <c r="Z32" s="3">
        <v>0.21</v>
      </c>
      <c r="AA32" s="27">
        <f t="shared" si="10"/>
        <v>0.0105</v>
      </c>
      <c r="AB32" s="3">
        <v>0.02</v>
      </c>
      <c r="AC32" s="3">
        <v>0.29</v>
      </c>
      <c r="AD32" s="27">
        <f t="shared" si="11"/>
        <v>0.0058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0.0369999567577602</v>
      </c>
      <c r="AR32" s="29">
        <f t="shared" si="15"/>
        <v>111.515611111111</v>
      </c>
      <c r="AS32" s="1">
        <f t="shared" si="16"/>
        <v>0.12</v>
      </c>
      <c r="AT32" s="2">
        <f t="shared" si="20"/>
        <v>3.93916666666667</v>
      </c>
      <c r="AU32" s="1">
        <f t="shared" si="17"/>
        <v>13067.6438690806</v>
      </c>
    </row>
    <row r="33" s="1" customFormat="1" spans="1:47">
      <c r="A33" s="13"/>
      <c r="B33" s="13"/>
      <c r="C33" s="16">
        <v>6</v>
      </c>
      <c r="D33" s="43">
        <v>24.2108653246667</v>
      </c>
      <c r="E33" s="20">
        <f t="shared" si="18"/>
        <v>19.992658583871</v>
      </c>
      <c r="F33" s="16" t="s">
        <v>110</v>
      </c>
      <c r="G33" s="13">
        <v>7</v>
      </c>
      <c r="H33" s="18">
        <f t="shared" si="0"/>
        <v>24.2108653246667</v>
      </c>
      <c r="I33" s="18">
        <f t="shared" si="1"/>
        <v>297.360865324667</v>
      </c>
      <c r="J33" s="18">
        <f t="shared" si="2"/>
        <v>0.317436103075288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2.92003199829939</v>
      </c>
      <c r="P33" s="18">
        <f t="shared" si="5"/>
        <v>0.926923578395305</v>
      </c>
      <c r="Q33" s="24">
        <f t="shared" si="6"/>
        <v>0.111230829407437</v>
      </c>
      <c r="R33" s="18">
        <f t="shared" si="7"/>
        <v>0.133818733333333</v>
      </c>
      <c r="S33" s="25">
        <f t="shared" si="8"/>
        <v>0.831205217959792</v>
      </c>
      <c r="T33" s="3">
        <v>0.01</v>
      </c>
      <c r="U33" s="26">
        <f t="shared" si="9"/>
        <v>0.00831205217959792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0.0413120521795979</v>
      </c>
      <c r="AR33" s="29">
        <f t="shared" si="15"/>
        <v>111.515611111111</v>
      </c>
      <c r="AS33" s="1">
        <f t="shared" si="16"/>
        <v>0.12</v>
      </c>
      <c r="AT33" s="2">
        <f t="shared" si="20"/>
        <v>3.93916666666667</v>
      </c>
      <c r="AU33" s="1">
        <f t="shared" si="17"/>
        <v>14590.5896300983</v>
      </c>
    </row>
    <row r="34" s="1" customFormat="1" spans="1:47">
      <c r="A34" s="13"/>
      <c r="B34" s="13"/>
      <c r="C34" s="16">
        <v>7</v>
      </c>
      <c r="D34" s="43">
        <v>28.3168877503226</v>
      </c>
      <c r="E34" s="20">
        <f t="shared" si="18"/>
        <v>24.2108653246667</v>
      </c>
      <c r="F34" s="16" t="s">
        <v>110</v>
      </c>
      <c r="G34" s="13">
        <v>8</v>
      </c>
      <c r="H34" s="18">
        <f t="shared" si="0"/>
        <v>28.3168877503226</v>
      </c>
      <c r="I34" s="18">
        <f t="shared" si="1"/>
        <v>301.466887750323</v>
      </c>
      <c r="J34" s="18">
        <f t="shared" si="2"/>
        <v>0.49584073202728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3.1082645310152</v>
      </c>
      <c r="P34" s="18">
        <f t="shared" si="5"/>
        <v>1.54120416039301</v>
      </c>
      <c r="Q34" s="24">
        <f t="shared" si="6"/>
        <v>0.184944499247161</v>
      </c>
      <c r="R34" s="18">
        <f t="shared" si="7"/>
        <v>0.133818733333333</v>
      </c>
      <c r="S34" s="25">
        <f t="shared" si="8"/>
        <v>1.38205238265465</v>
      </c>
      <c r="T34" s="3">
        <v>0.01</v>
      </c>
      <c r="U34" s="26">
        <f t="shared" si="9"/>
        <v>0.0138205238265465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0.0468205238265465</v>
      </c>
      <c r="AR34" s="29">
        <f t="shared" si="15"/>
        <v>111.515611111111</v>
      </c>
      <c r="AS34" s="1">
        <f t="shared" si="16"/>
        <v>0.12</v>
      </c>
      <c r="AT34" s="2">
        <f t="shared" si="20"/>
        <v>3.93916666666667</v>
      </c>
      <c r="AU34" s="1">
        <f t="shared" si="17"/>
        <v>16536.0715185374</v>
      </c>
    </row>
    <row r="35" s="1" customFormat="1" spans="1:47">
      <c r="A35" s="13"/>
      <c r="B35" s="13"/>
      <c r="C35" s="16">
        <v>8</v>
      </c>
      <c r="D35" s="43">
        <v>28.2588911316129</v>
      </c>
      <c r="E35" s="20">
        <f t="shared" si="18"/>
        <v>28.3168877503226</v>
      </c>
      <c r="F35" s="16" t="s">
        <v>110</v>
      </c>
      <c r="G35" s="13">
        <v>9</v>
      </c>
      <c r="H35" s="18">
        <f t="shared" si="0"/>
        <v>28.2588911316129</v>
      </c>
      <c r="I35" s="18">
        <f t="shared" si="1"/>
        <v>301.408891131613</v>
      </c>
      <c r="J35" s="18">
        <f t="shared" si="2"/>
        <v>0.492768767842301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2.6822164817333</v>
      </c>
      <c r="P35" s="18">
        <f t="shared" si="5"/>
        <v>1.32171251079003</v>
      </c>
      <c r="Q35" s="24">
        <f t="shared" si="6"/>
        <v>0.158605501294804</v>
      </c>
      <c r="R35" s="18">
        <f t="shared" si="7"/>
        <v>0.133818733333333</v>
      </c>
      <c r="S35" s="25">
        <f t="shared" si="8"/>
        <v>1.18522644284585</v>
      </c>
      <c r="T35" s="3">
        <v>0.01</v>
      </c>
      <c r="U35" s="26">
        <f t="shared" si="9"/>
        <v>0.0118522644284585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0.0413022644284585</v>
      </c>
      <c r="AR35" s="29">
        <f t="shared" si="15"/>
        <v>111.515611111111</v>
      </c>
      <c r="AS35" s="1">
        <f t="shared" si="16"/>
        <v>0.12</v>
      </c>
      <c r="AT35" s="2">
        <f t="shared" si="20"/>
        <v>3.93916666666667</v>
      </c>
      <c r="AU35" s="1">
        <f t="shared" si="17"/>
        <v>14587.132792378</v>
      </c>
    </row>
    <row r="36" s="1" customFormat="1" spans="1:47">
      <c r="A36" s="13"/>
      <c r="B36" s="13"/>
      <c r="C36" s="16">
        <v>9</v>
      </c>
      <c r="D36" s="43">
        <v>23.6463735733333</v>
      </c>
      <c r="E36" s="20">
        <f t="shared" si="18"/>
        <v>28.2588911316129</v>
      </c>
      <c r="F36" s="16" t="s">
        <v>110</v>
      </c>
      <c r="G36" s="13">
        <v>10</v>
      </c>
      <c r="H36" s="18">
        <f t="shared" si="0"/>
        <v>23.6463735733333</v>
      </c>
      <c r="I36" s="18">
        <f t="shared" si="1"/>
        <v>296.796373573333</v>
      </c>
      <c r="J36" s="18">
        <f t="shared" si="2"/>
        <v>0.298269988412311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2.47566008205438</v>
      </c>
      <c r="P36" s="18">
        <f t="shared" si="5"/>
        <v>0.738415103987182</v>
      </c>
      <c r="Q36" s="24">
        <f t="shared" si="6"/>
        <v>0.0886098124784618</v>
      </c>
      <c r="R36" s="18">
        <f t="shared" si="7"/>
        <v>0.133818733333333</v>
      </c>
      <c r="S36" s="25">
        <f t="shared" si="8"/>
        <v>0.662162989226186</v>
      </c>
      <c r="T36" s="3">
        <v>0.01</v>
      </c>
      <c r="U36" s="26">
        <f t="shared" si="9"/>
        <v>0.00662162989226186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0.0360716298922619</v>
      </c>
      <c r="AR36" s="29">
        <f t="shared" si="15"/>
        <v>111.515611111111</v>
      </c>
      <c r="AS36" s="1">
        <f t="shared" si="16"/>
        <v>0.12</v>
      </c>
      <c r="AT36" s="2">
        <f t="shared" si="20"/>
        <v>3.93916666666667</v>
      </c>
      <c r="AU36" s="1">
        <f t="shared" si="17"/>
        <v>12739.7774082668</v>
      </c>
    </row>
    <row r="37" s="1" customFormat="1" spans="1:47">
      <c r="A37" s="13"/>
      <c r="B37" s="13"/>
      <c r="C37" s="16">
        <v>10</v>
      </c>
      <c r="D37" s="43">
        <v>17.8431426229032</v>
      </c>
      <c r="E37" s="20">
        <f t="shared" si="18"/>
        <v>23.6463735733333</v>
      </c>
      <c r="F37" s="16" t="s">
        <v>110</v>
      </c>
      <c r="G37" s="13">
        <v>11</v>
      </c>
      <c r="H37" s="18">
        <f t="shared" si="0"/>
        <v>17.8431426229032</v>
      </c>
      <c r="I37" s="18">
        <f t="shared" si="1"/>
        <v>290.993142622903</v>
      </c>
      <c r="J37" s="18">
        <f t="shared" si="2"/>
        <v>0.15505009528388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1.65038272916384</v>
      </c>
      <c r="O37" s="18">
        <f t="shared" si="19"/>
        <v>1.20201836001447</v>
      </c>
      <c r="P37" s="18">
        <f t="shared" si="5"/>
        <v>0.186373061253217</v>
      </c>
      <c r="Q37" s="24">
        <f t="shared" si="6"/>
        <v>0.022364767350386</v>
      </c>
      <c r="R37" s="18">
        <f t="shared" si="7"/>
        <v>0.133818733333333</v>
      </c>
      <c r="S37" s="25">
        <f t="shared" si="8"/>
        <v>0.167127328089984</v>
      </c>
      <c r="T37" s="3">
        <v>0.01</v>
      </c>
      <c r="U37" s="26">
        <f t="shared" si="9"/>
        <v>0.00167127328089984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0.0254712732808998</v>
      </c>
      <c r="AR37" s="29">
        <f t="shared" si="15"/>
        <v>111.515611111111</v>
      </c>
      <c r="AS37" s="1">
        <f t="shared" si="16"/>
        <v>0.12</v>
      </c>
      <c r="AT37" s="2">
        <f t="shared" si="20"/>
        <v>3.93916666666667</v>
      </c>
      <c r="AU37" s="1">
        <f t="shared" si="17"/>
        <v>8995.94370625901</v>
      </c>
    </row>
    <row r="38" s="1" customFormat="1" spans="1:48">
      <c r="A38" s="13"/>
      <c r="B38" s="13"/>
      <c r="C38" s="16">
        <v>11</v>
      </c>
      <c r="D38" s="43">
        <v>10.6170263198333</v>
      </c>
      <c r="E38" s="20">
        <f t="shared" si="18"/>
        <v>17.8431426229032</v>
      </c>
      <c r="F38" s="16" t="s">
        <v>112</v>
      </c>
      <c r="G38" s="13">
        <v>12</v>
      </c>
      <c r="H38" s="18">
        <f t="shared" si="0"/>
        <v>10.6170263198333</v>
      </c>
      <c r="I38" s="18">
        <f t="shared" si="1"/>
        <v>283.767026319833</v>
      </c>
      <c r="J38" s="18">
        <f t="shared" si="2"/>
        <v>0.0661335896925688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2.13080140987237</v>
      </c>
      <c r="P38" s="18">
        <f t="shared" si="5"/>
        <v>0.140917546156846</v>
      </c>
      <c r="Q38" s="24">
        <f t="shared" si="6"/>
        <v>0.0169101055388215</v>
      </c>
      <c r="R38" s="18">
        <f t="shared" si="7"/>
        <v>0.133818733333333</v>
      </c>
      <c r="S38" s="25">
        <f t="shared" si="8"/>
        <v>0.126365757002793</v>
      </c>
      <c r="T38" s="3">
        <v>0.01</v>
      </c>
      <c r="U38" s="26">
        <f t="shared" si="9"/>
        <v>0.00126365757002793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0.0250636575700279</v>
      </c>
      <c r="AR38" s="29">
        <f t="shared" si="15"/>
        <v>111.515611111111</v>
      </c>
      <c r="AS38" s="1">
        <f t="shared" si="16"/>
        <v>0.12</v>
      </c>
      <c r="AT38" s="2">
        <f t="shared" si="20"/>
        <v>3.93916666666667</v>
      </c>
      <c r="AU38" s="1">
        <f t="shared" si="17"/>
        <v>8851.98199895244</v>
      </c>
      <c r="AV38" s="1">
        <f>SUM(AU27:AU38)</f>
        <v>132744.803849539</v>
      </c>
    </row>
    <row r="39" s="1" customFormat="1" spans="1:46">
      <c r="A39" s="13"/>
      <c r="B39" s="13"/>
      <c r="C39" s="16">
        <v>12</v>
      </c>
      <c r="D39" s="43">
        <v>6.13643917680645</v>
      </c>
      <c r="E39" s="20">
        <f t="shared" si="18"/>
        <v>10.6170263198333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4</v>
      </c>
      <c r="E42" s="16"/>
      <c r="F42" s="16"/>
      <c r="G42" s="13">
        <v>1</v>
      </c>
      <c r="H42" s="18">
        <f t="shared" ref="H42:H53" si="21">E43</f>
        <v>4</v>
      </c>
      <c r="I42" s="18">
        <f t="shared" ref="I42:I53" si="22">H42+273.15</f>
        <v>277.15</v>
      </c>
      <c r="J42" s="18">
        <f t="shared" ref="J42:J53" si="23">EXP(($C$16*(I42-$C$14))/($C$17*I42*$C$14))</f>
        <v>0.0291499847697819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0.00224720269046996</v>
      </c>
      <c r="Q42" s="24">
        <f t="shared" ref="Q42:Q53" si="27">P42*$B$44</f>
        <v>0.000348316417022843</v>
      </c>
      <c r="R42" s="18">
        <f t="shared" ref="R42:R53" si="28">L42*$B$44</f>
        <v>0.0119491114583333</v>
      </c>
      <c r="S42" s="25">
        <f t="shared" ref="S42:S53" si="29">Q42/R42</f>
        <v>0.0291499847697819</v>
      </c>
      <c r="T42" s="3">
        <v>0.01</v>
      </c>
      <c r="U42" s="26">
        <f t="shared" ref="U42:U53" si="30">S42*T42</f>
        <v>0.000291499847697819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0.0150914998476978</v>
      </c>
      <c r="AR42" s="29">
        <f t="shared" ref="AR42:AR53" si="34">$B$42/12</f>
        <v>7.70910416666667</v>
      </c>
      <c r="AS42" s="1">
        <f t="shared" ref="AS42:AS53" si="35">$B$44</f>
        <v>0.155</v>
      </c>
      <c r="AT42" s="2">
        <f>$E$5/12</f>
        <v>76.4640637975422</v>
      </c>
      <c r="AU42" s="1">
        <f t="shared" ref="AU42:AU53" si="36">AT42*10000*AS42*0.67*AR42*AQ42</f>
        <v>9238.47300309688</v>
      </c>
    </row>
    <row r="43" s="1" customFormat="1" spans="1:47">
      <c r="A43" s="13" t="s">
        <v>111</v>
      </c>
      <c r="B43" s="13">
        <v>1</v>
      </c>
      <c r="C43" s="16">
        <v>1</v>
      </c>
      <c r="D43" s="43">
        <v>1.84278478641935</v>
      </c>
      <c r="E43" s="20">
        <f t="shared" ref="E43:E54" si="37">D42</f>
        <v>4</v>
      </c>
      <c r="F43" s="16" t="s">
        <v>110</v>
      </c>
      <c r="G43" s="13">
        <v>2</v>
      </c>
      <c r="H43" s="18">
        <f t="shared" si="21"/>
        <v>1.84278478641935</v>
      </c>
      <c r="I43" s="18">
        <f t="shared" si="22"/>
        <v>274.992784786419</v>
      </c>
      <c r="J43" s="18">
        <f t="shared" si="23"/>
        <v>0.0221283213461836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0.151934880642863</v>
      </c>
      <c r="P43" s="18">
        <f t="shared" si="26"/>
        <v>0.00336206386255933</v>
      </c>
      <c r="Q43" s="24">
        <f t="shared" si="27"/>
        <v>0.000521119898696696</v>
      </c>
      <c r="R43" s="18">
        <f t="shared" si="28"/>
        <v>0.0119491114583333</v>
      </c>
      <c r="S43" s="25">
        <f t="shared" si="29"/>
        <v>0.0436116024621451</v>
      </c>
      <c r="T43" s="3">
        <v>0.01</v>
      </c>
      <c r="U43" s="26">
        <f t="shared" si="30"/>
        <v>0.000436116024621451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0.0152361160246215</v>
      </c>
      <c r="AR43" s="29">
        <f t="shared" si="34"/>
        <v>7.70910416666667</v>
      </c>
      <c r="AS43" s="1">
        <f t="shared" si="35"/>
        <v>0.155</v>
      </c>
      <c r="AT43" s="2">
        <f t="shared" ref="AT43:AT53" si="39">$E$5/12</f>
        <v>76.4640637975422</v>
      </c>
      <c r="AU43" s="1">
        <f t="shared" si="36"/>
        <v>9327.00182129277</v>
      </c>
    </row>
    <row r="44" s="1" customFormat="1" spans="1:47">
      <c r="A44" s="13" t="s">
        <v>73</v>
      </c>
      <c r="B44" s="13">
        <f>I5</f>
        <v>0.155</v>
      </c>
      <c r="C44" s="16">
        <v>2</v>
      </c>
      <c r="D44" s="43">
        <v>5.25553844689655</v>
      </c>
      <c r="E44" s="20">
        <f t="shared" si="37"/>
        <v>1.84278478641935</v>
      </c>
      <c r="F44" s="16" t="s">
        <v>110</v>
      </c>
      <c r="G44" s="13">
        <v>3</v>
      </c>
      <c r="H44" s="18">
        <f t="shared" si="21"/>
        <v>5.25553844689655</v>
      </c>
      <c r="I44" s="18">
        <f t="shared" si="22"/>
        <v>278.405538446897</v>
      </c>
      <c r="J44" s="18">
        <f t="shared" si="23"/>
        <v>0.0341543543020413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0.225663858446971</v>
      </c>
      <c r="P44" s="18">
        <f t="shared" si="26"/>
        <v>0.00770740337456353</v>
      </c>
      <c r="Q44" s="24">
        <f t="shared" si="27"/>
        <v>0.00119464752305735</v>
      </c>
      <c r="R44" s="18">
        <f t="shared" si="28"/>
        <v>0.0119491114583333</v>
      </c>
      <c r="S44" s="25">
        <f t="shared" si="29"/>
        <v>0.0999779378762258</v>
      </c>
      <c r="T44" s="3">
        <v>0.01</v>
      </c>
      <c r="U44" s="26">
        <f t="shared" si="30"/>
        <v>0.000999779378762258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0.0157997793787623</v>
      </c>
      <c r="AR44" s="29">
        <f t="shared" si="34"/>
        <v>7.70910416666667</v>
      </c>
      <c r="AS44" s="1">
        <f t="shared" si="35"/>
        <v>0.155</v>
      </c>
      <c r="AT44" s="2">
        <f t="shared" si="39"/>
        <v>76.4640637975422</v>
      </c>
      <c r="AU44" s="1">
        <f t="shared" si="36"/>
        <v>9672.05623819085</v>
      </c>
    </row>
    <row r="45" s="1" customFormat="1" spans="1:47">
      <c r="A45" s="13"/>
      <c r="B45" s="13"/>
      <c r="C45" s="16">
        <v>3</v>
      </c>
      <c r="D45" s="43">
        <v>10.2803298127742</v>
      </c>
      <c r="E45" s="20">
        <f t="shared" si="37"/>
        <v>5.25553844689655</v>
      </c>
      <c r="F45" s="16" t="s">
        <v>110</v>
      </c>
      <c r="G45" s="13">
        <v>4</v>
      </c>
      <c r="H45" s="18">
        <f t="shared" si="21"/>
        <v>10.2803298127742</v>
      </c>
      <c r="I45" s="18">
        <f t="shared" si="22"/>
        <v>283.430329812774</v>
      </c>
      <c r="J45" s="18">
        <f t="shared" si="23"/>
        <v>0.0634921109461502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0.295047496739074</v>
      </c>
      <c r="P45" s="18">
        <f t="shared" si="26"/>
        <v>0.0187331883973412</v>
      </c>
      <c r="Q45" s="24">
        <f t="shared" si="27"/>
        <v>0.00290364420158788</v>
      </c>
      <c r="R45" s="18">
        <f t="shared" si="28"/>
        <v>0.0119491114583333</v>
      </c>
      <c r="S45" s="25">
        <f t="shared" si="29"/>
        <v>0.243000846691649</v>
      </c>
      <c r="T45" s="3">
        <v>0.01</v>
      </c>
      <c r="U45" s="26">
        <f t="shared" si="30"/>
        <v>0.00243000846691649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0.0172300084669165</v>
      </c>
      <c r="AR45" s="29">
        <f t="shared" si="34"/>
        <v>7.70910416666667</v>
      </c>
      <c r="AS45" s="1">
        <f t="shared" si="35"/>
        <v>0.155</v>
      </c>
      <c r="AT45" s="2">
        <f t="shared" si="39"/>
        <v>76.4640637975422</v>
      </c>
      <c r="AU45" s="1">
        <f t="shared" si="36"/>
        <v>10547.5910062724</v>
      </c>
    </row>
    <row r="46" s="1" customFormat="1" spans="1:47">
      <c r="A46" s="13"/>
      <c r="B46" s="13"/>
      <c r="C46" s="16">
        <v>4</v>
      </c>
      <c r="D46" s="43">
        <v>16.726239055</v>
      </c>
      <c r="E46" s="20">
        <f t="shared" si="37"/>
        <v>10.2803298127742</v>
      </c>
      <c r="F46" s="16" t="s">
        <v>110</v>
      </c>
      <c r="G46" s="13">
        <v>5</v>
      </c>
      <c r="H46" s="18">
        <f t="shared" si="21"/>
        <v>16.726239055</v>
      </c>
      <c r="I46" s="18">
        <f t="shared" si="22"/>
        <v>289.876239055</v>
      </c>
      <c r="J46" s="18">
        <f t="shared" si="23"/>
        <v>0.13629526216243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0.262498592924646</v>
      </c>
      <c r="O46" s="18">
        <f t="shared" si="38"/>
        <v>0.0909067570837533</v>
      </c>
      <c r="P46" s="18">
        <f t="shared" si="26"/>
        <v>0.0123901602890665</v>
      </c>
      <c r="Q46" s="24">
        <f t="shared" si="27"/>
        <v>0.00192047484480531</v>
      </c>
      <c r="R46" s="18">
        <f t="shared" si="28"/>
        <v>0.0119491114583333</v>
      </c>
      <c r="S46" s="25">
        <f t="shared" si="29"/>
        <v>0.160721142446618</v>
      </c>
      <c r="T46" s="3">
        <v>0.01</v>
      </c>
      <c r="U46" s="26">
        <f t="shared" si="30"/>
        <v>0.00160721142446618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0.0287072114244662</v>
      </c>
      <c r="AR46" s="29">
        <f t="shared" si="34"/>
        <v>7.70910416666667</v>
      </c>
      <c r="AS46" s="1">
        <f t="shared" si="35"/>
        <v>0.155</v>
      </c>
      <c r="AT46" s="2">
        <f t="shared" si="39"/>
        <v>76.4640637975422</v>
      </c>
      <c r="AU46" s="1">
        <f t="shared" si="36"/>
        <v>17573.5215462751</v>
      </c>
    </row>
    <row r="47" s="1" customFormat="1" spans="1:47">
      <c r="A47" s="13"/>
      <c r="B47" s="13"/>
      <c r="C47" s="16">
        <v>5</v>
      </c>
      <c r="D47" s="43">
        <v>19.992658583871</v>
      </c>
      <c r="E47" s="20">
        <f t="shared" si="37"/>
        <v>16.726239055</v>
      </c>
      <c r="F47" s="16" t="s">
        <v>112</v>
      </c>
      <c r="G47" s="13">
        <v>6</v>
      </c>
      <c r="H47" s="18">
        <f t="shared" si="21"/>
        <v>19.992658583871</v>
      </c>
      <c r="I47" s="18">
        <f t="shared" si="22"/>
        <v>293.142658583871</v>
      </c>
      <c r="J47" s="18">
        <f t="shared" si="23"/>
        <v>0.198165614571641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0.155607638461354</v>
      </c>
      <c r="P47" s="18">
        <f t="shared" si="26"/>
        <v>0.0308360833077358</v>
      </c>
      <c r="Q47" s="24">
        <f t="shared" si="27"/>
        <v>0.00477959291269905</v>
      </c>
      <c r="R47" s="18">
        <f t="shared" si="28"/>
        <v>0.0119491114583333</v>
      </c>
      <c r="S47" s="25">
        <f t="shared" si="29"/>
        <v>0.399995675776022</v>
      </c>
      <c r="T47" s="3">
        <v>0.01</v>
      </c>
      <c r="U47" s="26">
        <f t="shared" si="30"/>
        <v>0.00399995675776022</v>
      </c>
      <c r="V47" s="25"/>
      <c r="W47" s="3"/>
      <c r="X47" s="26"/>
      <c r="Y47" s="28">
        <v>0.05</v>
      </c>
      <c r="Z47" s="3">
        <v>0.49</v>
      </c>
      <c r="AA47" s="27">
        <f t="shared" si="31"/>
        <v>0.0245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0.02</v>
      </c>
      <c r="AO47" s="3">
        <v>0.5</v>
      </c>
      <c r="AP47" s="3">
        <f t="shared" si="32"/>
        <v>0.01</v>
      </c>
      <c r="AQ47" s="1">
        <f t="shared" si="33"/>
        <v>0.0384999567577602</v>
      </c>
      <c r="AR47" s="29">
        <f t="shared" si="34"/>
        <v>7.70910416666667</v>
      </c>
      <c r="AS47" s="1">
        <f t="shared" si="35"/>
        <v>0.155</v>
      </c>
      <c r="AT47" s="2">
        <f t="shared" si="39"/>
        <v>76.4640637975422</v>
      </c>
      <c r="AU47" s="1">
        <f t="shared" si="36"/>
        <v>23568.2877591006</v>
      </c>
    </row>
    <row r="48" s="1" customFormat="1" spans="1:47">
      <c r="A48" s="13"/>
      <c r="B48" s="13"/>
      <c r="C48" s="16">
        <v>6</v>
      </c>
      <c r="D48" s="43">
        <v>24.2108653246667</v>
      </c>
      <c r="E48" s="20">
        <f t="shared" si="37"/>
        <v>19.992658583871</v>
      </c>
      <c r="F48" s="16" t="s">
        <v>110</v>
      </c>
      <c r="G48" s="13">
        <v>7</v>
      </c>
      <c r="H48" s="18">
        <f t="shared" si="21"/>
        <v>24.2108653246667</v>
      </c>
      <c r="I48" s="18">
        <f t="shared" si="22"/>
        <v>297.360865324667</v>
      </c>
      <c r="J48" s="18">
        <f t="shared" si="23"/>
        <v>0.317436103075288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0.201862596820284</v>
      </c>
      <c r="P48" s="18">
        <f t="shared" si="26"/>
        <v>0.0640784760912891</v>
      </c>
      <c r="Q48" s="24">
        <f t="shared" si="27"/>
        <v>0.00993216379414981</v>
      </c>
      <c r="R48" s="18">
        <f t="shared" si="28"/>
        <v>0.0119491114583333</v>
      </c>
      <c r="S48" s="25">
        <f t="shared" si="29"/>
        <v>0.831205217959792</v>
      </c>
      <c r="T48" s="3">
        <v>0.01</v>
      </c>
      <c r="U48" s="26">
        <f t="shared" si="30"/>
        <v>0.00831205217959792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0.0428120521795979</v>
      </c>
      <c r="AR48" s="29">
        <f t="shared" si="34"/>
        <v>7.70910416666667</v>
      </c>
      <c r="AS48" s="1">
        <f t="shared" si="35"/>
        <v>0.155</v>
      </c>
      <c r="AT48" s="2">
        <f t="shared" si="39"/>
        <v>76.4640637975422</v>
      </c>
      <c r="AU48" s="1">
        <f t="shared" si="36"/>
        <v>26207.9973667247</v>
      </c>
    </row>
    <row r="49" s="1" customFormat="1" spans="1:47">
      <c r="A49" s="13"/>
      <c r="B49" s="13"/>
      <c r="C49" s="16">
        <v>7</v>
      </c>
      <c r="D49" s="43">
        <v>28.3168877503226</v>
      </c>
      <c r="E49" s="20">
        <f t="shared" si="37"/>
        <v>24.2108653246667</v>
      </c>
      <c r="F49" s="16" t="s">
        <v>110</v>
      </c>
      <c r="G49" s="13">
        <v>8</v>
      </c>
      <c r="H49" s="18">
        <f t="shared" si="21"/>
        <v>28.3168877503226</v>
      </c>
      <c r="I49" s="18">
        <f t="shared" si="22"/>
        <v>301.466887750323</v>
      </c>
      <c r="J49" s="18">
        <f t="shared" si="23"/>
        <v>0.49584073202728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0.214875162395662</v>
      </c>
      <c r="P49" s="18">
        <f t="shared" si="26"/>
        <v>0.106543857816746</v>
      </c>
      <c r="Q49" s="24">
        <f t="shared" si="27"/>
        <v>0.0165142979615956</v>
      </c>
      <c r="R49" s="18">
        <f t="shared" si="28"/>
        <v>0.0119491114583333</v>
      </c>
      <c r="S49" s="25">
        <f t="shared" si="29"/>
        <v>1.38205238265465</v>
      </c>
      <c r="T49" s="3">
        <v>0.01</v>
      </c>
      <c r="U49" s="26">
        <f t="shared" si="30"/>
        <v>0.0138205238265465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0.0483205238265465</v>
      </c>
      <c r="AR49" s="29">
        <f t="shared" si="34"/>
        <v>7.70910416666667</v>
      </c>
      <c r="AS49" s="1">
        <f t="shared" si="35"/>
        <v>0.155</v>
      </c>
      <c r="AT49" s="2">
        <f t="shared" si="39"/>
        <v>76.4640637975422</v>
      </c>
      <c r="AU49" s="1">
        <f t="shared" si="36"/>
        <v>29580.0854369785</v>
      </c>
    </row>
    <row r="50" s="1" customFormat="1" spans="1:47">
      <c r="A50" s="13"/>
      <c r="B50" s="13"/>
      <c r="C50" s="16">
        <v>8</v>
      </c>
      <c r="D50" s="43">
        <v>28.2588911316129</v>
      </c>
      <c r="E50" s="20">
        <f t="shared" si="37"/>
        <v>28.3168877503226</v>
      </c>
      <c r="F50" s="16" t="s">
        <v>110</v>
      </c>
      <c r="G50" s="13">
        <v>9</v>
      </c>
      <c r="H50" s="18">
        <f t="shared" si="21"/>
        <v>28.2588911316129</v>
      </c>
      <c r="I50" s="18">
        <f t="shared" si="22"/>
        <v>301.408891131613</v>
      </c>
      <c r="J50" s="18">
        <f t="shared" si="23"/>
        <v>0.492768767842301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0.185422346245583</v>
      </c>
      <c r="P50" s="18">
        <f t="shared" si="26"/>
        <v>0.0913703410898644</v>
      </c>
      <c r="Q50" s="24">
        <f t="shared" si="27"/>
        <v>0.014162402868929</v>
      </c>
      <c r="R50" s="18">
        <f t="shared" si="28"/>
        <v>0.0119491114583333</v>
      </c>
      <c r="S50" s="25">
        <f t="shared" si="29"/>
        <v>1.18522644284585</v>
      </c>
      <c r="T50" s="3">
        <v>0.01</v>
      </c>
      <c r="U50" s="26">
        <f t="shared" si="30"/>
        <v>0.0118522644284585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0.0389522644284585</v>
      </c>
      <c r="AR50" s="29">
        <f t="shared" si="34"/>
        <v>7.70910416666667</v>
      </c>
      <c r="AS50" s="1">
        <f t="shared" si="35"/>
        <v>0.155</v>
      </c>
      <c r="AT50" s="2">
        <f t="shared" si="39"/>
        <v>76.4640637975422</v>
      </c>
      <c r="AU50" s="1">
        <f t="shared" si="36"/>
        <v>23845.1742347332</v>
      </c>
    </row>
    <row r="51" s="1" customFormat="1" spans="1:47">
      <c r="A51" s="13"/>
      <c r="B51" s="13"/>
      <c r="C51" s="16">
        <v>9</v>
      </c>
      <c r="D51" s="43">
        <v>23.6463735733333</v>
      </c>
      <c r="E51" s="20">
        <f t="shared" si="37"/>
        <v>28.2588911316129</v>
      </c>
      <c r="F51" s="16" t="s">
        <v>110</v>
      </c>
      <c r="G51" s="13">
        <v>10</v>
      </c>
      <c r="H51" s="18">
        <f t="shared" si="21"/>
        <v>23.6463735733333</v>
      </c>
      <c r="I51" s="18">
        <f t="shared" si="22"/>
        <v>296.796373573333</v>
      </c>
      <c r="J51" s="18">
        <f t="shared" si="23"/>
        <v>0.298269988412311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0.171143046822385</v>
      </c>
      <c r="P51" s="18">
        <f t="shared" si="26"/>
        <v>0.0510468345925604</v>
      </c>
      <c r="Q51" s="24">
        <f t="shared" si="27"/>
        <v>0.00791225936184686</v>
      </c>
      <c r="R51" s="18">
        <f t="shared" si="28"/>
        <v>0.0119491114583333</v>
      </c>
      <c r="S51" s="25">
        <f t="shared" si="29"/>
        <v>0.662162989226186</v>
      </c>
      <c r="T51" s="3">
        <v>0.01</v>
      </c>
      <c r="U51" s="26">
        <f t="shared" si="30"/>
        <v>0.00662162989226186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0.0337216298922619</v>
      </c>
      <c r="AR51" s="29">
        <f t="shared" si="34"/>
        <v>7.70910416666667</v>
      </c>
      <c r="AS51" s="1">
        <f t="shared" si="35"/>
        <v>0.155</v>
      </c>
      <c r="AT51" s="2">
        <f t="shared" si="39"/>
        <v>76.4640637975422</v>
      </c>
      <c r="AU51" s="1">
        <f t="shared" si="36"/>
        <v>20643.1680432088</v>
      </c>
    </row>
    <row r="52" s="1" customFormat="1" spans="1:47">
      <c r="A52" s="13"/>
      <c r="B52" s="13"/>
      <c r="C52" s="16">
        <v>10</v>
      </c>
      <c r="D52" s="43">
        <v>17.8431426229032</v>
      </c>
      <c r="E52" s="20">
        <f t="shared" si="37"/>
        <v>23.6463735733333</v>
      </c>
      <c r="F52" s="16" t="s">
        <v>110</v>
      </c>
      <c r="G52" s="13">
        <v>11</v>
      </c>
      <c r="H52" s="18">
        <f t="shared" si="21"/>
        <v>17.8431426229032</v>
      </c>
      <c r="I52" s="18">
        <f t="shared" si="22"/>
        <v>290.993142622903</v>
      </c>
      <c r="J52" s="18">
        <f t="shared" si="23"/>
        <v>0.15505009528388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0.114091401618333</v>
      </c>
      <c r="O52" s="18">
        <f t="shared" si="38"/>
        <v>0.0830958522781579</v>
      </c>
      <c r="P52" s="18">
        <f t="shared" si="26"/>
        <v>0.0128840198134236</v>
      </c>
      <c r="Q52" s="24">
        <f t="shared" si="27"/>
        <v>0.00199702307108066</v>
      </c>
      <c r="R52" s="18">
        <f t="shared" si="28"/>
        <v>0.0119491114583333</v>
      </c>
      <c r="S52" s="25">
        <f t="shared" si="29"/>
        <v>0.167127328089984</v>
      </c>
      <c r="T52" s="3">
        <v>0.01</v>
      </c>
      <c r="U52" s="26">
        <f t="shared" si="30"/>
        <v>0.00167127328089984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0.0164712732808998</v>
      </c>
      <c r="AR52" s="29">
        <f t="shared" si="34"/>
        <v>7.70910416666667</v>
      </c>
      <c r="AS52" s="1">
        <f t="shared" si="35"/>
        <v>0.155</v>
      </c>
      <c r="AT52" s="2">
        <f t="shared" si="39"/>
        <v>76.4640637975422</v>
      </c>
      <c r="AU52" s="1">
        <f t="shared" si="36"/>
        <v>10083.1206353183</v>
      </c>
    </row>
    <row r="53" s="1" customFormat="1" spans="1:48">
      <c r="A53" s="13"/>
      <c r="B53" s="13"/>
      <c r="C53" s="16">
        <v>11</v>
      </c>
      <c r="D53" s="43">
        <v>10.6170263198333</v>
      </c>
      <c r="E53" s="20">
        <f t="shared" si="37"/>
        <v>17.8431426229032</v>
      </c>
      <c r="F53" s="16" t="s">
        <v>112</v>
      </c>
      <c r="G53" s="13">
        <v>12</v>
      </c>
      <c r="H53" s="18">
        <f t="shared" si="21"/>
        <v>10.6170263198333</v>
      </c>
      <c r="I53" s="18">
        <f t="shared" si="22"/>
        <v>283.767026319833</v>
      </c>
      <c r="J53" s="18">
        <f t="shared" si="23"/>
        <v>0.0661335896925688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0.147302874131401</v>
      </c>
      <c r="P53" s="18">
        <f t="shared" si="26"/>
        <v>0.00974166783834218</v>
      </c>
      <c r="Q53" s="24">
        <f t="shared" si="27"/>
        <v>0.00150995851494304</v>
      </c>
      <c r="R53" s="18">
        <f t="shared" si="28"/>
        <v>0.0119491114583333</v>
      </c>
      <c r="S53" s="25">
        <f t="shared" si="29"/>
        <v>0.126365757002793</v>
      </c>
      <c r="T53" s="3">
        <v>0.01</v>
      </c>
      <c r="U53" s="26">
        <f t="shared" si="30"/>
        <v>0.00126365757002793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0.0160636575700279</v>
      </c>
      <c r="AR53" s="29">
        <f t="shared" si="34"/>
        <v>7.70910416666667</v>
      </c>
      <c r="AS53" s="1">
        <f t="shared" si="35"/>
        <v>0.155</v>
      </c>
      <c r="AT53" s="2">
        <f t="shared" si="39"/>
        <v>76.4640637975422</v>
      </c>
      <c r="AU53" s="1">
        <f t="shared" si="36"/>
        <v>9833.59296884826</v>
      </c>
      <c r="AV53" s="1">
        <f>SUM(AU42:AU53)</f>
        <v>200120.07006004</v>
      </c>
    </row>
    <row r="54" s="1" customFormat="1" spans="1:46">
      <c r="A54" s="13"/>
      <c r="B54" s="13"/>
      <c r="C54" s="16">
        <v>12</v>
      </c>
      <c r="D54" s="43">
        <v>6.13643917680645</v>
      </c>
      <c r="E54" s="20">
        <f t="shared" si="37"/>
        <v>10.6170263198333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108</v>
      </c>
      <c r="B58" s="13">
        <f>F7</f>
        <v>122.786</v>
      </c>
      <c r="C58" s="16" t="s">
        <v>109</v>
      </c>
      <c r="D58" s="17">
        <v>4</v>
      </c>
      <c r="E58" s="16"/>
      <c r="F58" s="16"/>
      <c r="G58" s="13">
        <v>1</v>
      </c>
      <c r="H58" s="18">
        <f t="shared" ref="H58:H69" si="40">E59</f>
        <v>4</v>
      </c>
      <c r="I58" s="18">
        <f t="shared" ref="I58:I69" si="41">H58+273.15</f>
        <v>277.15</v>
      </c>
      <c r="J58" s="18">
        <f t="shared" ref="J58:J69" si="42">EXP(($C$16*(I58-$C$14))/($C$17*I58*$C$14))</f>
        <v>0.0291499847697819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0.0805322256737049</v>
      </c>
      <c r="Q58" s="24">
        <f t="shared" ref="Q58:Q69" si="46">P58*$B$60</f>
        <v>0.0233543454453744</v>
      </c>
      <c r="R58" s="18">
        <f t="shared" ref="R58:R69" si="47">L58*$B$60</f>
        <v>0.80117865</v>
      </c>
      <c r="S58" s="25">
        <f t="shared" ref="S58:S69" si="48">Q58/R58</f>
        <v>0.0291499847697819</v>
      </c>
      <c r="T58" s="3">
        <v>0.27</v>
      </c>
      <c r="U58" s="26">
        <f t="shared" ref="U58:U69" si="49">S58*T58</f>
        <v>0.00787049588784111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0.227929237351008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>$E$7/12</f>
        <v>316.751722571775</v>
      </c>
      <c r="AF58" s="1">
        <f t="shared" ref="AF58:AF69" si="53">AE58*10000*AC58*AB58</f>
        <v>7387315.17408639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111</v>
      </c>
      <c r="B59" s="13">
        <v>27</v>
      </c>
      <c r="C59" s="16">
        <v>1</v>
      </c>
      <c r="D59" s="43">
        <v>1.84278478641935</v>
      </c>
      <c r="E59" s="20">
        <f t="shared" ref="E59:E70" si="54">D58</f>
        <v>4</v>
      </c>
      <c r="F59" s="16" t="s">
        <v>110</v>
      </c>
      <c r="G59" s="13">
        <v>2</v>
      </c>
      <c r="H59" s="18">
        <f t="shared" si="40"/>
        <v>1.84278478641935</v>
      </c>
      <c r="I59" s="18">
        <f t="shared" si="41"/>
        <v>274.992784786419</v>
      </c>
      <c r="J59" s="18">
        <f t="shared" si="42"/>
        <v>0.0221283213461836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5">L59+O58-P58-N59</f>
        <v>5.44483777432629</v>
      </c>
      <c r="P59" s="18">
        <f t="shared" si="45"/>
        <v>0.120485119948131</v>
      </c>
      <c r="Q59" s="24">
        <f t="shared" si="46"/>
        <v>0.0349406847849581</v>
      </c>
      <c r="R59" s="18">
        <f t="shared" si="47"/>
        <v>0.80117865</v>
      </c>
      <c r="S59" s="25">
        <f t="shared" si="48"/>
        <v>0.0436116024621451</v>
      </c>
      <c r="T59" s="3">
        <v>0.27</v>
      </c>
      <c r="U59" s="26">
        <f t="shared" si="49"/>
        <v>0.0117751326647792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0.228687908276767</v>
      </c>
      <c r="AC59" s="29">
        <f t="shared" si="51"/>
        <v>10.2321666666667</v>
      </c>
      <c r="AD59" s="1">
        <f t="shared" si="52"/>
        <v>0.29</v>
      </c>
      <c r="AE59" s="30">
        <f t="shared" ref="AE59:AE69" si="56">$E$7/12</f>
        <v>316.751722571775</v>
      </c>
      <c r="AF59" s="1">
        <f t="shared" si="53"/>
        <v>7411904.12681195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73</v>
      </c>
      <c r="B60" s="13">
        <f>H7</f>
        <v>0.29</v>
      </c>
      <c r="C60" s="16">
        <v>2</v>
      </c>
      <c r="D60" s="43">
        <v>5.25553844689655</v>
      </c>
      <c r="E60" s="20">
        <f t="shared" si="54"/>
        <v>1.84278478641935</v>
      </c>
      <c r="F60" s="16" t="s">
        <v>110</v>
      </c>
      <c r="G60" s="13">
        <v>3</v>
      </c>
      <c r="H60" s="18">
        <f t="shared" si="40"/>
        <v>5.25553844689655</v>
      </c>
      <c r="I60" s="18">
        <f t="shared" si="41"/>
        <v>278.405538446897</v>
      </c>
      <c r="J60" s="18">
        <f t="shared" si="42"/>
        <v>0.0341543543020413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5"/>
        <v>8.08703765437816</v>
      </c>
      <c r="P60" s="18">
        <f t="shared" si="45"/>
        <v>0.276207549301581</v>
      </c>
      <c r="Q60" s="24">
        <f t="shared" si="46"/>
        <v>0.0801001892974584</v>
      </c>
      <c r="R60" s="18">
        <f t="shared" si="47"/>
        <v>0.80117865</v>
      </c>
      <c r="S60" s="25">
        <f t="shared" si="48"/>
        <v>0.0999779378762257</v>
      </c>
      <c r="T60" s="3">
        <v>0.27</v>
      </c>
      <c r="U60" s="26">
        <f t="shared" si="49"/>
        <v>0.026994043226581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0.231644942598925</v>
      </c>
      <c r="AC60" s="29">
        <f t="shared" si="51"/>
        <v>10.2321666666667</v>
      </c>
      <c r="AD60" s="1">
        <f t="shared" si="52"/>
        <v>0.29</v>
      </c>
      <c r="AE60" s="30">
        <f t="shared" si="56"/>
        <v>316.751722571775</v>
      </c>
      <c r="AF60" s="1">
        <f t="shared" si="53"/>
        <v>7507743.27747226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43">
        <v>10.2803298127742</v>
      </c>
      <c r="E61" s="20">
        <f t="shared" si="54"/>
        <v>5.25553844689655</v>
      </c>
      <c r="F61" s="16" t="s">
        <v>110</v>
      </c>
      <c r="G61" s="13">
        <v>4</v>
      </c>
      <c r="H61" s="18">
        <f t="shared" si="40"/>
        <v>10.2803298127742</v>
      </c>
      <c r="I61" s="18">
        <f t="shared" si="41"/>
        <v>283.430329812774</v>
      </c>
      <c r="J61" s="18">
        <f t="shared" si="42"/>
        <v>0.0634921109461502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5"/>
        <v>10.5735151050766</v>
      </c>
      <c r="P61" s="18">
        <f t="shared" si="45"/>
        <v>0.671334794142317</v>
      </c>
      <c r="Q61" s="24">
        <f t="shared" si="46"/>
        <v>0.194687090301272</v>
      </c>
      <c r="R61" s="18">
        <f t="shared" si="47"/>
        <v>0.80117865</v>
      </c>
      <c r="S61" s="25">
        <f t="shared" si="48"/>
        <v>0.243000846691649</v>
      </c>
      <c r="T61" s="3">
        <v>0.27</v>
      </c>
      <c r="U61" s="26">
        <f t="shared" si="49"/>
        <v>0.0656102286067451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0.287948067418291</v>
      </c>
      <c r="AC61" s="29">
        <f t="shared" si="51"/>
        <v>10.2321666666667</v>
      </c>
      <c r="AD61" s="1">
        <f t="shared" si="52"/>
        <v>0.29</v>
      </c>
      <c r="AE61" s="30">
        <f t="shared" si="56"/>
        <v>316.751722571775</v>
      </c>
      <c r="AF61" s="1">
        <f t="shared" si="53"/>
        <v>9332559.31757535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43">
        <v>16.726239055</v>
      </c>
      <c r="E62" s="20">
        <f t="shared" si="54"/>
        <v>10.2803298127742</v>
      </c>
      <c r="F62" s="16" t="s">
        <v>110</v>
      </c>
      <c r="G62" s="13">
        <v>5</v>
      </c>
      <c r="H62" s="18">
        <f t="shared" si="40"/>
        <v>16.726239055</v>
      </c>
      <c r="I62" s="18">
        <f t="shared" si="41"/>
        <v>289.876239055</v>
      </c>
      <c r="J62" s="18">
        <f t="shared" si="42"/>
        <v>0.13629526216243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9.40707129538755</v>
      </c>
      <c r="O62" s="18">
        <f t="shared" si="55"/>
        <v>3.25779401554671</v>
      </c>
      <c r="P62" s="18">
        <f t="shared" si="45"/>
        <v>0.444021889420135</v>
      </c>
      <c r="Q62" s="24">
        <f t="shared" si="46"/>
        <v>0.128766347931839</v>
      </c>
      <c r="R62" s="18">
        <f t="shared" si="47"/>
        <v>0.80117865</v>
      </c>
      <c r="S62" s="25">
        <f t="shared" si="48"/>
        <v>0.160721142446618</v>
      </c>
      <c r="T62" s="3">
        <v>0.27</v>
      </c>
      <c r="U62" s="26">
        <f t="shared" si="49"/>
        <v>0.0433947084605869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0.283631591853892</v>
      </c>
      <c r="AC62" s="29">
        <f t="shared" si="51"/>
        <v>10.2321666666667</v>
      </c>
      <c r="AD62" s="1">
        <f t="shared" si="52"/>
        <v>0.29</v>
      </c>
      <c r="AE62" s="30">
        <f t="shared" si="56"/>
        <v>316.751722571775</v>
      </c>
      <c r="AF62" s="1">
        <f t="shared" si="53"/>
        <v>9192659.90929387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43">
        <v>19.992658583871</v>
      </c>
      <c r="E63" s="20">
        <f t="shared" si="54"/>
        <v>16.726239055</v>
      </c>
      <c r="F63" s="16" t="s">
        <v>112</v>
      </c>
      <c r="G63" s="13">
        <v>6</v>
      </c>
      <c r="H63" s="18">
        <f t="shared" si="40"/>
        <v>19.992658583871</v>
      </c>
      <c r="I63" s="18">
        <f t="shared" si="41"/>
        <v>293.142658583871</v>
      </c>
      <c r="J63" s="18">
        <f t="shared" si="42"/>
        <v>0.198165614571641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5"/>
        <v>5.57645712612658</v>
      </c>
      <c r="P63" s="18">
        <f t="shared" si="45"/>
        <v>1.10506205353128</v>
      </c>
      <c r="Q63" s="24">
        <f t="shared" si="46"/>
        <v>0.320467995524071</v>
      </c>
      <c r="R63" s="18">
        <f t="shared" si="47"/>
        <v>0.80117865</v>
      </c>
      <c r="S63" s="25">
        <f t="shared" si="48"/>
        <v>0.399995675776022</v>
      </c>
      <c r="T63" s="3">
        <v>0.27</v>
      </c>
      <c r="U63" s="26">
        <f t="shared" si="49"/>
        <v>0.107998832459526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0.311384173146886</v>
      </c>
      <c r="AC63" s="29">
        <f t="shared" si="51"/>
        <v>10.2321666666667</v>
      </c>
      <c r="AD63" s="1">
        <f t="shared" si="52"/>
        <v>0.29</v>
      </c>
      <c r="AE63" s="30">
        <f t="shared" si="56"/>
        <v>316.751722571775</v>
      </c>
      <c r="AF63" s="1">
        <f t="shared" si="53"/>
        <v>10092136.7262591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43">
        <v>24.2108653246667</v>
      </c>
      <c r="E64" s="20">
        <f t="shared" si="54"/>
        <v>19.992658583871</v>
      </c>
      <c r="F64" s="16" t="s">
        <v>110</v>
      </c>
      <c r="G64" s="13">
        <v>7</v>
      </c>
      <c r="H64" s="18">
        <f t="shared" si="40"/>
        <v>24.2108653246667</v>
      </c>
      <c r="I64" s="18">
        <f t="shared" si="41"/>
        <v>297.360865324667</v>
      </c>
      <c r="J64" s="18">
        <f t="shared" si="42"/>
        <v>0.317436103075288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5"/>
        <v>7.2340800725953</v>
      </c>
      <c r="P64" s="18">
        <f t="shared" si="45"/>
        <v>2.29635818757925</v>
      </c>
      <c r="Q64" s="24">
        <f t="shared" si="46"/>
        <v>0.665943874397982</v>
      </c>
      <c r="R64" s="18">
        <f t="shared" si="47"/>
        <v>0.80117865</v>
      </c>
      <c r="S64" s="25">
        <f t="shared" si="48"/>
        <v>0.831205217959792</v>
      </c>
      <c r="T64" s="3">
        <v>0.27</v>
      </c>
      <c r="U64" s="26">
        <f t="shared" si="49"/>
        <v>0.224425408849144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0.334005856939389</v>
      </c>
      <c r="AC64" s="29">
        <f t="shared" si="51"/>
        <v>10.2321666666667</v>
      </c>
      <c r="AD64" s="1">
        <f t="shared" si="52"/>
        <v>0.29</v>
      </c>
      <c r="AE64" s="30">
        <f t="shared" si="56"/>
        <v>316.751722571775</v>
      </c>
      <c r="AF64" s="1">
        <f t="shared" si="53"/>
        <v>10825318.2605192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43">
        <v>28.3168877503226</v>
      </c>
      <c r="E65" s="20">
        <f t="shared" si="54"/>
        <v>24.2108653246667</v>
      </c>
      <c r="F65" s="16" t="s">
        <v>110</v>
      </c>
      <c r="G65" s="13">
        <v>8</v>
      </c>
      <c r="H65" s="18">
        <f t="shared" si="40"/>
        <v>28.3168877503226</v>
      </c>
      <c r="I65" s="18">
        <f t="shared" si="41"/>
        <v>301.466887750323</v>
      </c>
      <c r="J65" s="18">
        <f t="shared" si="42"/>
        <v>0.49584073202728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5"/>
        <v>7.70040688501605</v>
      </c>
      <c r="P65" s="18">
        <f t="shared" si="45"/>
        <v>3.81817538677426</v>
      </c>
      <c r="Q65" s="24">
        <f t="shared" si="46"/>
        <v>1.10727086216454</v>
      </c>
      <c r="R65" s="18">
        <f t="shared" si="47"/>
        <v>0.80117865</v>
      </c>
      <c r="S65" s="25">
        <f t="shared" si="48"/>
        <v>1.38205238265465</v>
      </c>
      <c r="T65" s="3">
        <v>0.27</v>
      </c>
      <c r="U65" s="26">
        <f t="shared" si="49"/>
        <v>0.373154143316756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0.362903850046446</v>
      </c>
      <c r="AC65" s="29">
        <f t="shared" si="51"/>
        <v>10.2321666666667</v>
      </c>
      <c r="AD65" s="1">
        <f t="shared" si="52"/>
        <v>0.29</v>
      </c>
      <c r="AE65" s="30">
        <f t="shared" si="56"/>
        <v>316.751722571775</v>
      </c>
      <c r="AF65" s="1">
        <f t="shared" si="53"/>
        <v>11761918.5205887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43">
        <v>28.2588911316129</v>
      </c>
      <c r="E66" s="20">
        <f t="shared" si="54"/>
        <v>28.3168877503226</v>
      </c>
      <c r="F66" s="16" t="s">
        <v>110</v>
      </c>
      <c r="G66" s="13">
        <v>9</v>
      </c>
      <c r="H66" s="18">
        <f t="shared" si="40"/>
        <v>28.2588911316129</v>
      </c>
      <c r="I66" s="18">
        <f t="shared" si="41"/>
        <v>301.408891131613</v>
      </c>
      <c r="J66" s="18">
        <f t="shared" si="42"/>
        <v>0.492768767842301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5"/>
        <v>6.64491649824178</v>
      </c>
      <c r="P66" s="18">
        <f t="shared" si="45"/>
        <v>3.27440731525358</v>
      </c>
      <c r="Q66" s="24">
        <f t="shared" si="46"/>
        <v>0.949578121423538</v>
      </c>
      <c r="R66" s="18">
        <f t="shared" si="47"/>
        <v>0.80117865</v>
      </c>
      <c r="S66" s="25">
        <f t="shared" si="48"/>
        <v>1.18522644284585</v>
      </c>
      <c r="T66" s="3">
        <v>0.27</v>
      </c>
      <c r="U66" s="26">
        <f t="shared" si="49"/>
        <v>0.320011139568379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0.337378164418136</v>
      </c>
      <c r="AC66" s="29">
        <f t="shared" si="51"/>
        <v>10.2321666666667</v>
      </c>
      <c r="AD66" s="1">
        <f t="shared" si="52"/>
        <v>0.29</v>
      </c>
      <c r="AE66" s="30">
        <f t="shared" si="56"/>
        <v>316.751722571775</v>
      </c>
      <c r="AF66" s="1">
        <f t="shared" si="53"/>
        <v>10934616.6484705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43">
        <v>23.6463735733333</v>
      </c>
      <c r="E67" s="20">
        <f t="shared" si="54"/>
        <v>28.2588911316129</v>
      </c>
      <c r="F67" s="16" t="s">
        <v>110</v>
      </c>
      <c r="G67" s="13">
        <v>10</v>
      </c>
      <c r="H67" s="18">
        <f t="shared" si="40"/>
        <v>23.6463735733333</v>
      </c>
      <c r="I67" s="18">
        <f t="shared" si="41"/>
        <v>296.796373573333</v>
      </c>
      <c r="J67" s="18">
        <f t="shared" si="42"/>
        <v>0.298269988412311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5"/>
        <v>6.1331941829882</v>
      </c>
      <c r="P67" s="18">
        <f t="shared" si="45"/>
        <v>1.82934775789034</v>
      </c>
      <c r="Q67" s="24">
        <f t="shared" si="46"/>
        <v>0.5305108497882</v>
      </c>
      <c r="R67" s="18">
        <f t="shared" si="47"/>
        <v>0.80117865</v>
      </c>
      <c r="S67" s="25">
        <f t="shared" si="48"/>
        <v>0.662162989226186</v>
      </c>
      <c r="T67" s="3">
        <v>0.27</v>
      </c>
      <c r="U67" s="26">
        <f t="shared" si="49"/>
        <v>0.17878400709107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0.309937732577795</v>
      </c>
      <c r="AC67" s="29">
        <f t="shared" si="51"/>
        <v>10.2321666666667</v>
      </c>
      <c r="AD67" s="1">
        <f t="shared" si="52"/>
        <v>0.29</v>
      </c>
      <c r="AE67" s="30">
        <f t="shared" si="56"/>
        <v>316.751722571775</v>
      </c>
      <c r="AF67" s="1">
        <f t="shared" si="53"/>
        <v>10045256.771372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43">
        <v>17.8431426229032</v>
      </c>
      <c r="E68" s="20">
        <f t="shared" si="54"/>
        <v>23.6463735733333</v>
      </c>
      <c r="F68" s="16" t="s">
        <v>110</v>
      </c>
      <c r="G68" s="13">
        <v>11</v>
      </c>
      <c r="H68" s="18">
        <f t="shared" si="40"/>
        <v>17.8431426229032</v>
      </c>
      <c r="I68" s="18">
        <f t="shared" si="41"/>
        <v>290.993142622903</v>
      </c>
      <c r="J68" s="18">
        <f t="shared" si="42"/>
        <v>0.15505009528388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4.08865410384296</v>
      </c>
      <c r="O68" s="18">
        <f t="shared" si="55"/>
        <v>2.97787732125489</v>
      </c>
      <c r="P68" s="18">
        <f t="shared" si="45"/>
        <v>0.461720162404276</v>
      </c>
      <c r="Q68" s="24">
        <f t="shared" si="46"/>
        <v>0.13389884709724</v>
      </c>
      <c r="R68" s="18">
        <f t="shared" si="47"/>
        <v>0.80117865</v>
      </c>
      <c r="S68" s="25">
        <f t="shared" si="48"/>
        <v>0.167127328089984</v>
      </c>
      <c r="T68" s="3">
        <v>0.27</v>
      </c>
      <c r="U68" s="26">
        <f t="shared" si="49"/>
        <v>0.0451243785842956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0.235167666758929</v>
      </c>
      <c r="AC68" s="29">
        <f t="shared" si="51"/>
        <v>10.2321666666667</v>
      </c>
      <c r="AD68" s="1">
        <f t="shared" si="52"/>
        <v>0.29</v>
      </c>
      <c r="AE68" s="30">
        <f t="shared" si="56"/>
        <v>316.751722571775</v>
      </c>
      <c r="AF68" s="1">
        <f t="shared" si="53"/>
        <v>7621916.75492413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43">
        <v>10.6170263198333</v>
      </c>
      <c r="E69" s="20">
        <f t="shared" si="54"/>
        <v>17.8431426229032</v>
      </c>
      <c r="F69" s="16" t="s">
        <v>112</v>
      </c>
      <c r="G69" s="13">
        <v>12</v>
      </c>
      <c r="H69" s="18">
        <f t="shared" si="40"/>
        <v>10.6170263198333</v>
      </c>
      <c r="I69" s="18">
        <f t="shared" si="41"/>
        <v>283.767026319833</v>
      </c>
      <c r="J69" s="18">
        <f t="shared" si="42"/>
        <v>0.0661335896925688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5"/>
        <v>5.27884215885061</v>
      </c>
      <c r="P69" s="18">
        <f t="shared" si="45"/>
        <v>0.349108781385261</v>
      </c>
      <c r="Q69" s="24">
        <f t="shared" si="46"/>
        <v>0.101241546601726</v>
      </c>
      <c r="R69" s="18">
        <f t="shared" si="47"/>
        <v>0.80117865</v>
      </c>
      <c r="S69" s="25">
        <f t="shared" si="48"/>
        <v>0.126365757002793</v>
      </c>
      <c r="T69" s="3">
        <v>0.27</v>
      </c>
      <c r="U69" s="26">
        <f t="shared" si="49"/>
        <v>0.0341187543907541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0.233029273978124</v>
      </c>
      <c r="AC69" s="29">
        <f t="shared" si="51"/>
        <v>10.2321666666667</v>
      </c>
      <c r="AD69" s="1">
        <f t="shared" si="52"/>
        <v>0.29</v>
      </c>
      <c r="AE69" s="30">
        <f t="shared" si="56"/>
        <v>316.751722571775</v>
      </c>
      <c r="AF69" s="1">
        <f t="shared" si="53"/>
        <v>7552610.2384746</v>
      </c>
      <c r="AG69" s="1">
        <f>SUM(AF58:AF69)</f>
        <v>109665955.725848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43">
        <v>6.13643917680645</v>
      </c>
      <c r="E70" s="20">
        <f t="shared" si="54"/>
        <v>10.6170263198333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4</v>
      </c>
      <c r="E74" s="16"/>
      <c r="F74" s="16"/>
      <c r="G74" s="13">
        <v>1</v>
      </c>
      <c r="H74" s="18">
        <f t="shared" ref="H74:H85" si="57">E75</f>
        <v>4</v>
      </c>
      <c r="I74" s="18">
        <f t="shared" ref="I74:I85" si="58">H74+273.15</f>
        <v>277.15</v>
      </c>
      <c r="J74" s="18">
        <f t="shared" ref="J74:J85" si="59">EXP(($C$16*(I74-$C$14))/($C$17*I74*$C$14))</f>
        <v>0.0291499847697819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0.0151935550617057</v>
      </c>
      <c r="Q74" s="24">
        <f t="shared" ref="Q74:Q85" si="63">P74*$B$76</f>
        <v>0.00395032431604349</v>
      </c>
      <c r="R74" s="18">
        <f t="shared" ref="R74:R85" si="64">L74*$B$76</f>
        <v>0.1355172</v>
      </c>
      <c r="S74" s="25">
        <f t="shared" ref="S74:S85" si="65">Q74/R74</f>
        <v>0.0291499847697819</v>
      </c>
      <c r="T74" s="3">
        <v>0.01</v>
      </c>
      <c r="U74" s="26">
        <f t="shared" ref="U74:U85" si="66">S74*T74</f>
        <v>0.000291499847697819</v>
      </c>
      <c r="V74" s="25"/>
      <c r="W74" s="3"/>
      <c r="X74" s="3"/>
      <c r="Y74" s="28"/>
      <c r="Z74" s="3"/>
      <c r="AA74" s="27"/>
      <c r="AB74" s="3"/>
      <c r="AC74" s="3"/>
      <c r="AD74" s="3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0.00578149984769782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0.0175</v>
      </c>
      <c r="AX74" s="1">
        <f t="shared" ref="AX74:AX85" si="72">AW74*10000*AV74*0.67*AU74*AT74</f>
        <v>9.1864515693561</v>
      </c>
    </row>
    <row r="75" s="1" customFormat="1" spans="1:50">
      <c r="A75" s="13" t="s">
        <v>111</v>
      </c>
      <c r="B75" s="13">
        <v>1</v>
      </c>
      <c r="C75" s="16">
        <v>1</v>
      </c>
      <c r="D75" s="43">
        <v>1.84278478641935</v>
      </c>
      <c r="E75" s="20">
        <f t="shared" ref="E75:E86" si="73">D74</f>
        <v>4</v>
      </c>
      <c r="F75" s="16" t="s">
        <v>110</v>
      </c>
      <c r="G75" s="13">
        <v>2</v>
      </c>
      <c r="H75" s="18">
        <f t="shared" si="57"/>
        <v>1.84278478641935</v>
      </c>
      <c r="I75" s="18">
        <f t="shared" si="58"/>
        <v>274.992784786419</v>
      </c>
      <c r="J75" s="18">
        <f t="shared" si="59"/>
        <v>0.0221283213461836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1.02724644493829</v>
      </c>
      <c r="P75" s="18">
        <f t="shared" si="62"/>
        <v>0.0227312394353193</v>
      </c>
      <c r="Q75" s="24">
        <f t="shared" si="63"/>
        <v>0.00591012225318301</v>
      </c>
      <c r="R75" s="18">
        <f t="shared" si="64"/>
        <v>0.1355172</v>
      </c>
      <c r="S75" s="25">
        <f t="shared" si="65"/>
        <v>0.0436116024621451</v>
      </c>
      <c r="T75" s="3">
        <v>0.01</v>
      </c>
      <c r="U75" s="26">
        <f t="shared" si="66"/>
        <v>0.000436116024621451</v>
      </c>
      <c r="V75" s="25"/>
      <c r="W75" s="3"/>
      <c r="X75" s="3"/>
      <c r="Y75" s="28"/>
      <c r="Z75" s="3"/>
      <c r="AA75" s="27"/>
      <c r="AB75" s="3"/>
      <c r="AC75" s="3"/>
      <c r="AD75" s="3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0.00592611602462145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0.0175</v>
      </c>
      <c r="AX75" s="1">
        <f t="shared" si="72"/>
        <v>9.41623787748571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43">
        <v>5.25553844689655</v>
      </c>
      <c r="E76" s="20">
        <f t="shared" si="73"/>
        <v>1.84278478641935</v>
      </c>
      <c r="F76" s="16" t="s">
        <v>110</v>
      </c>
      <c r="G76" s="13">
        <v>3</v>
      </c>
      <c r="H76" s="18">
        <f t="shared" si="57"/>
        <v>5.25553844689655</v>
      </c>
      <c r="I76" s="18">
        <f t="shared" si="58"/>
        <v>278.405538446897</v>
      </c>
      <c r="J76" s="18">
        <f t="shared" si="59"/>
        <v>0.0341543543020413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1.52573520550298</v>
      </c>
      <c r="P76" s="18">
        <f t="shared" si="62"/>
        <v>0.0521105007798464</v>
      </c>
      <c r="Q76" s="24">
        <f t="shared" si="63"/>
        <v>0.0135487302027601</v>
      </c>
      <c r="R76" s="18">
        <f t="shared" si="64"/>
        <v>0.1355172</v>
      </c>
      <c r="S76" s="25">
        <f t="shared" si="65"/>
        <v>0.0999779378762258</v>
      </c>
      <c r="T76" s="3">
        <v>0.01</v>
      </c>
      <c r="U76" s="26">
        <f t="shared" si="66"/>
        <v>0.000999779378762258</v>
      </c>
      <c r="V76" s="25"/>
      <c r="W76" s="3"/>
      <c r="X76" s="3"/>
      <c r="Y76" s="28"/>
      <c r="Z76" s="3"/>
      <c r="AA76" s="27"/>
      <c r="AB76" s="3"/>
      <c r="AC76" s="3"/>
      <c r="AD76" s="3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0.00648977937876226</v>
      </c>
      <c r="AU76" s="29">
        <f t="shared" si="70"/>
        <v>52.122</v>
      </c>
      <c r="AV76" s="1">
        <f t="shared" si="71"/>
        <v>0.26</v>
      </c>
      <c r="AW76" s="2">
        <f t="shared" si="75"/>
        <v>0.0175</v>
      </c>
      <c r="AX76" s="1">
        <f t="shared" si="72"/>
        <v>10.3118646595736</v>
      </c>
    </row>
    <row r="77" s="1" customFormat="1" spans="1:50">
      <c r="A77" s="13"/>
      <c r="B77" s="13"/>
      <c r="C77" s="16">
        <v>3</v>
      </c>
      <c r="D77" s="43">
        <v>10.2803298127742</v>
      </c>
      <c r="E77" s="20">
        <f t="shared" si="73"/>
        <v>5.25553844689655</v>
      </c>
      <c r="F77" s="16" t="s">
        <v>110</v>
      </c>
      <c r="G77" s="13">
        <v>4</v>
      </c>
      <c r="H77" s="18">
        <f t="shared" si="57"/>
        <v>10.2803298127742</v>
      </c>
      <c r="I77" s="18">
        <f t="shared" si="58"/>
        <v>283.430329812774</v>
      </c>
      <c r="J77" s="18">
        <f t="shared" si="59"/>
        <v>0.0634921109461502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1.99484470472313</v>
      </c>
      <c r="P77" s="18">
        <f t="shared" si="62"/>
        <v>0.126656901312621</v>
      </c>
      <c r="Q77" s="24">
        <f t="shared" si="63"/>
        <v>0.0329307943412815</v>
      </c>
      <c r="R77" s="18">
        <f t="shared" si="64"/>
        <v>0.1355172</v>
      </c>
      <c r="S77" s="25">
        <f t="shared" si="65"/>
        <v>0.243000846691649</v>
      </c>
      <c r="T77" s="3">
        <v>0.01</v>
      </c>
      <c r="U77" s="26">
        <f t="shared" si="66"/>
        <v>0.00243000846691649</v>
      </c>
      <c r="V77" s="25"/>
      <c r="W77" s="3"/>
      <c r="X77" s="3"/>
      <c r="Y77" s="28"/>
      <c r="Z77" s="3"/>
      <c r="AA77" s="27"/>
      <c r="AB77" s="3"/>
      <c r="AC77" s="3"/>
      <c r="AD77" s="3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0.00792000846691649</v>
      </c>
      <c r="AU77" s="29">
        <f t="shared" si="70"/>
        <v>52.122</v>
      </c>
      <c r="AV77" s="1">
        <f t="shared" si="71"/>
        <v>0.26</v>
      </c>
      <c r="AW77" s="2">
        <f t="shared" si="75"/>
        <v>0.0175</v>
      </c>
      <c r="AX77" s="1">
        <f t="shared" si="72"/>
        <v>12.5844116798153</v>
      </c>
    </row>
    <row r="78" s="1" customFormat="1" spans="1:50">
      <c r="A78" s="13"/>
      <c r="B78" s="13"/>
      <c r="C78" s="16">
        <v>4</v>
      </c>
      <c r="D78" s="43">
        <v>16.726239055</v>
      </c>
      <c r="E78" s="20">
        <f t="shared" si="73"/>
        <v>10.2803298127742</v>
      </c>
      <c r="F78" s="16" t="s">
        <v>110</v>
      </c>
      <c r="G78" s="13">
        <v>5</v>
      </c>
      <c r="H78" s="18">
        <f t="shared" si="57"/>
        <v>16.726239055</v>
      </c>
      <c r="I78" s="18">
        <f t="shared" si="58"/>
        <v>289.876239055</v>
      </c>
      <c r="J78" s="18">
        <f t="shared" si="59"/>
        <v>0.13629526216243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1.77477841323998</v>
      </c>
      <c r="O78" s="18">
        <f t="shared" si="74"/>
        <v>0.614629390170525</v>
      </c>
      <c r="P78" s="18">
        <f t="shared" si="62"/>
        <v>0.0837710738660262</v>
      </c>
      <c r="Q78" s="24">
        <f t="shared" si="63"/>
        <v>0.0217804792051668</v>
      </c>
      <c r="R78" s="18">
        <f t="shared" si="64"/>
        <v>0.1355172</v>
      </c>
      <c r="S78" s="25">
        <f t="shared" si="65"/>
        <v>0.160721142446618</v>
      </c>
      <c r="T78" s="3">
        <v>0.01</v>
      </c>
      <c r="U78" s="26">
        <f t="shared" si="66"/>
        <v>0.00160721142446618</v>
      </c>
      <c r="V78" s="25"/>
      <c r="W78" s="3"/>
      <c r="X78" s="3"/>
      <c r="Y78" s="28"/>
      <c r="Z78" s="3"/>
      <c r="AA78" s="27"/>
      <c r="AB78" s="3"/>
      <c r="AC78" s="3"/>
      <c r="AD78" s="3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0.0115572114244662</v>
      </c>
      <c r="AU78" s="29">
        <f t="shared" si="70"/>
        <v>52.122</v>
      </c>
      <c r="AV78" s="1">
        <f t="shared" si="71"/>
        <v>0.26</v>
      </c>
      <c r="AW78" s="2">
        <f t="shared" si="75"/>
        <v>0.0175</v>
      </c>
      <c r="AX78" s="1">
        <f t="shared" si="72"/>
        <v>18.3637059283058</v>
      </c>
    </row>
    <row r="79" s="1" customFormat="1" spans="1:50">
      <c r="A79" s="13"/>
      <c r="B79" s="13"/>
      <c r="C79" s="16">
        <v>5</v>
      </c>
      <c r="D79" s="43">
        <v>19.992658583871</v>
      </c>
      <c r="E79" s="20">
        <f t="shared" si="73"/>
        <v>16.726239055</v>
      </c>
      <c r="F79" s="16" t="s">
        <v>112</v>
      </c>
      <c r="G79" s="13">
        <v>6</v>
      </c>
      <c r="H79" s="18">
        <f t="shared" si="57"/>
        <v>19.992658583871</v>
      </c>
      <c r="I79" s="18">
        <f t="shared" si="58"/>
        <v>293.142658583871</v>
      </c>
      <c r="J79" s="18">
        <f t="shared" si="59"/>
        <v>0.198165614571641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1.0520783163045</v>
      </c>
      <c r="P79" s="18">
        <f t="shared" si="62"/>
        <v>0.208485746127978</v>
      </c>
      <c r="Q79" s="24">
        <f t="shared" si="63"/>
        <v>0.0542062939932744</v>
      </c>
      <c r="R79" s="18">
        <f t="shared" si="64"/>
        <v>0.1355172</v>
      </c>
      <c r="S79" s="25">
        <f t="shared" si="65"/>
        <v>0.399995675776022</v>
      </c>
      <c r="T79" s="3">
        <v>0.01</v>
      </c>
      <c r="U79" s="26">
        <f t="shared" si="66"/>
        <v>0.00399995675776022</v>
      </c>
      <c r="V79" s="25"/>
      <c r="W79" s="3"/>
      <c r="X79" s="3"/>
      <c r="Y79" s="28"/>
      <c r="Z79" s="3"/>
      <c r="AA79" s="27"/>
      <c r="AB79" s="3"/>
      <c r="AC79" s="3"/>
      <c r="AD79" s="3"/>
      <c r="AE79" s="25">
        <v>0.01</v>
      </c>
      <c r="AF79" s="3">
        <v>0.49</v>
      </c>
      <c r="AG79" s="26">
        <f t="shared" si="67"/>
        <v>0.0049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0.02</v>
      </c>
      <c r="AR79" s="3">
        <v>0.5</v>
      </c>
      <c r="AS79" s="3">
        <f t="shared" si="68"/>
        <v>0.01</v>
      </c>
      <c r="AT79" s="2">
        <f t="shared" si="69"/>
        <v>0.0188999567577602</v>
      </c>
      <c r="AU79" s="29">
        <f t="shared" si="70"/>
        <v>52.122</v>
      </c>
      <c r="AV79" s="1">
        <f t="shared" si="71"/>
        <v>0.26</v>
      </c>
      <c r="AW79" s="2">
        <f t="shared" si="75"/>
        <v>0.0175</v>
      </c>
      <c r="AX79" s="1">
        <f t="shared" si="72"/>
        <v>30.0308816037114</v>
      </c>
    </row>
    <row r="80" s="1" customFormat="1" spans="1:50">
      <c r="A80" s="13"/>
      <c r="B80" s="13"/>
      <c r="C80" s="16">
        <v>6</v>
      </c>
      <c r="D80" s="43">
        <v>24.2108653246667</v>
      </c>
      <c r="E80" s="20">
        <f t="shared" si="73"/>
        <v>19.992658583871</v>
      </c>
      <c r="F80" s="16" t="s">
        <v>110</v>
      </c>
      <c r="G80" s="13">
        <v>7</v>
      </c>
      <c r="H80" s="18">
        <f t="shared" si="57"/>
        <v>24.2108653246667</v>
      </c>
      <c r="I80" s="18">
        <f t="shared" si="58"/>
        <v>297.360865324667</v>
      </c>
      <c r="J80" s="18">
        <f t="shared" si="59"/>
        <v>0.317436103075288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1.36481257017652</v>
      </c>
      <c r="P80" s="18">
        <f t="shared" si="62"/>
        <v>0.433240783705003</v>
      </c>
      <c r="Q80" s="24">
        <f t="shared" si="63"/>
        <v>0.112642603763301</v>
      </c>
      <c r="R80" s="18">
        <f t="shared" si="64"/>
        <v>0.1355172</v>
      </c>
      <c r="S80" s="25">
        <f t="shared" si="65"/>
        <v>0.831205217959792</v>
      </c>
      <c r="T80" s="3">
        <v>0.01</v>
      </c>
      <c r="U80" s="26">
        <f t="shared" si="66"/>
        <v>0.00831205217959792</v>
      </c>
      <c r="V80" s="25"/>
      <c r="W80" s="3"/>
      <c r="X80" s="3"/>
      <c r="Y80" s="28"/>
      <c r="Z80" s="3"/>
      <c r="AA80" s="27"/>
      <c r="AB80" s="3"/>
      <c r="AC80" s="3"/>
      <c r="AD80" s="3"/>
      <c r="AE80" s="25">
        <v>0.01</v>
      </c>
      <c r="AF80" s="3">
        <v>0.49</v>
      </c>
      <c r="AG80" s="26">
        <f t="shared" si="67"/>
        <v>0.0049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0.0232120521795979</v>
      </c>
      <c r="AU80" s="29">
        <f t="shared" si="70"/>
        <v>52.122</v>
      </c>
      <c r="AV80" s="1">
        <f t="shared" si="71"/>
        <v>0.26</v>
      </c>
      <c r="AW80" s="2">
        <f t="shared" si="75"/>
        <v>0.0175</v>
      </c>
      <c r="AX80" s="1">
        <f t="shared" si="72"/>
        <v>36.882538924247</v>
      </c>
    </row>
    <row r="81" s="1" customFormat="1" spans="1:50">
      <c r="A81" s="13"/>
      <c r="B81" s="13"/>
      <c r="C81" s="16">
        <v>7</v>
      </c>
      <c r="D81" s="43">
        <v>28.3168877503226</v>
      </c>
      <c r="E81" s="20">
        <f t="shared" si="73"/>
        <v>24.2108653246667</v>
      </c>
      <c r="F81" s="16" t="s">
        <v>110</v>
      </c>
      <c r="G81" s="13">
        <v>8</v>
      </c>
      <c r="H81" s="18">
        <f t="shared" si="57"/>
        <v>28.3168877503226</v>
      </c>
      <c r="I81" s="18">
        <f t="shared" si="58"/>
        <v>301.466887750323</v>
      </c>
      <c r="J81" s="18">
        <f t="shared" si="59"/>
        <v>0.49584073202728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1.45279178647152</v>
      </c>
      <c r="P81" s="18">
        <f t="shared" si="62"/>
        <v>0.720353342887257</v>
      </c>
      <c r="Q81" s="24">
        <f t="shared" si="63"/>
        <v>0.187291869150687</v>
      </c>
      <c r="R81" s="18">
        <f t="shared" si="64"/>
        <v>0.1355172</v>
      </c>
      <c r="S81" s="25">
        <f t="shared" si="65"/>
        <v>1.38205238265465</v>
      </c>
      <c r="T81" s="3">
        <v>0.01</v>
      </c>
      <c r="U81" s="26">
        <f t="shared" si="66"/>
        <v>0.0138205238265465</v>
      </c>
      <c r="V81" s="25"/>
      <c r="W81" s="3"/>
      <c r="X81" s="3"/>
      <c r="Y81" s="28"/>
      <c r="Z81" s="3"/>
      <c r="AA81" s="27"/>
      <c r="AB81" s="3"/>
      <c r="AC81" s="3"/>
      <c r="AD81" s="3"/>
      <c r="AE81" s="25">
        <v>0.01</v>
      </c>
      <c r="AF81" s="3">
        <v>0.49</v>
      </c>
      <c r="AG81" s="26">
        <f t="shared" si="67"/>
        <v>0.0049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0.0287205238265465</v>
      </c>
      <c r="AU81" s="29">
        <f t="shared" si="70"/>
        <v>52.122</v>
      </c>
      <c r="AV81" s="1">
        <f t="shared" si="71"/>
        <v>0.26</v>
      </c>
      <c r="AW81" s="2">
        <f t="shared" si="75"/>
        <v>0.0175</v>
      </c>
      <c r="AX81" s="1">
        <f t="shared" si="72"/>
        <v>45.635165290918</v>
      </c>
    </row>
    <row r="82" s="1" customFormat="1" spans="1:50">
      <c r="A82" s="13"/>
      <c r="B82" s="13"/>
      <c r="C82" s="16">
        <v>8</v>
      </c>
      <c r="D82" s="43">
        <v>28.2588911316129</v>
      </c>
      <c r="E82" s="20">
        <f t="shared" si="73"/>
        <v>28.3168877503226</v>
      </c>
      <c r="F82" s="16" t="s">
        <v>110</v>
      </c>
      <c r="G82" s="13">
        <v>9</v>
      </c>
      <c r="H82" s="18">
        <f t="shared" si="57"/>
        <v>28.2588911316129</v>
      </c>
      <c r="I82" s="18">
        <f t="shared" si="58"/>
        <v>301.408891131613</v>
      </c>
      <c r="J82" s="18">
        <f t="shared" si="59"/>
        <v>0.492768767842301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1.25365844358426</v>
      </c>
      <c r="P82" s="18">
        <f t="shared" si="62"/>
        <v>0.617763726540113</v>
      </c>
      <c r="Q82" s="24">
        <f t="shared" si="63"/>
        <v>0.160618568900429</v>
      </c>
      <c r="R82" s="18">
        <f t="shared" si="64"/>
        <v>0.1355172</v>
      </c>
      <c r="S82" s="25">
        <f t="shared" si="65"/>
        <v>1.18522644284585</v>
      </c>
      <c r="T82" s="3">
        <v>0.01</v>
      </c>
      <c r="U82" s="26">
        <f t="shared" si="66"/>
        <v>0.0118522644284585</v>
      </c>
      <c r="V82" s="25"/>
      <c r="W82" s="3"/>
      <c r="X82" s="3"/>
      <c r="Y82" s="28"/>
      <c r="Z82" s="3"/>
      <c r="AA82" s="27"/>
      <c r="AB82" s="3"/>
      <c r="AC82" s="3"/>
      <c r="AD82" s="3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0.0218022644284585</v>
      </c>
      <c r="AU82" s="29">
        <f t="shared" si="70"/>
        <v>52.122</v>
      </c>
      <c r="AV82" s="1">
        <f t="shared" si="71"/>
        <v>0.26</v>
      </c>
      <c r="AW82" s="2">
        <f t="shared" si="75"/>
        <v>0.0175</v>
      </c>
      <c r="AX82" s="1">
        <f t="shared" si="72"/>
        <v>34.6424719450753</v>
      </c>
    </row>
    <row r="83" s="1" customFormat="1" spans="1:50">
      <c r="A83" s="13"/>
      <c r="B83" s="13"/>
      <c r="C83" s="16">
        <v>9</v>
      </c>
      <c r="D83" s="43">
        <v>23.6463735733333</v>
      </c>
      <c r="E83" s="20">
        <f t="shared" si="73"/>
        <v>28.2588911316129</v>
      </c>
      <c r="F83" s="16" t="s">
        <v>110</v>
      </c>
      <c r="G83" s="13">
        <v>10</v>
      </c>
      <c r="H83" s="18">
        <f t="shared" si="57"/>
        <v>23.6463735733333</v>
      </c>
      <c r="I83" s="18">
        <f t="shared" si="58"/>
        <v>296.796373573333</v>
      </c>
      <c r="J83" s="18">
        <f t="shared" si="59"/>
        <v>0.298269988412311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1.15711471704415</v>
      </c>
      <c r="P83" s="18">
        <f t="shared" si="62"/>
        <v>0.345132593244472</v>
      </c>
      <c r="Q83" s="24">
        <f t="shared" si="63"/>
        <v>0.0897344742435628</v>
      </c>
      <c r="R83" s="18">
        <f t="shared" si="64"/>
        <v>0.1355172</v>
      </c>
      <c r="S83" s="25">
        <f t="shared" si="65"/>
        <v>0.662162989226186</v>
      </c>
      <c r="T83" s="3">
        <v>0.01</v>
      </c>
      <c r="U83" s="26">
        <f t="shared" si="66"/>
        <v>0.00662162989226186</v>
      </c>
      <c r="V83" s="25"/>
      <c r="W83" s="3"/>
      <c r="X83" s="3"/>
      <c r="Y83" s="28"/>
      <c r="Z83" s="3"/>
      <c r="AA83" s="27"/>
      <c r="AB83" s="3"/>
      <c r="AC83" s="3"/>
      <c r="AD83" s="3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0.0165716298922619</v>
      </c>
      <c r="AU83" s="29">
        <f t="shared" si="70"/>
        <v>52.122</v>
      </c>
      <c r="AV83" s="1">
        <f t="shared" si="71"/>
        <v>0.26</v>
      </c>
      <c r="AW83" s="2">
        <f t="shared" si="75"/>
        <v>0.0175</v>
      </c>
      <c r="AX83" s="1">
        <f t="shared" si="72"/>
        <v>26.3313118465577</v>
      </c>
    </row>
    <row r="84" s="1" customFormat="1" spans="1:50">
      <c r="A84" s="13"/>
      <c r="B84" s="13"/>
      <c r="C84" s="16">
        <v>10</v>
      </c>
      <c r="D84" s="43">
        <v>17.8431426229032</v>
      </c>
      <c r="E84" s="20">
        <f t="shared" si="73"/>
        <v>23.6463735733333</v>
      </c>
      <c r="F84" s="16" t="s">
        <v>110</v>
      </c>
      <c r="G84" s="13">
        <v>11</v>
      </c>
      <c r="H84" s="18">
        <f t="shared" si="57"/>
        <v>17.8431426229032</v>
      </c>
      <c r="I84" s="18">
        <f t="shared" si="58"/>
        <v>290.993142622903</v>
      </c>
      <c r="J84" s="18">
        <f t="shared" si="59"/>
        <v>0.15505009528388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0.771383017609691</v>
      </c>
      <c r="O84" s="18">
        <f t="shared" si="74"/>
        <v>0.561819106189984</v>
      </c>
      <c r="P84" s="18">
        <f t="shared" si="62"/>
        <v>0.0871101059470613</v>
      </c>
      <c r="Q84" s="24">
        <f t="shared" si="63"/>
        <v>0.0226486275462359</v>
      </c>
      <c r="R84" s="18">
        <f t="shared" si="64"/>
        <v>0.1355172</v>
      </c>
      <c r="S84" s="25">
        <f t="shared" si="65"/>
        <v>0.167127328089984</v>
      </c>
      <c r="T84" s="3">
        <v>0.01</v>
      </c>
      <c r="U84" s="26">
        <f t="shared" si="66"/>
        <v>0.00167127328089984</v>
      </c>
      <c r="V84" s="25"/>
      <c r="W84" s="3"/>
      <c r="X84" s="3"/>
      <c r="Y84" s="28"/>
      <c r="Z84" s="3"/>
      <c r="AA84" s="27"/>
      <c r="AB84" s="3"/>
      <c r="AC84" s="3"/>
      <c r="AD84" s="3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0.00716127328089984</v>
      </c>
      <c r="AU84" s="29">
        <f t="shared" si="70"/>
        <v>52.122</v>
      </c>
      <c r="AV84" s="1">
        <f t="shared" si="71"/>
        <v>0.26</v>
      </c>
      <c r="AW84" s="2">
        <f t="shared" si="75"/>
        <v>0.0175</v>
      </c>
      <c r="AX84" s="1">
        <f t="shared" si="72"/>
        <v>11.3788276230962</v>
      </c>
    </row>
    <row r="85" s="1" customFormat="1" spans="1:51">
      <c r="A85" s="13"/>
      <c r="B85" s="13"/>
      <c r="C85" s="16">
        <v>11</v>
      </c>
      <c r="D85" s="43">
        <v>10.6170263198333</v>
      </c>
      <c r="E85" s="20">
        <f t="shared" si="73"/>
        <v>17.8431426229032</v>
      </c>
      <c r="F85" s="16" t="s">
        <v>112</v>
      </c>
      <c r="G85" s="13">
        <v>12</v>
      </c>
      <c r="H85" s="18">
        <f t="shared" si="57"/>
        <v>10.6170263198333</v>
      </c>
      <c r="I85" s="18">
        <f t="shared" si="58"/>
        <v>283.767026319833</v>
      </c>
      <c r="J85" s="18">
        <f t="shared" si="59"/>
        <v>0.0661335896925688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0.995929000242923</v>
      </c>
      <c r="P85" s="18">
        <f t="shared" si="62"/>
        <v>0.0658643598649957</v>
      </c>
      <c r="Q85" s="24">
        <f t="shared" si="63"/>
        <v>0.0171247335648989</v>
      </c>
      <c r="R85" s="18">
        <f t="shared" si="64"/>
        <v>0.1355172</v>
      </c>
      <c r="S85" s="25">
        <f t="shared" si="65"/>
        <v>0.126365757002793</v>
      </c>
      <c r="T85" s="3">
        <v>0.01</v>
      </c>
      <c r="U85" s="26">
        <f t="shared" si="66"/>
        <v>0.00126365757002793</v>
      </c>
      <c r="V85" s="25"/>
      <c r="W85" s="3"/>
      <c r="X85" s="3"/>
      <c r="Y85" s="28"/>
      <c r="Z85" s="3"/>
      <c r="AA85" s="27"/>
      <c r="AB85" s="3"/>
      <c r="AC85" s="3"/>
      <c r="AD85" s="3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0.00675365757002793</v>
      </c>
      <c r="AU85" s="29">
        <f t="shared" si="70"/>
        <v>52.122</v>
      </c>
      <c r="AV85" s="1">
        <f t="shared" si="71"/>
        <v>0.26</v>
      </c>
      <c r="AW85" s="2">
        <f t="shared" si="75"/>
        <v>0.0175</v>
      </c>
      <c r="AX85" s="1">
        <f t="shared" si="72"/>
        <v>10.7311510537844</v>
      </c>
      <c r="AY85" s="1">
        <f>SUM(AX74:AX85)</f>
        <v>255.495020001927</v>
      </c>
    </row>
    <row r="86" s="1" customFormat="1" spans="1:46">
      <c r="A86" s="13"/>
      <c r="B86" s="13"/>
      <c r="C86" s="16">
        <v>12</v>
      </c>
      <c r="D86" s="43">
        <v>6.13643917680645</v>
      </c>
      <c r="E86" s="20">
        <f t="shared" si="73"/>
        <v>10.6170263198333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4</v>
      </c>
      <c r="E90" s="16"/>
      <c r="F90" s="16"/>
      <c r="G90" s="13">
        <v>1</v>
      </c>
      <c r="H90" s="18">
        <f t="shared" ref="H90:H101" si="76">E91</f>
        <v>4</v>
      </c>
      <c r="I90" s="18">
        <f t="shared" ref="I90:I101" si="77">H90+273.15</f>
        <v>277.15</v>
      </c>
      <c r="J90" s="18">
        <f t="shared" ref="J90:J101" si="78">EXP(($C$16*(I90-$C$14))/($C$17*I90*$C$14))</f>
        <v>0.0291499847697819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0.00829900066395691</v>
      </c>
      <c r="Q90" s="24">
        <f t="shared" ref="Q90:Q101" si="82">P90*$B$76</f>
        <v>0.0021577401726288</v>
      </c>
      <c r="R90" s="18">
        <f t="shared" ref="R90:R101" si="83">L90*$B$76</f>
        <v>0.074022</v>
      </c>
      <c r="S90" s="25">
        <f t="shared" ref="S90:S101" si="84">Q90/R90</f>
        <v>0.0291499847697819</v>
      </c>
      <c r="T90" s="3">
        <v>0.01</v>
      </c>
      <c r="U90" s="26">
        <f t="shared" ref="U90:U101" si="85">S90*T90</f>
        <v>0.000291499847697819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0.00578149984769782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0.189583333333333</v>
      </c>
      <c r="AX90" s="1">
        <f t="shared" ref="AX90:AX101" si="91">AW90*10000*AV90*0.67*AU90*AT90</f>
        <v>54.3596048746912</v>
      </c>
      <c r="AZ90" s="2">
        <f>$E$10/12</f>
        <v>0.0575</v>
      </c>
      <c r="BA90" s="1">
        <f t="shared" ref="BA90:BA101" si="92">AZ90*10000*AV90*0.67*AU90*AT90</f>
        <v>16.4870889510052</v>
      </c>
    </row>
    <row r="91" s="1" customFormat="1" spans="1:53">
      <c r="A91" s="13" t="s">
        <v>111</v>
      </c>
      <c r="B91" s="13">
        <v>1</v>
      </c>
      <c r="C91" s="16">
        <v>1</v>
      </c>
      <c r="D91" s="43">
        <v>1.84278478641935</v>
      </c>
      <c r="E91" s="20">
        <f t="shared" ref="E91:E102" si="93">D90</f>
        <v>4</v>
      </c>
      <c r="F91" s="16" t="s">
        <v>110</v>
      </c>
      <c r="G91" s="13">
        <v>2</v>
      </c>
      <c r="H91" s="18">
        <f t="shared" si="76"/>
        <v>1.84278478641935</v>
      </c>
      <c r="I91" s="18">
        <f t="shared" si="77"/>
        <v>274.992784786419</v>
      </c>
      <c r="J91" s="18">
        <f t="shared" si="78"/>
        <v>0.0221283213461836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0.561100999336043</v>
      </c>
      <c r="P91" s="18">
        <f t="shared" si="81"/>
        <v>0.0124162232209727</v>
      </c>
      <c r="Q91" s="24">
        <f t="shared" si="82"/>
        <v>0.00322821803745291</v>
      </c>
      <c r="R91" s="18">
        <f t="shared" si="83"/>
        <v>0.074022</v>
      </c>
      <c r="S91" s="25">
        <f t="shared" si="84"/>
        <v>0.0436116024621451</v>
      </c>
      <c r="T91" s="3">
        <v>0.01</v>
      </c>
      <c r="U91" s="26">
        <f t="shared" si="85"/>
        <v>0.000436116024621451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0.00592611602462145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0.189583333333333</v>
      </c>
      <c r="AX91" s="1">
        <f t="shared" si="91"/>
        <v>55.7193347792397</v>
      </c>
      <c r="AZ91" s="2">
        <f t="shared" ref="AZ91:AZ101" si="96">$E$10/12</f>
        <v>0.0575</v>
      </c>
      <c r="BA91" s="1">
        <f t="shared" si="92"/>
        <v>16.8994905484287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43">
        <v>5.25553844689655</v>
      </c>
      <c r="E92" s="20">
        <f t="shared" si="93"/>
        <v>1.84278478641935</v>
      </c>
      <c r="F92" s="16" t="s">
        <v>110</v>
      </c>
      <c r="G92" s="13">
        <v>3</v>
      </c>
      <c r="H92" s="18">
        <f t="shared" si="76"/>
        <v>5.25553844689655</v>
      </c>
      <c r="I92" s="18">
        <f t="shared" si="77"/>
        <v>278.405538446897</v>
      </c>
      <c r="J92" s="18">
        <f t="shared" si="78"/>
        <v>0.0341543543020413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0.83338477611507</v>
      </c>
      <c r="P92" s="18">
        <f t="shared" si="81"/>
        <v>0.0284637189133615</v>
      </c>
      <c r="Q92" s="24">
        <f t="shared" si="82"/>
        <v>0.00740056691747399</v>
      </c>
      <c r="R92" s="18">
        <f t="shared" si="83"/>
        <v>0.074022</v>
      </c>
      <c r="S92" s="25">
        <f t="shared" si="84"/>
        <v>0.0999779378762258</v>
      </c>
      <c r="T92" s="3">
        <v>0.01</v>
      </c>
      <c r="U92" s="26">
        <f t="shared" si="85"/>
        <v>0.000999779378762258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0.00648977937876226</v>
      </c>
      <c r="AU92" s="29">
        <f t="shared" si="89"/>
        <v>28.47</v>
      </c>
      <c r="AV92" s="1">
        <f t="shared" si="90"/>
        <v>0.26</v>
      </c>
      <c r="AW92" s="2">
        <f t="shared" si="95"/>
        <v>0.189583333333333</v>
      </c>
      <c r="AX92" s="1">
        <f t="shared" si="91"/>
        <v>61.0190870962164</v>
      </c>
      <c r="AZ92" s="2">
        <f t="shared" si="96"/>
        <v>0.0575</v>
      </c>
      <c r="BA92" s="1">
        <f t="shared" si="92"/>
        <v>18.5068879544569</v>
      </c>
    </row>
    <row r="93" s="1" customFormat="1" spans="1:53">
      <c r="A93" s="13"/>
      <c r="B93" s="13"/>
      <c r="C93" s="16">
        <v>3</v>
      </c>
      <c r="D93" s="43">
        <v>10.2803298127742</v>
      </c>
      <c r="E93" s="20">
        <f t="shared" si="93"/>
        <v>5.25553844689655</v>
      </c>
      <c r="F93" s="16" t="s">
        <v>110</v>
      </c>
      <c r="G93" s="13">
        <v>4</v>
      </c>
      <c r="H93" s="18">
        <f t="shared" si="76"/>
        <v>10.2803298127742</v>
      </c>
      <c r="I93" s="18">
        <f t="shared" si="77"/>
        <v>283.430329812774</v>
      </c>
      <c r="J93" s="18">
        <f t="shared" si="78"/>
        <v>0.0634921109461502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1.08962105720171</v>
      </c>
      <c r="P93" s="18">
        <f t="shared" si="81"/>
        <v>0.0691823410531124</v>
      </c>
      <c r="Q93" s="24">
        <f t="shared" si="82"/>
        <v>0.0179874086738092</v>
      </c>
      <c r="R93" s="18">
        <f t="shared" si="83"/>
        <v>0.074022</v>
      </c>
      <c r="S93" s="25">
        <f t="shared" si="84"/>
        <v>0.243000846691649</v>
      </c>
      <c r="T93" s="3">
        <v>0.01</v>
      </c>
      <c r="U93" s="26">
        <f t="shared" si="85"/>
        <v>0.00243000846691649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0.00792000846691649</v>
      </c>
      <c r="AU93" s="29">
        <f t="shared" si="89"/>
        <v>28.47</v>
      </c>
      <c r="AV93" s="1">
        <f t="shared" si="90"/>
        <v>0.26</v>
      </c>
      <c r="AW93" s="2">
        <f t="shared" si="95"/>
        <v>0.189583333333333</v>
      </c>
      <c r="AX93" s="1">
        <f t="shared" si="91"/>
        <v>74.4665817187948</v>
      </c>
      <c r="AZ93" s="2">
        <f t="shared" si="96"/>
        <v>0.0575</v>
      </c>
      <c r="BA93" s="1">
        <f t="shared" si="92"/>
        <v>22.585468741085</v>
      </c>
    </row>
    <row r="94" s="1" customFormat="1" spans="1:53">
      <c r="A94" s="13"/>
      <c r="B94" s="13"/>
      <c r="C94" s="16">
        <v>4</v>
      </c>
      <c r="D94" s="43">
        <v>16.726239055</v>
      </c>
      <c r="E94" s="20">
        <f t="shared" si="93"/>
        <v>10.2803298127742</v>
      </c>
      <c r="F94" s="16" t="s">
        <v>110</v>
      </c>
      <c r="G94" s="13">
        <v>5</v>
      </c>
      <c r="H94" s="18">
        <f t="shared" si="76"/>
        <v>16.726239055</v>
      </c>
      <c r="I94" s="18">
        <f t="shared" si="77"/>
        <v>289.876239055</v>
      </c>
      <c r="J94" s="18">
        <f t="shared" si="78"/>
        <v>0.13629526216243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0.969416780341167</v>
      </c>
      <c r="O94" s="18">
        <f t="shared" si="94"/>
        <v>0.33572193580743</v>
      </c>
      <c r="P94" s="18">
        <f t="shared" si="81"/>
        <v>0.0457573092545521</v>
      </c>
      <c r="Q94" s="24">
        <f t="shared" si="82"/>
        <v>0.0118969004061836</v>
      </c>
      <c r="R94" s="18">
        <f t="shared" si="83"/>
        <v>0.074022</v>
      </c>
      <c r="S94" s="25">
        <f t="shared" si="84"/>
        <v>0.160721142446618</v>
      </c>
      <c r="T94" s="3">
        <v>0.01</v>
      </c>
      <c r="U94" s="26">
        <f t="shared" si="85"/>
        <v>0.00160721142446618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0.0115572114244662</v>
      </c>
      <c r="AU94" s="29">
        <f t="shared" si="89"/>
        <v>28.47</v>
      </c>
      <c r="AV94" s="1">
        <f t="shared" si="90"/>
        <v>0.26</v>
      </c>
      <c r="AW94" s="2">
        <f t="shared" si="95"/>
        <v>0.189583333333333</v>
      </c>
      <c r="AX94" s="1">
        <f t="shared" si="91"/>
        <v>108.664786480521</v>
      </c>
      <c r="AZ94" s="2">
        <f t="shared" si="96"/>
        <v>0.0575</v>
      </c>
      <c r="BA94" s="1">
        <f t="shared" si="92"/>
        <v>32.9576715039822</v>
      </c>
    </row>
    <row r="95" s="1" customFormat="1" spans="1:53">
      <c r="A95" s="13"/>
      <c r="B95" s="13"/>
      <c r="C95" s="16">
        <v>5</v>
      </c>
      <c r="D95" s="43">
        <v>19.992658583871</v>
      </c>
      <c r="E95" s="20">
        <f t="shared" si="93"/>
        <v>16.726239055</v>
      </c>
      <c r="F95" s="16" t="s">
        <v>112</v>
      </c>
      <c r="G95" s="13">
        <v>6</v>
      </c>
      <c r="H95" s="18">
        <f t="shared" si="76"/>
        <v>19.992658583871</v>
      </c>
      <c r="I95" s="18">
        <f t="shared" si="77"/>
        <v>293.142658583871</v>
      </c>
      <c r="J95" s="18">
        <f t="shared" si="78"/>
        <v>0.198165614571641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0.574664626552878</v>
      </c>
      <c r="P95" s="18">
        <f t="shared" si="81"/>
        <v>0.113878768893434</v>
      </c>
      <c r="Q95" s="24">
        <f t="shared" si="82"/>
        <v>0.0296084799122927</v>
      </c>
      <c r="R95" s="18">
        <f t="shared" si="83"/>
        <v>0.074022</v>
      </c>
      <c r="S95" s="25">
        <f t="shared" si="84"/>
        <v>0.399995675776022</v>
      </c>
      <c r="T95" s="3">
        <v>0.01</v>
      </c>
      <c r="U95" s="26">
        <f t="shared" si="85"/>
        <v>0.00399995675776022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0.01</v>
      </c>
      <c r="AF95" s="3">
        <v>0.49</v>
      </c>
      <c r="AG95" s="26">
        <f t="shared" si="86"/>
        <v>0.0049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0.02</v>
      </c>
      <c r="AR95" s="3">
        <v>0.5</v>
      </c>
      <c r="AS95" s="3">
        <f t="shared" si="87"/>
        <v>0.01</v>
      </c>
      <c r="AT95" s="2">
        <f t="shared" si="88"/>
        <v>0.0188999567577602</v>
      </c>
      <c r="AU95" s="29">
        <f t="shared" si="89"/>
        <v>28.47</v>
      </c>
      <c r="AV95" s="1">
        <f t="shared" si="90"/>
        <v>0.26</v>
      </c>
      <c r="AW95" s="2">
        <f t="shared" si="95"/>
        <v>0.189583333333333</v>
      </c>
      <c r="AX95" s="1">
        <f t="shared" si="91"/>
        <v>177.703746184427</v>
      </c>
      <c r="AZ95" s="2">
        <f t="shared" si="96"/>
        <v>0.0575</v>
      </c>
      <c r="BA95" s="1">
        <f t="shared" si="92"/>
        <v>53.8969603812108</v>
      </c>
    </row>
    <row r="96" s="1" customFormat="1" spans="1:53">
      <c r="A96" s="13"/>
      <c r="B96" s="13"/>
      <c r="C96" s="16">
        <v>6</v>
      </c>
      <c r="D96" s="43">
        <v>24.2108653246667</v>
      </c>
      <c r="E96" s="20">
        <f t="shared" si="93"/>
        <v>19.992658583871</v>
      </c>
      <c r="F96" s="16" t="s">
        <v>110</v>
      </c>
      <c r="G96" s="13">
        <v>7</v>
      </c>
      <c r="H96" s="18">
        <f t="shared" si="76"/>
        <v>24.2108653246667</v>
      </c>
      <c r="I96" s="18">
        <f t="shared" si="77"/>
        <v>297.360865324667</v>
      </c>
      <c r="J96" s="18">
        <f t="shared" si="78"/>
        <v>0.317436103075288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0.745485857659444</v>
      </c>
      <c r="P96" s="18">
        <f t="shared" si="81"/>
        <v>0.236644125553153</v>
      </c>
      <c r="Q96" s="24">
        <f t="shared" si="82"/>
        <v>0.0615274726438197</v>
      </c>
      <c r="R96" s="18">
        <f t="shared" si="83"/>
        <v>0.074022</v>
      </c>
      <c r="S96" s="25">
        <f t="shared" si="84"/>
        <v>0.831205217959792</v>
      </c>
      <c r="T96" s="3">
        <v>0.01</v>
      </c>
      <c r="U96" s="26">
        <f t="shared" si="85"/>
        <v>0.00831205217959792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0.0232120521795979</v>
      </c>
      <c r="AU96" s="29">
        <f t="shared" si="89"/>
        <v>28.47</v>
      </c>
      <c r="AV96" s="1">
        <f t="shared" si="90"/>
        <v>0.26</v>
      </c>
      <c r="AW96" s="2">
        <f t="shared" si="95"/>
        <v>0.189583333333333</v>
      </c>
      <c r="AX96" s="1">
        <f t="shared" si="91"/>
        <v>218.247516743619</v>
      </c>
      <c r="AZ96" s="2">
        <f t="shared" si="96"/>
        <v>0.0575</v>
      </c>
      <c r="BA96" s="1">
        <f t="shared" si="92"/>
        <v>66.1937523310316</v>
      </c>
    </row>
    <row r="97" s="1" customFormat="1" spans="1:53">
      <c r="A97" s="13"/>
      <c r="B97" s="13"/>
      <c r="C97" s="16">
        <v>7</v>
      </c>
      <c r="D97" s="43">
        <v>28.3168877503226</v>
      </c>
      <c r="E97" s="20">
        <f t="shared" si="93"/>
        <v>24.2108653246667</v>
      </c>
      <c r="F97" s="16" t="s">
        <v>110</v>
      </c>
      <c r="G97" s="13">
        <v>8</v>
      </c>
      <c r="H97" s="18">
        <f t="shared" si="76"/>
        <v>28.3168877503226</v>
      </c>
      <c r="I97" s="18">
        <f t="shared" si="77"/>
        <v>301.466887750323</v>
      </c>
      <c r="J97" s="18">
        <f t="shared" si="78"/>
        <v>0.49584073202728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0.793541732106291</v>
      </c>
      <c r="P97" s="18">
        <f t="shared" si="81"/>
        <v>0.393470313341779</v>
      </c>
      <c r="Q97" s="24">
        <f t="shared" si="82"/>
        <v>0.102302281468863</v>
      </c>
      <c r="R97" s="18">
        <f t="shared" si="83"/>
        <v>0.074022</v>
      </c>
      <c r="S97" s="25">
        <f t="shared" si="84"/>
        <v>1.38205238265465</v>
      </c>
      <c r="T97" s="3">
        <v>0.01</v>
      </c>
      <c r="U97" s="26">
        <f t="shared" si="85"/>
        <v>0.0138205238265465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0.0287205238265465</v>
      </c>
      <c r="AU97" s="29">
        <f t="shared" si="89"/>
        <v>28.47</v>
      </c>
      <c r="AV97" s="1">
        <f t="shared" si="90"/>
        <v>0.26</v>
      </c>
      <c r="AW97" s="2">
        <f t="shared" si="95"/>
        <v>0.189583333333333</v>
      </c>
      <c r="AX97" s="1">
        <f t="shared" si="91"/>
        <v>270.040018703262</v>
      </c>
      <c r="AZ97" s="2">
        <f t="shared" si="96"/>
        <v>0.0575</v>
      </c>
      <c r="BA97" s="1">
        <f t="shared" si="92"/>
        <v>81.9022474308793</v>
      </c>
    </row>
    <row r="98" s="1" customFormat="1" spans="1:53">
      <c r="A98" s="13"/>
      <c r="B98" s="13"/>
      <c r="C98" s="16">
        <v>8</v>
      </c>
      <c r="D98" s="43">
        <v>28.2588911316129</v>
      </c>
      <c r="E98" s="20">
        <f t="shared" si="93"/>
        <v>28.3168877503226</v>
      </c>
      <c r="F98" s="16" t="s">
        <v>110</v>
      </c>
      <c r="G98" s="13">
        <v>9</v>
      </c>
      <c r="H98" s="18">
        <f t="shared" si="76"/>
        <v>28.2588911316129</v>
      </c>
      <c r="I98" s="18">
        <f t="shared" si="77"/>
        <v>301.408891131613</v>
      </c>
      <c r="J98" s="18">
        <f t="shared" si="78"/>
        <v>0.492768767842301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0.684771418764512</v>
      </c>
      <c r="P98" s="18">
        <f t="shared" si="81"/>
        <v>0.337433968278213</v>
      </c>
      <c r="Q98" s="24">
        <f t="shared" si="82"/>
        <v>0.0877328317523354</v>
      </c>
      <c r="R98" s="18">
        <f t="shared" si="83"/>
        <v>0.074022</v>
      </c>
      <c r="S98" s="25">
        <f t="shared" si="84"/>
        <v>1.18522644284585</v>
      </c>
      <c r="T98" s="3">
        <v>0.01</v>
      </c>
      <c r="U98" s="26">
        <f t="shared" si="85"/>
        <v>0.0118522644284585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0.0218022644284585</v>
      </c>
      <c r="AU98" s="29">
        <f t="shared" si="89"/>
        <v>28.47</v>
      </c>
      <c r="AV98" s="1">
        <f t="shared" si="90"/>
        <v>0.26</v>
      </c>
      <c r="AW98" s="2">
        <f t="shared" si="95"/>
        <v>0.189583333333333</v>
      </c>
      <c r="AX98" s="1">
        <f t="shared" si="91"/>
        <v>204.992218442498</v>
      </c>
      <c r="AZ98" s="2">
        <f t="shared" si="96"/>
        <v>0.0575</v>
      </c>
      <c r="BA98" s="1">
        <f t="shared" si="92"/>
        <v>62.1734640550872</v>
      </c>
    </row>
    <row r="99" s="1" customFormat="1" spans="1:53">
      <c r="A99" s="13"/>
      <c r="B99" s="13"/>
      <c r="C99" s="16">
        <v>9</v>
      </c>
      <c r="D99" s="43">
        <v>23.6463735733333</v>
      </c>
      <c r="E99" s="20">
        <f t="shared" si="93"/>
        <v>28.2588911316129</v>
      </c>
      <c r="F99" s="16" t="s">
        <v>110</v>
      </c>
      <c r="G99" s="13">
        <v>10</v>
      </c>
      <c r="H99" s="18">
        <f t="shared" si="76"/>
        <v>23.6463735733333</v>
      </c>
      <c r="I99" s="18">
        <f t="shared" si="77"/>
        <v>296.796373573333</v>
      </c>
      <c r="J99" s="18">
        <f t="shared" si="78"/>
        <v>0.298269988412311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0.632037450486299</v>
      </c>
      <c r="P99" s="18">
        <f t="shared" si="81"/>
        <v>0.188517803032695</v>
      </c>
      <c r="Q99" s="24">
        <f t="shared" si="82"/>
        <v>0.0490146287885007</v>
      </c>
      <c r="R99" s="18">
        <f t="shared" si="83"/>
        <v>0.074022</v>
      </c>
      <c r="S99" s="25">
        <f t="shared" si="84"/>
        <v>0.662162989226186</v>
      </c>
      <c r="T99" s="3">
        <v>0.01</v>
      </c>
      <c r="U99" s="26">
        <f t="shared" si="85"/>
        <v>0.00662162989226186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0.0165716298922619</v>
      </c>
      <c r="AU99" s="29">
        <f t="shared" si="89"/>
        <v>28.47</v>
      </c>
      <c r="AV99" s="1">
        <f t="shared" si="90"/>
        <v>0.26</v>
      </c>
      <c r="AW99" s="2">
        <f t="shared" si="95"/>
        <v>0.189583333333333</v>
      </c>
      <c r="AX99" s="1">
        <f t="shared" si="91"/>
        <v>155.812034386144</v>
      </c>
      <c r="AZ99" s="2">
        <f t="shared" si="96"/>
        <v>0.0575</v>
      </c>
      <c r="BA99" s="1">
        <f t="shared" si="92"/>
        <v>47.2572763632699</v>
      </c>
    </row>
    <row r="100" s="1" customFormat="1" spans="1:53">
      <c r="A100" s="13"/>
      <c r="B100" s="13"/>
      <c r="C100" s="16">
        <v>10</v>
      </c>
      <c r="D100" s="43">
        <v>17.8431426229032</v>
      </c>
      <c r="E100" s="20">
        <f t="shared" si="93"/>
        <v>23.6463735733333</v>
      </c>
      <c r="F100" s="16" t="s">
        <v>110</v>
      </c>
      <c r="G100" s="13">
        <v>11</v>
      </c>
      <c r="H100" s="18">
        <f t="shared" si="76"/>
        <v>17.8431426229032</v>
      </c>
      <c r="I100" s="18">
        <f t="shared" si="77"/>
        <v>290.993142622903</v>
      </c>
      <c r="J100" s="18">
        <f t="shared" si="78"/>
        <v>0.15505009528388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0.421343665080924</v>
      </c>
      <c r="O100" s="18">
        <f t="shared" si="94"/>
        <v>0.30687598237268</v>
      </c>
      <c r="P100" s="18">
        <f t="shared" si="81"/>
        <v>0.0475811503072184</v>
      </c>
      <c r="Q100" s="24">
        <f t="shared" si="82"/>
        <v>0.0123710990798768</v>
      </c>
      <c r="R100" s="18">
        <f t="shared" si="83"/>
        <v>0.074022</v>
      </c>
      <c r="S100" s="25">
        <f t="shared" si="84"/>
        <v>0.167127328089984</v>
      </c>
      <c r="T100" s="3">
        <v>0.01</v>
      </c>
      <c r="U100" s="26">
        <f t="shared" si="85"/>
        <v>0.00167127328089984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0.00716127328089984</v>
      </c>
      <c r="AU100" s="29">
        <f t="shared" si="89"/>
        <v>28.47</v>
      </c>
      <c r="AV100" s="1">
        <f t="shared" si="90"/>
        <v>0.26</v>
      </c>
      <c r="AW100" s="2">
        <f t="shared" si="95"/>
        <v>0.189583333333333</v>
      </c>
      <c r="AX100" s="1">
        <f t="shared" si="91"/>
        <v>67.3326984700018</v>
      </c>
      <c r="AZ100" s="2">
        <f t="shared" si="96"/>
        <v>0.0575</v>
      </c>
      <c r="BA100" s="1">
        <f t="shared" si="92"/>
        <v>20.4217854700225</v>
      </c>
    </row>
    <row r="101" s="1" customFormat="1" spans="1:54">
      <c r="A101" s="13"/>
      <c r="B101" s="13"/>
      <c r="C101" s="16">
        <v>11</v>
      </c>
      <c r="D101" s="43">
        <v>10.6170263198333</v>
      </c>
      <c r="E101" s="20">
        <f t="shared" si="93"/>
        <v>17.8431426229032</v>
      </c>
      <c r="F101" s="16" t="s">
        <v>112</v>
      </c>
      <c r="G101" s="13">
        <v>12</v>
      </c>
      <c r="H101" s="18">
        <f t="shared" si="76"/>
        <v>10.6170263198333</v>
      </c>
      <c r="I101" s="18">
        <f t="shared" si="77"/>
        <v>283.767026319833</v>
      </c>
      <c r="J101" s="18">
        <f t="shared" si="78"/>
        <v>0.0661335896925688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0.543994832065462</v>
      </c>
      <c r="P101" s="18">
        <f t="shared" si="81"/>
        <v>0.0359763310186951</v>
      </c>
      <c r="Q101" s="24">
        <f t="shared" si="82"/>
        <v>0.00935384606486073</v>
      </c>
      <c r="R101" s="18">
        <f t="shared" si="83"/>
        <v>0.074022</v>
      </c>
      <c r="S101" s="25">
        <f t="shared" si="84"/>
        <v>0.126365757002793</v>
      </c>
      <c r="T101" s="3">
        <v>0.01</v>
      </c>
      <c r="U101" s="26">
        <f t="shared" si="85"/>
        <v>0.00126365757002793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0.00675365757002793</v>
      </c>
      <c r="AU101" s="29">
        <f t="shared" si="89"/>
        <v>28.47</v>
      </c>
      <c r="AV101" s="1">
        <f t="shared" si="90"/>
        <v>0.26</v>
      </c>
      <c r="AW101" s="2">
        <f t="shared" si="95"/>
        <v>0.189583333333333</v>
      </c>
      <c r="AX101" s="1">
        <f t="shared" si="91"/>
        <v>63.5001585465533</v>
      </c>
      <c r="AY101" s="1">
        <f>SUM(AX90:AX101)</f>
        <v>1511.85778642597</v>
      </c>
      <c r="AZ101" s="2">
        <f t="shared" si="96"/>
        <v>0.0575</v>
      </c>
      <c r="BA101" s="1">
        <f t="shared" si="92"/>
        <v>19.2593887459876</v>
      </c>
      <c r="BB101" s="1">
        <f>SUM(BA90:BA101)</f>
        <v>458.541482476447</v>
      </c>
    </row>
    <row r="102" s="1" customFormat="1" spans="1:46">
      <c r="A102" s="13"/>
      <c r="B102" s="13"/>
      <c r="C102" s="16">
        <v>12</v>
      </c>
      <c r="D102" s="43">
        <v>6.13643917680645</v>
      </c>
      <c r="E102" s="20">
        <f t="shared" si="93"/>
        <v>10.6170263198333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selection activeCell="AR19" sqref="AR1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24.02</v>
      </c>
      <c r="F2" s="3">
        <v>1166.832</v>
      </c>
      <c r="G2" s="7">
        <f>(F2+F3+F4)/3</f>
        <v>1338.18733333333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249.64997260274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1260.43415135735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1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(AV38+AV53+AY69+AY85+AY101+BB101+AG69)</f>
        <v>36680200.4420258</v>
      </c>
      <c r="J14" s="14" t="s">
        <v>35</v>
      </c>
      <c r="K14" s="14">
        <f>I14/(10000*1000)</f>
        <v>3.66802004420258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38">
        <v>26508636.4296586</v>
      </c>
      <c r="J15" s="14" t="s">
        <v>35</v>
      </c>
      <c r="K15" s="14">
        <f>I15/(10000*1000)</f>
        <v>2.65086364296586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7</v>
      </c>
      <c r="E27" s="16"/>
      <c r="F27" s="16"/>
      <c r="G27" s="13">
        <v>1</v>
      </c>
      <c r="H27" s="18">
        <f t="shared" ref="H27:H38" si="0">E28</f>
        <v>7</v>
      </c>
      <c r="I27" s="18">
        <f t="shared" ref="I27:I38" si="1">H27+273.15</f>
        <v>280.15</v>
      </c>
      <c r="J27" s="18">
        <f t="shared" ref="J27:J38" si="2">EXP(($C$16*(I27-$C$14))/($C$17*I27*$C$14))</f>
        <v>0.0424643715341541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0.0473544034208047</v>
      </c>
      <c r="Q27" s="24">
        <f t="shared" ref="Q27:Q38" si="6">P27*$B$29</f>
        <v>0.00568252841049656</v>
      </c>
      <c r="R27" s="18">
        <f t="shared" ref="R27:R38" si="7">L27*$B$29</f>
        <v>0.133818733333333</v>
      </c>
      <c r="S27" s="25">
        <f t="shared" ref="S27:S38" si="8">Q27/R27</f>
        <v>0.0424643715341541</v>
      </c>
      <c r="T27" s="3">
        <v>0.01</v>
      </c>
      <c r="U27" s="26">
        <f t="shared" ref="U27:U38" si="9">S27*T27</f>
        <v>0.000424643715341541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0.0223246437153415</v>
      </c>
      <c r="AR27" s="29">
        <f t="shared" ref="AR27:AR38" si="15">$B$27/12</f>
        <v>111.515611111111</v>
      </c>
      <c r="AS27" s="1">
        <f t="shared" ref="AS27:AS38" si="16">$B$29</f>
        <v>0.12</v>
      </c>
      <c r="AT27" s="2">
        <f>$E$2/12</f>
        <v>2.00166666666667</v>
      </c>
      <c r="AU27" s="1">
        <f t="shared" ref="AU27:AU38" si="17">AT27*10000*AS27*0.67*AR27*AQ27</f>
        <v>4006.5264211249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5.51873431574194</v>
      </c>
      <c r="E28" s="20">
        <f t="shared" ref="E28:E39" si="18">D27</f>
        <v>7</v>
      </c>
      <c r="F28" s="16" t="s">
        <v>110</v>
      </c>
      <c r="G28" s="13">
        <v>2</v>
      </c>
      <c r="H28" s="18">
        <f t="shared" si="0"/>
        <v>5.51873431574194</v>
      </c>
      <c r="I28" s="18">
        <f t="shared" si="1"/>
        <v>278.668734315742</v>
      </c>
      <c r="J28" s="18">
        <f t="shared" si="2"/>
        <v>0.0353013644123957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2.18295781880142</v>
      </c>
      <c r="P28" s="18">
        <f t="shared" si="5"/>
        <v>0.0770613894583973</v>
      </c>
      <c r="Q28" s="24">
        <f t="shared" si="6"/>
        <v>0.00924736673500768</v>
      </c>
      <c r="R28" s="18">
        <f t="shared" si="7"/>
        <v>0.133818733333333</v>
      </c>
      <c r="S28" s="25">
        <f t="shared" si="8"/>
        <v>0.0691036785707209</v>
      </c>
      <c r="T28" s="3">
        <v>0.01</v>
      </c>
      <c r="U28" s="26">
        <f t="shared" si="9"/>
        <v>0.000691036785707209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0.0225910367857072</v>
      </c>
      <c r="AR28" s="29">
        <f t="shared" si="15"/>
        <v>111.515611111111</v>
      </c>
      <c r="AS28" s="1">
        <f t="shared" si="16"/>
        <v>0.12</v>
      </c>
      <c r="AT28" s="2">
        <f t="shared" ref="AT28:AT38" si="20">$E$2/12</f>
        <v>2.00166666666667</v>
      </c>
      <c r="AU28" s="1">
        <f t="shared" si="17"/>
        <v>4054.33506203464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7.61869443693103</v>
      </c>
      <c r="E29" s="20">
        <f t="shared" si="18"/>
        <v>5.51873431574194</v>
      </c>
      <c r="F29" s="16" t="s">
        <v>110</v>
      </c>
      <c r="G29" s="13">
        <v>3</v>
      </c>
      <c r="H29" s="18">
        <f t="shared" si="0"/>
        <v>7.61869443693103</v>
      </c>
      <c r="I29" s="18">
        <f t="shared" si="1"/>
        <v>280.768694436931</v>
      </c>
      <c r="J29" s="18">
        <f t="shared" si="2"/>
        <v>0.0458443510322961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3.22105254045413</v>
      </c>
      <c r="P29" s="18">
        <f t="shared" si="5"/>
        <v>0.147667063358048</v>
      </c>
      <c r="Q29" s="24">
        <f t="shared" si="6"/>
        <v>0.0177200476029658</v>
      </c>
      <c r="R29" s="18">
        <f t="shared" si="7"/>
        <v>0.133818733333333</v>
      </c>
      <c r="S29" s="25">
        <f t="shared" si="8"/>
        <v>0.132418288243892</v>
      </c>
      <c r="T29" s="3">
        <v>0.01</v>
      </c>
      <c r="U29" s="26">
        <f t="shared" si="9"/>
        <v>0.00132418288243892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0.0232241828824389</v>
      </c>
      <c r="AR29" s="29">
        <f t="shared" si="15"/>
        <v>111.515611111111</v>
      </c>
      <c r="AS29" s="1">
        <f t="shared" si="16"/>
        <v>0.12</v>
      </c>
      <c r="AT29" s="2">
        <f t="shared" si="20"/>
        <v>2.00166666666667</v>
      </c>
      <c r="AU29" s="1">
        <f t="shared" si="17"/>
        <v>4167.96359726831</v>
      </c>
    </row>
    <row r="30" s="1" customFormat="1" spans="1:47">
      <c r="A30" s="13"/>
      <c r="B30" s="13"/>
      <c r="C30" s="16">
        <v>3</v>
      </c>
      <c r="D30" s="19">
        <v>11.6382234590645</v>
      </c>
      <c r="E30" s="20">
        <f t="shared" si="18"/>
        <v>7.61869443693103</v>
      </c>
      <c r="F30" s="16" t="s">
        <v>110</v>
      </c>
      <c r="G30" s="13">
        <v>4</v>
      </c>
      <c r="H30" s="18">
        <f t="shared" si="0"/>
        <v>11.6382234590645</v>
      </c>
      <c r="I30" s="18">
        <f t="shared" si="1"/>
        <v>284.788223459064</v>
      </c>
      <c r="J30" s="18">
        <f t="shared" si="2"/>
        <v>0.0747923335875189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4.1885415882072</v>
      </c>
      <c r="P30" s="18">
        <f t="shared" si="5"/>
        <v>0.313270799710389</v>
      </c>
      <c r="Q30" s="24">
        <f t="shared" si="6"/>
        <v>0.0375924959652467</v>
      </c>
      <c r="R30" s="18">
        <f t="shared" si="7"/>
        <v>0.133818733333333</v>
      </c>
      <c r="S30" s="25">
        <f t="shared" si="8"/>
        <v>0.280921026741497</v>
      </c>
      <c r="T30" s="3">
        <v>0.01</v>
      </c>
      <c r="U30" s="26">
        <f t="shared" si="9"/>
        <v>0.00280921026741497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0.032259210267415</v>
      </c>
      <c r="AR30" s="29">
        <f t="shared" si="15"/>
        <v>111.515611111111</v>
      </c>
      <c r="AS30" s="1">
        <f t="shared" si="16"/>
        <v>0.12</v>
      </c>
      <c r="AT30" s="2">
        <f t="shared" si="20"/>
        <v>2.00166666666667</v>
      </c>
      <c r="AU30" s="1">
        <f t="shared" si="17"/>
        <v>5789.44864290053</v>
      </c>
    </row>
    <row r="31" s="1" customFormat="1" spans="1:47">
      <c r="A31" s="13"/>
      <c r="B31" s="13"/>
      <c r="C31" s="16">
        <v>4</v>
      </c>
      <c r="D31" s="19">
        <v>17.5330488863333</v>
      </c>
      <c r="E31" s="20">
        <f t="shared" si="18"/>
        <v>11.6382234590645</v>
      </c>
      <c r="F31" s="16" t="s">
        <v>110</v>
      </c>
      <c r="G31" s="13">
        <v>5</v>
      </c>
      <c r="H31" s="18">
        <f t="shared" si="0"/>
        <v>17.5330488863333</v>
      </c>
      <c r="I31" s="18">
        <f t="shared" si="1"/>
        <v>290.683048886333</v>
      </c>
      <c r="J31" s="18">
        <f t="shared" si="2"/>
        <v>0.149613207876862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3.68150724907197</v>
      </c>
      <c r="O31" s="18">
        <f t="shared" si="19"/>
        <v>1.30891965053595</v>
      </c>
      <c r="P31" s="18">
        <f t="shared" si="5"/>
        <v>0.195831667769745</v>
      </c>
      <c r="Q31" s="24">
        <f t="shared" si="6"/>
        <v>0.0234998001323694</v>
      </c>
      <c r="R31" s="18">
        <f t="shared" si="7"/>
        <v>0.133818733333333</v>
      </c>
      <c r="S31" s="25">
        <f t="shared" si="8"/>
        <v>0.175609195715767</v>
      </c>
      <c r="T31" s="3">
        <v>0.01</v>
      </c>
      <c r="U31" s="26">
        <f t="shared" si="9"/>
        <v>0.00175609195715767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0.0312060919571577</v>
      </c>
      <c r="AR31" s="29">
        <f t="shared" si="15"/>
        <v>111.515611111111</v>
      </c>
      <c r="AS31" s="1">
        <f t="shared" si="16"/>
        <v>0.12</v>
      </c>
      <c r="AT31" s="2">
        <f t="shared" si="20"/>
        <v>2.00166666666667</v>
      </c>
      <c r="AU31" s="1">
        <f t="shared" si="17"/>
        <v>5600.44915030317</v>
      </c>
    </row>
    <row r="32" s="1" customFormat="1" spans="1:47">
      <c r="A32" s="13"/>
      <c r="B32" s="13"/>
      <c r="C32" s="16">
        <v>5</v>
      </c>
      <c r="D32" s="19">
        <v>21.4172552616129</v>
      </c>
      <c r="E32" s="20">
        <f t="shared" si="18"/>
        <v>17.5330488863333</v>
      </c>
      <c r="F32" s="16" t="s">
        <v>112</v>
      </c>
      <c r="G32" s="13">
        <v>6</v>
      </c>
      <c r="H32" s="18">
        <f t="shared" si="0"/>
        <v>21.4172552616129</v>
      </c>
      <c r="I32" s="18">
        <f t="shared" si="1"/>
        <v>294.567255261613</v>
      </c>
      <c r="J32" s="18">
        <f t="shared" si="2"/>
        <v>0.232697565112625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2.22824409387732</v>
      </c>
      <c r="P32" s="18">
        <f t="shared" si="5"/>
        <v>0.518506975121839</v>
      </c>
      <c r="Q32" s="24">
        <f t="shared" si="6"/>
        <v>0.0622208370146207</v>
      </c>
      <c r="R32" s="18">
        <f t="shared" si="7"/>
        <v>0.133818733333333</v>
      </c>
      <c r="S32" s="25">
        <f t="shared" si="8"/>
        <v>0.46496357770502</v>
      </c>
      <c r="T32" s="3">
        <v>0.01</v>
      </c>
      <c r="U32" s="26">
        <f t="shared" si="9"/>
        <v>0.0046496357770502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0.0340996357770502</v>
      </c>
      <c r="AR32" s="29">
        <f t="shared" si="15"/>
        <v>111.515611111111</v>
      </c>
      <c r="AS32" s="1">
        <f t="shared" si="16"/>
        <v>0.12</v>
      </c>
      <c r="AT32" s="2">
        <f t="shared" si="20"/>
        <v>2.00166666666667</v>
      </c>
      <c r="AU32" s="1">
        <f t="shared" si="17"/>
        <v>6119.74342943719</v>
      </c>
    </row>
    <row r="33" s="1" customFormat="1" spans="1:47">
      <c r="A33" s="13"/>
      <c r="B33" s="13"/>
      <c r="C33" s="16">
        <v>6</v>
      </c>
      <c r="D33" s="19">
        <v>24.9026563486667</v>
      </c>
      <c r="E33" s="20">
        <f t="shared" si="18"/>
        <v>21.4172552616129</v>
      </c>
      <c r="F33" s="16" t="s">
        <v>110</v>
      </c>
      <c r="G33" s="13">
        <v>7</v>
      </c>
      <c r="H33" s="18">
        <f t="shared" si="0"/>
        <v>24.9026563486667</v>
      </c>
      <c r="I33" s="18">
        <f t="shared" si="1"/>
        <v>298.052656348667</v>
      </c>
      <c r="J33" s="18">
        <f t="shared" si="2"/>
        <v>0.342501692067074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2.82489322986659</v>
      </c>
      <c r="P33" s="18">
        <f t="shared" si="5"/>
        <v>0.967530711138129</v>
      </c>
      <c r="Q33" s="24">
        <f t="shared" si="6"/>
        <v>0.116103685336575</v>
      </c>
      <c r="R33" s="18">
        <f t="shared" si="7"/>
        <v>0.133818733333333</v>
      </c>
      <c r="S33" s="25">
        <f t="shared" si="8"/>
        <v>0.867619072789824</v>
      </c>
      <c r="T33" s="3">
        <v>0.01</v>
      </c>
      <c r="U33" s="26">
        <f t="shared" si="9"/>
        <v>0.00867619072789824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0.0435761907278982</v>
      </c>
      <c r="AR33" s="29">
        <f t="shared" si="15"/>
        <v>111.515611111111</v>
      </c>
      <c r="AS33" s="1">
        <f t="shared" si="16"/>
        <v>0.12</v>
      </c>
      <c r="AT33" s="2">
        <f t="shared" si="20"/>
        <v>2.00166666666667</v>
      </c>
      <c r="AU33" s="1">
        <f t="shared" si="17"/>
        <v>7820.46789679892</v>
      </c>
    </row>
    <row r="34" s="1" customFormat="1" spans="1:47">
      <c r="A34" s="13"/>
      <c r="B34" s="13"/>
      <c r="C34" s="16">
        <v>7</v>
      </c>
      <c r="D34" s="19">
        <v>29.1195678941935</v>
      </c>
      <c r="E34" s="20">
        <f t="shared" si="18"/>
        <v>24.9026563486667</v>
      </c>
      <c r="F34" s="16" t="s">
        <v>110</v>
      </c>
      <c r="G34" s="13">
        <v>8</v>
      </c>
      <c r="H34" s="18">
        <f t="shared" si="0"/>
        <v>29.1195678941935</v>
      </c>
      <c r="I34" s="18">
        <f t="shared" si="1"/>
        <v>302.269567894193</v>
      </c>
      <c r="J34" s="18">
        <f t="shared" si="2"/>
        <v>0.540244905119096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2.97251862983957</v>
      </c>
      <c r="P34" s="18">
        <f t="shared" si="5"/>
        <v>1.60588804514242</v>
      </c>
      <c r="Q34" s="24">
        <f t="shared" si="6"/>
        <v>0.192706565417091</v>
      </c>
      <c r="R34" s="18">
        <f t="shared" si="7"/>
        <v>0.133818733333333</v>
      </c>
      <c r="S34" s="25">
        <f t="shared" si="8"/>
        <v>1.44005671416028</v>
      </c>
      <c r="T34" s="3">
        <v>0.01</v>
      </c>
      <c r="U34" s="26">
        <f t="shared" si="9"/>
        <v>0.0144005671416028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0.0493005671416028</v>
      </c>
      <c r="AR34" s="29">
        <f t="shared" si="15"/>
        <v>111.515611111111</v>
      </c>
      <c r="AS34" s="1">
        <f t="shared" si="16"/>
        <v>0.12</v>
      </c>
      <c r="AT34" s="2">
        <f t="shared" si="20"/>
        <v>2.00166666666667</v>
      </c>
      <c r="AU34" s="1">
        <f t="shared" si="17"/>
        <v>8847.8018887054</v>
      </c>
    </row>
    <row r="35" s="1" customFormat="1" spans="1:47">
      <c r="A35" s="13"/>
      <c r="B35" s="13"/>
      <c r="C35" s="16">
        <v>8</v>
      </c>
      <c r="D35" s="19">
        <v>28.7876716032258</v>
      </c>
      <c r="E35" s="20">
        <f t="shared" si="18"/>
        <v>29.1195678941935</v>
      </c>
      <c r="F35" s="16" t="s">
        <v>110</v>
      </c>
      <c r="G35" s="13">
        <v>9</v>
      </c>
      <c r="H35" s="18">
        <f t="shared" si="0"/>
        <v>28.7876716032258</v>
      </c>
      <c r="I35" s="18">
        <f t="shared" si="1"/>
        <v>301.937671603226</v>
      </c>
      <c r="J35" s="18">
        <f t="shared" si="2"/>
        <v>0.521450396952251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2.48178669580826</v>
      </c>
      <c r="P35" s="18">
        <f t="shared" si="5"/>
        <v>1.29412865768003</v>
      </c>
      <c r="Q35" s="24">
        <f t="shared" si="6"/>
        <v>0.155295438921604</v>
      </c>
      <c r="R35" s="18">
        <f t="shared" si="7"/>
        <v>0.133818733333333</v>
      </c>
      <c r="S35" s="25">
        <f t="shared" si="8"/>
        <v>1.16049102433793</v>
      </c>
      <c r="T35" s="3">
        <v>0.01</v>
      </c>
      <c r="U35" s="26">
        <f t="shared" si="9"/>
        <v>0.0116049102433793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0.0410549102433793</v>
      </c>
      <c r="AR35" s="29">
        <f t="shared" si="15"/>
        <v>111.515611111111</v>
      </c>
      <c r="AS35" s="1">
        <f t="shared" si="16"/>
        <v>0.12</v>
      </c>
      <c r="AT35" s="2">
        <f t="shared" si="20"/>
        <v>2.00166666666667</v>
      </c>
      <c r="AU35" s="1">
        <f t="shared" si="17"/>
        <v>7367.98242804539</v>
      </c>
    </row>
    <row r="36" s="1" customFormat="1" spans="1:47">
      <c r="A36" s="13"/>
      <c r="B36" s="13"/>
      <c r="C36" s="16">
        <v>9</v>
      </c>
      <c r="D36" s="19">
        <v>24.1222472753333</v>
      </c>
      <c r="E36" s="20">
        <f t="shared" si="18"/>
        <v>28.7876716032258</v>
      </c>
      <c r="F36" s="16" t="s">
        <v>110</v>
      </c>
      <c r="G36" s="13">
        <v>10</v>
      </c>
      <c r="H36" s="18">
        <f t="shared" si="0"/>
        <v>24.1222472753333</v>
      </c>
      <c r="I36" s="18">
        <f t="shared" si="1"/>
        <v>297.272247275333</v>
      </c>
      <c r="J36" s="18">
        <f t="shared" si="2"/>
        <v>0.314352643815034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2.30281414923934</v>
      </c>
      <c r="P36" s="18">
        <f t="shared" si="5"/>
        <v>0.723895716028054</v>
      </c>
      <c r="Q36" s="24">
        <f t="shared" si="6"/>
        <v>0.0868674859233665</v>
      </c>
      <c r="R36" s="18">
        <f t="shared" si="7"/>
        <v>0.133818733333333</v>
      </c>
      <c r="S36" s="25">
        <f t="shared" si="8"/>
        <v>0.649142939553803</v>
      </c>
      <c r="T36" s="3">
        <v>0.01</v>
      </c>
      <c r="U36" s="26">
        <f t="shared" si="9"/>
        <v>0.00649142939553803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0.035941429395538</v>
      </c>
      <c r="AR36" s="29">
        <f t="shared" si="15"/>
        <v>111.515611111111</v>
      </c>
      <c r="AS36" s="1">
        <f t="shared" si="16"/>
        <v>0.12</v>
      </c>
      <c r="AT36" s="2">
        <f t="shared" si="20"/>
        <v>2.00166666666667</v>
      </c>
      <c r="AU36" s="1">
        <f t="shared" si="17"/>
        <v>6450.2837457272</v>
      </c>
    </row>
    <row r="37" s="1" customFormat="1" spans="1:47">
      <c r="A37" s="13"/>
      <c r="B37" s="13"/>
      <c r="C37" s="16">
        <v>10</v>
      </c>
      <c r="D37" s="19">
        <v>20.6886343251613</v>
      </c>
      <c r="E37" s="20">
        <f t="shared" si="18"/>
        <v>24.1222472753333</v>
      </c>
      <c r="F37" s="16" t="s">
        <v>110</v>
      </c>
      <c r="G37" s="13">
        <v>11</v>
      </c>
      <c r="H37" s="18">
        <f t="shared" si="0"/>
        <v>20.6886343251613</v>
      </c>
      <c r="I37" s="18">
        <f t="shared" si="1"/>
        <v>293.838634325161</v>
      </c>
      <c r="J37" s="18">
        <f t="shared" si="2"/>
        <v>0.214385422868799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1.49997251155072</v>
      </c>
      <c r="O37" s="18">
        <f t="shared" si="19"/>
        <v>1.19410203277168</v>
      </c>
      <c r="P37" s="18">
        <f t="shared" si="5"/>
        <v>0.255998069244248</v>
      </c>
      <c r="Q37" s="24">
        <f t="shared" si="6"/>
        <v>0.0307197683093098</v>
      </c>
      <c r="R37" s="18">
        <f t="shared" si="7"/>
        <v>0.133818733333333</v>
      </c>
      <c r="S37" s="25">
        <f t="shared" si="8"/>
        <v>0.229562539893342</v>
      </c>
      <c r="T37" s="3">
        <v>0.01</v>
      </c>
      <c r="U37" s="26">
        <f t="shared" si="9"/>
        <v>0.00229562539893342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0.0241956253989334</v>
      </c>
      <c r="AR37" s="29">
        <f t="shared" si="15"/>
        <v>111.515611111111</v>
      </c>
      <c r="AS37" s="1">
        <f t="shared" si="16"/>
        <v>0.12</v>
      </c>
      <c r="AT37" s="2">
        <f t="shared" si="20"/>
        <v>2.00166666666667</v>
      </c>
      <c r="AU37" s="1">
        <f t="shared" si="17"/>
        <v>4342.3050182812</v>
      </c>
    </row>
    <row r="38" s="1" customFormat="1" spans="1:48">
      <c r="A38" s="13"/>
      <c r="B38" s="13"/>
      <c r="C38" s="16">
        <v>11</v>
      </c>
      <c r="D38" s="19">
        <v>13.4512099112</v>
      </c>
      <c r="E38" s="20">
        <f t="shared" si="18"/>
        <v>20.6886343251613</v>
      </c>
      <c r="F38" s="16" t="s">
        <v>112</v>
      </c>
      <c r="G38" s="13">
        <v>12</v>
      </c>
      <c r="H38" s="18">
        <f t="shared" si="0"/>
        <v>13.4512099112</v>
      </c>
      <c r="I38" s="18">
        <f t="shared" si="1"/>
        <v>286.6012099112</v>
      </c>
      <c r="J38" s="18">
        <f t="shared" si="2"/>
        <v>0.0928506564710541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2.05326007463854</v>
      </c>
      <c r="P38" s="18">
        <f t="shared" si="5"/>
        <v>0.190646545835994</v>
      </c>
      <c r="Q38" s="24">
        <f t="shared" si="6"/>
        <v>0.0228775855003193</v>
      </c>
      <c r="R38" s="18">
        <f t="shared" si="7"/>
        <v>0.133818733333333</v>
      </c>
      <c r="S38" s="25">
        <f t="shared" si="8"/>
        <v>0.170959513144791</v>
      </c>
      <c r="T38" s="3">
        <v>0.01</v>
      </c>
      <c r="U38" s="26">
        <f t="shared" si="9"/>
        <v>0.00170959513144791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0.0236095951314479</v>
      </c>
      <c r="AR38" s="29">
        <f t="shared" si="15"/>
        <v>111.515611111111</v>
      </c>
      <c r="AS38" s="1">
        <f t="shared" si="16"/>
        <v>0.12</v>
      </c>
      <c r="AT38" s="2">
        <f t="shared" si="20"/>
        <v>2.00166666666667</v>
      </c>
      <c r="AU38" s="1">
        <f t="shared" si="17"/>
        <v>4237.13219759936</v>
      </c>
      <c r="AV38" s="1">
        <f>SUM(AU27:AU38)</f>
        <v>68804.4394782262</v>
      </c>
    </row>
    <row r="39" s="1" customFormat="1" spans="1:46">
      <c r="A39" s="13"/>
      <c r="B39" s="13"/>
      <c r="C39" s="16">
        <v>12</v>
      </c>
      <c r="D39" s="19">
        <v>9.50897475548387</v>
      </c>
      <c r="E39" s="20">
        <f t="shared" si="18"/>
        <v>13.4512099112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7</v>
      </c>
      <c r="E42" s="16"/>
      <c r="F42" s="16"/>
      <c r="G42" s="13">
        <v>1</v>
      </c>
      <c r="H42" s="18">
        <f t="shared" ref="H42:H53" si="21">E43</f>
        <v>7</v>
      </c>
      <c r="I42" s="18">
        <f t="shared" ref="I42:I53" si="22">H42+273.15</f>
        <v>280.15</v>
      </c>
      <c r="J42" s="18">
        <f t="shared" ref="J42:J53" si="23">EXP(($C$16*(I42-$C$14))/($C$17*I42*$C$14))</f>
        <v>0.0424643715341541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0.00327362263528829</v>
      </c>
      <c r="Q42" s="24">
        <f t="shared" ref="Q42:Q53" si="27">P42*$B$44</f>
        <v>0.000425570942587477</v>
      </c>
      <c r="R42" s="18">
        <f t="shared" ref="R42:R53" si="28">L42*$B$44</f>
        <v>0.0100218354166667</v>
      </c>
      <c r="S42" s="25">
        <f t="shared" ref="S42:S53" si="29">Q42/R42</f>
        <v>0.0424643715341541</v>
      </c>
      <c r="T42" s="3">
        <v>0.01</v>
      </c>
      <c r="U42" s="26">
        <f t="shared" ref="U42:U53" si="30">S42*T42</f>
        <v>0.000424643715341541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0.0152246437153415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>$E$5/12</f>
        <v>20.8041643835617</v>
      </c>
      <c r="AU42" s="1">
        <f t="shared" ref="AU42:AU53" si="36">AT42*10000*AS42*0.67*AR42*AQ42</f>
        <v>2126.7648983442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5.51873431574194</v>
      </c>
      <c r="E43" s="20">
        <f t="shared" ref="E43:E54" si="37">D42</f>
        <v>7</v>
      </c>
      <c r="F43" s="16" t="s">
        <v>110</v>
      </c>
      <c r="G43" s="13">
        <v>2</v>
      </c>
      <c r="H43" s="18">
        <f t="shared" si="21"/>
        <v>5.51873431574194</v>
      </c>
      <c r="I43" s="18">
        <f t="shared" si="22"/>
        <v>278.668734315742</v>
      </c>
      <c r="J43" s="18">
        <f t="shared" si="23"/>
        <v>0.0353013644123957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0.150908460698045</v>
      </c>
      <c r="P43" s="18">
        <f t="shared" si="26"/>
        <v>0.00532727456401538</v>
      </c>
      <c r="Q43" s="24">
        <f t="shared" si="27"/>
        <v>0.000692545693322</v>
      </c>
      <c r="R43" s="18">
        <f t="shared" si="28"/>
        <v>0.0100218354166667</v>
      </c>
      <c r="S43" s="25">
        <f t="shared" si="29"/>
        <v>0.0691036785707209</v>
      </c>
      <c r="T43" s="3">
        <v>0.01</v>
      </c>
      <c r="U43" s="26">
        <f t="shared" si="30"/>
        <v>0.000691036785707209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0.0154910367857072</v>
      </c>
      <c r="AR43" s="29">
        <f t="shared" si="34"/>
        <v>7.70910416666667</v>
      </c>
      <c r="AS43" s="1">
        <f t="shared" si="35"/>
        <v>0.13</v>
      </c>
      <c r="AT43" s="2">
        <f t="shared" ref="AT43:AT53" si="39">$E$5/12</f>
        <v>20.8041643835617</v>
      </c>
      <c r="AU43" s="1">
        <f t="shared" si="36"/>
        <v>2163.97794856783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7.61869443693103</v>
      </c>
      <c r="E44" s="20">
        <f t="shared" si="37"/>
        <v>5.51873431574194</v>
      </c>
      <c r="F44" s="16" t="s">
        <v>110</v>
      </c>
      <c r="G44" s="13">
        <v>3</v>
      </c>
      <c r="H44" s="18">
        <f t="shared" si="21"/>
        <v>7.61869443693103</v>
      </c>
      <c r="I44" s="18">
        <f t="shared" si="22"/>
        <v>280.768694436931</v>
      </c>
      <c r="J44" s="18">
        <f t="shared" si="23"/>
        <v>0.0458443510322961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0.222672227800696</v>
      </c>
      <c r="P44" s="18">
        <f t="shared" si="26"/>
        <v>0.0102082637764385</v>
      </c>
      <c r="Q44" s="24">
        <f t="shared" si="27"/>
        <v>0.00132707429093701</v>
      </c>
      <c r="R44" s="18">
        <f t="shared" si="28"/>
        <v>0.0100218354166667</v>
      </c>
      <c r="S44" s="25">
        <f t="shared" si="29"/>
        <v>0.132418288243892</v>
      </c>
      <c r="T44" s="3">
        <v>0.01</v>
      </c>
      <c r="U44" s="26">
        <f t="shared" si="30"/>
        <v>0.00132418288243892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0.0161241828824389</v>
      </c>
      <c r="AR44" s="29">
        <f t="shared" si="34"/>
        <v>7.70910416666667</v>
      </c>
      <c r="AS44" s="1">
        <f t="shared" si="35"/>
        <v>0.13</v>
      </c>
      <c r="AT44" s="2">
        <f t="shared" si="39"/>
        <v>20.8041643835617</v>
      </c>
      <c r="AU44" s="1">
        <f t="shared" si="36"/>
        <v>2252.42355814854</v>
      </c>
    </row>
    <row r="45" s="1" customFormat="1" spans="1:47">
      <c r="A45" s="13"/>
      <c r="B45" s="13"/>
      <c r="C45" s="16">
        <v>3</v>
      </c>
      <c r="D45" s="19">
        <v>11.6382234590645</v>
      </c>
      <c r="E45" s="20">
        <f t="shared" si="37"/>
        <v>7.61869443693103</v>
      </c>
      <c r="F45" s="16" t="s">
        <v>110</v>
      </c>
      <c r="G45" s="13">
        <v>4</v>
      </c>
      <c r="H45" s="18">
        <f t="shared" si="21"/>
        <v>11.6382234590645</v>
      </c>
      <c r="I45" s="18">
        <f t="shared" si="22"/>
        <v>284.788223459064</v>
      </c>
      <c r="J45" s="18">
        <f t="shared" si="23"/>
        <v>0.0747923335875189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0.289555005690924</v>
      </c>
      <c r="P45" s="18">
        <f t="shared" si="26"/>
        <v>0.0216564945775716</v>
      </c>
      <c r="Q45" s="24">
        <f t="shared" si="27"/>
        <v>0.0028153442950843</v>
      </c>
      <c r="R45" s="18">
        <f t="shared" si="28"/>
        <v>0.0100218354166667</v>
      </c>
      <c r="S45" s="25">
        <f t="shared" si="29"/>
        <v>0.280921026741497</v>
      </c>
      <c r="T45" s="3">
        <v>0.01</v>
      </c>
      <c r="U45" s="26">
        <f t="shared" si="30"/>
        <v>0.00280921026741497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0.029909210267415</v>
      </c>
      <c r="AR45" s="29">
        <f t="shared" si="34"/>
        <v>7.70910416666667</v>
      </c>
      <c r="AS45" s="1">
        <f t="shared" si="35"/>
        <v>0.13</v>
      </c>
      <c r="AT45" s="2">
        <f t="shared" si="39"/>
        <v>20.8041643835617</v>
      </c>
      <c r="AU45" s="1">
        <f t="shared" si="36"/>
        <v>4178.08519682046</v>
      </c>
    </row>
    <row r="46" s="1" customFormat="1" spans="1:47">
      <c r="A46" s="13"/>
      <c r="B46" s="13"/>
      <c r="C46" s="16">
        <v>4</v>
      </c>
      <c r="D46" s="19">
        <v>17.5330488863333</v>
      </c>
      <c r="E46" s="20">
        <f t="shared" si="37"/>
        <v>11.6382234590645</v>
      </c>
      <c r="F46" s="16" t="s">
        <v>110</v>
      </c>
      <c r="G46" s="13">
        <v>5</v>
      </c>
      <c r="H46" s="18">
        <f t="shared" si="21"/>
        <v>17.5330488863333</v>
      </c>
      <c r="I46" s="18">
        <f t="shared" si="22"/>
        <v>290.683048886333</v>
      </c>
      <c r="J46" s="18">
        <f t="shared" si="23"/>
        <v>0.149613207876862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0.254503585557685</v>
      </c>
      <c r="O46" s="18">
        <f t="shared" si="38"/>
        <v>0.0904859672223343</v>
      </c>
      <c r="P46" s="18">
        <f t="shared" si="26"/>
        <v>0.013537895823974</v>
      </c>
      <c r="Q46" s="24">
        <f t="shared" si="27"/>
        <v>0.00175992645711662</v>
      </c>
      <c r="R46" s="18">
        <f t="shared" si="28"/>
        <v>0.0100218354166667</v>
      </c>
      <c r="S46" s="25">
        <f t="shared" si="29"/>
        <v>0.175609195715767</v>
      </c>
      <c r="T46" s="3">
        <v>0.01</v>
      </c>
      <c r="U46" s="26">
        <f t="shared" si="30"/>
        <v>0.00175609195715767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0.0288560919571577</v>
      </c>
      <c r="AR46" s="29">
        <f t="shared" si="34"/>
        <v>7.70910416666667</v>
      </c>
      <c r="AS46" s="1">
        <f t="shared" si="35"/>
        <v>0.13</v>
      </c>
      <c r="AT46" s="2">
        <f t="shared" si="39"/>
        <v>20.8041643835617</v>
      </c>
      <c r="AU46" s="1">
        <f t="shared" si="36"/>
        <v>4030.97271931782</v>
      </c>
    </row>
    <row r="47" s="1" customFormat="1" spans="1:47">
      <c r="A47" s="13"/>
      <c r="B47" s="13"/>
      <c r="C47" s="16">
        <v>5</v>
      </c>
      <c r="D47" s="19">
        <v>21.4172552616129</v>
      </c>
      <c r="E47" s="20">
        <f t="shared" si="37"/>
        <v>17.5330488863333</v>
      </c>
      <c r="F47" s="16" t="s">
        <v>112</v>
      </c>
      <c r="G47" s="13">
        <v>6</v>
      </c>
      <c r="H47" s="18">
        <f t="shared" si="21"/>
        <v>21.4172552616129</v>
      </c>
      <c r="I47" s="18">
        <f t="shared" si="22"/>
        <v>294.567255261613</v>
      </c>
      <c r="J47" s="18">
        <f t="shared" si="23"/>
        <v>0.232697565112625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0.154039113065027</v>
      </c>
      <c r="P47" s="18">
        <f t="shared" si="26"/>
        <v>0.0358445265423401</v>
      </c>
      <c r="Q47" s="24">
        <f t="shared" si="27"/>
        <v>0.00465978845050421</v>
      </c>
      <c r="R47" s="18">
        <f t="shared" si="28"/>
        <v>0.0100218354166667</v>
      </c>
      <c r="S47" s="25">
        <f t="shared" si="29"/>
        <v>0.46496357770502</v>
      </c>
      <c r="T47" s="3">
        <v>0.01</v>
      </c>
      <c r="U47" s="26">
        <f t="shared" si="30"/>
        <v>0.0046496357770502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0.0317496357770502</v>
      </c>
      <c r="AR47" s="29">
        <f t="shared" si="34"/>
        <v>7.70910416666667</v>
      </c>
      <c r="AS47" s="1">
        <f t="shared" si="35"/>
        <v>0.13</v>
      </c>
      <c r="AT47" s="2">
        <f t="shared" si="39"/>
        <v>20.8041643835617</v>
      </c>
      <c r="AU47" s="1">
        <f t="shared" si="36"/>
        <v>4435.17839683835</v>
      </c>
    </row>
    <row r="48" s="1" customFormat="1" spans="1:47">
      <c r="A48" s="13"/>
      <c r="B48" s="13"/>
      <c r="C48" s="16">
        <v>6</v>
      </c>
      <c r="D48" s="19">
        <v>24.9026563486667</v>
      </c>
      <c r="E48" s="20">
        <f t="shared" si="37"/>
        <v>21.4172552616129</v>
      </c>
      <c r="F48" s="16" t="s">
        <v>110</v>
      </c>
      <c r="G48" s="13">
        <v>7</v>
      </c>
      <c r="H48" s="18">
        <f t="shared" si="21"/>
        <v>24.9026563486667</v>
      </c>
      <c r="I48" s="18">
        <f t="shared" si="22"/>
        <v>298.052656348667</v>
      </c>
      <c r="J48" s="18">
        <f t="shared" si="23"/>
        <v>0.342501692067074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0.195285628189353</v>
      </c>
      <c r="P48" s="18">
        <f t="shared" si="26"/>
        <v>0.066885658091235</v>
      </c>
      <c r="Q48" s="24">
        <f t="shared" si="27"/>
        <v>0.00869513555186056</v>
      </c>
      <c r="R48" s="18">
        <f t="shared" si="28"/>
        <v>0.0100218354166667</v>
      </c>
      <c r="S48" s="25">
        <f t="shared" si="29"/>
        <v>0.867619072789824</v>
      </c>
      <c r="T48" s="3">
        <v>0.01</v>
      </c>
      <c r="U48" s="26">
        <f t="shared" si="30"/>
        <v>0.00867619072789824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0.0431761907278982</v>
      </c>
      <c r="AR48" s="29">
        <f t="shared" si="34"/>
        <v>7.70910416666667</v>
      </c>
      <c r="AS48" s="1">
        <f t="shared" si="35"/>
        <v>0.13</v>
      </c>
      <c r="AT48" s="2">
        <f t="shared" si="39"/>
        <v>20.8041643835617</v>
      </c>
      <c r="AU48" s="1">
        <f t="shared" si="36"/>
        <v>6031.37968948184</v>
      </c>
    </row>
    <row r="49" s="1" customFormat="1" spans="1:47">
      <c r="A49" s="13"/>
      <c r="B49" s="13"/>
      <c r="C49" s="16">
        <v>7</v>
      </c>
      <c r="D49" s="19">
        <v>29.1195678941935</v>
      </c>
      <c r="E49" s="20">
        <f t="shared" si="37"/>
        <v>24.9026563486667</v>
      </c>
      <c r="F49" s="16" t="s">
        <v>110</v>
      </c>
      <c r="G49" s="13">
        <v>8</v>
      </c>
      <c r="H49" s="18">
        <f t="shared" si="21"/>
        <v>29.1195678941935</v>
      </c>
      <c r="I49" s="18">
        <f t="shared" si="22"/>
        <v>302.269567894193</v>
      </c>
      <c r="J49" s="18">
        <f t="shared" si="23"/>
        <v>0.540244905119096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0.205491011764785</v>
      </c>
      <c r="P49" s="18">
        <f t="shared" si="26"/>
        <v>0.111015472153693</v>
      </c>
      <c r="Q49" s="24">
        <f t="shared" si="27"/>
        <v>0.0144320113799801</v>
      </c>
      <c r="R49" s="18">
        <f t="shared" si="28"/>
        <v>0.0100218354166667</v>
      </c>
      <c r="S49" s="25">
        <f t="shared" si="29"/>
        <v>1.44005671416028</v>
      </c>
      <c r="T49" s="3">
        <v>0.01</v>
      </c>
      <c r="U49" s="26">
        <f t="shared" si="30"/>
        <v>0.0144005671416028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0.0489005671416028</v>
      </c>
      <c r="AR49" s="29">
        <f t="shared" si="34"/>
        <v>7.70910416666667</v>
      </c>
      <c r="AS49" s="1">
        <f t="shared" si="35"/>
        <v>0.13</v>
      </c>
      <c r="AT49" s="2">
        <f t="shared" si="39"/>
        <v>20.8041643835617</v>
      </c>
      <c r="AU49" s="1">
        <f t="shared" si="36"/>
        <v>6831.03077158292</v>
      </c>
    </row>
    <row r="50" s="1" customFormat="1" spans="1:47">
      <c r="A50" s="13"/>
      <c r="B50" s="13"/>
      <c r="C50" s="16">
        <v>8</v>
      </c>
      <c r="D50" s="19">
        <v>28.7876716032258</v>
      </c>
      <c r="E50" s="20">
        <f t="shared" si="37"/>
        <v>29.1195678941935</v>
      </c>
      <c r="F50" s="16" t="s">
        <v>110</v>
      </c>
      <c r="G50" s="13">
        <v>9</v>
      </c>
      <c r="H50" s="18">
        <f t="shared" si="21"/>
        <v>28.7876716032258</v>
      </c>
      <c r="I50" s="18">
        <f t="shared" si="22"/>
        <v>301.937671603226</v>
      </c>
      <c r="J50" s="18">
        <f t="shared" si="23"/>
        <v>0.521450396952251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0.171566581277758</v>
      </c>
      <c r="P50" s="18">
        <f t="shared" si="26"/>
        <v>0.0894634619110278</v>
      </c>
      <c r="Q50" s="24">
        <f t="shared" si="27"/>
        <v>0.0116302500484336</v>
      </c>
      <c r="R50" s="18">
        <f t="shared" si="28"/>
        <v>0.0100218354166667</v>
      </c>
      <c r="S50" s="25">
        <f t="shared" si="29"/>
        <v>1.16049102433793</v>
      </c>
      <c r="T50" s="3">
        <v>0.01</v>
      </c>
      <c r="U50" s="26">
        <f t="shared" si="30"/>
        <v>0.0116049102433793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0.0387049102433793</v>
      </c>
      <c r="AR50" s="29">
        <f t="shared" si="34"/>
        <v>7.70910416666667</v>
      </c>
      <c r="AS50" s="1">
        <f t="shared" si="35"/>
        <v>0.13</v>
      </c>
      <c r="AT50" s="2">
        <f t="shared" si="39"/>
        <v>20.8041643835617</v>
      </c>
      <c r="AU50" s="1">
        <f t="shared" si="36"/>
        <v>5406.77641055295</v>
      </c>
    </row>
    <row r="51" s="1" customFormat="1" spans="1:47">
      <c r="A51" s="13"/>
      <c r="B51" s="13"/>
      <c r="C51" s="16">
        <v>9</v>
      </c>
      <c r="D51" s="19">
        <v>24.1222472753333</v>
      </c>
      <c r="E51" s="20">
        <f t="shared" si="37"/>
        <v>28.7876716032258</v>
      </c>
      <c r="F51" s="16" t="s">
        <v>110</v>
      </c>
      <c r="G51" s="13">
        <v>10</v>
      </c>
      <c r="H51" s="18">
        <f t="shared" si="21"/>
        <v>24.1222472753333</v>
      </c>
      <c r="I51" s="18">
        <f t="shared" si="22"/>
        <v>297.272247275333</v>
      </c>
      <c r="J51" s="18">
        <f t="shared" si="23"/>
        <v>0.314352643815034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0.159194161033397</v>
      </c>
      <c r="P51" s="18">
        <f t="shared" si="26"/>
        <v>0.0500431054007647</v>
      </c>
      <c r="Q51" s="24">
        <f t="shared" si="27"/>
        <v>0.00650560370209941</v>
      </c>
      <c r="R51" s="18">
        <f t="shared" si="28"/>
        <v>0.0100218354166667</v>
      </c>
      <c r="S51" s="25">
        <f t="shared" si="29"/>
        <v>0.649142939553803</v>
      </c>
      <c r="T51" s="3">
        <v>0.01</v>
      </c>
      <c r="U51" s="26">
        <f t="shared" si="30"/>
        <v>0.00649142939553803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0.033591429395538</v>
      </c>
      <c r="AR51" s="29">
        <f t="shared" si="34"/>
        <v>7.70910416666667</v>
      </c>
      <c r="AS51" s="1">
        <f t="shared" si="35"/>
        <v>0.13</v>
      </c>
      <c r="AT51" s="2">
        <f t="shared" si="39"/>
        <v>20.8041643835617</v>
      </c>
      <c r="AU51" s="1">
        <f t="shared" si="36"/>
        <v>4692.46271107469</v>
      </c>
    </row>
    <row r="52" s="1" customFormat="1" spans="1:47">
      <c r="A52" s="13"/>
      <c r="B52" s="13"/>
      <c r="C52" s="16">
        <v>10</v>
      </c>
      <c r="D52" s="19">
        <v>20.6886343251613</v>
      </c>
      <c r="E52" s="20">
        <f t="shared" si="37"/>
        <v>24.1222472753333</v>
      </c>
      <c r="F52" s="16" t="s">
        <v>110</v>
      </c>
      <c r="G52" s="13">
        <v>11</v>
      </c>
      <c r="H52" s="18">
        <f t="shared" si="21"/>
        <v>20.6886343251613</v>
      </c>
      <c r="I52" s="18">
        <f t="shared" si="22"/>
        <v>293.838634325161</v>
      </c>
      <c r="J52" s="18">
        <f t="shared" si="23"/>
        <v>0.214385422868799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0.103693502851001</v>
      </c>
      <c r="O52" s="18">
        <f t="shared" si="38"/>
        <v>0.0825485944482983</v>
      </c>
      <c r="P52" s="18">
        <f t="shared" si="26"/>
        <v>0.0176972153280234</v>
      </c>
      <c r="Q52" s="24">
        <f t="shared" si="27"/>
        <v>0.00230063799264305</v>
      </c>
      <c r="R52" s="18">
        <f t="shared" si="28"/>
        <v>0.0100218354166667</v>
      </c>
      <c r="S52" s="25">
        <f t="shared" si="29"/>
        <v>0.229562539893342</v>
      </c>
      <c r="T52" s="3">
        <v>0.01</v>
      </c>
      <c r="U52" s="26">
        <f t="shared" si="30"/>
        <v>0.00229562539893342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0.0170956253989334</v>
      </c>
      <c r="AR52" s="29">
        <f t="shared" si="34"/>
        <v>7.70910416666667</v>
      </c>
      <c r="AS52" s="1">
        <f t="shared" si="35"/>
        <v>0.13</v>
      </c>
      <c r="AT52" s="2">
        <f t="shared" si="39"/>
        <v>20.8041643835617</v>
      </c>
      <c r="AU52" s="1">
        <f t="shared" si="36"/>
        <v>2388.12655937922</v>
      </c>
    </row>
    <row r="53" s="1" customFormat="1" spans="1:48">
      <c r="A53" s="13"/>
      <c r="B53" s="13"/>
      <c r="C53" s="16">
        <v>11</v>
      </c>
      <c r="D53" s="19">
        <v>13.4512099112</v>
      </c>
      <c r="E53" s="20">
        <f t="shared" si="37"/>
        <v>20.6886343251613</v>
      </c>
      <c r="F53" s="16" t="s">
        <v>112</v>
      </c>
      <c r="G53" s="13">
        <v>12</v>
      </c>
      <c r="H53" s="18">
        <f t="shared" si="21"/>
        <v>13.4512099112</v>
      </c>
      <c r="I53" s="18">
        <f t="shared" si="22"/>
        <v>286.6012099112</v>
      </c>
      <c r="J53" s="18">
        <f t="shared" si="23"/>
        <v>0.0928506564710541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0.141942420786942</v>
      </c>
      <c r="P53" s="18">
        <f t="shared" si="26"/>
        <v>0.0131794469511581</v>
      </c>
      <c r="Q53" s="24">
        <f t="shared" si="27"/>
        <v>0.00171332810365056</v>
      </c>
      <c r="R53" s="18">
        <f t="shared" si="28"/>
        <v>0.0100218354166667</v>
      </c>
      <c r="S53" s="25">
        <f t="shared" si="29"/>
        <v>0.170959513144791</v>
      </c>
      <c r="T53" s="3">
        <v>0.01</v>
      </c>
      <c r="U53" s="26">
        <f t="shared" si="30"/>
        <v>0.00170959513144791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0.0165095951314479</v>
      </c>
      <c r="AR53" s="29">
        <f t="shared" si="34"/>
        <v>7.70910416666667</v>
      </c>
      <c r="AS53" s="1">
        <f t="shared" si="35"/>
        <v>0.13</v>
      </c>
      <c r="AT53" s="2">
        <f t="shared" si="39"/>
        <v>20.8041643835617</v>
      </c>
      <c r="AU53" s="1">
        <f t="shared" si="36"/>
        <v>2306.26266649879</v>
      </c>
      <c r="AV53" s="1">
        <f>SUM(AU42:AU53)</f>
        <v>46843.4415266076</v>
      </c>
    </row>
    <row r="54" s="1" customFormat="1" spans="1:46">
      <c r="A54" s="13"/>
      <c r="B54" s="13"/>
      <c r="C54" s="16">
        <v>12</v>
      </c>
      <c r="D54" s="19">
        <v>9.50897475548387</v>
      </c>
      <c r="E54" s="20">
        <f t="shared" si="37"/>
        <v>13.4512099112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108</v>
      </c>
      <c r="B58" s="13">
        <f>F7</f>
        <v>122.786</v>
      </c>
      <c r="C58" s="16" t="s">
        <v>109</v>
      </c>
      <c r="D58" s="17">
        <v>7</v>
      </c>
      <c r="E58" s="16"/>
      <c r="F58" s="16"/>
      <c r="G58" s="13">
        <v>1</v>
      </c>
      <c r="H58" s="18">
        <f t="shared" ref="H58:H69" si="40">E59</f>
        <v>7</v>
      </c>
      <c r="I58" s="18">
        <f t="shared" ref="I58:I69" si="41">H58+273.15</f>
        <v>280.15</v>
      </c>
      <c r="J58" s="18">
        <f t="shared" ref="J58:J69" si="42">EXP(($C$16*(I58-$C$14))/($C$17*I58*$C$14))</f>
        <v>0.0424643715341541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0.117315682271834</v>
      </c>
      <c r="Q58" s="24">
        <f t="shared" ref="Q58:Q69" si="46">P58*$B$60</f>
        <v>0.034021547858832</v>
      </c>
      <c r="R58" s="18">
        <f t="shared" ref="R58:R69" si="47">L58*$B$60</f>
        <v>0.80117865</v>
      </c>
      <c r="S58" s="25">
        <f t="shared" ref="S58:S69" si="48">Q58/R58</f>
        <v>0.0424643715341541</v>
      </c>
      <c r="T58" s="3">
        <v>0.27</v>
      </c>
      <c r="U58" s="26">
        <f t="shared" ref="U58:U69" si="49">S58*T58</f>
        <v>0.0114653803142216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0.228627723395053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>$E$7/12</f>
        <v>105.036179279779</v>
      </c>
      <c r="AF58" s="1">
        <f t="shared" ref="AF58:AF69" si="53">AE58*10000*AC58*AB58</f>
        <v>2457171.18142204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111</v>
      </c>
      <c r="B59" s="13">
        <v>27</v>
      </c>
      <c r="C59" s="16">
        <v>1</v>
      </c>
      <c r="D59" s="19">
        <v>5.51873431574194</v>
      </c>
      <c r="E59" s="20">
        <f t="shared" ref="E59:E70" si="54">D58</f>
        <v>7</v>
      </c>
      <c r="F59" s="16" t="s">
        <v>110</v>
      </c>
      <c r="G59" s="13">
        <v>2</v>
      </c>
      <c r="H59" s="18">
        <f t="shared" si="40"/>
        <v>5.51873431574194</v>
      </c>
      <c r="I59" s="18">
        <f t="shared" si="41"/>
        <v>278.668734315742</v>
      </c>
      <c r="J59" s="18">
        <f t="shared" si="42"/>
        <v>0.0353013644123957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5">L59+O58-P58-N59</f>
        <v>5.40805431772816</v>
      </c>
      <c r="P59" s="18">
        <f t="shared" si="45"/>
        <v>0.190911696232152</v>
      </c>
      <c r="Q59" s="24">
        <f t="shared" si="46"/>
        <v>0.0553643919073241</v>
      </c>
      <c r="R59" s="18">
        <f t="shared" si="47"/>
        <v>0.80117865</v>
      </c>
      <c r="S59" s="25">
        <f t="shared" si="48"/>
        <v>0.0691036785707209</v>
      </c>
      <c r="T59" s="3">
        <v>0.27</v>
      </c>
      <c r="U59" s="26">
        <f t="shared" si="49"/>
        <v>0.0186579932140946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0.230025248081499</v>
      </c>
      <c r="AC59" s="29">
        <f t="shared" si="51"/>
        <v>10.2321666666667</v>
      </c>
      <c r="AD59" s="1">
        <f t="shared" si="52"/>
        <v>0.29</v>
      </c>
      <c r="AE59" s="30">
        <f t="shared" ref="AE59:AE69" si="56">$E$7/12</f>
        <v>105.036179279779</v>
      </c>
      <c r="AF59" s="1">
        <f t="shared" si="53"/>
        <v>2472191.04574062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73</v>
      </c>
      <c r="B60" s="13">
        <f>H7</f>
        <v>0.29</v>
      </c>
      <c r="C60" s="16">
        <v>2</v>
      </c>
      <c r="D60" s="19">
        <v>7.61869443693103</v>
      </c>
      <c r="E60" s="20">
        <f t="shared" si="54"/>
        <v>5.51873431574194</v>
      </c>
      <c r="F60" s="16" t="s">
        <v>110</v>
      </c>
      <c r="G60" s="13">
        <v>3</v>
      </c>
      <c r="H60" s="18">
        <f t="shared" si="40"/>
        <v>7.61869443693103</v>
      </c>
      <c r="I60" s="18">
        <f t="shared" si="41"/>
        <v>280.768694436931</v>
      </c>
      <c r="J60" s="18">
        <f t="shared" si="42"/>
        <v>0.0458443510322961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5"/>
        <v>7.97982762149601</v>
      </c>
      <c r="P60" s="18">
        <f t="shared" si="45"/>
        <v>0.365830018657076</v>
      </c>
      <c r="Q60" s="24">
        <f t="shared" si="46"/>
        <v>0.106090705410552</v>
      </c>
      <c r="R60" s="18">
        <f t="shared" si="47"/>
        <v>0.80117865</v>
      </c>
      <c r="S60" s="25">
        <f t="shared" si="48"/>
        <v>0.132418288243892</v>
      </c>
      <c r="T60" s="3">
        <v>0.27</v>
      </c>
      <c r="U60" s="26">
        <f t="shared" si="49"/>
        <v>0.0357529378258507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0.233346795819563</v>
      </c>
      <c r="AC60" s="29">
        <f t="shared" si="51"/>
        <v>10.2321666666667</v>
      </c>
      <c r="AD60" s="1">
        <f t="shared" si="52"/>
        <v>0.29</v>
      </c>
      <c r="AE60" s="30">
        <f t="shared" si="56"/>
        <v>105.036179279779</v>
      </c>
      <c r="AF60" s="1">
        <f t="shared" si="53"/>
        <v>2507889.30340811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19">
        <v>11.6382234590645</v>
      </c>
      <c r="E61" s="20">
        <f t="shared" si="54"/>
        <v>7.61869443693103</v>
      </c>
      <c r="F61" s="16" t="s">
        <v>110</v>
      </c>
      <c r="G61" s="13">
        <v>4</v>
      </c>
      <c r="H61" s="18">
        <f t="shared" si="40"/>
        <v>11.6382234590645</v>
      </c>
      <c r="I61" s="18">
        <f t="shared" si="41"/>
        <v>284.788223459064</v>
      </c>
      <c r="J61" s="18">
        <f t="shared" si="42"/>
        <v>0.0747923335875189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5"/>
        <v>10.3766826028389</v>
      </c>
      <c r="P61" s="18">
        <f t="shared" si="45"/>
        <v>0.776096306763334</v>
      </c>
      <c r="Q61" s="24">
        <f t="shared" si="46"/>
        <v>0.225067928961367</v>
      </c>
      <c r="R61" s="18">
        <f t="shared" si="47"/>
        <v>0.80117865</v>
      </c>
      <c r="S61" s="25">
        <f t="shared" si="48"/>
        <v>0.280921026741497</v>
      </c>
      <c r="T61" s="3">
        <v>0.27</v>
      </c>
      <c r="U61" s="26">
        <f t="shared" si="49"/>
        <v>0.0758486772202043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0.289937397983886</v>
      </c>
      <c r="AC61" s="29">
        <f t="shared" si="51"/>
        <v>10.2321666666667</v>
      </c>
      <c r="AD61" s="1">
        <f t="shared" si="52"/>
        <v>0.29</v>
      </c>
      <c r="AE61" s="30">
        <f t="shared" si="56"/>
        <v>105.036179279779</v>
      </c>
      <c r="AF61" s="1">
        <f t="shared" si="53"/>
        <v>3116095.49429609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19">
        <v>17.5330488863333</v>
      </c>
      <c r="E62" s="20">
        <f t="shared" si="54"/>
        <v>11.6382234590645</v>
      </c>
      <c r="F62" s="16" t="s">
        <v>110</v>
      </c>
      <c r="G62" s="13">
        <v>5</v>
      </c>
      <c r="H62" s="18">
        <f t="shared" si="40"/>
        <v>17.5330488863333</v>
      </c>
      <c r="I62" s="18">
        <f t="shared" si="41"/>
        <v>290.683048886333</v>
      </c>
      <c r="J62" s="18">
        <f t="shared" si="42"/>
        <v>0.149613207876862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9.12055698127182</v>
      </c>
      <c r="O62" s="18">
        <f t="shared" si="55"/>
        <v>3.24271431480378</v>
      </c>
      <c r="P62" s="18">
        <f t="shared" si="45"/>
        <v>0.485152890866014</v>
      </c>
      <c r="Q62" s="24">
        <f t="shared" si="46"/>
        <v>0.140694338351144</v>
      </c>
      <c r="R62" s="18">
        <f t="shared" si="47"/>
        <v>0.80117865</v>
      </c>
      <c r="S62" s="25">
        <f t="shared" si="48"/>
        <v>0.175609195715767</v>
      </c>
      <c r="T62" s="3">
        <v>0.27</v>
      </c>
      <c r="U62" s="26">
        <f t="shared" si="49"/>
        <v>0.0474144828432571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0.284412634016445</v>
      </c>
      <c r="AC62" s="29">
        <f t="shared" si="51"/>
        <v>10.2321666666667</v>
      </c>
      <c r="AD62" s="1">
        <f t="shared" si="52"/>
        <v>0.29</v>
      </c>
      <c r="AE62" s="30">
        <f t="shared" si="56"/>
        <v>105.036179279779</v>
      </c>
      <c r="AF62" s="1">
        <f t="shared" si="53"/>
        <v>3056718.22104433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19">
        <v>21.4172552616129</v>
      </c>
      <c r="E63" s="20">
        <f t="shared" si="54"/>
        <v>17.5330488863333</v>
      </c>
      <c r="F63" s="16" t="s">
        <v>112</v>
      </c>
      <c r="G63" s="13">
        <v>6</v>
      </c>
      <c r="H63" s="18">
        <f t="shared" si="40"/>
        <v>21.4172552616129</v>
      </c>
      <c r="I63" s="18">
        <f t="shared" si="41"/>
        <v>294.567255261613</v>
      </c>
      <c r="J63" s="18">
        <f t="shared" si="42"/>
        <v>0.232697565112625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5"/>
        <v>5.52024642393776</v>
      </c>
      <c r="P63" s="18">
        <f t="shared" si="45"/>
        <v>1.28454790167199</v>
      </c>
      <c r="Q63" s="24">
        <f t="shared" si="46"/>
        <v>0.372518891484878</v>
      </c>
      <c r="R63" s="18">
        <f t="shared" si="47"/>
        <v>0.80117865</v>
      </c>
      <c r="S63" s="25">
        <f t="shared" si="48"/>
        <v>0.46496357770502</v>
      </c>
      <c r="T63" s="3">
        <v>0.27</v>
      </c>
      <c r="U63" s="26">
        <f t="shared" si="49"/>
        <v>0.125540165980355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0.314792454249983</v>
      </c>
      <c r="AC63" s="29">
        <f t="shared" si="51"/>
        <v>10.2321666666667</v>
      </c>
      <c r="AD63" s="1">
        <f t="shared" si="52"/>
        <v>0.29</v>
      </c>
      <c r="AE63" s="30">
        <f t="shared" si="56"/>
        <v>105.036179279779</v>
      </c>
      <c r="AF63" s="1">
        <f t="shared" si="53"/>
        <v>3383224.6379658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19">
        <v>24.9026563486667</v>
      </c>
      <c r="E64" s="20">
        <f t="shared" si="54"/>
        <v>21.4172552616129</v>
      </c>
      <c r="F64" s="16" t="s">
        <v>110</v>
      </c>
      <c r="G64" s="13">
        <v>7</v>
      </c>
      <c r="H64" s="18">
        <f t="shared" si="40"/>
        <v>24.9026563486667</v>
      </c>
      <c r="I64" s="18">
        <f t="shared" si="41"/>
        <v>298.052656348667</v>
      </c>
      <c r="J64" s="18">
        <f t="shared" si="42"/>
        <v>0.342501692067074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5"/>
        <v>6.99838352226577</v>
      </c>
      <c r="P64" s="18">
        <f t="shared" si="45"/>
        <v>2.39695819811036</v>
      </c>
      <c r="Q64" s="24">
        <f t="shared" si="46"/>
        <v>0.695117877452003</v>
      </c>
      <c r="R64" s="18">
        <f t="shared" si="47"/>
        <v>0.80117865</v>
      </c>
      <c r="S64" s="25">
        <f t="shared" si="48"/>
        <v>0.867619072789825</v>
      </c>
      <c r="T64" s="3">
        <v>0.27</v>
      </c>
      <c r="U64" s="26">
        <f t="shared" si="49"/>
        <v>0.234257149653253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0.335916164177627</v>
      </c>
      <c r="AC64" s="29">
        <f t="shared" si="51"/>
        <v>10.2321666666667</v>
      </c>
      <c r="AD64" s="1">
        <f t="shared" si="52"/>
        <v>0.29</v>
      </c>
      <c r="AE64" s="30">
        <f t="shared" si="56"/>
        <v>105.036179279779</v>
      </c>
      <c r="AF64" s="1">
        <f t="shared" si="53"/>
        <v>3610251.22296677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19">
        <v>29.1195678941935</v>
      </c>
      <c r="E65" s="20">
        <f t="shared" si="54"/>
        <v>24.9026563486667</v>
      </c>
      <c r="F65" s="16" t="s">
        <v>110</v>
      </c>
      <c r="G65" s="13">
        <v>8</v>
      </c>
      <c r="H65" s="18">
        <f t="shared" si="40"/>
        <v>29.1195678941935</v>
      </c>
      <c r="I65" s="18">
        <f t="shared" si="41"/>
        <v>302.269567894193</v>
      </c>
      <c r="J65" s="18">
        <f t="shared" si="42"/>
        <v>0.540244905119096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5"/>
        <v>7.36411032415541</v>
      </c>
      <c r="P65" s="18">
        <f t="shared" si="45"/>
        <v>3.9784230833599</v>
      </c>
      <c r="Q65" s="24">
        <f t="shared" si="46"/>
        <v>1.15374269417437</v>
      </c>
      <c r="R65" s="18">
        <f t="shared" si="47"/>
        <v>0.80117865</v>
      </c>
      <c r="S65" s="25">
        <f t="shared" si="48"/>
        <v>1.44005671416028</v>
      </c>
      <c r="T65" s="3">
        <v>0.27</v>
      </c>
      <c r="U65" s="26">
        <f t="shared" si="49"/>
        <v>0.388815312823276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0.365946815281563</v>
      </c>
      <c r="AC65" s="29">
        <f t="shared" si="51"/>
        <v>10.2321666666667</v>
      </c>
      <c r="AD65" s="1">
        <f t="shared" si="52"/>
        <v>0.29</v>
      </c>
      <c r="AE65" s="30">
        <f t="shared" si="56"/>
        <v>105.036179279779</v>
      </c>
      <c r="AF65" s="1">
        <f t="shared" si="53"/>
        <v>3933004.9527252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19">
        <v>28.7876716032258</v>
      </c>
      <c r="E66" s="20">
        <f t="shared" si="54"/>
        <v>29.1195678941935</v>
      </c>
      <c r="F66" s="16" t="s">
        <v>110</v>
      </c>
      <c r="G66" s="13">
        <v>9</v>
      </c>
      <c r="H66" s="18">
        <f t="shared" si="40"/>
        <v>28.7876716032258</v>
      </c>
      <c r="I66" s="18">
        <f t="shared" si="41"/>
        <v>301.937671603226</v>
      </c>
      <c r="J66" s="18">
        <f t="shared" si="42"/>
        <v>0.521450396952251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5"/>
        <v>6.14837224079552</v>
      </c>
      <c r="P66" s="18">
        <f t="shared" si="45"/>
        <v>3.20607114557302</v>
      </c>
      <c r="Q66" s="24">
        <f t="shared" si="46"/>
        <v>0.929760632216177</v>
      </c>
      <c r="R66" s="18">
        <f t="shared" si="47"/>
        <v>0.80117865</v>
      </c>
      <c r="S66" s="25">
        <f t="shared" si="48"/>
        <v>1.16049102433793</v>
      </c>
      <c r="T66" s="3">
        <v>0.27</v>
      </c>
      <c r="U66" s="26">
        <f t="shared" si="49"/>
        <v>0.31333257657124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0.336080519627792</v>
      </c>
      <c r="AC66" s="29">
        <f t="shared" si="51"/>
        <v>10.2321666666667</v>
      </c>
      <c r="AD66" s="1">
        <f t="shared" si="52"/>
        <v>0.29</v>
      </c>
      <c r="AE66" s="30">
        <f t="shared" si="56"/>
        <v>105.036179279779</v>
      </c>
      <c r="AF66" s="1">
        <f t="shared" si="53"/>
        <v>3612017.62937479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19">
        <v>24.1222472753333</v>
      </c>
      <c r="E67" s="20">
        <f t="shared" si="54"/>
        <v>28.7876716032258</v>
      </c>
      <c r="F67" s="16" t="s">
        <v>110</v>
      </c>
      <c r="G67" s="13">
        <v>10</v>
      </c>
      <c r="H67" s="18">
        <f t="shared" si="40"/>
        <v>24.1222472753333</v>
      </c>
      <c r="I67" s="18">
        <f t="shared" si="41"/>
        <v>297.272247275333</v>
      </c>
      <c r="J67" s="18">
        <f t="shared" si="42"/>
        <v>0.314352643815034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5"/>
        <v>5.70498609522249</v>
      </c>
      <c r="P67" s="18">
        <f t="shared" si="45"/>
        <v>1.7933774619612</v>
      </c>
      <c r="Q67" s="24">
        <f t="shared" si="46"/>
        <v>0.520079463968747</v>
      </c>
      <c r="R67" s="18">
        <f t="shared" si="47"/>
        <v>0.80117865</v>
      </c>
      <c r="S67" s="25">
        <f t="shared" si="48"/>
        <v>0.649142939553803</v>
      </c>
      <c r="T67" s="3">
        <v>0.27</v>
      </c>
      <c r="U67" s="26">
        <f t="shared" si="49"/>
        <v>0.175268593679527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0.309254687751932</v>
      </c>
      <c r="AC67" s="29">
        <f t="shared" si="51"/>
        <v>10.2321666666667</v>
      </c>
      <c r="AD67" s="1">
        <f t="shared" si="52"/>
        <v>0.29</v>
      </c>
      <c r="AE67" s="30">
        <f t="shared" si="56"/>
        <v>105.036179279779</v>
      </c>
      <c r="AF67" s="1">
        <f t="shared" si="53"/>
        <v>3323707.62031636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19">
        <v>20.6886343251613</v>
      </c>
      <c r="E68" s="20">
        <f t="shared" si="54"/>
        <v>24.1222472753333</v>
      </c>
      <c r="F68" s="16" t="s">
        <v>110</v>
      </c>
      <c r="G68" s="13">
        <v>11</v>
      </c>
      <c r="H68" s="18">
        <f t="shared" si="40"/>
        <v>20.6886343251613</v>
      </c>
      <c r="I68" s="18">
        <f t="shared" si="41"/>
        <v>293.838634325161</v>
      </c>
      <c r="J68" s="18">
        <f t="shared" si="42"/>
        <v>0.214385422868799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3.71602820159823</v>
      </c>
      <c r="O68" s="18">
        <f t="shared" si="55"/>
        <v>2.95826543166306</v>
      </c>
      <c r="P68" s="18">
        <f t="shared" si="45"/>
        <v>0.634208985525236</v>
      </c>
      <c r="Q68" s="24">
        <f t="shared" si="46"/>
        <v>0.183920605802319</v>
      </c>
      <c r="R68" s="18">
        <f t="shared" si="47"/>
        <v>0.80117865</v>
      </c>
      <c r="S68" s="25">
        <f t="shared" si="48"/>
        <v>0.229562539893342</v>
      </c>
      <c r="T68" s="3">
        <v>0.27</v>
      </c>
      <c r="U68" s="26">
        <f t="shared" si="49"/>
        <v>0.0619818857712022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0.238443080405345</v>
      </c>
      <c r="AC68" s="29">
        <f t="shared" si="51"/>
        <v>10.2321666666667</v>
      </c>
      <c r="AD68" s="1">
        <f t="shared" si="52"/>
        <v>0.29</v>
      </c>
      <c r="AE68" s="30">
        <f t="shared" si="56"/>
        <v>105.036179279779</v>
      </c>
      <c r="AF68" s="1">
        <f t="shared" si="53"/>
        <v>2562661.50439299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19">
        <v>13.4512099112</v>
      </c>
      <c r="E69" s="20">
        <f t="shared" si="54"/>
        <v>20.6886343251613</v>
      </c>
      <c r="F69" s="16" t="s">
        <v>112</v>
      </c>
      <c r="G69" s="13">
        <v>12</v>
      </c>
      <c r="H69" s="18">
        <f t="shared" si="40"/>
        <v>13.4512099112</v>
      </c>
      <c r="I69" s="18">
        <f t="shared" si="41"/>
        <v>286.6012099112</v>
      </c>
      <c r="J69" s="18">
        <f t="shared" si="42"/>
        <v>0.0928506564710541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5"/>
        <v>5.08674144613783</v>
      </c>
      <c r="P69" s="18">
        <f t="shared" si="45"/>
        <v>0.472307282572416</v>
      </c>
      <c r="Q69" s="24">
        <f t="shared" si="46"/>
        <v>0.136969111946001</v>
      </c>
      <c r="R69" s="18">
        <f t="shared" si="47"/>
        <v>0.80117865</v>
      </c>
      <c r="S69" s="25">
        <f t="shared" si="48"/>
        <v>0.170959513144791</v>
      </c>
      <c r="T69" s="3">
        <v>0.27</v>
      </c>
      <c r="U69" s="26">
        <f t="shared" si="49"/>
        <v>0.0461590685490935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0.235368707019089</v>
      </c>
      <c r="AC69" s="29">
        <f t="shared" si="51"/>
        <v>10.2321666666667</v>
      </c>
      <c r="AD69" s="1">
        <f t="shared" si="52"/>
        <v>0.29</v>
      </c>
      <c r="AE69" s="30">
        <f t="shared" si="56"/>
        <v>105.036179279779</v>
      </c>
      <c r="AF69" s="1">
        <f t="shared" si="53"/>
        <v>2529619.74736781</v>
      </c>
      <c r="AG69" s="1">
        <f>SUM(AF58:AF69)</f>
        <v>36564552.5610209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19">
        <v>9.50897475548387</v>
      </c>
      <c r="E70" s="20">
        <f t="shared" si="54"/>
        <v>13.4512099112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7</v>
      </c>
      <c r="E74" s="16"/>
      <c r="F74" s="16"/>
      <c r="G74" s="13">
        <v>1</v>
      </c>
      <c r="H74" s="18">
        <f t="shared" ref="H74:H85" si="57">E75</f>
        <v>7</v>
      </c>
      <c r="I74" s="18">
        <f t="shared" ref="I74:I85" si="58">H74+273.15</f>
        <v>280.15</v>
      </c>
      <c r="J74" s="18">
        <f t="shared" ref="J74:J85" si="59">EXP(($C$16*(I74-$C$14))/($C$17*I74*$C$14))</f>
        <v>0.0424643715341541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0.0221332797310318</v>
      </c>
      <c r="Q74" s="24">
        <f t="shared" ref="Q74:Q85" si="63">P74*$B$76</f>
        <v>0.00575465273006827</v>
      </c>
      <c r="R74" s="18">
        <f t="shared" ref="R74:R85" si="64">L74*$B$76</f>
        <v>0.1355172</v>
      </c>
      <c r="S74" s="25">
        <f t="shared" ref="S74:S85" si="65">Q74/R74</f>
        <v>0.0424643715341541</v>
      </c>
      <c r="T74" s="3">
        <v>0.01</v>
      </c>
      <c r="U74" s="26">
        <f t="shared" ref="U74:U85" si="66">S74*T74</f>
        <v>0.000424643715341541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0.00591464371534154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5.51873431574194</v>
      </c>
      <c r="E75" s="20">
        <f t="shared" ref="E75:E86" si="74">D74</f>
        <v>7</v>
      </c>
      <c r="F75" s="16" t="s">
        <v>110</v>
      </c>
      <c r="G75" s="13">
        <v>2</v>
      </c>
      <c r="H75" s="18">
        <f t="shared" si="57"/>
        <v>5.51873431574194</v>
      </c>
      <c r="I75" s="18">
        <f t="shared" si="58"/>
        <v>278.668734315742</v>
      </c>
      <c r="J75" s="18">
        <f t="shared" si="59"/>
        <v>0.0353013644123957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1.02030672026897</v>
      </c>
      <c r="P75" s="18">
        <f t="shared" si="62"/>
        <v>0.0360182193446311</v>
      </c>
      <c r="Q75" s="24">
        <f t="shared" si="63"/>
        <v>0.00936473702960409</v>
      </c>
      <c r="R75" s="18">
        <f t="shared" si="64"/>
        <v>0.1355172</v>
      </c>
      <c r="S75" s="25">
        <f t="shared" si="65"/>
        <v>0.0691036785707209</v>
      </c>
      <c r="T75" s="3">
        <v>0.01</v>
      </c>
      <c r="U75" s="26">
        <f t="shared" si="66"/>
        <v>0.000691036785707209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0.00618103678570721</v>
      </c>
      <c r="AU75" s="29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7.61869443693103</v>
      </c>
      <c r="E76" s="20">
        <f t="shared" si="74"/>
        <v>5.51873431574194</v>
      </c>
      <c r="F76" s="16" t="s">
        <v>110</v>
      </c>
      <c r="G76" s="13">
        <v>3</v>
      </c>
      <c r="H76" s="18">
        <f t="shared" si="57"/>
        <v>7.61869443693103</v>
      </c>
      <c r="I76" s="18">
        <f t="shared" si="58"/>
        <v>280.768694436931</v>
      </c>
      <c r="J76" s="18">
        <f t="shared" si="59"/>
        <v>0.0458443510322961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1.50550850092434</v>
      </c>
      <c r="P76" s="18">
        <f t="shared" si="62"/>
        <v>0.0690190601984812</v>
      </c>
      <c r="Q76" s="24">
        <f t="shared" si="63"/>
        <v>0.0179449556516051</v>
      </c>
      <c r="R76" s="18">
        <f t="shared" si="64"/>
        <v>0.1355172</v>
      </c>
      <c r="S76" s="25">
        <f t="shared" si="65"/>
        <v>0.132418288243892</v>
      </c>
      <c r="T76" s="3">
        <v>0.01</v>
      </c>
      <c r="U76" s="26">
        <f t="shared" si="66"/>
        <v>0.00132418288243892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0.00681418288243892</v>
      </c>
      <c r="AU76" s="29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9">
        <v>11.6382234590645</v>
      </c>
      <c r="E77" s="20">
        <f t="shared" si="74"/>
        <v>7.61869443693103</v>
      </c>
      <c r="F77" s="16" t="s">
        <v>110</v>
      </c>
      <c r="G77" s="13">
        <v>4</v>
      </c>
      <c r="H77" s="18">
        <f t="shared" si="57"/>
        <v>11.6382234590645</v>
      </c>
      <c r="I77" s="18">
        <f t="shared" si="58"/>
        <v>284.788223459064</v>
      </c>
      <c r="J77" s="18">
        <f t="shared" si="59"/>
        <v>0.0747923335875189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1.95770944072586</v>
      </c>
      <c r="P77" s="18">
        <f t="shared" si="62"/>
        <v>0.146421657558203</v>
      </c>
      <c r="Q77" s="24">
        <f t="shared" si="63"/>
        <v>0.0380696309651328</v>
      </c>
      <c r="R77" s="18">
        <f t="shared" si="64"/>
        <v>0.1355172</v>
      </c>
      <c r="S77" s="25">
        <f t="shared" si="65"/>
        <v>0.280921026741497</v>
      </c>
      <c r="T77" s="3">
        <v>0.01</v>
      </c>
      <c r="U77" s="26">
        <f t="shared" si="66"/>
        <v>0.00280921026741497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0.010799210267415</v>
      </c>
      <c r="AU77" s="29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9">
        <v>17.5330488863333</v>
      </c>
      <c r="E78" s="20">
        <f t="shared" si="74"/>
        <v>11.6382234590645</v>
      </c>
      <c r="F78" s="16" t="s">
        <v>110</v>
      </c>
      <c r="G78" s="13">
        <v>5</v>
      </c>
      <c r="H78" s="18">
        <f t="shared" si="57"/>
        <v>17.5330488863333</v>
      </c>
      <c r="I78" s="18">
        <f t="shared" si="58"/>
        <v>290.683048886333</v>
      </c>
      <c r="J78" s="18">
        <f t="shared" si="59"/>
        <v>0.149613207876862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1.72072339400927</v>
      </c>
      <c r="O78" s="18">
        <f t="shared" si="75"/>
        <v>0.611784389158383</v>
      </c>
      <c r="P78" s="18">
        <f t="shared" si="62"/>
        <v>0.0915310249909721</v>
      </c>
      <c r="Q78" s="24">
        <f t="shared" si="63"/>
        <v>0.0237980664976528</v>
      </c>
      <c r="R78" s="18">
        <f t="shared" si="64"/>
        <v>0.1355172</v>
      </c>
      <c r="S78" s="25">
        <f t="shared" si="65"/>
        <v>0.175609195715767</v>
      </c>
      <c r="T78" s="3">
        <v>0.01</v>
      </c>
      <c r="U78" s="26">
        <f t="shared" si="66"/>
        <v>0.00175609195715767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0.0117060919571577</v>
      </c>
      <c r="AU78" s="29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9">
        <v>21.4172552616129</v>
      </c>
      <c r="E79" s="20">
        <f t="shared" si="74"/>
        <v>17.5330488863333</v>
      </c>
      <c r="F79" s="16" t="s">
        <v>112</v>
      </c>
      <c r="G79" s="13">
        <v>6</v>
      </c>
      <c r="H79" s="18">
        <f t="shared" si="57"/>
        <v>21.4172552616129</v>
      </c>
      <c r="I79" s="18">
        <f t="shared" si="58"/>
        <v>294.567255261613</v>
      </c>
      <c r="J79" s="18">
        <f t="shared" si="59"/>
        <v>0.232697565112625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1.04147336416741</v>
      </c>
      <c r="P79" s="18">
        <f t="shared" si="62"/>
        <v>0.242348315971411</v>
      </c>
      <c r="Q79" s="24">
        <f t="shared" si="63"/>
        <v>0.0630105621525668</v>
      </c>
      <c r="R79" s="18">
        <f t="shared" si="64"/>
        <v>0.1355172</v>
      </c>
      <c r="S79" s="25">
        <f t="shared" si="65"/>
        <v>0.46496357770502</v>
      </c>
      <c r="T79" s="3">
        <v>0.01</v>
      </c>
      <c r="U79" s="26">
        <f t="shared" si="66"/>
        <v>0.0046496357770502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0.0145996357770502</v>
      </c>
      <c r="AU79" s="29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9">
        <v>24.9026563486667</v>
      </c>
      <c r="E80" s="20">
        <f t="shared" si="74"/>
        <v>21.4172552616129</v>
      </c>
      <c r="F80" s="16" t="s">
        <v>110</v>
      </c>
      <c r="G80" s="13">
        <v>7</v>
      </c>
      <c r="H80" s="18">
        <f t="shared" si="57"/>
        <v>24.9026563486667</v>
      </c>
      <c r="I80" s="18">
        <f t="shared" si="58"/>
        <v>298.052656348667</v>
      </c>
      <c r="J80" s="18">
        <f t="shared" si="59"/>
        <v>0.342501692067074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1.320345048196</v>
      </c>
      <c r="P80" s="18">
        <f t="shared" si="62"/>
        <v>0.452220413119512</v>
      </c>
      <c r="Q80" s="24">
        <f t="shared" si="63"/>
        <v>0.117577307411073</v>
      </c>
      <c r="R80" s="18">
        <f t="shared" si="64"/>
        <v>0.1355172</v>
      </c>
      <c r="S80" s="25">
        <f t="shared" si="65"/>
        <v>0.867619072789824</v>
      </c>
      <c r="T80" s="3">
        <v>0.01</v>
      </c>
      <c r="U80" s="26">
        <f t="shared" si="66"/>
        <v>0.00867619072789824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0.0211261907278982</v>
      </c>
      <c r="AU80" s="29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9">
        <v>29.1195678941935</v>
      </c>
      <c r="E81" s="20">
        <f t="shared" si="74"/>
        <v>24.9026563486667</v>
      </c>
      <c r="F81" s="16" t="s">
        <v>110</v>
      </c>
      <c r="G81" s="13">
        <v>8</v>
      </c>
      <c r="H81" s="18">
        <f t="shared" si="57"/>
        <v>29.1195678941935</v>
      </c>
      <c r="I81" s="18">
        <f t="shared" si="58"/>
        <v>302.269567894193</v>
      </c>
      <c r="J81" s="18">
        <f t="shared" si="59"/>
        <v>0.540244905119096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1.38934463507649</v>
      </c>
      <c r="P81" s="18">
        <f t="shared" si="62"/>
        <v>0.750586360554622</v>
      </c>
      <c r="Q81" s="24">
        <f t="shared" si="63"/>
        <v>0.195152453744202</v>
      </c>
      <c r="R81" s="18">
        <f t="shared" si="64"/>
        <v>0.1355172</v>
      </c>
      <c r="S81" s="25">
        <f t="shared" si="65"/>
        <v>1.44005671416028</v>
      </c>
      <c r="T81" s="3">
        <v>0.01</v>
      </c>
      <c r="U81" s="26">
        <f t="shared" si="66"/>
        <v>0.0144005671416028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0.0268505671416028</v>
      </c>
      <c r="AU81" s="29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9">
        <v>28.7876716032258</v>
      </c>
      <c r="E82" s="20">
        <f t="shared" si="74"/>
        <v>29.1195678941935</v>
      </c>
      <c r="F82" s="16" t="s">
        <v>110</v>
      </c>
      <c r="G82" s="13">
        <v>9</v>
      </c>
      <c r="H82" s="18">
        <f t="shared" si="57"/>
        <v>28.7876716032258</v>
      </c>
      <c r="I82" s="18">
        <f t="shared" si="58"/>
        <v>301.937671603226</v>
      </c>
      <c r="J82" s="18">
        <f t="shared" si="59"/>
        <v>0.521450396952251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1.15997827452187</v>
      </c>
      <c r="P82" s="18">
        <f t="shared" si="62"/>
        <v>0.604871131705414</v>
      </c>
      <c r="Q82" s="24">
        <f t="shared" si="63"/>
        <v>0.157266494243408</v>
      </c>
      <c r="R82" s="18">
        <f t="shared" si="64"/>
        <v>0.1355172</v>
      </c>
      <c r="S82" s="25">
        <f t="shared" si="65"/>
        <v>1.16049102433793</v>
      </c>
      <c r="T82" s="3">
        <v>0.01</v>
      </c>
      <c r="U82" s="26">
        <f t="shared" si="66"/>
        <v>0.0116049102433793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0.0215549102433793</v>
      </c>
      <c r="AU82" s="29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9">
        <v>24.1222472753333</v>
      </c>
      <c r="E83" s="20">
        <f t="shared" si="74"/>
        <v>28.7876716032258</v>
      </c>
      <c r="F83" s="16" t="s">
        <v>110</v>
      </c>
      <c r="G83" s="13">
        <v>10</v>
      </c>
      <c r="H83" s="18">
        <f t="shared" si="57"/>
        <v>24.1222472753333</v>
      </c>
      <c r="I83" s="18">
        <f t="shared" si="58"/>
        <v>297.272247275333</v>
      </c>
      <c r="J83" s="18">
        <f t="shared" si="59"/>
        <v>0.314352643815034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1.07632714281645</v>
      </c>
      <c r="P83" s="18">
        <f t="shared" si="62"/>
        <v>0.338346282954233</v>
      </c>
      <c r="Q83" s="24">
        <f t="shared" si="63"/>
        <v>0.0879700335681007</v>
      </c>
      <c r="R83" s="18">
        <f t="shared" si="64"/>
        <v>0.1355172</v>
      </c>
      <c r="S83" s="25">
        <f t="shared" si="65"/>
        <v>0.649142939553803</v>
      </c>
      <c r="T83" s="3">
        <v>0.01</v>
      </c>
      <c r="U83" s="26">
        <f t="shared" si="66"/>
        <v>0.00649142939553803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0.016441429395538</v>
      </c>
      <c r="AU83" s="29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9">
        <v>20.6886343251613</v>
      </c>
      <c r="E84" s="20">
        <f t="shared" si="74"/>
        <v>24.1222472753333</v>
      </c>
      <c r="F84" s="16" t="s">
        <v>110</v>
      </c>
      <c r="G84" s="13">
        <v>11</v>
      </c>
      <c r="H84" s="18">
        <f t="shared" si="57"/>
        <v>20.6886343251613</v>
      </c>
      <c r="I84" s="18">
        <f t="shared" si="58"/>
        <v>293.838634325161</v>
      </c>
      <c r="J84" s="18">
        <f t="shared" si="59"/>
        <v>0.214385422868799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0.701081816869108</v>
      </c>
      <c r="O84" s="18">
        <f t="shared" si="75"/>
        <v>0.558119042993111</v>
      </c>
      <c r="P84" s="18">
        <f t="shared" si="62"/>
        <v>0.119652587043207</v>
      </c>
      <c r="Q84" s="24">
        <f t="shared" si="63"/>
        <v>0.0311096726312339</v>
      </c>
      <c r="R84" s="18">
        <f t="shared" si="64"/>
        <v>0.1355172</v>
      </c>
      <c r="S84" s="25">
        <f t="shared" si="65"/>
        <v>0.229562539893342</v>
      </c>
      <c r="T84" s="3">
        <v>0.01</v>
      </c>
      <c r="U84" s="26">
        <f t="shared" si="66"/>
        <v>0.00229562539893342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0.00974562539893341</v>
      </c>
      <c r="AU84" s="29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9">
        <v>13.4512099112</v>
      </c>
      <c r="E85" s="20">
        <f t="shared" si="74"/>
        <v>20.6886343251613</v>
      </c>
      <c r="F85" s="16" t="s">
        <v>112</v>
      </c>
      <c r="G85" s="13">
        <v>12</v>
      </c>
      <c r="H85" s="18">
        <f t="shared" si="57"/>
        <v>13.4512099112</v>
      </c>
      <c r="I85" s="18">
        <f t="shared" si="58"/>
        <v>286.6012099112</v>
      </c>
      <c r="J85" s="18">
        <f t="shared" si="59"/>
        <v>0.0928506564710541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0.959686455949903</v>
      </c>
      <c r="P85" s="18">
        <f t="shared" si="62"/>
        <v>0.0891075174413279</v>
      </c>
      <c r="Q85" s="24">
        <f t="shared" si="63"/>
        <v>0.0231679545347452</v>
      </c>
      <c r="R85" s="18">
        <f t="shared" si="64"/>
        <v>0.1355172</v>
      </c>
      <c r="S85" s="25">
        <f t="shared" si="65"/>
        <v>0.170959513144791</v>
      </c>
      <c r="T85" s="3">
        <v>0.01</v>
      </c>
      <c r="U85" s="26">
        <f t="shared" si="66"/>
        <v>0.00170959513144791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0.00915959513144791</v>
      </c>
      <c r="AU85" s="29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9">
        <v>9.50897475548387</v>
      </c>
      <c r="E86" s="20">
        <f t="shared" si="74"/>
        <v>13.4512099112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7</v>
      </c>
      <c r="E90" s="16"/>
      <c r="F90" s="16"/>
      <c r="G90" s="13">
        <v>1</v>
      </c>
      <c r="H90" s="18">
        <f t="shared" ref="H90:H101" si="76">E91</f>
        <v>7</v>
      </c>
      <c r="I90" s="18">
        <f t="shared" ref="I90:I101" si="77">H90+273.15</f>
        <v>280.15</v>
      </c>
      <c r="J90" s="18">
        <f t="shared" ref="J90:J101" si="78">EXP(($C$16*(I90-$C$14))/($C$17*I90*$C$14))</f>
        <v>0.0424643715341541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0.0120896065757737</v>
      </c>
      <c r="Q90" s="24">
        <f t="shared" ref="Q90:Q101" si="82">P90*$B$76</f>
        <v>0.00314329770970115</v>
      </c>
      <c r="R90" s="18">
        <f t="shared" ref="R90:R101" si="83">L90*$B$76</f>
        <v>0.074022</v>
      </c>
      <c r="S90" s="25">
        <f t="shared" ref="S90:S101" si="84">Q90/R90</f>
        <v>0.0424643715341541</v>
      </c>
      <c r="T90" s="3">
        <v>0.01</v>
      </c>
      <c r="U90" s="26">
        <f t="shared" ref="U90:U101" si="85">S90*T90</f>
        <v>0.000424643715341541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0.00591464371534154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5.51873431574194</v>
      </c>
      <c r="E91" s="20">
        <f t="shared" ref="E91:E102" si="95">D90</f>
        <v>7</v>
      </c>
      <c r="F91" s="16" t="s">
        <v>110</v>
      </c>
      <c r="G91" s="13">
        <v>2</v>
      </c>
      <c r="H91" s="18">
        <f t="shared" si="76"/>
        <v>5.51873431574194</v>
      </c>
      <c r="I91" s="18">
        <f t="shared" si="77"/>
        <v>278.668734315742</v>
      </c>
      <c r="J91" s="18">
        <f t="shared" si="78"/>
        <v>0.0353013644123957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0.557310393424226</v>
      </c>
      <c r="P91" s="18">
        <f t="shared" si="81"/>
        <v>0.0196738172890842</v>
      </c>
      <c r="Q91" s="24">
        <f t="shared" si="82"/>
        <v>0.0051151924951619</v>
      </c>
      <c r="R91" s="18">
        <f t="shared" si="83"/>
        <v>0.074022</v>
      </c>
      <c r="S91" s="25">
        <f t="shared" si="84"/>
        <v>0.0691036785707209</v>
      </c>
      <c r="T91" s="3">
        <v>0.01</v>
      </c>
      <c r="U91" s="26">
        <f t="shared" si="85"/>
        <v>0.000691036785707209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0.00618103678570721</v>
      </c>
      <c r="AU91" s="29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7.61869443693103</v>
      </c>
      <c r="E92" s="20">
        <f t="shared" si="95"/>
        <v>5.51873431574194</v>
      </c>
      <c r="F92" s="16" t="s">
        <v>110</v>
      </c>
      <c r="G92" s="13">
        <v>3</v>
      </c>
      <c r="H92" s="18">
        <f t="shared" si="76"/>
        <v>7.61869443693103</v>
      </c>
      <c r="I92" s="18">
        <f t="shared" si="77"/>
        <v>280.768694436931</v>
      </c>
      <c r="J92" s="18">
        <f t="shared" si="78"/>
        <v>0.0458443510322961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0.822336576135142</v>
      </c>
      <c r="P92" s="18">
        <f t="shared" si="81"/>
        <v>0.0376994866630359</v>
      </c>
      <c r="Q92" s="24">
        <f t="shared" si="82"/>
        <v>0.00980186653238935</v>
      </c>
      <c r="R92" s="18">
        <f t="shared" si="83"/>
        <v>0.074022</v>
      </c>
      <c r="S92" s="25">
        <f t="shared" si="84"/>
        <v>0.132418288243892</v>
      </c>
      <c r="T92" s="3">
        <v>0.01</v>
      </c>
      <c r="U92" s="26">
        <f t="shared" si="85"/>
        <v>0.00132418288243892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0.00681418288243892</v>
      </c>
      <c r="AU92" s="29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9">
        <v>11.6382234590645</v>
      </c>
      <c r="E93" s="20">
        <f t="shared" si="95"/>
        <v>7.61869443693103</v>
      </c>
      <c r="F93" s="16" t="s">
        <v>110</v>
      </c>
      <c r="G93" s="13">
        <v>4</v>
      </c>
      <c r="H93" s="18">
        <f t="shared" si="76"/>
        <v>11.6382234590645</v>
      </c>
      <c r="I93" s="18">
        <f t="shared" si="77"/>
        <v>284.788223459064</v>
      </c>
      <c r="J93" s="18">
        <f t="shared" si="78"/>
        <v>0.0747923335875189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1.06933708947211</v>
      </c>
      <c r="P93" s="18">
        <f t="shared" si="81"/>
        <v>0.0799782163133043</v>
      </c>
      <c r="Q93" s="24">
        <f t="shared" si="82"/>
        <v>0.0207943362414591</v>
      </c>
      <c r="R93" s="18">
        <f t="shared" si="83"/>
        <v>0.074022</v>
      </c>
      <c r="S93" s="25">
        <f t="shared" si="84"/>
        <v>0.280921026741497</v>
      </c>
      <c r="T93" s="3">
        <v>0.01</v>
      </c>
      <c r="U93" s="26">
        <f t="shared" si="85"/>
        <v>0.00280921026741497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0.012759210267415</v>
      </c>
      <c r="AU93" s="29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9">
        <v>17.5330488863333</v>
      </c>
      <c r="E94" s="20">
        <f t="shared" si="95"/>
        <v>11.6382234590645</v>
      </c>
      <c r="F94" s="16" t="s">
        <v>110</v>
      </c>
      <c r="G94" s="13">
        <v>5</v>
      </c>
      <c r="H94" s="18">
        <f t="shared" si="76"/>
        <v>17.5330488863333</v>
      </c>
      <c r="I94" s="18">
        <f t="shared" si="77"/>
        <v>290.683048886333</v>
      </c>
      <c r="J94" s="18">
        <f t="shared" si="78"/>
        <v>0.149613207876862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0.939890929500862</v>
      </c>
      <c r="O94" s="18">
        <f t="shared" si="96"/>
        <v>0.33416794365794</v>
      </c>
      <c r="P94" s="18">
        <f t="shared" si="81"/>
        <v>0.0499959380202789</v>
      </c>
      <c r="Q94" s="24">
        <f t="shared" si="82"/>
        <v>0.0129989438852725</v>
      </c>
      <c r="R94" s="18">
        <f t="shared" si="83"/>
        <v>0.074022</v>
      </c>
      <c r="S94" s="25">
        <f t="shared" si="84"/>
        <v>0.175609195715767</v>
      </c>
      <c r="T94" s="3">
        <v>0.01</v>
      </c>
      <c r="U94" s="26">
        <f t="shared" si="85"/>
        <v>0.00175609195715767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0.0117060919571577</v>
      </c>
      <c r="AU94" s="29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9">
        <v>21.4172552616129</v>
      </c>
      <c r="E95" s="20">
        <f t="shared" si="95"/>
        <v>17.5330488863333</v>
      </c>
      <c r="F95" s="16" t="s">
        <v>112</v>
      </c>
      <c r="G95" s="13">
        <v>6</v>
      </c>
      <c r="H95" s="18">
        <f t="shared" si="76"/>
        <v>21.4172552616129</v>
      </c>
      <c r="I95" s="18">
        <f t="shared" si="77"/>
        <v>294.567255261613</v>
      </c>
      <c r="J95" s="18">
        <f t="shared" si="78"/>
        <v>0.232697565112625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0.568872005637661</v>
      </c>
      <c r="P95" s="18">
        <f t="shared" si="81"/>
        <v>0.132375130572619</v>
      </c>
      <c r="Q95" s="24">
        <f t="shared" si="82"/>
        <v>0.034417533948881</v>
      </c>
      <c r="R95" s="18">
        <f t="shared" si="83"/>
        <v>0.074022</v>
      </c>
      <c r="S95" s="25">
        <f t="shared" si="84"/>
        <v>0.46496357770502</v>
      </c>
      <c r="T95" s="3">
        <v>0.01</v>
      </c>
      <c r="U95" s="26">
        <f t="shared" si="85"/>
        <v>0.0046496357770502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0.0145996357770502</v>
      </c>
      <c r="AU95" s="29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9">
        <v>24.9026563486667</v>
      </c>
      <c r="E96" s="20">
        <f t="shared" si="95"/>
        <v>21.4172552616129</v>
      </c>
      <c r="F96" s="16" t="s">
        <v>110</v>
      </c>
      <c r="G96" s="13">
        <v>7</v>
      </c>
      <c r="H96" s="18">
        <f t="shared" si="76"/>
        <v>24.9026563486667</v>
      </c>
      <c r="I96" s="18">
        <f t="shared" si="77"/>
        <v>298.052656348667</v>
      </c>
      <c r="J96" s="18">
        <f t="shared" si="78"/>
        <v>0.342501692067074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0.721196875065042</v>
      </c>
      <c r="P96" s="18">
        <f t="shared" si="81"/>
        <v>0.247011150023263</v>
      </c>
      <c r="Q96" s="24">
        <f t="shared" si="82"/>
        <v>0.0642228990060484</v>
      </c>
      <c r="R96" s="18">
        <f t="shared" si="83"/>
        <v>0.074022</v>
      </c>
      <c r="S96" s="25">
        <f t="shared" si="84"/>
        <v>0.867619072789824</v>
      </c>
      <c r="T96" s="3">
        <v>0.01</v>
      </c>
      <c r="U96" s="26">
        <f t="shared" si="85"/>
        <v>0.00867619072789824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0.0235761907278982</v>
      </c>
      <c r="AU96" s="29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9">
        <v>29.1195678941935</v>
      </c>
      <c r="E97" s="20">
        <f t="shared" si="95"/>
        <v>24.9026563486667</v>
      </c>
      <c r="F97" s="16" t="s">
        <v>110</v>
      </c>
      <c r="G97" s="13">
        <v>8</v>
      </c>
      <c r="H97" s="18">
        <f t="shared" si="76"/>
        <v>29.1195678941935</v>
      </c>
      <c r="I97" s="18">
        <f t="shared" si="77"/>
        <v>302.269567894193</v>
      </c>
      <c r="J97" s="18">
        <f t="shared" si="78"/>
        <v>0.540244905119096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0.758885725041779</v>
      </c>
      <c r="P97" s="18">
        <f t="shared" si="81"/>
        <v>0.409984146521432</v>
      </c>
      <c r="Q97" s="24">
        <f t="shared" si="82"/>
        <v>0.106595878095572</v>
      </c>
      <c r="R97" s="18">
        <f t="shared" si="83"/>
        <v>0.074022</v>
      </c>
      <c r="S97" s="25">
        <f t="shared" si="84"/>
        <v>1.44005671416028</v>
      </c>
      <c r="T97" s="3">
        <v>0.01</v>
      </c>
      <c r="U97" s="26">
        <f t="shared" si="85"/>
        <v>0.0144005671416028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0.0293005671416028</v>
      </c>
      <c r="AU97" s="29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9">
        <v>28.7876716032258</v>
      </c>
      <c r="E98" s="20">
        <f t="shared" si="95"/>
        <v>29.1195678941935</v>
      </c>
      <c r="F98" s="16" t="s">
        <v>110</v>
      </c>
      <c r="G98" s="13">
        <v>9</v>
      </c>
      <c r="H98" s="18">
        <f t="shared" si="76"/>
        <v>28.7876716032258</v>
      </c>
      <c r="I98" s="18">
        <f t="shared" si="77"/>
        <v>301.937671603226</v>
      </c>
      <c r="J98" s="18">
        <f t="shared" si="78"/>
        <v>0.521450396952251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0.633601578520347</v>
      </c>
      <c r="P98" s="18">
        <f t="shared" si="81"/>
        <v>0.330391794629008</v>
      </c>
      <c r="Q98" s="24">
        <f t="shared" si="82"/>
        <v>0.085901866603542</v>
      </c>
      <c r="R98" s="18">
        <f t="shared" si="83"/>
        <v>0.074022</v>
      </c>
      <c r="S98" s="25">
        <f t="shared" si="84"/>
        <v>1.16049102433793</v>
      </c>
      <c r="T98" s="3">
        <v>0.01</v>
      </c>
      <c r="U98" s="26">
        <f t="shared" si="85"/>
        <v>0.0116049102433793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0.0215549102433793</v>
      </c>
      <c r="AU98" s="29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9">
        <v>24.1222472753333</v>
      </c>
      <c r="E99" s="20">
        <f t="shared" si="95"/>
        <v>28.7876716032258</v>
      </c>
      <c r="F99" s="16" t="s">
        <v>110</v>
      </c>
      <c r="G99" s="13">
        <v>10</v>
      </c>
      <c r="H99" s="18">
        <f t="shared" si="76"/>
        <v>24.1222472753333</v>
      </c>
      <c r="I99" s="18">
        <f t="shared" si="77"/>
        <v>297.272247275333</v>
      </c>
      <c r="J99" s="18">
        <f t="shared" si="78"/>
        <v>0.314352643815034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0.587909783891339</v>
      </c>
      <c r="P99" s="18">
        <f t="shared" si="81"/>
        <v>0.184810994890968</v>
      </c>
      <c r="Q99" s="24">
        <f t="shared" si="82"/>
        <v>0.0480508586716516</v>
      </c>
      <c r="R99" s="18">
        <f t="shared" si="83"/>
        <v>0.074022</v>
      </c>
      <c r="S99" s="25">
        <f t="shared" si="84"/>
        <v>0.649142939553803</v>
      </c>
      <c r="T99" s="3">
        <v>0.01</v>
      </c>
      <c r="U99" s="26">
        <f t="shared" si="85"/>
        <v>0.00649142939553803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0.016441429395538</v>
      </c>
      <c r="AU99" s="29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9">
        <v>20.6886343251613</v>
      </c>
      <c r="E100" s="20">
        <f t="shared" si="95"/>
        <v>24.1222472753333</v>
      </c>
      <c r="F100" s="16" t="s">
        <v>110</v>
      </c>
      <c r="G100" s="13">
        <v>11</v>
      </c>
      <c r="H100" s="18">
        <f t="shared" si="76"/>
        <v>20.6886343251613</v>
      </c>
      <c r="I100" s="18">
        <f t="shared" si="77"/>
        <v>293.838634325161</v>
      </c>
      <c r="J100" s="18">
        <f t="shared" si="78"/>
        <v>0.214385422868799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0.382943849550353</v>
      </c>
      <c r="O100" s="18">
        <f t="shared" si="96"/>
        <v>0.304854939450018</v>
      </c>
      <c r="P100" s="18">
        <f t="shared" si="81"/>
        <v>0.0653564551076343</v>
      </c>
      <c r="Q100" s="24">
        <f t="shared" si="82"/>
        <v>0.0169926783279849</v>
      </c>
      <c r="R100" s="18">
        <f t="shared" si="83"/>
        <v>0.074022</v>
      </c>
      <c r="S100" s="25">
        <f t="shared" si="84"/>
        <v>0.229562539893341</v>
      </c>
      <c r="T100" s="3">
        <v>0.01</v>
      </c>
      <c r="U100" s="26">
        <f t="shared" si="85"/>
        <v>0.00229562539893341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0.00778562539893341</v>
      </c>
      <c r="AU100" s="29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9">
        <v>13.4512099112</v>
      </c>
      <c r="E101" s="20">
        <f t="shared" si="95"/>
        <v>20.6886343251613</v>
      </c>
      <c r="F101" s="16" t="s">
        <v>112</v>
      </c>
      <c r="G101" s="13">
        <v>12</v>
      </c>
      <c r="H101" s="18">
        <f t="shared" si="76"/>
        <v>13.4512099112</v>
      </c>
      <c r="I101" s="18">
        <f t="shared" si="77"/>
        <v>286.6012099112</v>
      </c>
      <c r="J101" s="18">
        <f t="shared" si="78"/>
        <v>0.0928506564710541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0.524198484342384</v>
      </c>
      <c r="P101" s="18">
        <f t="shared" si="81"/>
        <v>0.0486721733923219</v>
      </c>
      <c r="Q101" s="24">
        <f t="shared" si="82"/>
        <v>0.0126547650820037</v>
      </c>
      <c r="R101" s="18">
        <f t="shared" si="83"/>
        <v>0.074022</v>
      </c>
      <c r="S101" s="25">
        <f t="shared" si="84"/>
        <v>0.170959513144791</v>
      </c>
      <c r="T101" s="3">
        <v>0.01</v>
      </c>
      <c r="U101" s="26">
        <f t="shared" si="85"/>
        <v>0.00170959513144791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0.00719959513144791</v>
      </c>
      <c r="AU101" s="29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9">
        <v>9.50897475548387</v>
      </c>
      <c r="E102" s="20">
        <f t="shared" si="95"/>
        <v>13.4512099112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selection activeCell="L1" sqref="L1:L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132.5698</v>
      </c>
      <c r="F2" s="3">
        <v>1069.523</v>
      </c>
      <c r="G2" s="7">
        <f>(F2+F3+F4)/3</f>
        <v>1305.751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1346.54357401242</v>
      </c>
      <c r="F5" s="3">
        <v>91.104</v>
      </c>
      <c r="G5" s="7">
        <f>(F5+F6)/2</f>
        <v>92.50925</v>
      </c>
      <c r="H5" s="3">
        <v>0.18</v>
      </c>
      <c r="I5" s="21">
        <f>(H5+H6)/2</f>
        <v>0.155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3497.10271944794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3">
        <v>0.09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0.21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0.04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(AV38+AV53+AY69+AY85+AY101+BB101+AG69)</f>
        <v>101672173.196917</v>
      </c>
      <c r="J14" s="14" t="s">
        <v>35</v>
      </c>
      <c r="K14" s="14">
        <f>I14/(10000*1000)</f>
        <v>10.1672173196917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38">
        <v>62465535.3855141</v>
      </c>
      <c r="J15" s="14" t="s">
        <v>35</v>
      </c>
      <c r="K15" s="14">
        <f>I15/(10000*1000)</f>
        <v>6.24655353855141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1305.751</v>
      </c>
      <c r="C27" s="16" t="s">
        <v>109</v>
      </c>
      <c r="D27" s="17">
        <v>5</v>
      </c>
      <c r="E27" s="16"/>
      <c r="F27" s="16"/>
      <c r="G27" s="13">
        <v>1</v>
      </c>
      <c r="H27" s="18">
        <f t="shared" ref="H27:H38" si="0">E28</f>
        <v>5</v>
      </c>
      <c r="I27" s="18">
        <f t="shared" ref="I27:I38" si="1">H27+273.15</f>
        <v>278.15</v>
      </c>
      <c r="J27" s="18">
        <f t="shared" ref="J27:J38" si="2">EXP(($C$16*(I27-$C$14))/($C$17*I27*$C$14))</f>
        <v>0.0330744063381255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110</v>
      </c>
      <c r="N27" s="13"/>
      <c r="O27" s="18">
        <f>L27</f>
        <v>1.08812583333333</v>
      </c>
      <c r="P27" s="18">
        <f t="shared" ref="P27:P38" si="5">O27*J27</f>
        <v>0.0359891159586781</v>
      </c>
      <c r="Q27" s="24">
        <f t="shared" ref="Q27:Q38" si="6">P27*$B$29</f>
        <v>0.00431869391504137</v>
      </c>
      <c r="R27" s="18">
        <f t="shared" ref="R27:R38" si="7">L27*$B$29</f>
        <v>0.1305751</v>
      </c>
      <c r="S27" s="25">
        <f t="shared" ref="S27:S38" si="8">Q27/R27</f>
        <v>0.0330744063381255</v>
      </c>
      <c r="T27" s="3">
        <v>0.01</v>
      </c>
      <c r="U27" s="26">
        <f t="shared" ref="U27:U38" si="9">S27*T27</f>
        <v>0.000330744063381255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0.0222307440633813</v>
      </c>
      <c r="AR27" s="29">
        <f t="shared" ref="AR27:AR38" si="15">$B$27/12</f>
        <v>108.812583333333</v>
      </c>
      <c r="AS27" s="1">
        <f t="shared" ref="AS27:AS38" si="16">$B$29</f>
        <v>0.12</v>
      </c>
      <c r="AT27" s="2">
        <f>$E$2/12</f>
        <v>11.0474833333333</v>
      </c>
      <c r="AU27" s="1">
        <f t="shared" ref="AU27:AU38" si="17">AT27*10000*AS27*0.67*AR27*AQ27</f>
        <v>21485.8492177914</v>
      </c>
    </row>
    <row r="28" s="1" customFormat="1" spans="1:47">
      <c r="A28" s="13" t="s">
        <v>111</v>
      </c>
      <c r="B28" s="13">
        <v>1</v>
      </c>
      <c r="C28" s="16">
        <v>1</v>
      </c>
      <c r="D28" s="42">
        <v>2.51917454116129</v>
      </c>
      <c r="E28" s="20">
        <f t="shared" ref="E28:E39" si="18">D27</f>
        <v>5</v>
      </c>
      <c r="F28" s="16" t="s">
        <v>110</v>
      </c>
      <c r="G28" s="13">
        <v>2</v>
      </c>
      <c r="H28" s="18">
        <f t="shared" si="0"/>
        <v>2.51917454116129</v>
      </c>
      <c r="I28" s="18">
        <f t="shared" si="1"/>
        <v>275.669174541161</v>
      </c>
      <c r="J28" s="18">
        <f t="shared" si="2"/>
        <v>0.0241367358698315</v>
      </c>
      <c r="K28" s="18">
        <f t="shared" si="3"/>
        <v>108.812583333333</v>
      </c>
      <c r="L28" s="18">
        <f t="shared" si="4"/>
        <v>1.08812583333333</v>
      </c>
      <c r="M28" s="13" t="s">
        <v>110</v>
      </c>
      <c r="N28" s="13"/>
      <c r="O28" s="18">
        <f t="shared" ref="O28:O38" si="19">L28+O27-P27-N28</f>
        <v>2.14026255070799</v>
      </c>
      <c r="P28" s="18">
        <f t="shared" si="5"/>
        <v>0.0516589518785306</v>
      </c>
      <c r="Q28" s="24">
        <f t="shared" si="6"/>
        <v>0.00619907422542367</v>
      </c>
      <c r="R28" s="18">
        <f t="shared" si="7"/>
        <v>0.1305751</v>
      </c>
      <c r="S28" s="25">
        <f t="shared" si="8"/>
        <v>0.0474751635298282</v>
      </c>
      <c r="T28" s="3">
        <v>0.01</v>
      </c>
      <c r="U28" s="26">
        <f t="shared" si="9"/>
        <v>0.000474751635298282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0.0223747516352983</v>
      </c>
      <c r="AR28" s="29">
        <f t="shared" si="15"/>
        <v>108.812583333333</v>
      </c>
      <c r="AS28" s="1">
        <f t="shared" si="16"/>
        <v>0.12</v>
      </c>
      <c r="AT28" s="2">
        <f t="shared" ref="AT28:AT38" si="20">$E$2/12</f>
        <v>11.0474833333333</v>
      </c>
      <c r="AU28" s="1">
        <f t="shared" si="17"/>
        <v>21625.0314677246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42">
        <v>6.48736763562069</v>
      </c>
      <c r="E29" s="20">
        <f t="shared" si="18"/>
        <v>2.51917454116129</v>
      </c>
      <c r="F29" s="16" t="s">
        <v>110</v>
      </c>
      <c r="G29" s="13">
        <v>3</v>
      </c>
      <c r="H29" s="18">
        <f t="shared" si="0"/>
        <v>6.48736763562069</v>
      </c>
      <c r="I29" s="18">
        <f t="shared" si="1"/>
        <v>279.637367635621</v>
      </c>
      <c r="J29" s="18">
        <f t="shared" si="2"/>
        <v>0.0398431799945535</v>
      </c>
      <c r="K29" s="18">
        <f t="shared" si="3"/>
        <v>108.812583333333</v>
      </c>
      <c r="L29" s="18">
        <f t="shared" si="4"/>
        <v>1.08812583333333</v>
      </c>
      <c r="M29" s="13" t="s">
        <v>110</v>
      </c>
      <c r="N29" s="13"/>
      <c r="O29" s="18">
        <f t="shared" si="19"/>
        <v>3.17672943216279</v>
      </c>
      <c r="P29" s="18">
        <f t="shared" si="5"/>
        <v>0.126571002559658</v>
      </c>
      <c r="Q29" s="24">
        <f t="shared" si="6"/>
        <v>0.0151885203071589</v>
      </c>
      <c r="R29" s="18">
        <f t="shared" si="7"/>
        <v>0.1305751</v>
      </c>
      <c r="S29" s="25">
        <f t="shared" si="8"/>
        <v>0.116320188972928</v>
      </c>
      <c r="T29" s="3">
        <v>0.01</v>
      </c>
      <c r="U29" s="26">
        <f t="shared" si="9"/>
        <v>0.00116320188972928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0.0230632018897293</v>
      </c>
      <c r="AR29" s="29">
        <f t="shared" si="15"/>
        <v>108.812583333333</v>
      </c>
      <c r="AS29" s="1">
        <f t="shared" si="16"/>
        <v>0.12</v>
      </c>
      <c r="AT29" s="2">
        <f t="shared" si="20"/>
        <v>11.0474833333333</v>
      </c>
      <c r="AU29" s="1">
        <f t="shared" si="17"/>
        <v>22290.4135313425</v>
      </c>
    </row>
    <row r="30" s="1" customFormat="1" spans="1:47">
      <c r="A30" s="13"/>
      <c r="B30" s="13"/>
      <c r="C30" s="16">
        <v>3</v>
      </c>
      <c r="D30" s="42">
        <v>11.4772591207097</v>
      </c>
      <c r="E30" s="20">
        <f t="shared" si="18"/>
        <v>6.48736763562069</v>
      </c>
      <c r="F30" s="16" t="s">
        <v>110</v>
      </c>
      <c r="G30" s="13">
        <v>4</v>
      </c>
      <c r="H30" s="18">
        <f t="shared" si="0"/>
        <v>11.4772591207097</v>
      </c>
      <c r="I30" s="18">
        <f t="shared" si="1"/>
        <v>284.62725912071</v>
      </c>
      <c r="J30" s="18">
        <f t="shared" si="2"/>
        <v>0.0733601054665967</v>
      </c>
      <c r="K30" s="18">
        <f t="shared" si="3"/>
        <v>108.812583333333</v>
      </c>
      <c r="L30" s="18">
        <f t="shared" si="4"/>
        <v>1.08812583333333</v>
      </c>
      <c r="M30" s="13" t="s">
        <v>110</v>
      </c>
      <c r="N30" s="13"/>
      <c r="O30" s="18">
        <f t="shared" si="19"/>
        <v>4.13828426293647</v>
      </c>
      <c r="P30" s="18">
        <f t="shared" si="5"/>
        <v>0.303584969979777</v>
      </c>
      <c r="Q30" s="24">
        <f t="shared" si="6"/>
        <v>0.0364301963975732</v>
      </c>
      <c r="R30" s="18">
        <f t="shared" si="7"/>
        <v>0.1305751</v>
      </c>
      <c r="S30" s="25">
        <f t="shared" si="8"/>
        <v>0.278998035594636</v>
      </c>
      <c r="T30" s="3">
        <v>0.01</v>
      </c>
      <c r="U30" s="26">
        <f t="shared" si="9"/>
        <v>0.00278998035594636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0.0322399803559464</v>
      </c>
      <c r="AR30" s="29">
        <f t="shared" si="15"/>
        <v>108.812583333333</v>
      </c>
      <c r="AS30" s="1">
        <f t="shared" si="16"/>
        <v>0.12</v>
      </c>
      <c r="AT30" s="2">
        <f t="shared" si="20"/>
        <v>11.0474833333333</v>
      </c>
      <c r="AU30" s="1">
        <f t="shared" si="17"/>
        <v>31159.7018407247</v>
      </c>
    </row>
    <row r="31" s="1" customFormat="1" spans="1:47">
      <c r="A31" s="13"/>
      <c r="B31" s="13"/>
      <c r="C31" s="16">
        <v>4</v>
      </c>
      <c r="D31" s="42">
        <v>17.598055156</v>
      </c>
      <c r="E31" s="20">
        <f t="shared" si="18"/>
        <v>11.4772591207097</v>
      </c>
      <c r="F31" s="16" t="s">
        <v>110</v>
      </c>
      <c r="G31" s="13">
        <v>5</v>
      </c>
      <c r="H31" s="18">
        <f t="shared" si="0"/>
        <v>17.598055156</v>
      </c>
      <c r="I31" s="18">
        <f t="shared" si="1"/>
        <v>290.748055156</v>
      </c>
      <c r="J31" s="18">
        <f t="shared" si="2"/>
        <v>0.150737894914747</v>
      </c>
      <c r="K31" s="18">
        <f t="shared" si="3"/>
        <v>108.812583333333</v>
      </c>
      <c r="L31" s="18">
        <f t="shared" si="4"/>
        <v>1.08812583333333</v>
      </c>
      <c r="M31" s="13" t="s">
        <v>112</v>
      </c>
      <c r="N31" s="18">
        <f>(O30-P30)*C22/100</f>
        <v>3.64296432830886</v>
      </c>
      <c r="O31" s="18">
        <f t="shared" si="19"/>
        <v>1.27986079798117</v>
      </c>
      <c r="P31" s="18">
        <f t="shared" si="5"/>
        <v>0.19292352247159</v>
      </c>
      <c r="Q31" s="24">
        <f t="shared" si="6"/>
        <v>0.0231508226965908</v>
      </c>
      <c r="R31" s="18">
        <f t="shared" si="7"/>
        <v>0.1305751</v>
      </c>
      <c r="S31" s="25">
        <f t="shared" si="8"/>
        <v>0.17729890841815</v>
      </c>
      <c r="T31" s="3">
        <v>0.01</v>
      </c>
      <c r="U31" s="26">
        <f t="shared" si="9"/>
        <v>0.0017729890841815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0.0312229890841815</v>
      </c>
      <c r="AR31" s="29">
        <f t="shared" si="15"/>
        <v>108.812583333333</v>
      </c>
      <c r="AS31" s="1">
        <f t="shared" si="16"/>
        <v>0.12</v>
      </c>
      <c r="AT31" s="2">
        <f t="shared" si="20"/>
        <v>11.0474833333333</v>
      </c>
      <c r="AU31" s="1">
        <f t="shared" si="17"/>
        <v>30176.7873211453</v>
      </c>
    </row>
    <row r="32" s="1" customFormat="1" spans="1:47">
      <c r="A32" s="13"/>
      <c r="B32" s="13"/>
      <c r="C32" s="16">
        <v>5</v>
      </c>
      <c r="D32" s="42">
        <v>20.2915977419355</v>
      </c>
      <c r="E32" s="20">
        <f t="shared" si="18"/>
        <v>17.598055156</v>
      </c>
      <c r="F32" s="16" t="s">
        <v>112</v>
      </c>
      <c r="G32" s="13">
        <v>6</v>
      </c>
      <c r="H32" s="18">
        <f t="shared" si="0"/>
        <v>20.2915977419355</v>
      </c>
      <c r="I32" s="18">
        <f t="shared" si="1"/>
        <v>293.441597741935</v>
      </c>
      <c r="J32" s="18">
        <f t="shared" si="2"/>
        <v>0.204985775164183</v>
      </c>
      <c r="K32" s="18">
        <f t="shared" si="3"/>
        <v>108.812583333333</v>
      </c>
      <c r="L32" s="18">
        <f t="shared" si="4"/>
        <v>1.08812583333333</v>
      </c>
      <c r="M32" s="13" t="s">
        <v>110</v>
      </c>
      <c r="N32" s="13"/>
      <c r="O32" s="18">
        <f t="shared" si="19"/>
        <v>2.17506310884291</v>
      </c>
      <c r="P32" s="18">
        <f t="shared" si="5"/>
        <v>0.445856997397182</v>
      </c>
      <c r="Q32" s="24">
        <f t="shared" si="6"/>
        <v>0.0535028396876619</v>
      </c>
      <c r="R32" s="18">
        <f t="shared" si="7"/>
        <v>0.1305751</v>
      </c>
      <c r="S32" s="25">
        <f t="shared" si="8"/>
        <v>0.409747644747443</v>
      </c>
      <c r="T32" s="3">
        <v>0.01</v>
      </c>
      <c r="U32" s="26">
        <f t="shared" si="9"/>
        <v>0.00409747644747443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0.0335474764474744</v>
      </c>
      <c r="AR32" s="29">
        <f t="shared" si="15"/>
        <v>108.812583333333</v>
      </c>
      <c r="AS32" s="1">
        <f t="shared" si="16"/>
        <v>0.12</v>
      </c>
      <c r="AT32" s="2">
        <f t="shared" si="20"/>
        <v>11.0474833333333</v>
      </c>
      <c r="AU32" s="1">
        <f t="shared" si="17"/>
        <v>32423.3871134861</v>
      </c>
    </row>
    <row r="33" s="1" customFormat="1" spans="1:47">
      <c r="A33" s="13"/>
      <c r="B33" s="13"/>
      <c r="C33" s="16">
        <v>6</v>
      </c>
      <c r="D33" s="42">
        <v>24.4629069066667</v>
      </c>
      <c r="E33" s="20">
        <f t="shared" si="18"/>
        <v>20.2915977419355</v>
      </c>
      <c r="F33" s="16" t="s">
        <v>110</v>
      </c>
      <c r="G33" s="13">
        <v>7</v>
      </c>
      <c r="H33" s="18">
        <f t="shared" si="0"/>
        <v>24.4629069066667</v>
      </c>
      <c r="I33" s="18">
        <f t="shared" si="1"/>
        <v>297.612906906667</v>
      </c>
      <c r="J33" s="18">
        <f t="shared" si="2"/>
        <v>0.326361841377132</v>
      </c>
      <c r="K33" s="18">
        <f t="shared" si="3"/>
        <v>108.812583333333</v>
      </c>
      <c r="L33" s="18">
        <f t="shared" si="4"/>
        <v>1.08812583333333</v>
      </c>
      <c r="M33" s="13" t="s">
        <v>110</v>
      </c>
      <c r="N33" s="13"/>
      <c r="O33" s="18">
        <f t="shared" si="19"/>
        <v>2.81733194477906</v>
      </c>
      <c r="P33" s="18">
        <f t="shared" si="5"/>
        <v>0.919469641268712</v>
      </c>
      <c r="Q33" s="24">
        <f t="shared" si="6"/>
        <v>0.110336356952245</v>
      </c>
      <c r="R33" s="18">
        <f t="shared" si="7"/>
        <v>0.1305751</v>
      </c>
      <c r="S33" s="25">
        <f t="shared" si="8"/>
        <v>0.845003043859399</v>
      </c>
      <c r="T33" s="3">
        <v>0.01</v>
      </c>
      <c r="U33" s="26">
        <f t="shared" si="9"/>
        <v>0.00845003043859399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0.043350030438594</v>
      </c>
      <c r="AR33" s="29">
        <f t="shared" si="15"/>
        <v>108.812583333333</v>
      </c>
      <c r="AS33" s="1">
        <f t="shared" si="16"/>
        <v>0.12</v>
      </c>
      <c r="AT33" s="2">
        <f t="shared" si="20"/>
        <v>11.0474833333333</v>
      </c>
      <c r="AU33" s="1">
        <f t="shared" si="17"/>
        <v>41897.4828253514</v>
      </c>
    </row>
    <row r="34" s="1" customFormat="1" spans="1:47">
      <c r="A34" s="13"/>
      <c r="B34" s="13"/>
      <c r="C34" s="16">
        <v>7</v>
      </c>
      <c r="D34" s="42">
        <v>28.355486646129</v>
      </c>
      <c r="E34" s="20">
        <f t="shared" si="18"/>
        <v>24.4629069066667</v>
      </c>
      <c r="F34" s="16" t="s">
        <v>110</v>
      </c>
      <c r="G34" s="13">
        <v>8</v>
      </c>
      <c r="H34" s="18">
        <f t="shared" si="0"/>
        <v>28.355486646129</v>
      </c>
      <c r="I34" s="18">
        <f t="shared" si="1"/>
        <v>301.505486646129</v>
      </c>
      <c r="J34" s="18">
        <f t="shared" si="2"/>
        <v>0.497895184888954</v>
      </c>
      <c r="K34" s="18">
        <f t="shared" si="3"/>
        <v>108.812583333333</v>
      </c>
      <c r="L34" s="18">
        <f t="shared" si="4"/>
        <v>1.08812583333333</v>
      </c>
      <c r="M34" s="13" t="s">
        <v>110</v>
      </c>
      <c r="N34" s="13"/>
      <c r="O34" s="18">
        <f t="shared" si="19"/>
        <v>2.98598813684369</v>
      </c>
      <c r="P34" s="18">
        <f t="shared" si="5"/>
        <v>1.48670911547001</v>
      </c>
      <c r="Q34" s="24">
        <f t="shared" si="6"/>
        <v>0.178405093856401</v>
      </c>
      <c r="R34" s="18">
        <f t="shared" si="7"/>
        <v>0.1305751</v>
      </c>
      <c r="S34" s="25">
        <f t="shared" si="8"/>
        <v>1.36630256347804</v>
      </c>
      <c r="T34" s="3">
        <v>0.01</v>
      </c>
      <c r="U34" s="26">
        <f t="shared" si="9"/>
        <v>0.0136630256347804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0.0485630256347804</v>
      </c>
      <c r="AR34" s="29">
        <f t="shared" si="15"/>
        <v>108.812583333333</v>
      </c>
      <c r="AS34" s="1">
        <f t="shared" si="16"/>
        <v>0.12</v>
      </c>
      <c r="AT34" s="2">
        <f t="shared" si="20"/>
        <v>11.0474833333333</v>
      </c>
      <c r="AU34" s="1">
        <f t="shared" si="17"/>
        <v>46935.8040096985</v>
      </c>
    </row>
    <row r="35" s="1" customFormat="1" spans="1:47">
      <c r="A35" s="13"/>
      <c r="B35" s="13"/>
      <c r="C35" s="16">
        <v>8</v>
      </c>
      <c r="D35" s="42">
        <v>28.389162486129</v>
      </c>
      <c r="E35" s="20">
        <f t="shared" si="18"/>
        <v>28.355486646129</v>
      </c>
      <c r="F35" s="16" t="s">
        <v>110</v>
      </c>
      <c r="G35" s="13">
        <v>9</v>
      </c>
      <c r="H35" s="18">
        <f t="shared" si="0"/>
        <v>28.389162486129</v>
      </c>
      <c r="I35" s="18">
        <f t="shared" si="1"/>
        <v>301.539162486129</v>
      </c>
      <c r="J35" s="18">
        <f t="shared" si="2"/>
        <v>0.499694124472679</v>
      </c>
      <c r="K35" s="18">
        <f t="shared" si="3"/>
        <v>108.812583333333</v>
      </c>
      <c r="L35" s="18">
        <f t="shared" si="4"/>
        <v>1.08812583333333</v>
      </c>
      <c r="M35" s="13" t="s">
        <v>110</v>
      </c>
      <c r="N35" s="13"/>
      <c r="O35" s="18">
        <f t="shared" si="19"/>
        <v>2.58740485470701</v>
      </c>
      <c r="P35" s="18">
        <f t="shared" si="5"/>
        <v>1.29291100352918</v>
      </c>
      <c r="Q35" s="24">
        <f t="shared" si="6"/>
        <v>0.155149320423501</v>
      </c>
      <c r="R35" s="18">
        <f t="shared" si="7"/>
        <v>0.1305751</v>
      </c>
      <c r="S35" s="25">
        <f t="shared" si="8"/>
        <v>1.18819989740388</v>
      </c>
      <c r="T35" s="3">
        <v>0.01</v>
      </c>
      <c r="U35" s="26">
        <f t="shared" si="9"/>
        <v>0.0118819989740388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0.0413319989740388</v>
      </c>
      <c r="AR35" s="29">
        <f t="shared" si="15"/>
        <v>108.812583333333</v>
      </c>
      <c r="AS35" s="1">
        <f t="shared" si="16"/>
        <v>0.12</v>
      </c>
      <c r="AT35" s="2">
        <f t="shared" si="20"/>
        <v>11.0474833333333</v>
      </c>
      <c r="AU35" s="1">
        <f t="shared" si="17"/>
        <v>39947.070385688</v>
      </c>
    </row>
    <row r="36" s="1" customFormat="1" spans="1:47">
      <c r="A36" s="13"/>
      <c r="B36" s="13"/>
      <c r="C36" s="16">
        <v>9</v>
      </c>
      <c r="D36" s="42">
        <v>23.625028394</v>
      </c>
      <c r="E36" s="20">
        <f t="shared" si="18"/>
        <v>28.389162486129</v>
      </c>
      <c r="F36" s="16" t="s">
        <v>110</v>
      </c>
      <c r="G36" s="13">
        <v>10</v>
      </c>
      <c r="H36" s="18">
        <f t="shared" si="0"/>
        <v>23.625028394</v>
      </c>
      <c r="I36" s="18">
        <f t="shared" si="1"/>
        <v>296.775028394</v>
      </c>
      <c r="J36" s="18">
        <f t="shared" si="2"/>
        <v>0.297567034398815</v>
      </c>
      <c r="K36" s="18">
        <f t="shared" si="3"/>
        <v>108.812583333333</v>
      </c>
      <c r="L36" s="18">
        <f t="shared" si="4"/>
        <v>1.08812583333333</v>
      </c>
      <c r="M36" s="13" t="s">
        <v>110</v>
      </c>
      <c r="N36" s="13"/>
      <c r="O36" s="18">
        <f t="shared" si="19"/>
        <v>2.38261968451116</v>
      </c>
      <c r="P36" s="18">
        <f t="shared" si="5"/>
        <v>0.708989073620227</v>
      </c>
      <c r="Q36" s="24">
        <f t="shared" si="6"/>
        <v>0.0850786888344273</v>
      </c>
      <c r="R36" s="18">
        <f t="shared" si="7"/>
        <v>0.1305751</v>
      </c>
      <c r="S36" s="25">
        <f t="shared" si="8"/>
        <v>0.651569011506997</v>
      </c>
      <c r="T36" s="3">
        <v>0.01</v>
      </c>
      <c r="U36" s="26">
        <f t="shared" si="9"/>
        <v>0.00651569011506997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0.03596569011507</v>
      </c>
      <c r="AR36" s="29">
        <f t="shared" si="15"/>
        <v>108.812583333333</v>
      </c>
      <c r="AS36" s="1">
        <f t="shared" si="16"/>
        <v>0.12</v>
      </c>
      <c r="AT36" s="2">
        <f t="shared" si="20"/>
        <v>11.0474833333333</v>
      </c>
      <c r="AU36" s="1">
        <f t="shared" si="17"/>
        <v>34760.5726836239</v>
      </c>
    </row>
    <row r="37" s="1" customFormat="1" spans="1:47">
      <c r="A37" s="13"/>
      <c r="B37" s="13"/>
      <c r="C37" s="16">
        <v>10</v>
      </c>
      <c r="D37" s="42">
        <v>17.3752995094516</v>
      </c>
      <c r="E37" s="20">
        <f t="shared" si="18"/>
        <v>23.625028394</v>
      </c>
      <c r="F37" s="16" t="s">
        <v>110</v>
      </c>
      <c r="G37" s="13">
        <v>11</v>
      </c>
      <c r="H37" s="18">
        <f t="shared" si="0"/>
        <v>17.3752995094516</v>
      </c>
      <c r="I37" s="18">
        <f t="shared" si="1"/>
        <v>290.525299509452</v>
      </c>
      <c r="J37" s="18">
        <f t="shared" si="2"/>
        <v>0.146916671728402</v>
      </c>
      <c r="K37" s="18">
        <f t="shared" si="3"/>
        <v>108.812583333333</v>
      </c>
      <c r="L37" s="18">
        <f t="shared" si="4"/>
        <v>1.08812583333333</v>
      </c>
      <c r="M37" s="13" t="s">
        <v>112</v>
      </c>
      <c r="N37" s="18">
        <f>(O36-P36)*C22/100</f>
        <v>1.58994908034639</v>
      </c>
      <c r="O37" s="18">
        <f t="shared" si="19"/>
        <v>1.17180736387788</v>
      </c>
      <c r="P37" s="18">
        <f t="shared" si="5"/>
        <v>0.172158037807771</v>
      </c>
      <c r="Q37" s="24">
        <f t="shared" si="6"/>
        <v>0.0206589645369325</v>
      </c>
      <c r="R37" s="18">
        <f t="shared" si="7"/>
        <v>0.1305751</v>
      </c>
      <c r="S37" s="25">
        <f t="shared" si="8"/>
        <v>0.15821519215327</v>
      </c>
      <c r="T37" s="3">
        <v>0.01</v>
      </c>
      <c r="U37" s="26">
        <f t="shared" si="9"/>
        <v>0.0015821519215327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0.0234821519215327</v>
      </c>
      <c r="AR37" s="29">
        <f t="shared" si="15"/>
        <v>108.812583333333</v>
      </c>
      <c r="AS37" s="1">
        <f t="shared" si="16"/>
        <v>0.12</v>
      </c>
      <c r="AT37" s="2">
        <f t="shared" si="20"/>
        <v>11.0474833333333</v>
      </c>
      <c r="AU37" s="1">
        <f t="shared" si="17"/>
        <v>22695.3256290866</v>
      </c>
    </row>
    <row r="38" s="1" customFormat="1" spans="1:48">
      <c r="A38" s="13"/>
      <c r="B38" s="13"/>
      <c r="C38" s="16">
        <v>11</v>
      </c>
      <c r="D38" s="42">
        <v>10.5278735095667</v>
      </c>
      <c r="E38" s="20">
        <f t="shared" si="18"/>
        <v>17.3752995094516</v>
      </c>
      <c r="F38" s="16" t="s">
        <v>112</v>
      </c>
      <c r="G38" s="13">
        <v>12</v>
      </c>
      <c r="H38" s="18">
        <f t="shared" si="0"/>
        <v>10.5278735095667</v>
      </c>
      <c r="I38" s="18">
        <f t="shared" si="1"/>
        <v>283.677873509567</v>
      </c>
      <c r="J38" s="18">
        <f t="shared" si="2"/>
        <v>0.0654242635210164</v>
      </c>
      <c r="K38" s="18">
        <f t="shared" si="3"/>
        <v>108.812583333333</v>
      </c>
      <c r="L38" s="18">
        <f t="shared" si="4"/>
        <v>1.08812583333333</v>
      </c>
      <c r="M38" s="13" t="s">
        <v>110</v>
      </c>
      <c r="N38" s="13"/>
      <c r="O38" s="18">
        <f t="shared" si="19"/>
        <v>2.08777515940344</v>
      </c>
      <c r="P38" s="18">
        <f t="shared" si="5"/>
        <v>0.136591152201443</v>
      </c>
      <c r="Q38" s="24">
        <f t="shared" si="6"/>
        <v>0.0163909382641731</v>
      </c>
      <c r="R38" s="18">
        <f t="shared" si="7"/>
        <v>0.1305751</v>
      </c>
      <c r="S38" s="25">
        <f t="shared" si="8"/>
        <v>0.125528820304738</v>
      </c>
      <c r="T38" s="3">
        <v>0.01</v>
      </c>
      <c r="U38" s="26">
        <f t="shared" si="9"/>
        <v>0.00125528820304738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0.0231552882030474</v>
      </c>
      <c r="AR38" s="29">
        <f t="shared" si="15"/>
        <v>108.812583333333</v>
      </c>
      <c r="AS38" s="1">
        <f t="shared" si="16"/>
        <v>0.12</v>
      </c>
      <c r="AT38" s="2">
        <f t="shared" si="20"/>
        <v>11.0474833333333</v>
      </c>
      <c r="AU38" s="1">
        <f t="shared" si="17"/>
        <v>22379.4142700192</v>
      </c>
      <c r="AV38" s="1">
        <f>SUM(AU27:AU38)</f>
        <v>367776.840295682</v>
      </c>
    </row>
    <row r="39" s="1" customFormat="1" spans="1:46">
      <c r="A39" s="13"/>
      <c r="B39" s="13"/>
      <c r="C39" s="16">
        <v>12</v>
      </c>
      <c r="D39" s="42">
        <v>6.5124818323871</v>
      </c>
      <c r="E39" s="20">
        <f t="shared" si="18"/>
        <v>10.5278735095667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5</v>
      </c>
      <c r="E42" s="16"/>
      <c r="F42" s="16"/>
      <c r="G42" s="13">
        <v>1</v>
      </c>
      <c r="H42" s="18">
        <f t="shared" ref="H42:H53" si="21">E43</f>
        <v>5</v>
      </c>
      <c r="I42" s="18">
        <f t="shared" ref="I42:I53" si="22">H42+273.15</f>
        <v>278.15</v>
      </c>
      <c r="J42" s="18">
        <f t="shared" ref="J42:J53" si="23">EXP(($C$16*(I42-$C$14))/($C$17*I42*$C$14))</f>
        <v>0.0330744063381255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0.0025497404371127</v>
      </c>
      <c r="Q42" s="24">
        <f t="shared" ref="Q42:Q53" si="27">P42*$B$44</f>
        <v>0.000395209767752468</v>
      </c>
      <c r="R42" s="18">
        <f t="shared" ref="R42:R53" si="28">L42*$B$44</f>
        <v>0.0119491114583333</v>
      </c>
      <c r="S42" s="25">
        <f t="shared" ref="S42:S53" si="29">Q42/R42</f>
        <v>0.0330744063381255</v>
      </c>
      <c r="T42" s="3">
        <v>0.01</v>
      </c>
      <c r="U42" s="26">
        <f t="shared" ref="U42:U53" si="30">S42*T42</f>
        <v>0.000330744063381255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0.0151307440633813</v>
      </c>
      <c r="AR42" s="29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112.211964501035</v>
      </c>
      <c r="AU42" s="1">
        <f t="shared" ref="AU42:AU53" si="37">AT42*10000*AS42*0.67*AR42*AQ42</f>
        <v>13592.8293847461</v>
      </c>
    </row>
    <row r="43" s="1" customFormat="1" spans="1:47">
      <c r="A43" s="13" t="s">
        <v>111</v>
      </c>
      <c r="B43" s="13">
        <v>1</v>
      </c>
      <c r="C43" s="16">
        <v>1</v>
      </c>
      <c r="D43" s="42">
        <v>2.51917454116129</v>
      </c>
      <c r="E43" s="20">
        <f t="shared" ref="E43:E54" si="38">D42</f>
        <v>5</v>
      </c>
      <c r="F43" s="16" t="s">
        <v>110</v>
      </c>
      <c r="G43" s="13">
        <v>2</v>
      </c>
      <c r="H43" s="18">
        <f t="shared" si="21"/>
        <v>2.51917454116129</v>
      </c>
      <c r="I43" s="18">
        <f t="shared" si="22"/>
        <v>275.669174541161</v>
      </c>
      <c r="J43" s="18">
        <f t="shared" si="23"/>
        <v>0.0241367358698315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0.151632342896221</v>
      </c>
      <c r="P43" s="18">
        <f t="shared" si="26"/>
        <v>0.0036599098098098</v>
      </c>
      <c r="Q43" s="24">
        <f t="shared" si="27"/>
        <v>0.000567286020520519</v>
      </c>
      <c r="R43" s="18">
        <f t="shared" si="28"/>
        <v>0.0119491114583333</v>
      </c>
      <c r="S43" s="25">
        <f t="shared" si="29"/>
        <v>0.0474751635298282</v>
      </c>
      <c r="T43" s="3">
        <v>0.01</v>
      </c>
      <c r="U43" s="26">
        <f t="shared" si="30"/>
        <v>0.000474751635298282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0.0152747516352983</v>
      </c>
      <c r="AR43" s="29">
        <f t="shared" si="34"/>
        <v>7.70910416666667</v>
      </c>
      <c r="AS43" s="1">
        <f t="shared" si="35"/>
        <v>0.155</v>
      </c>
      <c r="AT43" s="2">
        <f t="shared" si="36"/>
        <v>112.211964501035</v>
      </c>
      <c r="AU43" s="1">
        <f t="shared" si="37"/>
        <v>13722.1997810056</v>
      </c>
    </row>
    <row r="44" s="1" customFormat="1" spans="1:47">
      <c r="A44" s="13" t="s">
        <v>73</v>
      </c>
      <c r="B44" s="13">
        <f>I5</f>
        <v>0.155</v>
      </c>
      <c r="C44" s="16">
        <v>2</v>
      </c>
      <c r="D44" s="42">
        <v>6.48736763562069</v>
      </c>
      <c r="E44" s="20">
        <f t="shared" si="38"/>
        <v>2.51917454116129</v>
      </c>
      <c r="F44" s="16" t="s">
        <v>110</v>
      </c>
      <c r="G44" s="13">
        <v>3</v>
      </c>
      <c r="H44" s="18">
        <f t="shared" si="21"/>
        <v>6.48736763562069</v>
      </c>
      <c r="I44" s="18">
        <f t="shared" si="22"/>
        <v>279.637367635621</v>
      </c>
      <c r="J44" s="18">
        <f t="shared" si="23"/>
        <v>0.0398431799945535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0.225063474753078</v>
      </c>
      <c r="P44" s="18">
        <f t="shared" si="26"/>
        <v>0.00896724453478651</v>
      </c>
      <c r="Q44" s="24">
        <f t="shared" si="27"/>
        <v>0.00138992290289191</v>
      </c>
      <c r="R44" s="18">
        <f t="shared" si="28"/>
        <v>0.0119491114583333</v>
      </c>
      <c r="S44" s="25">
        <f t="shared" si="29"/>
        <v>0.116320188972928</v>
      </c>
      <c r="T44" s="3">
        <v>0.01</v>
      </c>
      <c r="U44" s="26">
        <f t="shared" si="30"/>
        <v>0.00116320188972928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0.0159632018897293</v>
      </c>
      <c r="AR44" s="29">
        <f t="shared" si="34"/>
        <v>7.70910416666667</v>
      </c>
      <c r="AS44" s="1">
        <f t="shared" si="35"/>
        <v>0.155</v>
      </c>
      <c r="AT44" s="2">
        <f t="shared" si="36"/>
        <v>112.211964501035</v>
      </c>
      <c r="AU44" s="1">
        <f t="shared" si="37"/>
        <v>14340.6747753063</v>
      </c>
    </row>
    <row r="45" s="1" customFormat="1" spans="1:47">
      <c r="A45" s="13"/>
      <c r="B45" s="13"/>
      <c r="C45" s="16">
        <v>3</v>
      </c>
      <c r="D45" s="42">
        <v>11.4772591207097</v>
      </c>
      <c r="E45" s="20">
        <f t="shared" si="38"/>
        <v>6.48736763562069</v>
      </c>
      <c r="F45" s="16" t="s">
        <v>110</v>
      </c>
      <c r="G45" s="13">
        <v>4</v>
      </c>
      <c r="H45" s="18">
        <f t="shared" si="21"/>
        <v>11.4772591207097</v>
      </c>
      <c r="I45" s="18">
        <f t="shared" si="22"/>
        <v>284.62725912071</v>
      </c>
      <c r="J45" s="18">
        <f t="shared" si="23"/>
        <v>0.0733601054665967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0.293187271884958</v>
      </c>
      <c r="P45" s="18">
        <f t="shared" si="26"/>
        <v>0.0215082491869443</v>
      </c>
      <c r="Q45" s="24">
        <f t="shared" si="27"/>
        <v>0.00333377862397636</v>
      </c>
      <c r="R45" s="18">
        <f t="shared" si="28"/>
        <v>0.0119491114583333</v>
      </c>
      <c r="S45" s="25">
        <f t="shared" si="29"/>
        <v>0.278998035594636</v>
      </c>
      <c r="T45" s="3">
        <v>0.01</v>
      </c>
      <c r="U45" s="26">
        <f t="shared" si="30"/>
        <v>0.00278998035594636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0.0298899803559464</v>
      </c>
      <c r="AR45" s="29">
        <f t="shared" si="34"/>
        <v>7.70910416666667</v>
      </c>
      <c r="AS45" s="1">
        <f t="shared" si="35"/>
        <v>0.155</v>
      </c>
      <c r="AT45" s="2">
        <f t="shared" si="36"/>
        <v>112.211964501035</v>
      </c>
      <c r="AU45" s="1">
        <f t="shared" si="37"/>
        <v>26851.9116832513</v>
      </c>
    </row>
    <row r="46" s="1" customFormat="1" spans="1:47">
      <c r="A46" s="13"/>
      <c r="B46" s="13"/>
      <c r="C46" s="16">
        <v>4</v>
      </c>
      <c r="D46" s="42">
        <v>17.598055156</v>
      </c>
      <c r="E46" s="20">
        <f t="shared" si="38"/>
        <v>11.4772591207097</v>
      </c>
      <c r="F46" s="16" t="s">
        <v>110</v>
      </c>
      <c r="G46" s="13">
        <v>5</v>
      </c>
      <c r="H46" s="18">
        <f t="shared" si="21"/>
        <v>17.598055156</v>
      </c>
      <c r="I46" s="18">
        <f t="shared" si="22"/>
        <v>290.748055156</v>
      </c>
      <c r="J46" s="18">
        <f t="shared" si="23"/>
        <v>0.150737894914747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0.258095071563113</v>
      </c>
      <c r="O46" s="18">
        <f t="shared" si="39"/>
        <v>0.0906749928015674</v>
      </c>
      <c r="P46" s="18">
        <f t="shared" si="26"/>
        <v>0.0136681575363181</v>
      </c>
      <c r="Q46" s="24">
        <f t="shared" si="27"/>
        <v>0.00211856441812931</v>
      </c>
      <c r="R46" s="18">
        <f t="shared" si="28"/>
        <v>0.0119491114583333</v>
      </c>
      <c r="S46" s="25">
        <f t="shared" si="29"/>
        <v>0.17729890841815</v>
      </c>
      <c r="T46" s="3">
        <v>0.01</v>
      </c>
      <c r="U46" s="26">
        <f t="shared" si="30"/>
        <v>0.0017729890841815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0.0288729890841815</v>
      </c>
      <c r="AR46" s="29">
        <f t="shared" si="34"/>
        <v>7.70910416666667</v>
      </c>
      <c r="AS46" s="1">
        <f t="shared" si="35"/>
        <v>0.155</v>
      </c>
      <c r="AT46" s="2">
        <f t="shared" si="36"/>
        <v>112.211964501035</v>
      </c>
      <c r="AU46" s="1">
        <f t="shared" si="37"/>
        <v>25938.289141956</v>
      </c>
    </row>
    <row r="47" s="1" customFormat="1" spans="1:47">
      <c r="A47" s="13"/>
      <c r="B47" s="13"/>
      <c r="C47" s="16">
        <v>5</v>
      </c>
      <c r="D47" s="42">
        <v>20.2915977419355</v>
      </c>
      <c r="E47" s="20">
        <f t="shared" si="38"/>
        <v>17.598055156</v>
      </c>
      <c r="F47" s="16" t="s">
        <v>112</v>
      </c>
      <c r="G47" s="13">
        <v>6</v>
      </c>
      <c r="H47" s="18">
        <f t="shared" si="21"/>
        <v>20.2915977419355</v>
      </c>
      <c r="I47" s="18">
        <f t="shared" si="22"/>
        <v>293.441597741935</v>
      </c>
      <c r="J47" s="18">
        <f t="shared" si="23"/>
        <v>0.204985775164183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0.154097876931916</v>
      </c>
      <c r="P47" s="18">
        <f t="shared" si="26"/>
        <v>0.0315878727540437</v>
      </c>
      <c r="Q47" s="24">
        <f t="shared" si="27"/>
        <v>0.00489612027687677</v>
      </c>
      <c r="R47" s="18">
        <f t="shared" si="28"/>
        <v>0.0119491114583333</v>
      </c>
      <c r="S47" s="25">
        <f t="shared" si="29"/>
        <v>0.409747644747443</v>
      </c>
      <c r="T47" s="3">
        <v>0.01</v>
      </c>
      <c r="U47" s="26">
        <f t="shared" si="30"/>
        <v>0.00409747644747443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0.0311974764474744</v>
      </c>
      <c r="AR47" s="29">
        <f t="shared" si="34"/>
        <v>7.70910416666667</v>
      </c>
      <c r="AS47" s="1">
        <f t="shared" si="35"/>
        <v>0.155</v>
      </c>
      <c r="AT47" s="2">
        <f t="shared" si="36"/>
        <v>112.211964501035</v>
      </c>
      <c r="AU47" s="1">
        <f t="shared" si="37"/>
        <v>28026.5116380794</v>
      </c>
    </row>
    <row r="48" s="1" customFormat="1" spans="1:47">
      <c r="A48" s="13"/>
      <c r="B48" s="13"/>
      <c r="C48" s="16">
        <v>6</v>
      </c>
      <c r="D48" s="42">
        <v>24.4629069066667</v>
      </c>
      <c r="E48" s="20">
        <f t="shared" si="38"/>
        <v>20.2915977419355</v>
      </c>
      <c r="F48" s="16" t="s">
        <v>110</v>
      </c>
      <c r="G48" s="13">
        <v>7</v>
      </c>
      <c r="H48" s="18">
        <f t="shared" si="21"/>
        <v>24.4629069066667</v>
      </c>
      <c r="I48" s="18">
        <f t="shared" si="22"/>
        <v>297.612906906667</v>
      </c>
      <c r="J48" s="18">
        <f t="shared" si="23"/>
        <v>0.326361841377132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0.199601045844539</v>
      </c>
      <c r="P48" s="18">
        <f t="shared" si="26"/>
        <v>0.0651421648626251</v>
      </c>
      <c r="Q48" s="24">
        <f t="shared" si="27"/>
        <v>0.0100970355537069</v>
      </c>
      <c r="R48" s="18">
        <f t="shared" si="28"/>
        <v>0.0119491114583333</v>
      </c>
      <c r="S48" s="25">
        <f t="shared" si="29"/>
        <v>0.845003043859399</v>
      </c>
      <c r="T48" s="3">
        <v>0.01</v>
      </c>
      <c r="U48" s="26">
        <f t="shared" si="30"/>
        <v>0.00845003043859398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0.042950030438594</v>
      </c>
      <c r="AR48" s="29">
        <f t="shared" si="34"/>
        <v>7.70910416666667</v>
      </c>
      <c r="AS48" s="1">
        <f t="shared" si="35"/>
        <v>0.155</v>
      </c>
      <c r="AT48" s="2">
        <f t="shared" si="36"/>
        <v>112.211964501035</v>
      </c>
      <c r="AU48" s="1">
        <f t="shared" si="37"/>
        <v>38584.5159614046</v>
      </c>
    </row>
    <row r="49" s="1" customFormat="1" spans="1:47">
      <c r="A49" s="13"/>
      <c r="B49" s="13"/>
      <c r="C49" s="16">
        <v>7</v>
      </c>
      <c r="D49" s="42">
        <v>28.355486646129</v>
      </c>
      <c r="E49" s="20">
        <f t="shared" si="38"/>
        <v>24.4629069066667</v>
      </c>
      <c r="F49" s="16" t="s">
        <v>110</v>
      </c>
      <c r="G49" s="13">
        <v>8</v>
      </c>
      <c r="H49" s="18">
        <f t="shared" si="21"/>
        <v>28.355486646129</v>
      </c>
      <c r="I49" s="18">
        <f t="shared" si="22"/>
        <v>301.505486646129</v>
      </c>
      <c r="J49" s="18">
        <f t="shared" si="23"/>
        <v>0.497895184888954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0.21154992264858</v>
      </c>
      <c r="P49" s="18">
        <f t="shared" si="26"/>
        <v>0.105329687850359</v>
      </c>
      <c r="Q49" s="24">
        <f t="shared" si="27"/>
        <v>0.0163261016168056</v>
      </c>
      <c r="R49" s="18">
        <f t="shared" si="28"/>
        <v>0.0119491114583333</v>
      </c>
      <c r="S49" s="25">
        <f t="shared" si="29"/>
        <v>1.36630256347804</v>
      </c>
      <c r="T49" s="3">
        <v>0.01</v>
      </c>
      <c r="U49" s="26">
        <f t="shared" si="30"/>
        <v>0.0136630256347804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0.0481630256347804</v>
      </c>
      <c r="AR49" s="29">
        <f t="shared" si="34"/>
        <v>7.70910416666667</v>
      </c>
      <c r="AS49" s="1">
        <f t="shared" si="35"/>
        <v>0.155</v>
      </c>
      <c r="AT49" s="2">
        <f t="shared" si="36"/>
        <v>112.211964501035</v>
      </c>
      <c r="AU49" s="1">
        <f t="shared" si="37"/>
        <v>43267.6534190497</v>
      </c>
    </row>
    <row r="50" s="1" customFormat="1" spans="1:47">
      <c r="A50" s="13"/>
      <c r="B50" s="13"/>
      <c r="C50" s="16">
        <v>8</v>
      </c>
      <c r="D50" s="42">
        <v>28.389162486129</v>
      </c>
      <c r="E50" s="20">
        <f t="shared" si="38"/>
        <v>28.355486646129</v>
      </c>
      <c r="F50" s="16" t="s">
        <v>110</v>
      </c>
      <c r="G50" s="13">
        <v>9</v>
      </c>
      <c r="H50" s="18">
        <f t="shared" si="21"/>
        <v>28.389162486129</v>
      </c>
      <c r="I50" s="18">
        <f t="shared" si="22"/>
        <v>301.539162486129</v>
      </c>
      <c r="J50" s="18">
        <f t="shared" si="23"/>
        <v>0.499694124472679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0.183311276464888</v>
      </c>
      <c r="P50" s="18">
        <f t="shared" si="26"/>
        <v>0.0915995677990915</v>
      </c>
      <c r="Q50" s="24">
        <f t="shared" si="27"/>
        <v>0.0141979330088592</v>
      </c>
      <c r="R50" s="18">
        <f t="shared" si="28"/>
        <v>0.0119491114583333</v>
      </c>
      <c r="S50" s="25">
        <f t="shared" si="29"/>
        <v>1.18819989740388</v>
      </c>
      <c r="T50" s="3">
        <v>0.01</v>
      </c>
      <c r="U50" s="26">
        <f t="shared" si="30"/>
        <v>0.0118819989740388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0.0389819989740388</v>
      </c>
      <c r="AR50" s="29">
        <f t="shared" si="34"/>
        <v>7.70910416666667</v>
      </c>
      <c r="AS50" s="1">
        <f t="shared" si="35"/>
        <v>0.155</v>
      </c>
      <c r="AT50" s="2">
        <f t="shared" si="36"/>
        <v>112.211964501035</v>
      </c>
      <c r="AU50" s="1">
        <f t="shared" si="37"/>
        <v>35019.8019945919</v>
      </c>
    </row>
    <row r="51" s="1" customFormat="1" spans="1:47">
      <c r="A51" s="13"/>
      <c r="B51" s="13"/>
      <c r="C51" s="16">
        <v>9</v>
      </c>
      <c r="D51" s="42">
        <v>23.625028394</v>
      </c>
      <c r="E51" s="20">
        <f t="shared" si="38"/>
        <v>28.389162486129</v>
      </c>
      <c r="F51" s="16" t="s">
        <v>110</v>
      </c>
      <c r="G51" s="13">
        <v>10</v>
      </c>
      <c r="H51" s="18">
        <f t="shared" si="21"/>
        <v>23.625028394</v>
      </c>
      <c r="I51" s="18">
        <f t="shared" si="22"/>
        <v>296.775028394</v>
      </c>
      <c r="J51" s="18">
        <f t="shared" si="23"/>
        <v>0.297567034398815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0.168802750332463</v>
      </c>
      <c r="P51" s="18">
        <f t="shared" si="26"/>
        <v>0.0502301338147947</v>
      </c>
      <c r="Q51" s="24">
        <f t="shared" si="27"/>
        <v>0.00778567074129318</v>
      </c>
      <c r="R51" s="18">
        <f t="shared" si="28"/>
        <v>0.0119491114583333</v>
      </c>
      <c r="S51" s="25">
        <f t="shared" si="29"/>
        <v>0.651569011506997</v>
      </c>
      <c r="T51" s="3">
        <v>0.01</v>
      </c>
      <c r="U51" s="26">
        <f t="shared" si="30"/>
        <v>0.00651569011506997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0.03361569011507</v>
      </c>
      <c r="AR51" s="29">
        <f t="shared" si="34"/>
        <v>7.70910416666667</v>
      </c>
      <c r="AS51" s="1">
        <f t="shared" si="35"/>
        <v>0.155</v>
      </c>
      <c r="AT51" s="2">
        <f t="shared" si="36"/>
        <v>112.211964501035</v>
      </c>
      <c r="AU51" s="1">
        <f t="shared" si="37"/>
        <v>30198.9339367976</v>
      </c>
    </row>
    <row r="52" s="1" customFormat="1" spans="1:47">
      <c r="A52" s="13"/>
      <c r="B52" s="13"/>
      <c r="C52" s="16">
        <v>10</v>
      </c>
      <c r="D52" s="42">
        <v>17.3752995094516</v>
      </c>
      <c r="E52" s="20">
        <f t="shared" si="38"/>
        <v>23.625028394</v>
      </c>
      <c r="F52" s="16" t="s">
        <v>110</v>
      </c>
      <c r="G52" s="13">
        <v>11</v>
      </c>
      <c r="H52" s="18">
        <f t="shared" si="21"/>
        <v>17.3752995094516</v>
      </c>
      <c r="I52" s="18">
        <f t="shared" si="22"/>
        <v>290.525299509452</v>
      </c>
      <c r="J52" s="18">
        <f t="shared" si="23"/>
        <v>0.146916671728402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0.112643985691785</v>
      </c>
      <c r="O52" s="18">
        <f t="shared" si="39"/>
        <v>0.0830196724925501</v>
      </c>
      <c r="P52" s="18">
        <f t="shared" si="26"/>
        <v>0.0121969739705874</v>
      </c>
      <c r="Q52" s="24">
        <f t="shared" si="27"/>
        <v>0.00189053096544105</v>
      </c>
      <c r="R52" s="18">
        <f t="shared" si="28"/>
        <v>0.0119491114583333</v>
      </c>
      <c r="S52" s="25">
        <f t="shared" si="29"/>
        <v>0.15821519215327</v>
      </c>
      <c r="T52" s="3">
        <v>0.01</v>
      </c>
      <c r="U52" s="26">
        <f t="shared" si="30"/>
        <v>0.0015821519215327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0.0163821519215327</v>
      </c>
      <c r="AR52" s="29">
        <f t="shared" si="34"/>
        <v>7.70910416666667</v>
      </c>
      <c r="AS52" s="1">
        <f t="shared" si="35"/>
        <v>0.155</v>
      </c>
      <c r="AT52" s="2">
        <f t="shared" si="36"/>
        <v>112.211964501035</v>
      </c>
      <c r="AU52" s="1">
        <f t="shared" si="37"/>
        <v>14717.0420100691</v>
      </c>
    </row>
    <row r="53" s="1" customFormat="1" spans="1:48">
      <c r="A53" s="13"/>
      <c r="B53" s="13"/>
      <c r="C53" s="16">
        <v>11</v>
      </c>
      <c r="D53" s="42">
        <v>10.5278735095667</v>
      </c>
      <c r="E53" s="20">
        <f t="shared" si="38"/>
        <v>17.3752995094516</v>
      </c>
      <c r="F53" s="16" t="s">
        <v>112</v>
      </c>
      <c r="G53" s="13">
        <v>12</v>
      </c>
      <c r="H53" s="18">
        <f t="shared" si="21"/>
        <v>10.5278735095667</v>
      </c>
      <c r="I53" s="18">
        <f t="shared" si="22"/>
        <v>283.677873509567</v>
      </c>
      <c r="J53" s="18">
        <f t="shared" si="23"/>
        <v>0.0654242635210164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0.147913740188629</v>
      </c>
      <c r="P53" s="18">
        <f t="shared" si="26"/>
        <v>0.00967714751648004</v>
      </c>
      <c r="Q53" s="24">
        <f t="shared" si="27"/>
        <v>0.00149995786505441</v>
      </c>
      <c r="R53" s="18">
        <f t="shared" si="28"/>
        <v>0.0119491114583333</v>
      </c>
      <c r="S53" s="25">
        <f t="shared" si="29"/>
        <v>0.125528820304738</v>
      </c>
      <c r="T53" s="3">
        <v>0.01</v>
      </c>
      <c r="U53" s="26">
        <f t="shared" si="30"/>
        <v>0.00125528820304738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0.0160552882030474</v>
      </c>
      <c r="AR53" s="29">
        <f t="shared" si="34"/>
        <v>7.70910416666667</v>
      </c>
      <c r="AS53" s="1">
        <f t="shared" si="35"/>
        <v>0.155</v>
      </c>
      <c r="AT53" s="2">
        <f t="shared" si="36"/>
        <v>112.211964501035</v>
      </c>
      <c r="AU53" s="1">
        <f t="shared" si="37"/>
        <v>14423.4012784022</v>
      </c>
      <c r="AV53" s="1">
        <f>SUM(AU42:AU53)</f>
        <v>298683.76500466</v>
      </c>
    </row>
    <row r="54" s="1" customFormat="1" spans="1:46">
      <c r="A54" s="13"/>
      <c r="B54" s="13"/>
      <c r="C54" s="16">
        <v>12</v>
      </c>
      <c r="D54" s="42">
        <v>6.5124818323871</v>
      </c>
      <c r="E54" s="20">
        <f t="shared" si="38"/>
        <v>10.5278735095667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108</v>
      </c>
      <c r="B58" s="13">
        <f>F7</f>
        <v>122.786</v>
      </c>
      <c r="C58" s="16" t="s">
        <v>109</v>
      </c>
      <c r="D58" s="17">
        <v>5</v>
      </c>
      <c r="E58" s="16"/>
      <c r="F58" s="16"/>
      <c r="G58" s="13">
        <v>1</v>
      </c>
      <c r="H58" s="18">
        <f t="shared" ref="H58:H69" si="40">E59</f>
        <v>5</v>
      </c>
      <c r="I58" s="18">
        <f t="shared" ref="I58:I69" si="41">H58+273.15</f>
        <v>278.15</v>
      </c>
      <c r="J58" s="18">
        <f t="shared" ref="J58:J69" si="42">EXP(($C$16*(I58-$C$14))/($C$17*I58*$C$14))</f>
        <v>0.0330744063381255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0.0913741662742442</v>
      </c>
      <c r="Q58" s="24">
        <f t="shared" ref="Q58:Q69" si="46">P58*$B$60</f>
        <v>0.0264985082195308</v>
      </c>
      <c r="R58" s="18">
        <f t="shared" ref="R58:R69" si="47">L58*$B$60</f>
        <v>0.80117865</v>
      </c>
      <c r="S58" s="25">
        <f t="shared" ref="S58:S69" si="48">Q58/R58</f>
        <v>0.0330744063381255</v>
      </c>
      <c r="T58" s="3">
        <v>0.27</v>
      </c>
      <c r="U58" s="26">
        <f t="shared" ref="U58:U69" si="49">S58*T58</f>
        <v>0.00893008971129389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0.228135116430904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291.425226620662</v>
      </c>
      <c r="AF58" s="1">
        <f t="shared" ref="AF58:AF69" si="54">AE58*10000*AC58*AB58</f>
        <v>6802787.24878802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111</v>
      </c>
      <c r="B59" s="13">
        <v>27</v>
      </c>
      <c r="C59" s="16">
        <v>1</v>
      </c>
      <c r="D59" s="42">
        <v>2.51917454116129</v>
      </c>
      <c r="E59" s="20">
        <f t="shared" ref="E59:E70" si="55">D58</f>
        <v>5</v>
      </c>
      <c r="F59" s="16" t="s">
        <v>110</v>
      </c>
      <c r="G59" s="13">
        <v>2</v>
      </c>
      <c r="H59" s="18">
        <f t="shared" si="40"/>
        <v>2.51917454116129</v>
      </c>
      <c r="I59" s="18">
        <f t="shared" si="41"/>
        <v>275.669174541161</v>
      </c>
      <c r="J59" s="18">
        <f t="shared" si="42"/>
        <v>0.0241367358698315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5.43399583372575</v>
      </c>
      <c r="P59" s="18">
        <f t="shared" si="45"/>
        <v>0.131158922156403</v>
      </c>
      <c r="Q59" s="24">
        <f t="shared" si="46"/>
        <v>0.038036087425357</v>
      </c>
      <c r="R59" s="18">
        <f t="shared" si="47"/>
        <v>0.80117865</v>
      </c>
      <c r="S59" s="25">
        <f t="shared" si="48"/>
        <v>0.0474751635298282</v>
      </c>
      <c r="T59" s="3">
        <v>0.27</v>
      </c>
      <c r="U59" s="26">
        <f t="shared" si="49"/>
        <v>0.0128182941530536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0.228890594553938</v>
      </c>
      <c r="AC59" s="29">
        <f t="shared" si="51"/>
        <v>10.2321666666667</v>
      </c>
      <c r="AD59" s="1">
        <f t="shared" si="52"/>
        <v>0.29</v>
      </c>
      <c r="AE59" s="30">
        <f t="shared" si="53"/>
        <v>291.425226620662</v>
      </c>
      <c r="AF59" s="1">
        <f t="shared" si="54"/>
        <v>6825314.93774059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73</v>
      </c>
      <c r="B60" s="13">
        <f>H7</f>
        <v>0.29</v>
      </c>
      <c r="C60" s="16">
        <v>2</v>
      </c>
      <c r="D60" s="42">
        <v>6.48736763562069</v>
      </c>
      <c r="E60" s="20">
        <f t="shared" si="55"/>
        <v>2.51917454116129</v>
      </c>
      <c r="F60" s="16" t="s">
        <v>110</v>
      </c>
      <c r="G60" s="13">
        <v>3</v>
      </c>
      <c r="H60" s="18">
        <f t="shared" si="40"/>
        <v>6.48736763562069</v>
      </c>
      <c r="I60" s="18">
        <f t="shared" si="41"/>
        <v>279.637367635621</v>
      </c>
      <c r="J60" s="18">
        <f t="shared" si="42"/>
        <v>0.0398431799945535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8.06552191156935</v>
      </c>
      <c r="P60" s="18">
        <f t="shared" si="45"/>
        <v>0.321356041272673</v>
      </c>
      <c r="Q60" s="24">
        <f t="shared" si="46"/>
        <v>0.0931932519690751</v>
      </c>
      <c r="R60" s="18">
        <f t="shared" si="47"/>
        <v>0.80117865</v>
      </c>
      <c r="S60" s="25">
        <f t="shared" si="48"/>
        <v>0.116320188972928</v>
      </c>
      <c r="T60" s="3">
        <v>0.27</v>
      </c>
      <c r="U60" s="26">
        <f t="shared" si="49"/>
        <v>0.0314064510226905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0.232502273433709</v>
      </c>
      <c r="AC60" s="29">
        <f t="shared" si="51"/>
        <v>10.2321666666667</v>
      </c>
      <c r="AD60" s="1">
        <f t="shared" si="52"/>
        <v>0.29</v>
      </c>
      <c r="AE60" s="30">
        <f t="shared" si="53"/>
        <v>291.425226620662</v>
      </c>
      <c r="AF60" s="1">
        <f t="shared" si="54"/>
        <v>6933012.00522586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42">
        <v>11.4772591207097</v>
      </c>
      <c r="E61" s="20">
        <f t="shared" si="55"/>
        <v>6.48736763562069</v>
      </c>
      <c r="F61" s="16" t="s">
        <v>110</v>
      </c>
      <c r="G61" s="13">
        <v>4</v>
      </c>
      <c r="H61" s="18">
        <f t="shared" si="40"/>
        <v>11.4772591207097</v>
      </c>
      <c r="I61" s="18">
        <f t="shared" si="41"/>
        <v>284.62725912071</v>
      </c>
      <c r="J61" s="18">
        <f t="shared" si="42"/>
        <v>0.0733601054665967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10.5068508702967</v>
      </c>
      <c r="P61" s="18">
        <f t="shared" si="45"/>
        <v>0.770783687966768</v>
      </c>
      <c r="Q61" s="24">
        <f t="shared" si="46"/>
        <v>0.223527269510363</v>
      </c>
      <c r="R61" s="18">
        <f t="shared" si="47"/>
        <v>0.80117865</v>
      </c>
      <c r="S61" s="25">
        <f t="shared" si="48"/>
        <v>0.278998035594636</v>
      </c>
      <c r="T61" s="3">
        <v>0.27</v>
      </c>
      <c r="U61" s="26">
        <f t="shared" si="49"/>
        <v>0.0753294696105518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0.28983651594533</v>
      </c>
      <c r="AC61" s="29">
        <f t="shared" si="51"/>
        <v>10.2321666666667</v>
      </c>
      <c r="AD61" s="1">
        <f t="shared" si="52"/>
        <v>0.29</v>
      </c>
      <c r="AE61" s="30">
        <f t="shared" si="53"/>
        <v>291.425226620662</v>
      </c>
      <c r="AF61" s="1">
        <f t="shared" si="54"/>
        <v>8642668.37018582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42">
        <v>17.598055156</v>
      </c>
      <c r="E62" s="20">
        <f t="shared" si="55"/>
        <v>11.4772591207097</v>
      </c>
      <c r="F62" s="16" t="s">
        <v>110</v>
      </c>
      <c r="G62" s="13">
        <v>5</v>
      </c>
      <c r="H62" s="18">
        <f t="shared" si="40"/>
        <v>17.598055156</v>
      </c>
      <c r="I62" s="18">
        <f t="shared" si="41"/>
        <v>290.748055156</v>
      </c>
      <c r="J62" s="18">
        <f t="shared" si="42"/>
        <v>0.150737894914747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9.24926382321341</v>
      </c>
      <c r="O62" s="18">
        <f t="shared" si="56"/>
        <v>3.24948835911649</v>
      </c>
      <c r="P62" s="18">
        <f t="shared" si="45"/>
        <v>0.489821034803196</v>
      </c>
      <c r="Q62" s="24">
        <f t="shared" si="46"/>
        <v>0.142048100092927</v>
      </c>
      <c r="R62" s="18">
        <f t="shared" si="47"/>
        <v>0.80117865</v>
      </c>
      <c r="S62" s="25">
        <f t="shared" si="48"/>
        <v>0.17729890841815</v>
      </c>
      <c r="T62" s="3">
        <v>0.27</v>
      </c>
      <c r="U62" s="26">
        <f t="shared" si="49"/>
        <v>0.0478707052729004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0.284501278034525</v>
      </c>
      <c r="AC62" s="29">
        <f t="shared" si="51"/>
        <v>10.2321666666667</v>
      </c>
      <c r="AD62" s="1">
        <f t="shared" si="52"/>
        <v>0.29</v>
      </c>
      <c r="AE62" s="30">
        <f t="shared" si="53"/>
        <v>291.425226620662</v>
      </c>
      <c r="AF62" s="1">
        <f t="shared" si="54"/>
        <v>8483576.29792315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42">
        <v>20.2915977419355</v>
      </c>
      <c r="E63" s="20">
        <f t="shared" si="55"/>
        <v>17.598055156</v>
      </c>
      <c r="F63" s="16" t="s">
        <v>112</v>
      </c>
      <c r="G63" s="13">
        <v>6</v>
      </c>
      <c r="H63" s="18">
        <f t="shared" si="40"/>
        <v>20.2915977419355</v>
      </c>
      <c r="I63" s="18">
        <f t="shared" si="41"/>
        <v>293.441597741935</v>
      </c>
      <c r="J63" s="18">
        <f t="shared" si="42"/>
        <v>0.204985775164183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5.5223523243133</v>
      </c>
      <c r="P63" s="18">
        <f t="shared" si="45"/>
        <v>1.13200367192909</v>
      </c>
      <c r="Q63" s="24">
        <f t="shared" si="46"/>
        <v>0.328281064859436</v>
      </c>
      <c r="R63" s="18">
        <f t="shared" si="47"/>
        <v>0.80117865</v>
      </c>
      <c r="S63" s="25">
        <f t="shared" si="48"/>
        <v>0.409747644747443</v>
      </c>
      <c r="T63" s="3">
        <v>0.27</v>
      </c>
      <c r="U63" s="26">
        <f t="shared" si="49"/>
        <v>0.11063186408181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0.311895771191096</v>
      </c>
      <c r="AC63" s="29">
        <f t="shared" si="51"/>
        <v>10.2321666666667</v>
      </c>
      <c r="AD63" s="1">
        <f t="shared" si="52"/>
        <v>0.29</v>
      </c>
      <c r="AE63" s="30">
        <f t="shared" si="53"/>
        <v>291.425226620662</v>
      </c>
      <c r="AF63" s="1">
        <f t="shared" si="54"/>
        <v>9300455.83689134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42">
        <v>24.4629069066667</v>
      </c>
      <c r="E64" s="20">
        <f t="shared" si="55"/>
        <v>20.2915977419355</v>
      </c>
      <c r="F64" s="16" t="s">
        <v>110</v>
      </c>
      <c r="G64" s="13">
        <v>7</v>
      </c>
      <c r="H64" s="18">
        <f t="shared" si="40"/>
        <v>24.4629069066667</v>
      </c>
      <c r="I64" s="18">
        <f t="shared" si="41"/>
        <v>297.612906906667</v>
      </c>
      <c r="J64" s="18">
        <f t="shared" si="42"/>
        <v>0.326361841377132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7.15303365238421</v>
      </c>
      <c r="P64" s="18">
        <f t="shared" si="45"/>
        <v>2.3344772342247</v>
      </c>
      <c r="Q64" s="24">
        <f t="shared" si="46"/>
        <v>0.676998397925163</v>
      </c>
      <c r="R64" s="18">
        <f t="shared" si="47"/>
        <v>0.80117865</v>
      </c>
      <c r="S64" s="25">
        <f t="shared" si="48"/>
        <v>0.845003043859399</v>
      </c>
      <c r="T64" s="3">
        <v>0.27</v>
      </c>
      <c r="U64" s="26">
        <f t="shared" si="49"/>
        <v>0.228150821842038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0.334729704683908</v>
      </c>
      <c r="AC64" s="29">
        <f t="shared" si="51"/>
        <v>10.2321666666667</v>
      </c>
      <c r="AD64" s="1">
        <f t="shared" si="52"/>
        <v>0.29</v>
      </c>
      <c r="AE64" s="30">
        <f t="shared" si="53"/>
        <v>291.425226620662</v>
      </c>
      <c r="AF64" s="1">
        <f t="shared" si="54"/>
        <v>9981343.5232534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42">
        <v>28.355486646129</v>
      </c>
      <c r="E65" s="20">
        <f t="shared" si="55"/>
        <v>24.4629069066667</v>
      </c>
      <c r="F65" s="16" t="s">
        <v>110</v>
      </c>
      <c r="G65" s="13">
        <v>8</v>
      </c>
      <c r="H65" s="18">
        <f t="shared" si="40"/>
        <v>28.355486646129</v>
      </c>
      <c r="I65" s="18">
        <f t="shared" si="41"/>
        <v>301.505486646129</v>
      </c>
      <c r="J65" s="18">
        <f t="shared" si="42"/>
        <v>0.497895184888954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7.58124141815951</v>
      </c>
      <c r="P65" s="18">
        <f t="shared" si="45"/>
        <v>3.77466359758232</v>
      </c>
      <c r="Q65" s="24">
        <f t="shared" si="46"/>
        <v>1.09465244329887</v>
      </c>
      <c r="R65" s="18">
        <f t="shared" si="47"/>
        <v>0.80117865</v>
      </c>
      <c r="S65" s="25">
        <f t="shared" si="48"/>
        <v>1.36630256347804</v>
      </c>
      <c r="T65" s="3">
        <v>0.27</v>
      </c>
      <c r="U65" s="26">
        <f t="shared" si="49"/>
        <v>0.36890169213907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0.362077598782621</v>
      </c>
      <c r="AC65" s="29">
        <f t="shared" si="51"/>
        <v>10.2321666666667</v>
      </c>
      <c r="AD65" s="1">
        <f t="shared" si="52"/>
        <v>0.29</v>
      </c>
      <c r="AE65" s="30">
        <f t="shared" si="53"/>
        <v>291.425226620662</v>
      </c>
      <c r="AF65" s="1">
        <f t="shared" si="54"/>
        <v>10796833.5195613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42">
        <v>28.389162486129</v>
      </c>
      <c r="E66" s="20">
        <f t="shared" si="55"/>
        <v>28.355486646129</v>
      </c>
      <c r="F66" s="16" t="s">
        <v>110</v>
      </c>
      <c r="G66" s="13">
        <v>9</v>
      </c>
      <c r="H66" s="18">
        <f t="shared" si="40"/>
        <v>28.389162486129</v>
      </c>
      <c r="I66" s="18">
        <f t="shared" si="41"/>
        <v>301.539162486129</v>
      </c>
      <c r="J66" s="18">
        <f t="shared" si="42"/>
        <v>0.499694124472679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6.56926282057718</v>
      </c>
      <c r="P66" s="18">
        <f t="shared" si="45"/>
        <v>3.28262203355924</v>
      </c>
      <c r="Q66" s="24">
        <f t="shared" si="46"/>
        <v>0.951960389732179</v>
      </c>
      <c r="R66" s="18">
        <f t="shared" si="47"/>
        <v>0.80117865</v>
      </c>
      <c r="S66" s="25">
        <f t="shared" si="48"/>
        <v>1.18819989740388</v>
      </c>
      <c r="T66" s="3">
        <v>0.27</v>
      </c>
      <c r="U66" s="26">
        <f t="shared" si="49"/>
        <v>0.320813972299048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0.337534154817705</v>
      </c>
      <c r="AC66" s="29">
        <f t="shared" si="51"/>
        <v>10.2321666666667</v>
      </c>
      <c r="AD66" s="1">
        <f t="shared" si="52"/>
        <v>0.29</v>
      </c>
      <c r="AE66" s="30">
        <f t="shared" si="53"/>
        <v>291.425226620662</v>
      </c>
      <c r="AF66" s="1">
        <f t="shared" si="54"/>
        <v>10064969.7440147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42">
        <v>23.625028394</v>
      </c>
      <c r="E67" s="20">
        <f t="shared" si="55"/>
        <v>28.389162486129</v>
      </c>
      <c r="F67" s="16" t="s">
        <v>110</v>
      </c>
      <c r="G67" s="13">
        <v>10</v>
      </c>
      <c r="H67" s="18">
        <f t="shared" si="40"/>
        <v>23.625028394</v>
      </c>
      <c r="I67" s="18">
        <f t="shared" si="41"/>
        <v>296.775028394</v>
      </c>
      <c r="J67" s="18">
        <f t="shared" si="42"/>
        <v>0.297567034398815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6.04932578701794</v>
      </c>
      <c r="P67" s="18">
        <f t="shared" si="45"/>
        <v>1.80007993455521</v>
      </c>
      <c r="Q67" s="24">
        <f t="shared" si="46"/>
        <v>0.52202318102101</v>
      </c>
      <c r="R67" s="18">
        <f t="shared" si="47"/>
        <v>0.80117865</v>
      </c>
      <c r="S67" s="25">
        <f t="shared" si="48"/>
        <v>0.651569011506997</v>
      </c>
      <c r="T67" s="3">
        <v>0.27</v>
      </c>
      <c r="U67" s="26">
        <f t="shared" si="49"/>
        <v>0.175923633106889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0.309381961912669</v>
      </c>
      <c r="AC67" s="29">
        <f t="shared" si="51"/>
        <v>10.2321666666667</v>
      </c>
      <c r="AD67" s="1">
        <f t="shared" si="52"/>
        <v>0.29</v>
      </c>
      <c r="AE67" s="30">
        <f t="shared" si="53"/>
        <v>291.425226620662</v>
      </c>
      <c r="AF67" s="1">
        <f t="shared" si="54"/>
        <v>9225496.26918994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42">
        <v>17.3752995094516</v>
      </c>
      <c r="E68" s="20">
        <f t="shared" si="55"/>
        <v>23.625028394</v>
      </c>
      <c r="F68" s="16" t="s">
        <v>110</v>
      </c>
      <c r="G68" s="13">
        <v>11</v>
      </c>
      <c r="H68" s="18">
        <f t="shared" si="40"/>
        <v>17.3752995094516</v>
      </c>
      <c r="I68" s="18">
        <f t="shared" si="41"/>
        <v>290.525299509452</v>
      </c>
      <c r="J68" s="18">
        <f t="shared" si="42"/>
        <v>0.146916671728402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4.0367835598396</v>
      </c>
      <c r="O68" s="18">
        <f t="shared" si="56"/>
        <v>2.97514729262314</v>
      </c>
      <c r="P68" s="18">
        <f t="shared" si="45"/>
        <v>0.437098738133957</v>
      </c>
      <c r="Q68" s="24">
        <f t="shared" si="46"/>
        <v>0.126758634058848</v>
      </c>
      <c r="R68" s="18">
        <f t="shared" si="47"/>
        <v>0.80117865</v>
      </c>
      <c r="S68" s="25">
        <f t="shared" si="48"/>
        <v>0.15821519215327</v>
      </c>
      <c r="T68" s="3">
        <v>0.27</v>
      </c>
      <c r="U68" s="26">
        <f t="shared" si="49"/>
        <v>0.042718101881383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0.234700127195553</v>
      </c>
      <c r="AC68" s="29">
        <f t="shared" si="51"/>
        <v>10.2321666666667</v>
      </c>
      <c r="AD68" s="1">
        <f t="shared" si="52"/>
        <v>0.29</v>
      </c>
      <c r="AE68" s="30">
        <f t="shared" si="53"/>
        <v>291.425226620662</v>
      </c>
      <c r="AF68" s="1">
        <f t="shared" si="54"/>
        <v>6998550.05907607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42">
        <v>10.5278735095667</v>
      </c>
      <c r="E69" s="20">
        <f t="shared" si="55"/>
        <v>17.3752995094516</v>
      </c>
      <c r="F69" s="16" t="s">
        <v>112</v>
      </c>
      <c r="G69" s="13">
        <v>12</v>
      </c>
      <c r="H69" s="18">
        <f t="shared" si="40"/>
        <v>10.5278735095667</v>
      </c>
      <c r="I69" s="18">
        <f t="shared" si="41"/>
        <v>283.677873509567</v>
      </c>
      <c r="J69" s="18">
        <f t="shared" si="42"/>
        <v>0.0654242635210164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5.30073355448918</v>
      </c>
      <c r="P69" s="18">
        <f t="shared" si="45"/>
        <v>0.346796588923594</v>
      </c>
      <c r="Q69" s="24">
        <f t="shared" si="46"/>
        <v>0.100571010787842</v>
      </c>
      <c r="R69" s="18">
        <f t="shared" si="47"/>
        <v>0.80117865</v>
      </c>
      <c r="S69" s="25">
        <f t="shared" si="48"/>
        <v>0.125528820304738</v>
      </c>
      <c r="T69" s="3">
        <v>0.27</v>
      </c>
      <c r="U69" s="26">
        <f t="shared" si="49"/>
        <v>0.0338927814822792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0.232985367442007</v>
      </c>
      <c r="AC69" s="29">
        <f t="shared" si="51"/>
        <v>10.2321666666667</v>
      </c>
      <c r="AD69" s="1">
        <f t="shared" si="52"/>
        <v>0.29</v>
      </c>
      <c r="AE69" s="30">
        <f t="shared" si="53"/>
        <v>291.425226620662</v>
      </c>
      <c r="AF69" s="1">
        <f t="shared" si="54"/>
        <v>6947417.44096513</v>
      </c>
      <c r="AG69" s="1">
        <f>SUM(AF58:AF69)</f>
        <v>101002425.252815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42">
        <v>6.5124818323871</v>
      </c>
      <c r="E70" s="20">
        <f t="shared" si="55"/>
        <v>10.5278735095667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5</v>
      </c>
      <c r="E74" s="16"/>
      <c r="F74" s="16"/>
      <c r="G74" s="13">
        <v>1</v>
      </c>
      <c r="H74" s="18">
        <f t="shared" ref="H74:H85" si="57">E75</f>
        <v>5</v>
      </c>
      <c r="I74" s="18">
        <f t="shared" ref="I74:I85" si="58">H74+273.15</f>
        <v>278.15</v>
      </c>
      <c r="J74" s="18">
        <f t="shared" ref="J74:J85" si="59">EXP(($C$16*(I74-$C$14))/($C$17*I74*$C$14))</f>
        <v>0.0330744063381255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0.0172390420715578</v>
      </c>
      <c r="Q74" s="24">
        <f t="shared" ref="Q74:Q85" si="63">P74*$B$76</f>
        <v>0.00448215093860502</v>
      </c>
      <c r="R74" s="18">
        <f t="shared" ref="R74:R85" si="64">L74*$B$76</f>
        <v>0.1355172</v>
      </c>
      <c r="S74" s="25">
        <f t="shared" ref="S74:S85" si="65">Q74/R74</f>
        <v>0.0330744063381255</v>
      </c>
      <c r="T74" s="3">
        <v>0.01</v>
      </c>
      <c r="U74" s="26">
        <f t="shared" ref="U74:U85" si="66">S74*T74</f>
        <v>0.000330744063381255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0.00582074406338126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0.09</v>
      </c>
      <c r="AX74" s="1">
        <f t="shared" ref="AX74:AX85" si="73">AW74*10000*AV74*0.67*AU74*AT74</f>
        <v>47.5652995243788</v>
      </c>
    </row>
    <row r="75" s="1" customFormat="1" spans="1:50">
      <c r="A75" s="13" t="s">
        <v>111</v>
      </c>
      <c r="B75" s="13">
        <v>1</v>
      </c>
      <c r="C75" s="16">
        <v>1</v>
      </c>
      <c r="D75" s="42">
        <v>2.51917454116129</v>
      </c>
      <c r="E75" s="20">
        <f t="shared" ref="E75:E86" si="74">D74</f>
        <v>5</v>
      </c>
      <c r="F75" s="16" t="s">
        <v>110</v>
      </c>
      <c r="G75" s="13">
        <v>2</v>
      </c>
      <c r="H75" s="18">
        <f t="shared" si="57"/>
        <v>2.51917454116129</v>
      </c>
      <c r="I75" s="18">
        <f t="shared" si="58"/>
        <v>275.669174541161</v>
      </c>
      <c r="J75" s="18">
        <f t="shared" si="59"/>
        <v>0.0241367358698315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1.02520095792844</v>
      </c>
      <c r="P75" s="18">
        <f t="shared" si="62"/>
        <v>0.024745004735017</v>
      </c>
      <c r="Q75" s="24">
        <f t="shared" si="63"/>
        <v>0.00643370123110443</v>
      </c>
      <c r="R75" s="18">
        <f t="shared" si="64"/>
        <v>0.1355172</v>
      </c>
      <c r="S75" s="25">
        <f t="shared" si="65"/>
        <v>0.0474751635298282</v>
      </c>
      <c r="T75" s="3">
        <v>0.01</v>
      </c>
      <c r="U75" s="26">
        <f t="shared" si="66"/>
        <v>0.000474751635298282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0.00596475163529828</v>
      </c>
      <c r="AU75" s="29">
        <f t="shared" si="70"/>
        <v>52.122</v>
      </c>
      <c r="AV75" s="1">
        <f t="shared" si="71"/>
        <v>0.26</v>
      </c>
      <c r="AW75" s="2">
        <f t="shared" si="72"/>
        <v>0.09</v>
      </c>
      <c r="AX75" s="1">
        <f t="shared" si="73"/>
        <v>48.742084350756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42">
        <v>6.48736763562069</v>
      </c>
      <c r="E76" s="20">
        <f t="shared" si="74"/>
        <v>2.51917454116129</v>
      </c>
      <c r="F76" s="16" t="s">
        <v>110</v>
      </c>
      <c r="G76" s="13">
        <v>3</v>
      </c>
      <c r="H76" s="18">
        <f t="shared" si="57"/>
        <v>6.48736763562069</v>
      </c>
      <c r="I76" s="18">
        <f t="shared" si="58"/>
        <v>279.637367635621</v>
      </c>
      <c r="J76" s="18">
        <f t="shared" si="59"/>
        <v>0.0398431799945535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1.52167595319343</v>
      </c>
      <c r="P76" s="18">
        <f t="shared" si="62"/>
        <v>0.0606284088964694</v>
      </c>
      <c r="Q76" s="24">
        <f t="shared" si="63"/>
        <v>0.015763386313082</v>
      </c>
      <c r="R76" s="18">
        <f t="shared" si="64"/>
        <v>0.1355172</v>
      </c>
      <c r="S76" s="25">
        <f t="shared" si="65"/>
        <v>0.116320188972928</v>
      </c>
      <c r="T76" s="3">
        <v>0.01</v>
      </c>
      <c r="U76" s="26">
        <f t="shared" si="66"/>
        <v>0.00116320188972928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0.00665320188972928</v>
      </c>
      <c r="AU76" s="29">
        <f t="shared" si="70"/>
        <v>52.122</v>
      </c>
      <c r="AV76" s="1">
        <f t="shared" si="71"/>
        <v>0.26</v>
      </c>
      <c r="AW76" s="2">
        <f t="shared" si="72"/>
        <v>0.09</v>
      </c>
      <c r="AX76" s="1">
        <f t="shared" si="73"/>
        <v>54.3678844551885</v>
      </c>
    </row>
    <row r="77" s="1" customFormat="1" spans="1:50">
      <c r="A77" s="13"/>
      <c r="B77" s="13"/>
      <c r="C77" s="16">
        <v>3</v>
      </c>
      <c r="D77" s="42">
        <v>11.4772591207097</v>
      </c>
      <c r="E77" s="20">
        <f t="shared" si="74"/>
        <v>6.48736763562069</v>
      </c>
      <c r="F77" s="16" t="s">
        <v>110</v>
      </c>
      <c r="G77" s="13">
        <v>4</v>
      </c>
      <c r="H77" s="18">
        <f t="shared" si="57"/>
        <v>11.4772591207097</v>
      </c>
      <c r="I77" s="18">
        <f t="shared" si="58"/>
        <v>284.62725912071</v>
      </c>
      <c r="J77" s="18">
        <f t="shared" si="59"/>
        <v>0.0733601054665967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1.98226754429696</v>
      </c>
      <c r="P77" s="18">
        <f t="shared" si="62"/>
        <v>0.145419356112636</v>
      </c>
      <c r="Q77" s="24">
        <f t="shared" si="63"/>
        <v>0.0378090325892854</v>
      </c>
      <c r="R77" s="18">
        <f t="shared" si="64"/>
        <v>0.1355172</v>
      </c>
      <c r="S77" s="25">
        <f t="shared" si="65"/>
        <v>0.278998035594636</v>
      </c>
      <c r="T77" s="3">
        <v>0.01</v>
      </c>
      <c r="U77" s="26">
        <f t="shared" si="66"/>
        <v>0.00278998035594636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0.0107799803559464</v>
      </c>
      <c r="AU77" s="29">
        <f t="shared" si="70"/>
        <v>52.122</v>
      </c>
      <c r="AV77" s="1">
        <f t="shared" si="71"/>
        <v>0.26</v>
      </c>
      <c r="AW77" s="2">
        <f t="shared" si="72"/>
        <v>0.09</v>
      </c>
      <c r="AX77" s="1">
        <f t="shared" si="73"/>
        <v>88.0906270597391</v>
      </c>
    </row>
    <row r="78" s="1" customFormat="1" spans="1:50">
      <c r="A78" s="13"/>
      <c r="B78" s="13"/>
      <c r="C78" s="16">
        <v>4</v>
      </c>
      <c r="D78" s="42">
        <v>17.598055156</v>
      </c>
      <c r="E78" s="20">
        <f t="shared" si="74"/>
        <v>11.4772591207097</v>
      </c>
      <c r="F78" s="16" t="s">
        <v>110</v>
      </c>
      <c r="G78" s="13">
        <v>5</v>
      </c>
      <c r="H78" s="18">
        <f t="shared" si="57"/>
        <v>17.598055156</v>
      </c>
      <c r="I78" s="18">
        <f t="shared" si="58"/>
        <v>290.748055156</v>
      </c>
      <c r="J78" s="18">
        <f t="shared" si="59"/>
        <v>0.150737894914747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1.7450057787751</v>
      </c>
      <c r="O78" s="18">
        <f t="shared" si="75"/>
        <v>0.613062409409216</v>
      </c>
      <c r="P78" s="18">
        <f t="shared" si="62"/>
        <v>0.092411737045708</v>
      </c>
      <c r="Q78" s="24">
        <f t="shared" si="63"/>
        <v>0.0240270516318841</v>
      </c>
      <c r="R78" s="18">
        <f t="shared" si="64"/>
        <v>0.1355172</v>
      </c>
      <c r="S78" s="25">
        <f t="shared" si="65"/>
        <v>0.17729890841815</v>
      </c>
      <c r="T78" s="3">
        <v>0.01</v>
      </c>
      <c r="U78" s="26">
        <f t="shared" si="66"/>
        <v>0.0017729890841815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0.0117229890841815</v>
      </c>
      <c r="AU78" s="29">
        <f t="shared" si="70"/>
        <v>52.122</v>
      </c>
      <c r="AV78" s="1">
        <f t="shared" si="71"/>
        <v>0.26</v>
      </c>
      <c r="AW78" s="2">
        <f t="shared" si="72"/>
        <v>0.09</v>
      </c>
      <c r="AX78" s="1">
        <f t="shared" si="73"/>
        <v>95.7965993760261</v>
      </c>
    </row>
    <row r="79" s="1" customFormat="1" spans="1:50">
      <c r="A79" s="13"/>
      <c r="B79" s="13"/>
      <c r="C79" s="16">
        <v>5</v>
      </c>
      <c r="D79" s="42">
        <v>20.2915977419355</v>
      </c>
      <c r="E79" s="20">
        <f t="shared" si="74"/>
        <v>17.598055156</v>
      </c>
      <c r="F79" s="16" t="s">
        <v>112</v>
      </c>
      <c r="G79" s="13">
        <v>6</v>
      </c>
      <c r="H79" s="18">
        <f t="shared" si="57"/>
        <v>20.2915977419355</v>
      </c>
      <c r="I79" s="18">
        <f t="shared" si="58"/>
        <v>293.441597741935</v>
      </c>
      <c r="J79" s="18">
        <f t="shared" si="59"/>
        <v>0.204985775164183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1.04187067236351</v>
      </c>
      <c r="P79" s="18">
        <f t="shared" si="62"/>
        <v>0.213568667395262</v>
      </c>
      <c r="Q79" s="24">
        <f t="shared" si="63"/>
        <v>0.0555278535227682</v>
      </c>
      <c r="R79" s="18">
        <f t="shared" si="64"/>
        <v>0.1355172</v>
      </c>
      <c r="S79" s="25">
        <f t="shared" si="65"/>
        <v>0.409747644747443</v>
      </c>
      <c r="T79" s="3">
        <v>0.01</v>
      </c>
      <c r="U79" s="26">
        <f t="shared" si="66"/>
        <v>0.00409747644747443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0.0140474764474744</v>
      </c>
      <c r="AU79" s="29">
        <f t="shared" si="70"/>
        <v>52.122</v>
      </c>
      <c r="AV79" s="1">
        <f t="shared" si="71"/>
        <v>0.26</v>
      </c>
      <c r="AW79" s="2">
        <f t="shared" si="72"/>
        <v>0.09</v>
      </c>
      <c r="AX79" s="1">
        <f t="shared" si="73"/>
        <v>114.791582916229</v>
      </c>
    </row>
    <row r="80" s="1" customFormat="1" spans="1:50">
      <c r="A80" s="13"/>
      <c r="B80" s="13"/>
      <c r="C80" s="16">
        <v>6</v>
      </c>
      <c r="D80" s="42">
        <v>24.4629069066667</v>
      </c>
      <c r="E80" s="20">
        <f t="shared" si="74"/>
        <v>20.2915977419355</v>
      </c>
      <c r="F80" s="16" t="s">
        <v>110</v>
      </c>
      <c r="G80" s="13">
        <v>7</v>
      </c>
      <c r="H80" s="18">
        <f t="shared" si="57"/>
        <v>24.4629069066667</v>
      </c>
      <c r="I80" s="18">
        <f t="shared" si="58"/>
        <v>297.612906906667</v>
      </c>
      <c r="J80" s="18">
        <f t="shared" si="59"/>
        <v>0.326361841377132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1.34952200496825</v>
      </c>
      <c r="P80" s="18">
        <f t="shared" si="62"/>
        <v>0.440432486520396</v>
      </c>
      <c r="Q80" s="24">
        <f t="shared" si="63"/>
        <v>0.114512446495303</v>
      </c>
      <c r="R80" s="18">
        <f t="shared" si="64"/>
        <v>0.1355172</v>
      </c>
      <c r="S80" s="25">
        <f t="shared" si="65"/>
        <v>0.845003043859399</v>
      </c>
      <c r="T80" s="3">
        <v>0.01</v>
      </c>
      <c r="U80" s="26">
        <f t="shared" si="66"/>
        <v>0.00845003043859399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0.020900030438594</v>
      </c>
      <c r="AU80" s="29">
        <f t="shared" si="70"/>
        <v>52.122</v>
      </c>
      <c r="AV80" s="1">
        <f t="shared" si="71"/>
        <v>0.26</v>
      </c>
      <c r="AW80" s="2">
        <f t="shared" si="72"/>
        <v>0.09</v>
      </c>
      <c r="AX80" s="1">
        <f t="shared" si="73"/>
        <v>170.788510378668</v>
      </c>
    </row>
    <row r="81" s="1" customFormat="1" spans="1:50">
      <c r="A81" s="13"/>
      <c r="B81" s="13"/>
      <c r="C81" s="16">
        <v>7</v>
      </c>
      <c r="D81" s="42">
        <v>28.355486646129</v>
      </c>
      <c r="E81" s="20">
        <f t="shared" si="74"/>
        <v>24.4629069066667</v>
      </c>
      <c r="F81" s="16" t="s">
        <v>110</v>
      </c>
      <c r="G81" s="13">
        <v>8</v>
      </c>
      <c r="H81" s="18">
        <f t="shared" si="57"/>
        <v>28.355486646129</v>
      </c>
      <c r="I81" s="18">
        <f t="shared" si="58"/>
        <v>301.505486646129</v>
      </c>
      <c r="J81" s="18">
        <f t="shared" si="59"/>
        <v>0.497895184888954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1.43030951844785</v>
      </c>
      <c r="P81" s="18">
        <f t="shared" si="62"/>
        <v>0.712144222136023</v>
      </c>
      <c r="Q81" s="24">
        <f t="shared" si="63"/>
        <v>0.185157497755366</v>
      </c>
      <c r="R81" s="18">
        <f t="shared" si="64"/>
        <v>0.1355172</v>
      </c>
      <c r="S81" s="25">
        <f t="shared" si="65"/>
        <v>1.36630256347804</v>
      </c>
      <c r="T81" s="3">
        <v>0.01</v>
      </c>
      <c r="U81" s="26">
        <f t="shared" si="66"/>
        <v>0.0136630256347804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0.0261130256347804</v>
      </c>
      <c r="AU81" s="29">
        <f t="shared" si="70"/>
        <v>52.122</v>
      </c>
      <c r="AV81" s="1">
        <f t="shared" si="71"/>
        <v>0.26</v>
      </c>
      <c r="AW81" s="2">
        <f t="shared" si="72"/>
        <v>0.09</v>
      </c>
      <c r="AX81" s="1">
        <f t="shared" si="73"/>
        <v>213.387476288486</v>
      </c>
    </row>
    <row r="82" s="1" customFormat="1" spans="1:50">
      <c r="A82" s="13"/>
      <c r="B82" s="13"/>
      <c r="C82" s="16">
        <v>8</v>
      </c>
      <c r="D82" s="42">
        <v>28.389162486129</v>
      </c>
      <c r="E82" s="20">
        <f t="shared" si="74"/>
        <v>28.355486646129</v>
      </c>
      <c r="F82" s="16" t="s">
        <v>110</v>
      </c>
      <c r="G82" s="13">
        <v>9</v>
      </c>
      <c r="H82" s="18">
        <f t="shared" si="57"/>
        <v>28.389162486129</v>
      </c>
      <c r="I82" s="18">
        <f t="shared" si="58"/>
        <v>301.539162486129</v>
      </c>
      <c r="J82" s="18">
        <f t="shared" si="59"/>
        <v>0.499694124472679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1.23938529631183</v>
      </c>
      <c r="P82" s="18">
        <f t="shared" si="62"/>
        <v>0.61931355052485</v>
      </c>
      <c r="Q82" s="24">
        <f t="shared" si="63"/>
        <v>0.161021523136461</v>
      </c>
      <c r="R82" s="18">
        <f t="shared" si="64"/>
        <v>0.1355172</v>
      </c>
      <c r="S82" s="25">
        <f t="shared" si="65"/>
        <v>1.18819989740388</v>
      </c>
      <c r="T82" s="3">
        <v>0.01</v>
      </c>
      <c r="U82" s="26">
        <f t="shared" si="66"/>
        <v>0.0118819989740388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0.0218319989740388</v>
      </c>
      <c r="AU82" s="29">
        <f t="shared" si="70"/>
        <v>52.122</v>
      </c>
      <c r="AV82" s="1">
        <f t="shared" si="71"/>
        <v>0.26</v>
      </c>
      <c r="AW82" s="2">
        <f t="shared" si="72"/>
        <v>0.09</v>
      </c>
      <c r="AX82" s="1">
        <f t="shared" si="73"/>
        <v>178.404265693286</v>
      </c>
    </row>
    <row r="83" s="1" customFormat="1" spans="1:50">
      <c r="A83" s="13"/>
      <c r="B83" s="13"/>
      <c r="C83" s="16">
        <v>9</v>
      </c>
      <c r="D83" s="42">
        <v>23.625028394</v>
      </c>
      <c r="E83" s="20">
        <f t="shared" si="74"/>
        <v>28.389162486129</v>
      </c>
      <c r="F83" s="16" t="s">
        <v>110</v>
      </c>
      <c r="G83" s="13">
        <v>10</v>
      </c>
      <c r="H83" s="18">
        <f t="shared" si="57"/>
        <v>23.625028394</v>
      </c>
      <c r="I83" s="18">
        <f t="shared" si="58"/>
        <v>296.775028394</v>
      </c>
      <c r="J83" s="18">
        <f t="shared" si="59"/>
        <v>0.297567034398815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1.14129174578698</v>
      </c>
      <c r="P83" s="18">
        <f t="shared" si="62"/>
        <v>0.339610800177677</v>
      </c>
      <c r="Q83" s="24">
        <f t="shared" si="63"/>
        <v>0.088298808046196</v>
      </c>
      <c r="R83" s="18">
        <f t="shared" si="64"/>
        <v>0.1355172</v>
      </c>
      <c r="S83" s="25">
        <f t="shared" si="65"/>
        <v>0.651569011506997</v>
      </c>
      <c r="T83" s="3">
        <v>0.01</v>
      </c>
      <c r="U83" s="26">
        <f t="shared" si="66"/>
        <v>0.00651569011506997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0.01646569011507</v>
      </c>
      <c r="AU83" s="29">
        <f t="shared" si="70"/>
        <v>52.122</v>
      </c>
      <c r="AV83" s="1">
        <f t="shared" si="71"/>
        <v>0.26</v>
      </c>
      <c r="AW83" s="2">
        <f t="shared" si="72"/>
        <v>0.09</v>
      </c>
      <c r="AX83" s="1">
        <f t="shared" si="73"/>
        <v>134.552468493856</v>
      </c>
    </row>
    <row r="84" s="1" customFormat="1" spans="1:50">
      <c r="A84" s="13"/>
      <c r="B84" s="13"/>
      <c r="C84" s="16">
        <v>10</v>
      </c>
      <c r="D84" s="42">
        <v>17.3752995094516</v>
      </c>
      <c r="E84" s="20">
        <f t="shared" si="74"/>
        <v>23.625028394</v>
      </c>
      <c r="F84" s="16" t="s">
        <v>110</v>
      </c>
      <c r="G84" s="13">
        <v>11</v>
      </c>
      <c r="H84" s="18">
        <f t="shared" si="57"/>
        <v>17.3752995094516</v>
      </c>
      <c r="I84" s="18">
        <f t="shared" si="58"/>
        <v>290.525299509452</v>
      </c>
      <c r="J84" s="18">
        <f t="shared" si="59"/>
        <v>0.146916671728402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0.761596898328835</v>
      </c>
      <c r="O84" s="18">
        <f t="shared" si="75"/>
        <v>0.561304047280465</v>
      </c>
      <c r="P84" s="18">
        <f t="shared" si="62"/>
        <v>0.0824649224541275</v>
      </c>
      <c r="Q84" s="24">
        <f t="shared" si="63"/>
        <v>0.0214408798380732</v>
      </c>
      <c r="R84" s="18">
        <f t="shared" si="64"/>
        <v>0.1355172</v>
      </c>
      <c r="S84" s="25">
        <f t="shared" si="65"/>
        <v>0.15821519215327</v>
      </c>
      <c r="T84" s="3">
        <v>0.01</v>
      </c>
      <c r="U84" s="26">
        <f t="shared" si="66"/>
        <v>0.0015821519215327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0.0090321519215327</v>
      </c>
      <c r="AU84" s="29">
        <f t="shared" si="70"/>
        <v>52.122</v>
      </c>
      <c r="AV84" s="1">
        <f t="shared" si="71"/>
        <v>0.26</v>
      </c>
      <c r="AW84" s="2">
        <f t="shared" si="72"/>
        <v>0.09</v>
      </c>
      <c r="AX84" s="1">
        <f t="shared" si="73"/>
        <v>73.8079198843581</v>
      </c>
    </row>
    <row r="85" s="1" customFormat="1" spans="1:51">
      <c r="A85" s="13"/>
      <c r="B85" s="13"/>
      <c r="C85" s="16">
        <v>11</v>
      </c>
      <c r="D85" s="42">
        <v>10.5278735095667</v>
      </c>
      <c r="E85" s="20">
        <f t="shared" si="74"/>
        <v>17.3752995094516</v>
      </c>
      <c r="F85" s="16" t="s">
        <v>112</v>
      </c>
      <c r="G85" s="13">
        <v>12</v>
      </c>
      <c r="H85" s="18">
        <f t="shared" si="57"/>
        <v>10.5278735095667</v>
      </c>
      <c r="I85" s="18">
        <f t="shared" si="58"/>
        <v>283.677873509567</v>
      </c>
      <c r="J85" s="18">
        <f t="shared" si="59"/>
        <v>0.0654242635210164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1.00005912482634</v>
      </c>
      <c r="P85" s="18">
        <f t="shared" si="62"/>
        <v>0.0654281317192353</v>
      </c>
      <c r="Q85" s="24">
        <f t="shared" si="63"/>
        <v>0.0170113142470012</v>
      </c>
      <c r="R85" s="18">
        <f t="shared" si="64"/>
        <v>0.1355172</v>
      </c>
      <c r="S85" s="25">
        <f t="shared" si="65"/>
        <v>0.125528820304738</v>
      </c>
      <c r="T85" s="3">
        <v>0.01</v>
      </c>
      <c r="U85" s="26">
        <f t="shared" si="66"/>
        <v>0.00125528820304738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0.00870528820304738</v>
      </c>
      <c r="AU85" s="29">
        <f t="shared" si="70"/>
        <v>52.122</v>
      </c>
      <c r="AV85" s="1">
        <f t="shared" si="71"/>
        <v>0.26</v>
      </c>
      <c r="AW85" s="2">
        <f t="shared" si="72"/>
        <v>0.09</v>
      </c>
      <c r="AX85" s="1">
        <f t="shared" si="73"/>
        <v>71.1368918329417</v>
      </c>
      <c r="AY85" s="1">
        <f>SUM(AX74:AX85)</f>
        <v>1291.43161025391</v>
      </c>
    </row>
    <row r="86" s="1" customFormat="1" spans="1:46">
      <c r="A86" s="13"/>
      <c r="B86" s="13"/>
      <c r="C86" s="16">
        <v>12</v>
      </c>
      <c r="D86" s="42">
        <v>6.5124818323871</v>
      </c>
      <c r="E86" s="20">
        <f t="shared" si="74"/>
        <v>10.5278735095667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5</v>
      </c>
      <c r="E90" s="16"/>
      <c r="F90" s="16"/>
      <c r="G90" s="13">
        <v>1</v>
      </c>
      <c r="H90" s="18">
        <f t="shared" ref="H90:H101" si="76">E91</f>
        <v>5</v>
      </c>
      <c r="I90" s="18">
        <f t="shared" ref="I90:I101" si="77">H90+273.15</f>
        <v>278.15</v>
      </c>
      <c r="J90" s="18">
        <f t="shared" ref="J90:J101" si="78">EXP(($C$16*(I90-$C$14))/($C$17*I90*$C$14))</f>
        <v>0.0330744063381255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0.00941628348446433</v>
      </c>
      <c r="Q90" s="24">
        <f t="shared" ref="Q90:Q101" si="82">P90*$B$76</f>
        <v>0.00244823370596073</v>
      </c>
      <c r="R90" s="18">
        <f t="shared" ref="R90:R101" si="83">L90*$B$76</f>
        <v>0.074022</v>
      </c>
      <c r="S90" s="25">
        <f t="shared" ref="S90:S101" si="84">Q90/R90</f>
        <v>0.0330744063381255</v>
      </c>
      <c r="T90" s="3">
        <v>0.01</v>
      </c>
      <c r="U90" s="26">
        <f t="shared" ref="U90:U101" si="85">S90*T90</f>
        <v>0.000330744063381255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0.00582074406338126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0.21</v>
      </c>
      <c r="AX90" s="1">
        <f t="shared" ref="AX90:AX101" si="92">AW90*10000*AV90*0.67*AU90*AT90</f>
        <v>60.6224405702867</v>
      </c>
      <c r="AZ90" s="2">
        <f t="shared" ref="AZ90:AZ101" si="93">$E$10</f>
        <v>0.04</v>
      </c>
      <c r="BA90" s="1">
        <f t="shared" ref="BA90:BA101" si="94">AZ90*10000*AV90*0.67*AU90*AT90</f>
        <v>11.5471315371975</v>
      </c>
    </row>
    <row r="91" s="1" customFormat="1" spans="1:53">
      <c r="A91" s="13" t="s">
        <v>111</v>
      </c>
      <c r="B91" s="13">
        <v>1</v>
      </c>
      <c r="C91" s="16">
        <v>1</v>
      </c>
      <c r="D91" s="42">
        <v>2.51917454116129</v>
      </c>
      <c r="E91" s="20">
        <f t="shared" ref="E91:E102" si="95">D90</f>
        <v>5</v>
      </c>
      <c r="F91" s="16" t="s">
        <v>110</v>
      </c>
      <c r="G91" s="13">
        <v>2</v>
      </c>
      <c r="H91" s="18">
        <f t="shared" si="76"/>
        <v>2.51917454116129</v>
      </c>
      <c r="I91" s="18">
        <f t="shared" si="77"/>
        <v>275.669174541161</v>
      </c>
      <c r="J91" s="18">
        <f t="shared" si="78"/>
        <v>0.0241367358698315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0.559983716515536</v>
      </c>
      <c r="P91" s="18">
        <f t="shared" si="81"/>
        <v>0.0135161790569421</v>
      </c>
      <c r="Q91" s="24">
        <f t="shared" si="82"/>
        <v>0.00351420655480494</v>
      </c>
      <c r="R91" s="18">
        <f t="shared" si="83"/>
        <v>0.074022</v>
      </c>
      <c r="S91" s="25">
        <f t="shared" si="84"/>
        <v>0.0474751635298282</v>
      </c>
      <c r="T91" s="3">
        <v>0.01</v>
      </c>
      <c r="U91" s="26">
        <f t="shared" si="85"/>
        <v>0.000474751635298282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0.00596475163529828</v>
      </c>
      <c r="AU91" s="29">
        <f t="shared" si="89"/>
        <v>28.47</v>
      </c>
      <c r="AV91" s="1">
        <f t="shared" si="90"/>
        <v>0.26</v>
      </c>
      <c r="AW91" s="2">
        <f t="shared" si="91"/>
        <v>0.21</v>
      </c>
      <c r="AX91" s="1">
        <f t="shared" si="92"/>
        <v>62.1222643686106</v>
      </c>
      <c r="AZ91" s="2">
        <f t="shared" si="93"/>
        <v>0.04</v>
      </c>
      <c r="BA91" s="1">
        <f t="shared" si="94"/>
        <v>11.8328122606877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42">
        <v>6.48736763562069</v>
      </c>
      <c r="E92" s="20">
        <f t="shared" si="95"/>
        <v>2.51917454116129</v>
      </c>
      <c r="F92" s="16" t="s">
        <v>110</v>
      </c>
      <c r="G92" s="13">
        <v>3</v>
      </c>
      <c r="H92" s="18">
        <f t="shared" si="76"/>
        <v>6.48736763562069</v>
      </c>
      <c r="I92" s="18">
        <f t="shared" si="77"/>
        <v>279.637367635621</v>
      </c>
      <c r="J92" s="18">
        <f t="shared" si="78"/>
        <v>0.0398431799945535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0.831167537458594</v>
      </c>
      <c r="P92" s="18">
        <f t="shared" si="81"/>
        <v>0.0331163578005925</v>
      </c>
      <c r="Q92" s="24">
        <f t="shared" si="82"/>
        <v>0.00861025302815406</v>
      </c>
      <c r="R92" s="18">
        <f t="shared" si="83"/>
        <v>0.074022</v>
      </c>
      <c r="S92" s="25">
        <f t="shared" si="84"/>
        <v>0.116320188972928</v>
      </c>
      <c r="T92" s="3">
        <v>0.01</v>
      </c>
      <c r="U92" s="26">
        <f t="shared" si="85"/>
        <v>0.00116320188972928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0.00665320188972928</v>
      </c>
      <c r="AU92" s="29">
        <f t="shared" si="89"/>
        <v>28.47</v>
      </c>
      <c r="AV92" s="1">
        <f t="shared" si="90"/>
        <v>0.26</v>
      </c>
      <c r="AW92" s="2">
        <f t="shared" si="91"/>
        <v>0.21</v>
      </c>
      <c r="AX92" s="1">
        <f t="shared" si="92"/>
        <v>69.2924017566128</v>
      </c>
      <c r="AZ92" s="2">
        <f t="shared" si="93"/>
        <v>0.04</v>
      </c>
      <c r="BA92" s="1">
        <f t="shared" si="94"/>
        <v>13.1985527155453</v>
      </c>
    </row>
    <row r="93" s="1" customFormat="1" spans="1:53">
      <c r="A93" s="13"/>
      <c r="B93" s="13"/>
      <c r="C93" s="16">
        <v>3</v>
      </c>
      <c r="D93" s="42">
        <v>11.4772591207097</v>
      </c>
      <c r="E93" s="20">
        <f t="shared" si="95"/>
        <v>6.48736763562069</v>
      </c>
      <c r="F93" s="16" t="s">
        <v>110</v>
      </c>
      <c r="G93" s="13">
        <v>4</v>
      </c>
      <c r="H93" s="18">
        <f t="shared" si="76"/>
        <v>11.4772591207097</v>
      </c>
      <c r="I93" s="18">
        <f t="shared" si="77"/>
        <v>284.62725912071</v>
      </c>
      <c r="J93" s="18">
        <f t="shared" si="78"/>
        <v>0.0733601054665967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1.082751179658</v>
      </c>
      <c r="P93" s="18">
        <f t="shared" si="81"/>
        <v>0.0794307407337929</v>
      </c>
      <c r="Q93" s="24">
        <f t="shared" si="82"/>
        <v>0.0206519925907862</v>
      </c>
      <c r="R93" s="18">
        <f t="shared" si="83"/>
        <v>0.074022</v>
      </c>
      <c r="S93" s="25">
        <f t="shared" si="84"/>
        <v>0.278998035594636</v>
      </c>
      <c r="T93" s="3">
        <v>0.01</v>
      </c>
      <c r="U93" s="26">
        <f t="shared" si="85"/>
        <v>0.00278998035594636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0.0127399803559464</v>
      </c>
      <c r="AU93" s="29">
        <f t="shared" si="89"/>
        <v>28.47</v>
      </c>
      <c r="AV93" s="1">
        <f t="shared" si="90"/>
        <v>0.26</v>
      </c>
      <c r="AW93" s="2">
        <f t="shared" si="91"/>
        <v>0.21</v>
      </c>
      <c r="AX93" s="1">
        <f t="shared" si="92"/>
        <v>132.685562805236</v>
      </c>
      <c r="AZ93" s="2">
        <f t="shared" si="93"/>
        <v>0.04</v>
      </c>
      <c r="BA93" s="1">
        <f t="shared" si="94"/>
        <v>25.2734405343307</v>
      </c>
    </row>
    <row r="94" s="1" customFormat="1" spans="1:53">
      <c r="A94" s="13"/>
      <c r="B94" s="13"/>
      <c r="C94" s="16">
        <v>4</v>
      </c>
      <c r="D94" s="42">
        <v>17.598055156</v>
      </c>
      <c r="E94" s="20">
        <f t="shared" si="95"/>
        <v>11.4772591207097</v>
      </c>
      <c r="F94" s="16" t="s">
        <v>110</v>
      </c>
      <c r="G94" s="13">
        <v>5</v>
      </c>
      <c r="H94" s="18">
        <f t="shared" si="76"/>
        <v>17.598055156</v>
      </c>
      <c r="I94" s="18">
        <f t="shared" si="77"/>
        <v>290.748055156</v>
      </c>
      <c r="J94" s="18">
        <f t="shared" si="78"/>
        <v>0.150737894914747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0.953154416977998</v>
      </c>
      <c r="O94" s="18">
        <f t="shared" si="96"/>
        <v>0.33486602194621</v>
      </c>
      <c r="P94" s="18">
        <f t="shared" si="81"/>
        <v>0.0504769992266472</v>
      </c>
      <c r="Q94" s="24">
        <f t="shared" si="82"/>
        <v>0.0131240197989283</v>
      </c>
      <c r="R94" s="18">
        <f t="shared" si="83"/>
        <v>0.074022</v>
      </c>
      <c r="S94" s="25">
        <f t="shared" si="84"/>
        <v>0.17729890841815</v>
      </c>
      <c r="T94" s="3">
        <v>0.01</v>
      </c>
      <c r="U94" s="26">
        <f t="shared" si="85"/>
        <v>0.0017729890841815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0.0117229890841815</v>
      </c>
      <c r="AU94" s="29">
        <f t="shared" si="89"/>
        <v>28.47</v>
      </c>
      <c r="AV94" s="1">
        <f t="shared" si="90"/>
        <v>0.26</v>
      </c>
      <c r="AW94" s="2">
        <f t="shared" si="91"/>
        <v>0.21</v>
      </c>
      <c r="AX94" s="1">
        <f t="shared" si="92"/>
        <v>122.093705087092</v>
      </c>
      <c r="AZ94" s="2">
        <f t="shared" si="93"/>
        <v>0.04</v>
      </c>
      <c r="BA94" s="1">
        <f t="shared" si="94"/>
        <v>23.2559438261128</v>
      </c>
    </row>
    <row r="95" s="1" customFormat="1" spans="1:53">
      <c r="A95" s="13"/>
      <c r="B95" s="13"/>
      <c r="C95" s="16">
        <v>5</v>
      </c>
      <c r="D95" s="42">
        <v>20.2915977419355</v>
      </c>
      <c r="E95" s="20">
        <f t="shared" si="95"/>
        <v>17.598055156</v>
      </c>
      <c r="F95" s="16" t="s">
        <v>112</v>
      </c>
      <c r="G95" s="13">
        <v>6</v>
      </c>
      <c r="H95" s="18">
        <f t="shared" si="76"/>
        <v>20.2915977419355</v>
      </c>
      <c r="I95" s="18">
        <f t="shared" si="77"/>
        <v>293.441597741935</v>
      </c>
      <c r="J95" s="18">
        <f t="shared" si="78"/>
        <v>0.204985775164183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0.569089022719563</v>
      </c>
      <c r="P95" s="18">
        <f t="shared" si="81"/>
        <v>0.116655154459597</v>
      </c>
      <c r="Q95" s="24">
        <f t="shared" si="82"/>
        <v>0.0303303401594952</v>
      </c>
      <c r="R95" s="18">
        <f t="shared" si="83"/>
        <v>0.074022</v>
      </c>
      <c r="S95" s="25">
        <f t="shared" si="84"/>
        <v>0.409747644747443</v>
      </c>
      <c r="T95" s="3">
        <v>0.01</v>
      </c>
      <c r="U95" s="26">
        <f t="shared" si="85"/>
        <v>0.00409747644747443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0.0140474764474744</v>
      </c>
      <c r="AU95" s="29">
        <f t="shared" si="89"/>
        <v>28.47</v>
      </c>
      <c r="AV95" s="1">
        <f t="shared" si="90"/>
        <v>0.26</v>
      </c>
      <c r="AW95" s="2">
        <f t="shared" si="91"/>
        <v>0.21</v>
      </c>
      <c r="AX95" s="1">
        <f t="shared" si="92"/>
        <v>146.30299783441</v>
      </c>
      <c r="AZ95" s="2">
        <f t="shared" si="93"/>
        <v>0.04</v>
      </c>
      <c r="BA95" s="1">
        <f t="shared" si="94"/>
        <v>27.8672376827447</v>
      </c>
    </row>
    <row r="96" s="1" customFormat="1" spans="1:53">
      <c r="A96" s="13"/>
      <c r="B96" s="13"/>
      <c r="C96" s="16">
        <v>6</v>
      </c>
      <c r="D96" s="42">
        <v>24.4629069066667</v>
      </c>
      <c r="E96" s="20">
        <f t="shared" si="95"/>
        <v>20.2915977419355</v>
      </c>
      <c r="F96" s="16" t="s">
        <v>110</v>
      </c>
      <c r="G96" s="13">
        <v>7</v>
      </c>
      <c r="H96" s="18">
        <f t="shared" si="76"/>
        <v>24.4629069066667</v>
      </c>
      <c r="I96" s="18">
        <f t="shared" si="77"/>
        <v>297.612906906667</v>
      </c>
      <c r="J96" s="18">
        <f t="shared" si="78"/>
        <v>0.326361841377132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0.737133868259966</v>
      </c>
      <c r="P96" s="18">
        <f t="shared" si="81"/>
        <v>0.240572366586771</v>
      </c>
      <c r="Q96" s="24">
        <f t="shared" si="82"/>
        <v>0.0625488153125604</v>
      </c>
      <c r="R96" s="18">
        <f t="shared" si="83"/>
        <v>0.074022</v>
      </c>
      <c r="S96" s="25">
        <f t="shared" si="84"/>
        <v>0.845003043859399</v>
      </c>
      <c r="T96" s="3">
        <v>0.01</v>
      </c>
      <c r="U96" s="26">
        <f t="shared" si="85"/>
        <v>0.00845003043859398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0.023350030438594</v>
      </c>
      <c r="AU96" s="29">
        <f t="shared" si="89"/>
        <v>28.47</v>
      </c>
      <c r="AV96" s="1">
        <f t="shared" si="90"/>
        <v>0.26</v>
      </c>
      <c r="AW96" s="2">
        <f t="shared" si="91"/>
        <v>0.21</v>
      </c>
      <c r="AX96" s="1">
        <f t="shared" si="92"/>
        <v>243.188124604773</v>
      </c>
      <c r="AZ96" s="2">
        <f t="shared" si="93"/>
        <v>0.04</v>
      </c>
      <c r="BA96" s="1">
        <f t="shared" si="94"/>
        <v>46.3215475437662</v>
      </c>
    </row>
    <row r="97" s="1" customFormat="1" spans="1:53">
      <c r="A97" s="13"/>
      <c r="B97" s="13"/>
      <c r="C97" s="16">
        <v>7</v>
      </c>
      <c r="D97" s="42">
        <v>28.355486646129</v>
      </c>
      <c r="E97" s="20">
        <f t="shared" si="95"/>
        <v>24.4629069066667</v>
      </c>
      <c r="F97" s="16" t="s">
        <v>110</v>
      </c>
      <c r="G97" s="13">
        <v>8</v>
      </c>
      <c r="H97" s="18">
        <f t="shared" si="76"/>
        <v>28.355486646129</v>
      </c>
      <c r="I97" s="18">
        <f t="shared" si="77"/>
        <v>301.505486646129</v>
      </c>
      <c r="J97" s="18">
        <f t="shared" si="78"/>
        <v>0.497895184888954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0.781261501673195</v>
      </c>
      <c r="P97" s="18">
        <f t="shared" si="81"/>
        <v>0.388986339822197</v>
      </c>
      <c r="Q97" s="24">
        <f t="shared" si="82"/>
        <v>0.101136448353771</v>
      </c>
      <c r="R97" s="18">
        <f t="shared" si="83"/>
        <v>0.074022</v>
      </c>
      <c r="S97" s="25">
        <f t="shared" si="84"/>
        <v>1.36630256347804</v>
      </c>
      <c r="T97" s="3">
        <v>0.01</v>
      </c>
      <c r="U97" s="26">
        <f t="shared" si="85"/>
        <v>0.0136630256347804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0.0285630256347804</v>
      </c>
      <c r="AU97" s="29">
        <f t="shared" si="89"/>
        <v>28.47</v>
      </c>
      <c r="AV97" s="1">
        <f t="shared" si="90"/>
        <v>0.26</v>
      </c>
      <c r="AW97" s="2">
        <f t="shared" si="91"/>
        <v>0.21</v>
      </c>
      <c r="AX97" s="1">
        <f t="shared" si="92"/>
        <v>297.480924293756</v>
      </c>
      <c r="AZ97" s="2">
        <f t="shared" si="93"/>
        <v>0.04</v>
      </c>
      <c r="BA97" s="1">
        <f t="shared" si="94"/>
        <v>56.6630331988107</v>
      </c>
    </row>
    <row r="98" s="1" customFormat="1" spans="1:53">
      <c r="A98" s="13"/>
      <c r="B98" s="13"/>
      <c r="C98" s="16">
        <v>8</v>
      </c>
      <c r="D98" s="42">
        <v>28.389162486129</v>
      </c>
      <c r="E98" s="20">
        <f t="shared" si="95"/>
        <v>28.355486646129</v>
      </c>
      <c r="F98" s="16" t="s">
        <v>110</v>
      </c>
      <c r="G98" s="13">
        <v>9</v>
      </c>
      <c r="H98" s="18">
        <f t="shared" si="76"/>
        <v>28.389162486129</v>
      </c>
      <c r="I98" s="18">
        <f t="shared" si="77"/>
        <v>301.539162486129</v>
      </c>
      <c r="J98" s="18">
        <f t="shared" si="78"/>
        <v>0.499694124472679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0.676975161850998</v>
      </c>
      <c r="P98" s="18">
        <f t="shared" si="81"/>
        <v>0.338280510790885</v>
      </c>
      <c r="Q98" s="24">
        <f t="shared" si="82"/>
        <v>0.08795293280563</v>
      </c>
      <c r="R98" s="18">
        <f t="shared" si="83"/>
        <v>0.074022</v>
      </c>
      <c r="S98" s="25">
        <f t="shared" si="84"/>
        <v>1.18819989740388</v>
      </c>
      <c r="T98" s="3">
        <v>0.01</v>
      </c>
      <c r="U98" s="26">
        <f t="shared" si="85"/>
        <v>0.0118819989740388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0.0218319989740388</v>
      </c>
      <c r="AU98" s="29">
        <f t="shared" si="89"/>
        <v>28.47</v>
      </c>
      <c r="AV98" s="1">
        <f t="shared" si="90"/>
        <v>0.26</v>
      </c>
      <c r="AW98" s="2">
        <f t="shared" si="91"/>
        <v>0.21</v>
      </c>
      <c r="AX98" s="1">
        <f t="shared" si="92"/>
        <v>227.377985687521</v>
      </c>
      <c r="AZ98" s="2">
        <f t="shared" si="93"/>
        <v>0.04</v>
      </c>
      <c r="BA98" s="1">
        <f t="shared" si="94"/>
        <v>43.3100925119088</v>
      </c>
    </row>
    <row r="99" s="1" customFormat="1" spans="1:53">
      <c r="A99" s="13"/>
      <c r="B99" s="13"/>
      <c r="C99" s="16">
        <v>9</v>
      </c>
      <c r="D99" s="42">
        <v>23.625028394</v>
      </c>
      <c r="E99" s="20">
        <f t="shared" si="95"/>
        <v>28.389162486129</v>
      </c>
      <c r="F99" s="16" t="s">
        <v>110</v>
      </c>
      <c r="G99" s="13">
        <v>10</v>
      </c>
      <c r="H99" s="18">
        <f t="shared" si="76"/>
        <v>23.625028394</v>
      </c>
      <c r="I99" s="18">
        <f t="shared" si="77"/>
        <v>296.775028394</v>
      </c>
      <c r="J99" s="18">
        <f t="shared" si="78"/>
        <v>0.297567034398815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0.623394651060113</v>
      </c>
      <c r="P99" s="18">
        <f t="shared" si="81"/>
        <v>0.185501697576042</v>
      </c>
      <c r="Q99" s="24">
        <f t="shared" si="82"/>
        <v>0.0482304413697709</v>
      </c>
      <c r="R99" s="18">
        <f t="shared" si="83"/>
        <v>0.074022</v>
      </c>
      <c r="S99" s="25">
        <f t="shared" si="84"/>
        <v>0.651569011506997</v>
      </c>
      <c r="T99" s="3">
        <v>0.01</v>
      </c>
      <c r="U99" s="26">
        <f t="shared" si="85"/>
        <v>0.00651569011506997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0.01646569011507</v>
      </c>
      <c r="AU99" s="29">
        <f t="shared" si="89"/>
        <v>28.47</v>
      </c>
      <c r="AV99" s="1">
        <f t="shared" si="90"/>
        <v>0.26</v>
      </c>
      <c r="AW99" s="2">
        <f t="shared" si="91"/>
        <v>0.21</v>
      </c>
      <c r="AX99" s="1">
        <f t="shared" si="92"/>
        <v>171.488440237268</v>
      </c>
      <c r="AZ99" s="2">
        <f t="shared" si="93"/>
        <v>0.04</v>
      </c>
      <c r="BA99" s="1">
        <f t="shared" si="94"/>
        <v>32.6644648070986</v>
      </c>
    </row>
    <row r="100" s="1" customFormat="1" spans="1:53">
      <c r="A100" s="13"/>
      <c r="B100" s="13"/>
      <c r="C100" s="16">
        <v>10</v>
      </c>
      <c r="D100" s="42">
        <v>17.3752995094516</v>
      </c>
      <c r="E100" s="20">
        <f t="shared" si="95"/>
        <v>23.625028394</v>
      </c>
      <c r="F100" s="16" t="s">
        <v>110</v>
      </c>
      <c r="G100" s="13">
        <v>11</v>
      </c>
      <c r="H100" s="18">
        <f t="shared" si="76"/>
        <v>17.3752995094516</v>
      </c>
      <c r="I100" s="18">
        <f t="shared" si="77"/>
        <v>290.525299509452</v>
      </c>
      <c r="J100" s="18">
        <f t="shared" si="78"/>
        <v>0.146916671728402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0.415998305809868</v>
      </c>
      <c r="O100" s="18">
        <f t="shared" si="96"/>
        <v>0.306594647674204</v>
      </c>
      <c r="P100" s="18">
        <f t="shared" si="81"/>
        <v>0.045043865206036</v>
      </c>
      <c r="Q100" s="24">
        <f t="shared" si="82"/>
        <v>0.0117114049535694</v>
      </c>
      <c r="R100" s="18">
        <f t="shared" si="83"/>
        <v>0.074022</v>
      </c>
      <c r="S100" s="25">
        <f t="shared" si="84"/>
        <v>0.15821519215327</v>
      </c>
      <c r="T100" s="3">
        <v>0.01</v>
      </c>
      <c r="U100" s="26">
        <f t="shared" si="85"/>
        <v>0.0015821519215327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0.0070721519215327</v>
      </c>
      <c r="AU100" s="29">
        <f t="shared" si="89"/>
        <v>28.47</v>
      </c>
      <c r="AV100" s="1">
        <f t="shared" si="90"/>
        <v>0.26</v>
      </c>
      <c r="AW100" s="2">
        <f t="shared" si="91"/>
        <v>0.21</v>
      </c>
      <c r="AX100" s="1">
        <f t="shared" si="92"/>
        <v>73.6557225156721</v>
      </c>
      <c r="AZ100" s="2">
        <f t="shared" si="93"/>
        <v>0.04</v>
      </c>
      <c r="BA100" s="1">
        <f t="shared" si="94"/>
        <v>14.0296614315566</v>
      </c>
    </row>
    <row r="101" s="1" customFormat="1" spans="1:54">
      <c r="A101" s="13"/>
      <c r="B101" s="13"/>
      <c r="C101" s="16">
        <v>11</v>
      </c>
      <c r="D101" s="42">
        <v>10.5278735095667</v>
      </c>
      <c r="E101" s="20">
        <f t="shared" si="95"/>
        <v>17.3752995094516</v>
      </c>
      <c r="F101" s="16" t="s">
        <v>112</v>
      </c>
      <c r="G101" s="13">
        <v>12</v>
      </c>
      <c r="H101" s="18">
        <f t="shared" si="76"/>
        <v>10.5278735095667</v>
      </c>
      <c r="I101" s="18">
        <f t="shared" si="77"/>
        <v>283.677873509567</v>
      </c>
      <c r="J101" s="18">
        <f t="shared" si="78"/>
        <v>0.0654242635210164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0.546250782468168</v>
      </c>
      <c r="P101" s="18">
        <f t="shared" si="81"/>
        <v>0.0357380551407588</v>
      </c>
      <c r="Q101" s="24">
        <f t="shared" si="82"/>
        <v>0.00929189433659729</v>
      </c>
      <c r="R101" s="18">
        <f t="shared" si="83"/>
        <v>0.074022</v>
      </c>
      <c r="S101" s="25">
        <f t="shared" si="84"/>
        <v>0.125528820304738</v>
      </c>
      <c r="T101" s="3">
        <v>0.01</v>
      </c>
      <c r="U101" s="26">
        <f t="shared" si="85"/>
        <v>0.00125528820304738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0.00674528820304738</v>
      </c>
      <c r="AU101" s="29">
        <f t="shared" si="89"/>
        <v>28.47</v>
      </c>
      <c r="AV101" s="1">
        <f t="shared" si="90"/>
        <v>0.26</v>
      </c>
      <c r="AW101" s="2">
        <f t="shared" si="91"/>
        <v>0.21</v>
      </c>
      <c r="AX101" s="1">
        <f t="shared" si="92"/>
        <v>70.2514710775924</v>
      </c>
      <c r="AY101" s="1">
        <f>SUM(AX90:AX101)</f>
        <v>1676.56204083883</v>
      </c>
      <c r="AZ101" s="2">
        <f t="shared" si="93"/>
        <v>0.04</v>
      </c>
      <c r="BA101" s="1">
        <f t="shared" si="94"/>
        <v>13.3812325862081</v>
      </c>
      <c r="BB101" s="1">
        <f>SUM(BA90:BA101)</f>
        <v>319.345150635968</v>
      </c>
    </row>
    <row r="102" s="1" customFormat="1" spans="1:46">
      <c r="A102" s="13"/>
      <c r="B102" s="13"/>
      <c r="C102" s="16">
        <v>12</v>
      </c>
      <c r="D102" s="42">
        <v>6.5124818323871</v>
      </c>
      <c r="E102" s="20">
        <f t="shared" si="95"/>
        <v>10.5278735095667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X28" sqref="AX2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49.7068</v>
      </c>
      <c r="F2" s="3">
        <v>1166.832</v>
      </c>
      <c r="G2" s="7">
        <f>(F2+F3+F4)/3</f>
        <v>1338.18733333333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215.128767123288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1988.02268827203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57992124.7786434</v>
      </c>
      <c r="J14" s="14" t="s">
        <v>35</v>
      </c>
      <c r="K14" s="14">
        <f>I14/(10000*1000)</f>
        <v>5.79921247786434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38">
        <v>36742510.9589041</v>
      </c>
      <c r="J15" s="14" t="s">
        <v>35</v>
      </c>
      <c r="K15" s="14">
        <f>I15/(10000*1000)</f>
        <v>3.67425109589041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11</v>
      </c>
      <c r="E27" s="16"/>
      <c r="F27" s="16"/>
      <c r="G27" s="13">
        <v>1</v>
      </c>
      <c r="H27" s="18">
        <f t="shared" ref="H27:H38" si="0">E28</f>
        <v>11</v>
      </c>
      <c r="I27" s="18">
        <f t="shared" ref="I27:I38" si="1">H27+273.15</f>
        <v>284.15</v>
      </c>
      <c r="J27" s="18">
        <f t="shared" ref="J27:J38" si="2">EXP(($C$16*(I27-$C$14))/($C$17*I27*$C$14))</f>
        <v>0.0692638331246278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0.0772399867879089</v>
      </c>
      <c r="Q27" s="24">
        <f t="shared" ref="Q27:Q38" si="6">P27*$B$29</f>
        <v>0.00926879841454907</v>
      </c>
      <c r="R27" s="18">
        <f t="shared" ref="R27:R38" si="7">L27*$B$29</f>
        <v>0.133818733333333</v>
      </c>
      <c r="S27" s="25">
        <f t="shared" ref="S27:S38" si="8">Q27/R27</f>
        <v>0.0692638331246278</v>
      </c>
      <c r="T27" s="3">
        <v>0.01</v>
      </c>
      <c r="U27" s="26">
        <f t="shared" ref="U27:U38" si="9">S27*T27</f>
        <v>0.000692638331246278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0.0225926383312463</v>
      </c>
      <c r="AR27" s="29">
        <f t="shared" ref="AR27:AR38" si="15">$B$27/12</f>
        <v>111.515611111111</v>
      </c>
      <c r="AS27" s="1">
        <f t="shared" ref="AS27:AS38" si="16">$B$29</f>
        <v>0.12</v>
      </c>
      <c r="AT27" s="2">
        <f>$E$2/12</f>
        <v>4.14223333333333</v>
      </c>
      <c r="AU27" s="1">
        <f t="shared" ref="AU27:AU38" si="17">AT27*10000*AS27*0.67*AR27*AQ27</f>
        <v>8390.60403747675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9.47283439880646</v>
      </c>
      <c r="E28" s="20">
        <f t="shared" ref="E28:E39" si="18">D27</f>
        <v>11</v>
      </c>
      <c r="F28" s="16" t="s">
        <v>110</v>
      </c>
      <c r="G28" s="13">
        <v>2</v>
      </c>
      <c r="H28" s="18">
        <f t="shared" si="0"/>
        <v>9.47283439880646</v>
      </c>
      <c r="I28" s="18">
        <f t="shared" si="1"/>
        <v>282.622834398806</v>
      </c>
      <c r="J28" s="18">
        <f t="shared" si="2"/>
        <v>0.0575562631621848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2.15307223543431</v>
      </c>
      <c r="P28" s="18">
        <f t="shared" si="5"/>
        <v>0.123922792189851</v>
      </c>
      <c r="Q28" s="24">
        <f t="shared" si="6"/>
        <v>0.0148707350627821</v>
      </c>
      <c r="R28" s="18">
        <f t="shared" si="7"/>
        <v>0.133818733333333</v>
      </c>
      <c r="S28" s="25">
        <f t="shared" si="8"/>
        <v>0.111125958917427</v>
      </c>
      <c r="T28" s="3">
        <v>0.01</v>
      </c>
      <c r="U28" s="26">
        <f t="shared" si="9"/>
        <v>0.00111125958917427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0.0230112595891743</v>
      </c>
      <c r="AR28" s="29">
        <f t="shared" si="15"/>
        <v>111.515611111111</v>
      </c>
      <c r="AS28" s="1">
        <f t="shared" si="16"/>
        <v>0.12</v>
      </c>
      <c r="AT28" s="2">
        <f t="shared" ref="AT28:AT38" si="20">$E$2/12</f>
        <v>4.14223333333333</v>
      </c>
      <c r="AU28" s="1">
        <f t="shared" si="17"/>
        <v>8546.07437987082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9.67043829689655</v>
      </c>
      <c r="E29" s="20">
        <f t="shared" si="18"/>
        <v>9.47283439880646</v>
      </c>
      <c r="F29" s="16" t="s">
        <v>110</v>
      </c>
      <c r="G29" s="13">
        <v>3</v>
      </c>
      <c r="H29" s="18">
        <f t="shared" si="0"/>
        <v>9.67043829689655</v>
      </c>
      <c r="I29" s="18">
        <f t="shared" si="1"/>
        <v>282.820438296897</v>
      </c>
      <c r="J29" s="18">
        <f t="shared" si="2"/>
        <v>0.0589585060577422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3.14430555435557</v>
      </c>
      <c r="P29" s="18">
        <f t="shared" si="5"/>
        <v>0.185383558073866</v>
      </c>
      <c r="Q29" s="24">
        <f t="shared" si="6"/>
        <v>0.0222460269688639</v>
      </c>
      <c r="R29" s="18">
        <f t="shared" si="7"/>
        <v>0.133818733333333</v>
      </c>
      <c r="S29" s="25">
        <f t="shared" si="8"/>
        <v>0.16624000552636</v>
      </c>
      <c r="T29" s="3">
        <v>0.01</v>
      </c>
      <c r="U29" s="26">
        <f t="shared" si="9"/>
        <v>0.0016624000552636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0.0235624000552636</v>
      </c>
      <c r="AR29" s="29">
        <f t="shared" si="15"/>
        <v>111.515611111111</v>
      </c>
      <c r="AS29" s="1">
        <f t="shared" si="16"/>
        <v>0.12</v>
      </c>
      <c r="AT29" s="2">
        <f t="shared" si="20"/>
        <v>4.14223333333333</v>
      </c>
      <c r="AU29" s="1">
        <f t="shared" si="17"/>
        <v>8750.76058571294</v>
      </c>
    </row>
    <row r="30" s="1" customFormat="1" spans="1:47">
      <c r="A30" s="13"/>
      <c r="B30" s="13"/>
      <c r="C30" s="16">
        <v>3</v>
      </c>
      <c r="D30" s="19">
        <v>13.062188278129</v>
      </c>
      <c r="E30" s="20">
        <f t="shared" si="18"/>
        <v>9.67043829689655</v>
      </c>
      <c r="F30" s="16" t="s">
        <v>110</v>
      </c>
      <c r="G30" s="13">
        <v>4</v>
      </c>
      <c r="H30" s="18">
        <f t="shared" si="0"/>
        <v>13.062188278129</v>
      </c>
      <c r="I30" s="18">
        <f t="shared" si="1"/>
        <v>286.212188278129</v>
      </c>
      <c r="J30" s="18">
        <f t="shared" si="2"/>
        <v>0.0886606009033812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4.07407810739282</v>
      </c>
      <c r="P30" s="18">
        <f t="shared" si="5"/>
        <v>0.361210213128757</v>
      </c>
      <c r="Q30" s="24">
        <f t="shared" si="6"/>
        <v>0.0433452255754509</v>
      </c>
      <c r="R30" s="18">
        <f t="shared" si="7"/>
        <v>0.133818733333333</v>
      </c>
      <c r="S30" s="25">
        <f t="shared" si="8"/>
        <v>0.323909997470092</v>
      </c>
      <c r="T30" s="3">
        <v>0.01</v>
      </c>
      <c r="U30" s="26">
        <f t="shared" si="9"/>
        <v>0.00323909997470092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0.0326890999747009</v>
      </c>
      <c r="AR30" s="29">
        <f t="shared" si="15"/>
        <v>111.515611111111</v>
      </c>
      <c r="AS30" s="1">
        <f t="shared" si="16"/>
        <v>0.12</v>
      </c>
      <c r="AT30" s="2">
        <f t="shared" si="20"/>
        <v>4.14223333333333</v>
      </c>
      <c r="AU30" s="1">
        <f t="shared" si="17"/>
        <v>12140.2950026367</v>
      </c>
    </row>
    <row r="31" s="1" customFormat="1" spans="1:47">
      <c r="A31" s="13"/>
      <c r="B31" s="13"/>
      <c r="C31" s="16">
        <v>4</v>
      </c>
      <c r="D31" s="19">
        <v>20.0015519326667</v>
      </c>
      <c r="E31" s="20">
        <f t="shared" si="18"/>
        <v>13.062188278129</v>
      </c>
      <c r="F31" s="16" t="s">
        <v>110</v>
      </c>
      <c r="G31" s="13">
        <v>5</v>
      </c>
      <c r="H31" s="18">
        <f t="shared" si="0"/>
        <v>20.0015519326667</v>
      </c>
      <c r="I31" s="18">
        <f t="shared" si="1"/>
        <v>293.151551932667</v>
      </c>
      <c r="J31" s="18">
        <f t="shared" si="2"/>
        <v>0.198365396865639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3.52722449955086</v>
      </c>
      <c r="O31" s="18">
        <f t="shared" si="19"/>
        <v>1.30079950582431</v>
      </c>
      <c r="P31" s="18">
        <f t="shared" si="5"/>
        <v>0.258033610215467</v>
      </c>
      <c r="Q31" s="24">
        <f t="shared" si="6"/>
        <v>0.0309640332258561</v>
      </c>
      <c r="R31" s="18">
        <f t="shared" si="7"/>
        <v>0.133818733333333</v>
      </c>
      <c r="S31" s="25">
        <f t="shared" si="8"/>
        <v>0.231387881610916</v>
      </c>
      <c r="T31" s="3">
        <v>0.01</v>
      </c>
      <c r="U31" s="26">
        <f t="shared" si="9"/>
        <v>0.00231387881610916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0.0317638788161092</v>
      </c>
      <c r="AR31" s="29">
        <f t="shared" si="15"/>
        <v>111.515611111111</v>
      </c>
      <c r="AS31" s="1">
        <f t="shared" si="16"/>
        <v>0.12</v>
      </c>
      <c r="AT31" s="2">
        <f t="shared" si="20"/>
        <v>4.14223333333333</v>
      </c>
      <c r="AU31" s="1">
        <f t="shared" si="17"/>
        <v>11796.6802253354</v>
      </c>
    </row>
    <row r="32" s="1" customFormat="1" spans="1:47">
      <c r="A32" s="13"/>
      <c r="B32" s="13"/>
      <c r="C32" s="16">
        <v>5</v>
      </c>
      <c r="D32" s="19">
        <v>23.2605302348387</v>
      </c>
      <c r="E32" s="20">
        <f t="shared" si="18"/>
        <v>20.0015519326667</v>
      </c>
      <c r="F32" s="16" t="s">
        <v>112</v>
      </c>
      <c r="G32" s="13">
        <v>6</v>
      </c>
      <c r="H32" s="18">
        <f t="shared" si="0"/>
        <v>23.2605302348387</v>
      </c>
      <c r="I32" s="18">
        <f t="shared" si="1"/>
        <v>296.410530234839</v>
      </c>
      <c r="J32" s="18">
        <f t="shared" si="2"/>
        <v>0.285800635220699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2.15792200671996</v>
      </c>
      <c r="P32" s="18">
        <f t="shared" si="5"/>
        <v>0.61673548027729</v>
      </c>
      <c r="Q32" s="24">
        <f t="shared" si="6"/>
        <v>0.0740082576332748</v>
      </c>
      <c r="R32" s="18">
        <f t="shared" si="7"/>
        <v>0.133818733333333</v>
      </c>
      <c r="S32" s="25">
        <f t="shared" si="8"/>
        <v>0.553048558970628</v>
      </c>
      <c r="T32" s="3">
        <v>0.01</v>
      </c>
      <c r="U32" s="26">
        <f t="shared" si="9"/>
        <v>0.00553048558970628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0.0349804855897063</v>
      </c>
      <c r="AR32" s="29">
        <f t="shared" si="15"/>
        <v>111.515611111111</v>
      </c>
      <c r="AS32" s="1">
        <f t="shared" si="16"/>
        <v>0.12</v>
      </c>
      <c r="AT32" s="2">
        <f t="shared" si="20"/>
        <v>4.14223333333333</v>
      </c>
      <c r="AU32" s="1">
        <f t="shared" si="17"/>
        <v>12991.2850070263</v>
      </c>
    </row>
    <row r="33" s="1" customFormat="1" spans="1:47">
      <c r="A33" s="13"/>
      <c r="B33" s="13"/>
      <c r="C33" s="16">
        <v>6</v>
      </c>
      <c r="D33" s="19">
        <v>26.273391103</v>
      </c>
      <c r="E33" s="20">
        <f t="shared" si="18"/>
        <v>23.2605302348387</v>
      </c>
      <c r="F33" s="16" t="s">
        <v>110</v>
      </c>
      <c r="G33" s="13">
        <v>7</v>
      </c>
      <c r="H33" s="18">
        <f t="shared" si="0"/>
        <v>26.273391103</v>
      </c>
      <c r="I33" s="18">
        <f t="shared" si="1"/>
        <v>299.423391103</v>
      </c>
      <c r="J33" s="18">
        <f t="shared" si="2"/>
        <v>0.397751720453283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2.65634263755378</v>
      </c>
      <c r="P33" s="18">
        <f t="shared" si="5"/>
        <v>1.05656485420043</v>
      </c>
      <c r="Q33" s="24">
        <f t="shared" si="6"/>
        <v>0.126787782504051</v>
      </c>
      <c r="R33" s="18">
        <f t="shared" si="7"/>
        <v>0.133818733333333</v>
      </c>
      <c r="S33" s="25">
        <f t="shared" si="8"/>
        <v>0.947459143767499</v>
      </c>
      <c r="T33" s="3">
        <v>0.01</v>
      </c>
      <c r="U33" s="26">
        <f t="shared" si="9"/>
        <v>0.00947459143767499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0.044374591437675</v>
      </c>
      <c r="AR33" s="29">
        <f t="shared" si="15"/>
        <v>111.515611111111</v>
      </c>
      <c r="AS33" s="1">
        <f t="shared" si="16"/>
        <v>0.12</v>
      </c>
      <c r="AT33" s="2">
        <f t="shared" si="20"/>
        <v>4.14223333333333</v>
      </c>
      <c r="AU33" s="1">
        <f t="shared" si="17"/>
        <v>16480.1304132503</v>
      </c>
    </row>
    <row r="34" s="1" customFormat="1" spans="1:47">
      <c r="A34" s="13"/>
      <c r="B34" s="13"/>
      <c r="C34" s="16">
        <v>7</v>
      </c>
      <c r="D34" s="19">
        <v>27.8020675309677</v>
      </c>
      <c r="E34" s="20">
        <f t="shared" si="18"/>
        <v>26.273391103</v>
      </c>
      <c r="F34" s="16" t="s">
        <v>110</v>
      </c>
      <c r="G34" s="13">
        <v>8</v>
      </c>
      <c r="H34" s="18">
        <f t="shared" si="0"/>
        <v>27.8020675309677</v>
      </c>
      <c r="I34" s="18">
        <f t="shared" si="1"/>
        <v>300.952067530968</v>
      </c>
      <c r="J34" s="18">
        <f t="shared" si="2"/>
        <v>0.469188449740751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2.71493389446446</v>
      </c>
      <c r="P34" s="18">
        <f t="shared" si="5"/>
        <v>1.2738156250924</v>
      </c>
      <c r="Q34" s="24">
        <f t="shared" si="6"/>
        <v>0.152857875011088</v>
      </c>
      <c r="R34" s="18">
        <f t="shared" si="7"/>
        <v>0.133818733333333</v>
      </c>
      <c r="S34" s="25">
        <f t="shared" si="8"/>
        <v>1.14227560823139</v>
      </c>
      <c r="T34" s="3">
        <v>0.01</v>
      </c>
      <c r="U34" s="26">
        <f t="shared" si="9"/>
        <v>0.0114227560823139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0.0463227560823139</v>
      </c>
      <c r="AR34" s="29">
        <f t="shared" si="15"/>
        <v>111.515611111111</v>
      </c>
      <c r="AS34" s="1">
        <f t="shared" si="16"/>
        <v>0.12</v>
      </c>
      <c r="AT34" s="2">
        <f t="shared" si="20"/>
        <v>4.14223333333333</v>
      </c>
      <c r="AU34" s="1">
        <f t="shared" si="17"/>
        <v>17203.6527346947</v>
      </c>
    </row>
    <row r="35" s="1" customFormat="1" spans="1:47">
      <c r="A35" s="13"/>
      <c r="B35" s="13"/>
      <c r="C35" s="16">
        <v>8</v>
      </c>
      <c r="D35" s="19">
        <v>27.0788180474194</v>
      </c>
      <c r="E35" s="20">
        <f t="shared" si="18"/>
        <v>27.8020675309677</v>
      </c>
      <c r="F35" s="16" t="s">
        <v>110</v>
      </c>
      <c r="G35" s="13">
        <v>9</v>
      </c>
      <c r="H35" s="18">
        <f t="shared" si="0"/>
        <v>27.0788180474194</v>
      </c>
      <c r="I35" s="18">
        <f t="shared" si="1"/>
        <v>300.228818047419</v>
      </c>
      <c r="J35" s="18">
        <f t="shared" si="2"/>
        <v>0.434009148972527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2.55627438048317</v>
      </c>
      <c r="P35" s="18">
        <f t="shared" si="5"/>
        <v>1.10944646841378</v>
      </c>
      <c r="Q35" s="24">
        <f t="shared" si="6"/>
        <v>0.133133576209653</v>
      </c>
      <c r="R35" s="18">
        <f t="shared" si="7"/>
        <v>0.133818733333333</v>
      </c>
      <c r="S35" s="25">
        <f t="shared" si="8"/>
        <v>0.994879961074108</v>
      </c>
      <c r="T35" s="3">
        <v>0.01</v>
      </c>
      <c r="U35" s="26">
        <f t="shared" si="9"/>
        <v>0.00994879961074108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0.0393987996107411</v>
      </c>
      <c r="AR35" s="29">
        <f t="shared" si="15"/>
        <v>111.515611111111</v>
      </c>
      <c r="AS35" s="1">
        <f t="shared" si="16"/>
        <v>0.12</v>
      </c>
      <c r="AT35" s="2">
        <f t="shared" si="20"/>
        <v>4.14223333333333</v>
      </c>
      <c r="AU35" s="1">
        <f t="shared" si="17"/>
        <v>14632.1878055482</v>
      </c>
    </row>
    <row r="36" s="1" customFormat="1" spans="1:47">
      <c r="A36" s="13"/>
      <c r="B36" s="13"/>
      <c r="C36" s="16">
        <v>9</v>
      </c>
      <c r="D36" s="19">
        <v>24.7926749616667</v>
      </c>
      <c r="E36" s="20">
        <f t="shared" si="18"/>
        <v>27.0788180474194</v>
      </c>
      <c r="F36" s="16" t="s">
        <v>110</v>
      </c>
      <c r="G36" s="13">
        <v>10</v>
      </c>
      <c r="H36" s="18">
        <f t="shared" si="0"/>
        <v>24.7926749616667</v>
      </c>
      <c r="I36" s="18">
        <f t="shared" si="1"/>
        <v>297.942674961667</v>
      </c>
      <c r="J36" s="18">
        <f t="shared" si="2"/>
        <v>0.338396286809707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2.56198402318051</v>
      </c>
      <c r="P36" s="18">
        <f t="shared" si="5"/>
        <v>0.866965880310079</v>
      </c>
      <c r="Q36" s="24">
        <f t="shared" si="6"/>
        <v>0.104035905637209</v>
      </c>
      <c r="R36" s="18">
        <f t="shared" si="7"/>
        <v>0.133818733333333</v>
      </c>
      <c r="S36" s="25">
        <f t="shared" si="8"/>
        <v>0.777439025506713</v>
      </c>
      <c r="T36" s="3">
        <v>0.01</v>
      </c>
      <c r="U36" s="26">
        <f t="shared" si="9"/>
        <v>0.00777439025506713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0.0372243902550671</v>
      </c>
      <c r="AR36" s="29">
        <f t="shared" si="15"/>
        <v>111.515611111111</v>
      </c>
      <c r="AS36" s="1">
        <f t="shared" si="16"/>
        <v>0.12</v>
      </c>
      <c r="AT36" s="2">
        <f t="shared" si="20"/>
        <v>4.14223333333333</v>
      </c>
      <c r="AU36" s="1">
        <f t="shared" si="17"/>
        <v>13824.6412210657</v>
      </c>
    </row>
    <row r="37" s="1" customFormat="1" spans="1:47">
      <c r="A37" s="13"/>
      <c r="B37" s="13"/>
      <c r="C37" s="16">
        <v>10</v>
      </c>
      <c r="D37" s="19">
        <v>22.7139036674193</v>
      </c>
      <c r="E37" s="20">
        <f t="shared" si="18"/>
        <v>24.7926749616667</v>
      </c>
      <c r="F37" s="16" t="s">
        <v>110</v>
      </c>
      <c r="G37" s="13">
        <v>11</v>
      </c>
      <c r="H37" s="18">
        <f t="shared" si="0"/>
        <v>22.7139036674193</v>
      </c>
      <c r="I37" s="18">
        <f t="shared" si="1"/>
        <v>295.863903667419</v>
      </c>
      <c r="J37" s="18">
        <f t="shared" si="2"/>
        <v>0.268971106718656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1.61026723572691</v>
      </c>
      <c r="O37" s="18">
        <f t="shared" si="19"/>
        <v>1.19990701825463</v>
      </c>
      <c r="P37" s="18">
        <f t="shared" si="5"/>
        <v>0.322740318659431</v>
      </c>
      <c r="Q37" s="24">
        <f t="shared" si="6"/>
        <v>0.0387288382391317</v>
      </c>
      <c r="R37" s="18">
        <f t="shared" si="7"/>
        <v>0.133818733333333</v>
      </c>
      <c r="S37" s="25">
        <f t="shared" si="8"/>
        <v>0.289412679932195</v>
      </c>
      <c r="T37" s="3">
        <v>0.01</v>
      </c>
      <c r="U37" s="26">
        <f t="shared" si="9"/>
        <v>0.00289412679932195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0.0247941267993219</v>
      </c>
      <c r="AR37" s="29">
        <f t="shared" si="15"/>
        <v>111.515611111111</v>
      </c>
      <c r="AS37" s="1">
        <f t="shared" si="16"/>
        <v>0.12</v>
      </c>
      <c r="AT37" s="2">
        <f t="shared" si="20"/>
        <v>4.14223333333333</v>
      </c>
      <c r="AU37" s="1">
        <f t="shared" si="17"/>
        <v>9208.20744252694</v>
      </c>
    </row>
    <row r="38" s="1" customFormat="1" spans="1:48">
      <c r="A38" s="13"/>
      <c r="B38" s="13"/>
      <c r="C38" s="16">
        <v>11</v>
      </c>
      <c r="D38" s="19">
        <v>16.2730822879333</v>
      </c>
      <c r="E38" s="20">
        <f t="shared" si="18"/>
        <v>22.7139036674193</v>
      </c>
      <c r="F38" s="16" t="s">
        <v>112</v>
      </c>
      <c r="G38" s="13">
        <v>12</v>
      </c>
      <c r="H38" s="18">
        <f t="shared" si="0"/>
        <v>16.2730822879333</v>
      </c>
      <c r="I38" s="18">
        <f t="shared" si="1"/>
        <v>289.423082287933</v>
      </c>
      <c r="J38" s="18">
        <f t="shared" si="2"/>
        <v>0.129312470485327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1.99232281070631</v>
      </c>
      <c r="P38" s="18">
        <f t="shared" si="5"/>
        <v>0.257632184656704</v>
      </c>
      <c r="Q38" s="24">
        <f t="shared" si="6"/>
        <v>0.0309158621588045</v>
      </c>
      <c r="R38" s="18">
        <f t="shared" si="7"/>
        <v>0.133818733333333</v>
      </c>
      <c r="S38" s="25">
        <f t="shared" si="8"/>
        <v>0.231027909087999</v>
      </c>
      <c r="T38" s="3">
        <v>0.01</v>
      </c>
      <c r="U38" s="26">
        <f t="shared" si="9"/>
        <v>0.00231027909087999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0.02421027909088</v>
      </c>
      <c r="AR38" s="29">
        <f t="shared" si="15"/>
        <v>111.515611111111</v>
      </c>
      <c r="AS38" s="1">
        <f t="shared" si="16"/>
        <v>0.12</v>
      </c>
      <c r="AT38" s="2">
        <f t="shared" si="20"/>
        <v>4.14223333333333</v>
      </c>
      <c r="AU38" s="1">
        <f t="shared" si="17"/>
        <v>8991.3742038454</v>
      </c>
      <c r="AV38" s="1">
        <f>SUM(AU27:AU38)</f>
        <v>142955.89305899</v>
      </c>
    </row>
    <row r="39" s="1" customFormat="1" spans="1:46">
      <c r="A39" s="13"/>
      <c r="B39" s="13"/>
      <c r="C39" s="16">
        <v>12</v>
      </c>
      <c r="D39" s="19">
        <v>12.701677168129</v>
      </c>
      <c r="E39" s="20">
        <f t="shared" si="18"/>
        <v>16.2730822879333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11</v>
      </c>
      <c r="E42" s="16"/>
      <c r="F42" s="16"/>
      <c r="G42" s="13">
        <v>1</v>
      </c>
      <c r="H42" s="18">
        <f t="shared" ref="H42:H53" si="21">E43</f>
        <v>11</v>
      </c>
      <c r="I42" s="18">
        <f t="shared" ref="I42:I53" si="22">H42+273.15</f>
        <v>284.15</v>
      </c>
      <c r="J42" s="18">
        <f t="shared" ref="J42:J53" si="23">EXP(($C$16*(I42-$C$14))/($C$17*I42*$C$14))</f>
        <v>0.0692638331246278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0.00533962104540373</v>
      </c>
      <c r="Q42" s="24">
        <f t="shared" ref="Q42:Q53" si="27">P42*$B$44</f>
        <v>0.000694150735902485</v>
      </c>
      <c r="R42" s="18">
        <f t="shared" ref="R42:R53" si="28">L42*$B$44</f>
        <v>0.0100218354166667</v>
      </c>
      <c r="S42" s="25">
        <f t="shared" ref="S42:S53" si="29">Q42/R42</f>
        <v>0.0692638331246278</v>
      </c>
      <c r="T42" s="3">
        <v>0.01</v>
      </c>
      <c r="U42" s="26">
        <f t="shared" ref="U42:U53" si="30">S42*T42</f>
        <v>0.000692638331246278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0.0154926383312463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17.927397260274</v>
      </c>
      <c r="AU42" s="1">
        <f t="shared" ref="AU42:AU53" si="37">AT42*10000*AS42*0.67*AR42*AQ42</f>
        <v>1864.93926944111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9.47283439880646</v>
      </c>
      <c r="E43" s="20">
        <f t="shared" ref="E43:E54" si="38">D42</f>
        <v>11</v>
      </c>
      <c r="F43" s="16" t="s">
        <v>110</v>
      </c>
      <c r="G43" s="13">
        <v>2</v>
      </c>
      <c r="H43" s="18">
        <f t="shared" si="21"/>
        <v>9.47283439880646</v>
      </c>
      <c r="I43" s="18">
        <f t="shared" si="22"/>
        <v>282.622834398806</v>
      </c>
      <c r="J43" s="18">
        <f t="shared" si="23"/>
        <v>0.0575562631621848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0.14884246228793</v>
      </c>
      <c r="P43" s="18">
        <f t="shared" si="26"/>
        <v>0.00856681592915164</v>
      </c>
      <c r="Q43" s="24">
        <f t="shared" si="27"/>
        <v>0.00111368607078971</v>
      </c>
      <c r="R43" s="18">
        <f t="shared" si="28"/>
        <v>0.0100218354166667</v>
      </c>
      <c r="S43" s="25">
        <f t="shared" si="29"/>
        <v>0.111125958917427</v>
      </c>
      <c r="T43" s="3">
        <v>0.01</v>
      </c>
      <c r="U43" s="26">
        <f t="shared" si="30"/>
        <v>0.00111125958917427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0.0159112595891743</v>
      </c>
      <c r="AR43" s="29">
        <f t="shared" si="34"/>
        <v>7.70910416666667</v>
      </c>
      <c r="AS43" s="1">
        <f t="shared" si="35"/>
        <v>0.13</v>
      </c>
      <c r="AT43" s="2">
        <f t="shared" si="36"/>
        <v>17.927397260274</v>
      </c>
      <c r="AU43" s="1">
        <f t="shared" si="37"/>
        <v>1915.33115274985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9.67043829689655</v>
      </c>
      <c r="E44" s="20">
        <f t="shared" si="38"/>
        <v>9.47283439880646</v>
      </c>
      <c r="F44" s="16" t="s">
        <v>110</v>
      </c>
      <c r="G44" s="13">
        <v>3</v>
      </c>
      <c r="H44" s="18">
        <f t="shared" si="21"/>
        <v>9.67043829689655</v>
      </c>
      <c r="I44" s="18">
        <f t="shared" si="22"/>
        <v>282.820438296897</v>
      </c>
      <c r="J44" s="18">
        <f t="shared" si="23"/>
        <v>0.0589585060577422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0.217366688025445</v>
      </c>
      <c r="P44" s="18">
        <f t="shared" si="26"/>
        <v>0.0128156151926995</v>
      </c>
      <c r="Q44" s="24">
        <f t="shared" si="27"/>
        <v>0.00166602997505094</v>
      </c>
      <c r="R44" s="18">
        <f t="shared" si="28"/>
        <v>0.0100218354166667</v>
      </c>
      <c r="S44" s="25">
        <f t="shared" si="29"/>
        <v>0.16624000552636</v>
      </c>
      <c r="T44" s="3">
        <v>0.01</v>
      </c>
      <c r="U44" s="26">
        <f t="shared" si="30"/>
        <v>0.0016624000552636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0.0164624000552636</v>
      </c>
      <c r="AR44" s="29">
        <f t="shared" si="34"/>
        <v>7.70910416666667</v>
      </c>
      <c r="AS44" s="1">
        <f t="shared" si="35"/>
        <v>0.13</v>
      </c>
      <c r="AT44" s="2">
        <f t="shared" si="36"/>
        <v>17.927397260274</v>
      </c>
      <c r="AU44" s="1">
        <f t="shared" si="37"/>
        <v>1981.67514634293</v>
      </c>
    </row>
    <row r="45" s="1" customFormat="1" spans="1:47">
      <c r="A45" s="13"/>
      <c r="B45" s="13"/>
      <c r="C45" s="16">
        <v>3</v>
      </c>
      <c r="D45" s="19">
        <v>13.062188278129</v>
      </c>
      <c r="E45" s="20">
        <f t="shared" si="38"/>
        <v>9.67043829689655</v>
      </c>
      <c r="F45" s="16" t="s">
        <v>110</v>
      </c>
      <c r="G45" s="13">
        <v>4</v>
      </c>
      <c r="H45" s="18">
        <f t="shared" si="21"/>
        <v>13.062188278129</v>
      </c>
      <c r="I45" s="18">
        <f t="shared" si="22"/>
        <v>286.212188278129</v>
      </c>
      <c r="J45" s="18">
        <f t="shared" si="23"/>
        <v>0.0886606009033812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0.281642114499412</v>
      </c>
      <c r="P45" s="18">
        <f t="shared" si="26"/>
        <v>0.0249705591112167</v>
      </c>
      <c r="Q45" s="24">
        <f t="shared" si="27"/>
        <v>0.00324617268445818</v>
      </c>
      <c r="R45" s="18">
        <f t="shared" si="28"/>
        <v>0.0100218354166667</v>
      </c>
      <c r="S45" s="25">
        <f t="shared" si="29"/>
        <v>0.323909997470092</v>
      </c>
      <c r="T45" s="3">
        <v>0.01</v>
      </c>
      <c r="U45" s="26">
        <f t="shared" si="30"/>
        <v>0.00323909997470092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0.0303390999747009</v>
      </c>
      <c r="AR45" s="29">
        <f t="shared" si="34"/>
        <v>7.70910416666667</v>
      </c>
      <c r="AS45" s="1">
        <f t="shared" si="35"/>
        <v>0.13</v>
      </c>
      <c r="AT45" s="2">
        <f t="shared" si="36"/>
        <v>17.927397260274</v>
      </c>
      <c r="AU45" s="1">
        <f t="shared" si="37"/>
        <v>3652.0944807835</v>
      </c>
    </row>
    <row r="46" s="1" customFormat="1" spans="1:47">
      <c r="A46" s="13"/>
      <c r="B46" s="13"/>
      <c r="C46" s="16">
        <v>4</v>
      </c>
      <c r="D46" s="19">
        <v>20.0015519326667</v>
      </c>
      <c r="E46" s="20">
        <f t="shared" si="38"/>
        <v>13.062188278129</v>
      </c>
      <c r="F46" s="16" t="s">
        <v>110</v>
      </c>
      <c r="G46" s="13">
        <v>5</v>
      </c>
      <c r="H46" s="18">
        <f t="shared" si="21"/>
        <v>20.0015519326667</v>
      </c>
      <c r="I46" s="18">
        <f t="shared" si="22"/>
        <v>293.151551932667</v>
      </c>
      <c r="J46" s="18">
        <f t="shared" si="23"/>
        <v>0.198365396865639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0.243837977618785</v>
      </c>
      <c r="O46" s="18">
        <f t="shared" si="39"/>
        <v>0.0899246194360764</v>
      </c>
      <c r="P46" s="18">
        <f t="shared" si="26"/>
        <v>0.0178379328224289</v>
      </c>
      <c r="Q46" s="24">
        <f t="shared" si="27"/>
        <v>0.00231893126691575</v>
      </c>
      <c r="R46" s="18">
        <f t="shared" si="28"/>
        <v>0.0100218354166667</v>
      </c>
      <c r="S46" s="25">
        <f t="shared" si="29"/>
        <v>0.231387881610916</v>
      </c>
      <c r="T46" s="3">
        <v>0.01</v>
      </c>
      <c r="U46" s="26">
        <f t="shared" si="30"/>
        <v>0.00231387881610916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0.0294138788161092</v>
      </c>
      <c r="AR46" s="29">
        <f t="shared" si="34"/>
        <v>7.70910416666667</v>
      </c>
      <c r="AS46" s="1">
        <f t="shared" si="35"/>
        <v>0.13</v>
      </c>
      <c r="AT46" s="2">
        <f t="shared" si="36"/>
        <v>17.927397260274</v>
      </c>
      <c r="AU46" s="1">
        <f t="shared" si="37"/>
        <v>3540.7202116188</v>
      </c>
    </row>
    <row r="47" s="1" customFormat="1" spans="1:47">
      <c r="A47" s="13"/>
      <c r="B47" s="13"/>
      <c r="C47" s="16">
        <v>5</v>
      </c>
      <c r="D47" s="19">
        <v>23.2605302348387</v>
      </c>
      <c r="E47" s="20">
        <f t="shared" si="38"/>
        <v>20.0015519326667</v>
      </c>
      <c r="F47" s="16" t="s">
        <v>112</v>
      </c>
      <c r="G47" s="13">
        <v>6</v>
      </c>
      <c r="H47" s="18">
        <f t="shared" si="21"/>
        <v>23.2605302348387</v>
      </c>
      <c r="I47" s="18">
        <f t="shared" si="22"/>
        <v>296.410530234839</v>
      </c>
      <c r="J47" s="18">
        <f t="shared" si="23"/>
        <v>0.285800635220699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0.149177728280314</v>
      </c>
      <c r="P47" s="18">
        <f t="shared" si="26"/>
        <v>0.0426350895032946</v>
      </c>
      <c r="Q47" s="24">
        <f t="shared" si="27"/>
        <v>0.0055425616354283</v>
      </c>
      <c r="R47" s="18">
        <f t="shared" si="28"/>
        <v>0.0100218354166667</v>
      </c>
      <c r="S47" s="25">
        <f t="shared" si="29"/>
        <v>0.553048558970628</v>
      </c>
      <c r="T47" s="3">
        <v>0.01</v>
      </c>
      <c r="U47" s="26">
        <f t="shared" si="30"/>
        <v>0.00553048558970628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0.0326304855897063</v>
      </c>
      <c r="AR47" s="29">
        <f t="shared" si="34"/>
        <v>7.70910416666667</v>
      </c>
      <c r="AS47" s="1">
        <f t="shared" si="35"/>
        <v>0.13</v>
      </c>
      <c r="AT47" s="2">
        <f t="shared" si="36"/>
        <v>17.927397260274</v>
      </c>
      <c r="AU47" s="1">
        <f t="shared" si="37"/>
        <v>3927.92193660407</v>
      </c>
    </row>
    <row r="48" s="1" customFormat="1" spans="1:47">
      <c r="A48" s="13"/>
      <c r="B48" s="13"/>
      <c r="C48" s="16">
        <v>6</v>
      </c>
      <c r="D48" s="19">
        <v>26.273391103</v>
      </c>
      <c r="E48" s="20">
        <f t="shared" si="38"/>
        <v>23.2605302348387</v>
      </c>
      <c r="F48" s="16" t="s">
        <v>110</v>
      </c>
      <c r="G48" s="13">
        <v>7</v>
      </c>
      <c r="H48" s="18">
        <f t="shared" si="21"/>
        <v>26.273391103</v>
      </c>
      <c r="I48" s="18">
        <f t="shared" si="22"/>
        <v>299.423391103</v>
      </c>
      <c r="J48" s="18">
        <f t="shared" si="23"/>
        <v>0.397751720453283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0.183633680443686</v>
      </c>
      <c r="P48" s="18">
        <f t="shared" si="26"/>
        <v>0.0730406123296446</v>
      </c>
      <c r="Q48" s="24">
        <f t="shared" si="27"/>
        <v>0.0094952796028538</v>
      </c>
      <c r="R48" s="18">
        <f t="shared" si="28"/>
        <v>0.0100218354166667</v>
      </c>
      <c r="S48" s="25">
        <f t="shared" si="29"/>
        <v>0.947459143767499</v>
      </c>
      <c r="T48" s="3">
        <v>0.01</v>
      </c>
      <c r="U48" s="26">
        <f t="shared" si="30"/>
        <v>0.00947459143767499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0.043974591437675</v>
      </c>
      <c r="AR48" s="29">
        <f t="shared" si="34"/>
        <v>7.70910416666667</v>
      </c>
      <c r="AS48" s="1">
        <f t="shared" si="35"/>
        <v>0.13</v>
      </c>
      <c r="AT48" s="2">
        <f t="shared" si="36"/>
        <v>17.927397260274</v>
      </c>
      <c r="AU48" s="1">
        <f t="shared" si="37"/>
        <v>5293.47814596222</v>
      </c>
    </row>
    <row r="49" s="1" customFormat="1" spans="1:47">
      <c r="A49" s="13"/>
      <c r="B49" s="13"/>
      <c r="C49" s="16">
        <v>7</v>
      </c>
      <c r="D49" s="19">
        <v>27.8020675309677</v>
      </c>
      <c r="E49" s="20">
        <f t="shared" si="38"/>
        <v>26.273391103</v>
      </c>
      <c r="F49" s="16" t="s">
        <v>110</v>
      </c>
      <c r="G49" s="13">
        <v>8</v>
      </c>
      <c r="H49" s="18">
        <f t="shared" si="21"/>
        <v>27.8020675309677</v>
      </c>
      <c r="I49" s="18">
        <f t="shared" si="22"/>
        <v>300.952067530968</v>
      </c>
      <c r="J49" s="18">
        <f t="shared" si="23"/>
        <v>0.469188449740751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0.187684109780708</v>
      </c>
      <c r="P49" s="18">
        <f t="shared" si="26"/>
        <v>0.0880592165089835</v>
      </c>
      <c r="Q49" s="24">
        <f t="shared" si="27"/>
        <v>0.0114476981461679</v>
      </c>
      <c r="R49" s="18">
        <f t="shared" si="28"/>
        <v>0.0100218354166667</v>
      </c>
      <c r="S49" s="25">
        <f t="shared" si="29"/>
        <v>1.14227560823139</v>
      </c>
      <c r="T49" s="3">
        <v>0.01</v>
      </c>
      <c r="U49" s="26">
        <f t="shared" si="30"/>
        <v>0.0114227560823139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0.045922756082314</v>
      </c>
      <c r="AR49" s="29">
        <f t="shared" si="34"/>
        <v>7.70910416666667</v>
      </c>
      <c r="AS49" s="1">
        <f t="shared" si="35"/>
        <v>0.13</v>
      </c>
      <c r="AT49" s="2">
        <f t="shared" si="36"/>
        <v>17.927397260274</v>
      </c>
      <c r="AU49" s="1">
        <f t="shared" si="37"/>
        <v>5527.99009101914</v>
      </c>
    </row>
    <row r="50" s="1" customFormat="1" spans="1:47">
      <c r="A50" s="13"/>
      <c r="B50" s="13"/>
      <c r="C50" s="16">
        <v>8</v>
      </c>
      <c r="D50" s="19">
        <v>27.0788180474194</v>
      </c>
      <c r="E50" s="20">
        <f t="shared" si="38"/>
        <v>27.8020675309677</v>
      </c>
      <c r="F50" s="16" t="s">
        <v>110</v>
      </c>
      <c r="G50" s="13">
        <v>9</v>
      </c>
      <c r="H50" s="18">
        <f t="shared" si="21"/>
        <v>27.0788180474194</v>
      </c>
      <c r="I50" s="18">
        <f t="shared" si="22"/>
        <v>300.228818047419</v>
      </c>
      <c r="J50" s="18">
        <f t="shared" si="23"/>
        <v>0.434009148972527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0.176715934938391</v>
      </c>
      <c r="P50" s="18">
        <f t="shared" si="26"/>
        <v>0.0766963325324957</v>
      </c>
      <c r="Q50" s="24">
        <f t="shared" si="27"/>
        <v>0.00997052322922445</v>
      </c>
      <c r="R50" s="18">
        <f t="shared" si="28"/>
        <v>0.0100218354166667</v>
      </c>
      <c r="S50" s="25">
        <f t="shared" si="29"/>
        <v>0.994879961074108</v>
      </c>
      <c r="T50" s="3">
        <v>0.01</v>
      </c>
      <c r="U50" s="26">
        <f t="shared" si="30"/>
        <v>0.00994879961074108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0.0370487996107411</v>
      </c>
      <c r="AR50" s="29">
        <f t="shared" si="34"/>
        <v>7.70910416666667</v>
      </c>
      <c r="AS50" s="1">
        <f t="shared" si="35"/>
        <v>0.13</v>
      </c>
      <c r="AT50" s="2">
        <f t="shared" si="36"/>
        <v>17.927397260274</v>
      </c>
      <c r="AU50" s="1">
        <f t="shared" si="37"/>
        <v>4459.78017445704</v>
      </c>
    </row>
    <row r="51" s="1" customFormat="1" spans="1:47">
      <c r="A51" s="13"/>
      <c r="B51" s="13"/>
      <c r="C51" s="16">
        <v>9</v>
      </c>
      <c r="D51" s="19">
        <v>24.7926749616667</v>
      </c>
      <c r="E51" s="20">
        <f t="shared" si="38"/>
        <v>27.0788180474194</v>
      </c>
      <c r="F51" s="16" t="s">
        <v>110</v>
      </c>
      <c r="G51" s="13">
        <v>10</v>
      </c>
      <c r="H51" s="18">
        <f t="shared" si="21"/>
        <v>24.7926749616667</v>
      </c>
      <c r="I51" s="18">
        <f t="shared" si="22"/>
        <v>297.942674961667</v>
      </c>
      <c r="J51" s="18">
        <f t="shared" si="23"/>
        <v>0.338396286809707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0.177110644072562</v>
      </c>
      <c r="P51" s="18">
        <f t="shared" si="26"/>
        <v>0.0599335843086308</v>
      </c>
      <c r="Q51" s="24">
        <f t="shared" si="27"/>
        <v>0.007791365960122</v>
      </c>
      <c r="R51" s="18">
        <f t="shared" si="28"/>
        <v>0.0100218354166667</v>
      </c>
      <c r="S51" s="25">
        <f t="shared" si="29"/>
        <v>0.777439025506713</v>
      </c>
      <c r="T51" s="3">
        <v>0.01</v>
      </c>
      <c r="U51" s="26">
        <f t="shared" si="30"/>
        <v>0.00777439025506713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0.0348743902550671</v>
      </c>
      <c r="AR51" s="29">
        <f t="shared" si="34"/>
        <v>7.70910416666667</v>
      </c>
      <c r="AS51" s="1">
        <f t="shared" si="35"/>
        <v>0.13</v>
      </c>
      <c r="AT51" s="2">
        <f t="shared" si="36"/>
        <v>17.927397260274</v>
      </c>
      <c r="AU51" s="1">
        <f t="shared" si="37"/>
        <v>4198.03383348309</v>
      </c>
    </row>
    <row r="52" s="1" customFormat="1" spans="1:47">
      <c r="A52" s="13"/>
      <c r="B52" s="13"/>
      <c r="C52" s="16">
        <v>10</v>
      </c>
      <c r="D52" s="19">
        <v>22.7139036674193</v>
      </c>
      <c r="E52" s="20">
        <f t="shared" si="38"/>
        <v>24.7926749616667</v>
      </c>
      <c r="F52" s="16" t="s">
        <v>110</v>
      </c>
      <c r="G52" s="13">
        <v>11</v>
      </c>
      <c r="H52" s="18">
        <f t="shared" si="21"/>
        <v>22.7139036674193</v>
      </c>
      <c r="I52" s="18">
        <f t="shared" si="22"/>
        <v>295.863903667419</v>
      </c>
      <c r="J52" s="18">
        <f t="shared" si="23"/>
        <v>0.268971106718656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0.111318206775735</v>
      </c>
      <c r="O52" s="18">
        <f t="shared" si="39"/>
        <v>0.0829498946548633</v>
      </c>
      <c r="P52" s="18">
        <f t="shared" si="26"/>
        <v>0.0223111249675145</v>
      </c>
      <c r="Q52" s="24">
        <f t="shared" si="27"/>
        <v>0.00290044624577688</v>
      </c>
      <c r="R52" s="18">
        <f t="shared" si="28"/>
        <v>0.0100218354166667</v>
      </c>
      <c r="S52" s="25">
        <f t="shared" si="29"/>
        <v>0.289412679932195</v>
      </c>
      <c r="T52" s="3">
        <v>0.01</v>
      </c>
      <c r="U52" s="26">
        <f t="shared" si="30"/>
        <v>0.00289412679932195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0.0176941267993219</v>
      </c>
      <c r="AR52" s="29">
        <f t="shared" si="34"/>
        <v>7.70910416666667</v>
      </c>
      <c r="AS52" s="1">
        <f t="shared" si="35"/>
        <v>0.13</v>
      </c>
      <c r="AT52" s="2">
        <f t="shared" si="36"/>
        <v>17.927397260274</v>
      </c>
      <c r="AU52" s="1">
        <f t="shared" si="37"/>
        <v>2129.94528117092</v>
      </c>
    </row>
    <row r="53" s="1" customFormat="1" spans="1:48">
      <c r="A53" s="13"/>
      <c r="B53" s="13"/>
      <c r="C53" s="16">
        <v>11</v>
      </c>
      <c r="D53" s="19">
        <v>16.2730822879333</v>
      </c>
      <c r="E53" s="20">
        <f t="shared" si="38"/>
        <v>22.7139036674193</v>
      </c>
      <c r="F53" s="16" t="s">
        <v>112</v>
      </c>
      <c r="G53" s="13">
        <v>12</v>
      </c>
      <c r="H53" s="18">
        <f t="shared" si="21"/>
        <v>16.2730822879333</v>
      </c>
      <c r="I53" s="18">
        <f t="shared" si="22"/>
        <v>289.423082287933</v>
      </c>
      <c r="J53" s="18">
        <f t="shared" si="23"/>
        <v>0.129312470485327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0.137729811354015</v>
      </c>
      <c r="P53" s="18">
        <f t="shared" si="26"/>
        <v>0.0178101821656658</v>
      </c>
      <c r="Q53" s="24">
        <f t="shared" si="27"/>
        <v>0.00231532368153655</v>
      </c>
      <c r="R53" s="18">
        <f t="shared" si="28"/>
        <v>0.0100218354166667</v>
      </c>
      <c r="S53" s="25">
        <f t="shared" si="29"/>
        <v>0.231027909087999</v>
      </c>
      <c r="T53" s="3">
        <v>0.01</v>
      </c>
      <c r="U53" s="26">
        <f t="shared" si="30"/>
        <v>0.00231027909087999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0.01711027909088</v>
      </c>
      <c r="AR53" s="29">
        <f t="shared" si="34"/>
        <v>7.70910416666667</v>
      </c>
      <c r="AS53" s="1">
        <f t="shared" si="35"/>
        <v>0.13</v>
      </c>
      <c r="AT53" s="2">
        <f t="shared" si="36"/>
        <v>17.927397260274</v>
      </c>
      <c r="AU53" s="1">
        <f t="shared" si="37"/>
        <v>2059.66412598184</v>
      </c>
      <c r="AV53" s="1">
        <f>SUM(AU42:AU53)</f>
        <v>40551.5738496145</v>
      </c>
    </row>
    <row r="54" s="1" customFormat="1" spans="1:46">
      <c r="A54" s="13"/>
      <c r="B54" s="13"/>
      <c r="C54" s="16">
        <v>12</v>
      </c>
      <c r="D54" s="19">
        <v>12.701677168129</v>
      </c>
      <c r="E54" s="20">
        <f t="shared" si="38"/>
        <v>16.2730822879333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11</v>
      </c>
      <c r="E58" s="16"/>
      <c r="F58" s="16"/>
      <c r="G58" s="13">
        <v>1</v>
      </c>
      <c r="H58" s="18">
        <f t="shared" ref="H58:H69" si="40">E59</f>
        <v>11</v>
      </c>
      <c r="I58" s="18">
        <f t="shared" ref="I58:I69" si="41">H58+273.15</f>
        <v>284.15</v>
      </c>
      <c r="J58" s="18">
        <f t="shared" ref="J58:J69" si="42">EXP(($C$16*(I58-$C$14))/($C$17*I58*$C$14))</f>
        <v>0.0692638331246278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0.191354152815912</v>
      </c>
      <c r="Q58" s="24">
        <f t="shared" ref="Q58:Q69" si="46">P58*$B$60</f>
        <v>0.0554927043166146</v>
      </c>
      <c r="R58" s="18">
        <f t="shared" ref="R58:R69" si="47">L58*$B$60</f>
        <v>0.80117865</v>
      </c>
      <c r="S58" s="25">
        <f t="shared" ref="S58:S69" si="48">Q58/R58</f>
        <v>0.0692638331246278</v>
      </c>
      <c r="T58" s="3">
        <v>0.27</v>
      </c>
      <c r="U58" s="26">
        <f t="shared" ref="U58:U69" si="49">S58*T58</f>
        <v>0.0187012349436495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0.230033649949551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165.668557356003</v>
      </c>
      <c r="AF58" s="1">
        <f t="shared" ref="AF58:AF69" si="54">AE58*10000*AC58*AB58</f>
        <v>3899411.48421804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9.47283439880646</v>
      </c>
      <c r="E59" s="20">
        <f t="shared" ref="E59:E70" si="55">D58</f>
        <v>11</v>
      </c>
      <c r="F59" s="16" t="s">
        <v>110</v>
      </c>
      <c r="G59" s="13">
        <v>2</v>
      </c>
      <c r="H59" s="18">
        <f t="shared" si="40"/>
        <v>9.47283439880646</v>
      </c>
      <c r="I59" s="18">
        <f t="shared" si="41"/>
        <v>282.622834398806</v>
      </c>
      <c r="J59" s="18">
        <f t="shared" si="42"/>
        <v>0.0575562631621848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5.33401584718409</v>
      </c>
      <c r="P59" s="18">
        <f t="shared" si="45"/>
        <v>0.307006019811791</v>
      </c>
      <c r="Q59" s="24">
        <f t="shared" si="46"/>
        <v>0.0890317457454195</v>
      </c>
      <c r="R59" s="18">
        <f t="shared" si="47"/>
        <v>0.80117865</v>
      </c>
      <c r="S59" s="25">
        <f t="shared" si="48"/>
        <v>0.111125958917427</v>
      </c>
      <c r="T59" s="3">
        <v>0.27</v>
      </c>
      <c r="U59" s="26">
        <f t="shared" si="49"/>
        <v>0.0300040089077053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0.232229778930767</v>
      </c>
      <c r="AC59" s="29">
        <f t="shared" si="51"/>
        <v>10.2321666666667</v>
      </c>
      <c r="AD59" s="1">
        <f t="shared" si="52"/>
        <v>0.29</v>
      </c>
      <c r="AE59" s="30">
        <f t="shared" si="53"/>
        <v>165.668557356003</v>
      </c>
      <c r="AF59" s="1">
        <f t="shared" si="54"/>
        <v>3936639.12709575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9.67043829689655</v>
      </c>
      <c r="E60" s="20">
        <f t="shared" si="55"/>
        <v>9.47283439880646</v>
      </c>
      <c r="F60" s="16" t="s">
        <v>110</v>
      </c>
      <c r="G60" s="13">
        <v>3</v>
      </c>
      <c r="H60" s="18">
        <f t="shared" si="40"/>
        <v>9.67043829689655</v>
      </c>
      <c r="I60" s="18">
        <f t="shared" si="41"/>
        <v>282.820438296897</v>
      </c>
      <c r="J60" s="18">
        <f t="shared" si="42"/>
        <v>0.0589585060577422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7.78969482737229</v>
      </c>
      <c r="P60" s="18">
        <f t="shared" si="45"/>
        <v>0.459268769667592</v>
      </c>
      <c r="Q60" s="24">
        <f t="shared" si="46"/>
        <v>0.133187943203602</v>
      </c>
      <c r="R60" s="18">
        <f t="shared" si="47"/>
        <v>0.80117865</v>
      </c>
      <c r="S60" s="25">
        <f t="shared" si="48"/>
        <v>0.16624000552636</v>
      </c>
      <c r="T60" s="3">
        <v>0.27</v>
      </c>
      <c r="U60" s="26">
        <f t="shared" si="49"/>
        <v>0.0448848014921173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0.235121116929918</v>
      </c>
      <c r="AC60" s="29">
        <f t="shared" si="51"/>
        <v>10.2321666666667</v>
      </c>
      <c r="AD60" s="1">
        <f t="shared" si="52"/>
        <v>0.29</v>
      </c>
      <c r="AE60" s="30">
        <f t="shared" si="53"/>
        <v>165.668557356003</v>
      </c>
      <c r="AF60" s="1">
        <f t="shared" si="54"/>
        <v>3985651.59375495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13.062188278129</v>
      </c>
      <c r="E61" s="20">
        <f t="shared" si="55"/>
        <v>9.67043829689655</v>
      </c>
      <c r="F61" s="16" t="s">
        <v>110</v>
      </c>
      <c r="G61" s="13">
        <v>4</v>
      </c>
      <c r="H61" s="18">
        <f t="shared" si="40"/>
        <v>13.062188278129</v>
      </c>
      <c r="I61" s="18">
        <f t="shared" si="41"/>
        <v>286.212188278129</v>
      </c>
      <c r="J61" s="18">
        <f t="shared" si="42"/>
        <v>0.0886606009033812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10.0931110577047</v>
      </c>
      <c r="P61" s="18">
        <f t="shared" si="45"/>
        <v>0.89486129136066</v>
      </c>
      <c r="Q61" s="24">
        <f t="shared" si="46"/>
        <v>0.259509774494591</v>
      </c>
      <c r="R61" s="18">
        <f t="shared" si="47"/>
        <v>0.80117865</v>
      </c>
      <c r="S61" s="25">
        <f t="shared" si="48"/>
        <v>0.323909997470092</v>
      </c>
      <c r="T61" s="3">
        <v>0.27</v>
      </c>
      <c r="U61" s="26">
        <f t="shared" si="49"/>
        <v>0.0874556993169248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0.292192642377278</v>
      </c>
      <c r="AC61" s="29">
        <f t="shared" si="51"/>
        <v>10.2321666666667</v>
      </c>
      <c r="AD61" s="1">
        <f t="shared" si="52"/>
        <v>0.29</v>
      </c>
      <c r="AE61" s="30">
        <f t="shared" si="53"/>
        <v>165.668557356003</v>
      </c>
      <c r="AF61" s="1">
        <f t="shared" si="54"/>
        <v>4953098.58161992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20.0015519326667</v>
      </c>
      <c r="E62" s="20">
        <f t="shared" si="55"/>
        <v>13.062188278129</v>
      </c>
      <c r="F62" s="16" t="s">
        <v>110</v>
      </c>
      <c r="G62" s="13">
        <v>5</v>
      </c>
      <c r="H62" s="18">
        <f t="shared" si="40"/>
        <v>20.0015519326667</v>
      </c>
      <c r="I62" s="18">
        <f t="shared" si="41"/>
        <v>293.151551932667</v>
      </c>
      <c r="J62" s="18">
        <f t="shared" si="42"/>
        <v>0.198365396865639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8.73833727802684</v>
      </c>
      <c r="O62" s="18">
        <f t="shared" si="56"/>
        <v>3.2225974883172</v>
      </c>
      <c r="P62" s="18">
        <f t="shared" si="45"/>
        <v>0.639251829708253</v>
      </c>
      <c r="Q62" s="24">
        <f t="shared" si="46"/>
        <v>0.185383030615393</v>
      </c>
      <c r="R62" s="18">
        <f t="shared" si="47"/>
        <v>0.80117865</v>
      </c>
      <c r="S62" s="25">
        <f t="shared" si="48"/>
        <v>0.231387881610916</v>
      </c>
      <c r="T62" s="3">
        <v>0.27</v>
      </c>
      <c r="U62" s="26">
        <f t="shared" si="49"/>
        <v>0.0624747280349473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0.28733883965719</v>
      </c>
      <c r="AC62" s="29">
        <f t="shared" si="51"/>
        <v>10.2321666666667</v>
      </c>
      <c r="AD62" s="1">
        <f t="shared" si="52"/>
        <v>0.29</v>
      </c>
      <c r="AE62" s="30">
        <f t="shared" si="53"/>
        <v>165.668557356003</v>
      </c>
      <c r="AF62" s="1">
        <f t="shared" si="54"/>
        <v>4870819.42779616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23.2605302348387</v>
      </c>
      <c r="E63" s="20">
        <f t="shared" si="55"/>
        <v>20.0015519326667</v>
      </c>
      <c r="F63" s="16" t="s">
        <v>112</v>
      </c>
      <c r="G63" s="13">
        <v>6</v>
      </c>
      <c r="H63" s="18">
        <f t="shared" si="40"/>
        <v>23.2605302348387</v>
      </c>
      <c r="I63" s="18">
        <f t="shared" si="41"/>
        <v>296.410530234839</v>
      </c>
      <c r="J63" s="18">
        <f t="shared" si="42"/>
        <v>0.285800635220699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5.34603065860895</v>
      </c>
      <c r="P63" s="18">
        <f t="shared" si="45"/>
        <v>1.52789895813977</v>
      </c>
      <c r="Q63" s="24">
        <f t="shared" si="46"/>
        <v>0.443090697860533</v>
      </c>
      <c r="R63" s="18">
        <f t="shared" si="47"/>
        <v>0.80117865</v>
      </c>
      <c r="S63" s="25">
        <f t="shared" si="48"/>
        <v>0.553048558970628</v>
      </c>
      <c r="T63" s="3">
        <v>0.27</v>
      </c>
      <c r="U63" s="26">
        <f t="shared" si="49"/>
        <v>0.14932311092207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0.319413480452158</v>
      </c>
      <c r="AC63" s="29">
        <f t="shared" si="51"/>
        <v>10.2321666666667</v>
      </c>
      <c r="AD63" s="1">
        <f t="shared" si="52"/>
        <v>0.29</v>
      </c>
      <c r="AE63" s="30">
        <f t="shared" si="53"/>
        <v>165.668557356003</v>
      </c>
      <c r="AF63" s="1">
        <f t="shared" si="54"/>
        <v>5414532.15284962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26.273391103</v>
      </c>
      <c r="E64" s="20">
        <f t="shared" si="55"/>
        <v>23.2605302348387</v>
      </c>
      <c r="F64" s="16" t="s">
        <v>110</v>
      </c>
      <c r="G64" s="13">
        <v>7</v>
      </c>
      <c r="H64" s="18">
        <f t="shared" si="40"/>
        <v>26.273391103</v>
      </c>
      <c r="I64" s="18">
        <f t="shared" si="41"/>
        <v>299.423391103</v>
      </c>
      <c r="J64" s="18">
        <f t="shared" si="42"/>
        <v>0.397751720453283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6.58081670046918</v>
      </c>
      <c r="P64" s="18">
        <f t="shared" si="45"/>
        <v>2.61753116459931</v>
      </c>
      <c r="Q64" s="24">
        <f t="shared" si="46"/>
        <v>0.759084037733801</v>
      </c>
      <c r="R64" s="18">
        <f t="shared" si="47"/>
        <v>0.80117865</v>
      </c>
      <c r="S64" s="25">
        <f t="shared" si="48"/>
        <v>0.947459143767499</v>
      </c>
      <c r="T64" s="3">
        <v>0.27</v>
      </c>
      <c r="U64" s="26">
        <f t="shared" si="49"/>
        <v>0.255813968817225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0.340104654141187</v>
      </c>
      <c r="AC64" s="29">
        <f t="shared" si="51"/>
        <v>10.2321666666667</v>
      </c>
      <c r="AD64" s="1">
        <f t="shared" si="52"/>
        <v>0.29</v>
      </c>
      <c r="AE64" s="30">
        <f t="shared" si="53"/>
        <v>165.668557356003</v>
      </c>
      <c r="AF64" s="1">
        <f t="shared" si="54"/>
        <v>5765278.22988072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27.8020675309677</v>
      </c>
      <c r="E65" s="20">
        <f t="shared" si="55"/>
        <v>26.273391103</v>
      </c>
      <c r="F65" s="16" t="s">
        <v>110</v>
      </c>
      <c r="G65" s="13">
        <v>8</v>
      </c>
      <c r="H65" s="18">
        <f t="shared" si="40"/>
        <v>27.8020675309677</v>
      </c>
      <c r="I65" s="18">
        <f t="shared" si="41"/>
        <v>300.952067530968</v>
      </c>
      <c r="J65" s="18">
        <f t="shared" si="42"/>
        <v>0.469188449740751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6.72597053586986</v>
      </c>
      <c r="P65" s="18">
        <f t="shared" si="45"/>
        <v>3.15574768872675</v>
      </c>
      <c r="Q65" s="24">
        <f t="shared" si="46"/>
        <v>0.915166829730757</v>
      </c>
      <c r="R65" s="18">
        <f t="shared" si="47"/>
        <v>0.80117865</v>
      </c>
      <c r="S65" s="25">
        <f t="shared" si="48"/>
        <v>1.14227560823139</v>
      </c>
      <c r="T65" s="3">
        <v>0.27</v>
      </c>
      <c r="U65" s="26">
        <f t="shared" si="49"/>
        <v>0.308414414222477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0.350324920683427</v>
      </c>
      <c r="AC65" s="29">
        <f t="shared" si="51"/>
        <v>10.2321666666667</v>
      </c>
      <c r="AD65" s="1">
        <f t="shared" si="52"/>
        <v>0.29</v>
      </c>
      <c r="AE65" s="30">
        <f t="shared" si="53"/>
        <v>165.668557356003</v>
      </c>
      <c r="AF65" s="1">
        <f t="shared" si="54"/>
        <v>5938526.90343488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27.0788180474194</v>
      </c>
      <c r="E66" s="20">
        <f t="shared" si="55"/>
        <v>27.8020675309677</v>
      </c>
      <c r="F66" s="16" t="s">
        <v>110</v>
      </c>
      <c r="G66" s="13">
        <v>9</v>
      </c>
      <c r="H66" s="18">
        <f t="shared" si="40"/>
        <v>27.0788180474194</v>
      </c>
      <c r="I66" s="18">
        <f t="shared" si="41"/>
        <v>300.228818047419</v>
      </c>
      <c r="J66" s="18">
        <f t="shared" si="42"/>
        <v>0.434009148972527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6.33290784714311</v>
      </c>
      <c r="P66" s="18">
        <f t="shared" si="45"/>
        <v>2.74853994526002</v>
      </c>
      <c r="Q66" s="24">
        <f t="shared" si="46"/>
        <v>0.797076584125406</v>
      </c>
      <c r="R66" s="18">
        <f t="shared" si="47"/>
        <v>0.80117865</v>
      </c>
      <c r="S66" s="25">
        <f t="shared" si="48"/>
        <v>0.994879961074108</v>
      </c>
      <c r="T66" s="3">
        <v>0.27</v>
      </c>
      <c r="U66" s="26">
        <f t="shared" si="49"/>
        <v>0.268617589490009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0.327392397637909</v>
      </c>
      <c r="AC66" s="29">
        <f t="shared" si="51"/>
        <v>10.2321666666667</v>
      </c>
      <c r="AD66" s="1">
        <f t="shared" si="52"/>
        <v>0.29</v>
      </c>
      <c r="AE66" s="30">
        <f t="shared" si="53"/>
        <v>165.668557356003</v>
      </c>
      <c r="AF66" s="1">
        <f t="shared" si="54"/>
        <v>5549786.63110776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24.7926749616667</v>
      </c>
      <c r="E67" s="20">
        <f t="shared" si="55"/>
        <v>27.0788180474194</v>
      </c>
      <c r="F67" s="16" t="s">
        <v>110</v>
      </c>
      <c r="G67" s="13">
        <v>10</v>
      </c>
      <c r="H67" s="18">
        <f t="shared" si="40"/>
        <v>24.7926749616667</v>
      </c>
      <c r="I67" s="18">
        <f t="shared" si="41"/>
        <v>297.942674961667</v>
      </c>
      <c r="J67" s="18">
        <f t="shared" si="42"/>
        <v>0.338396286809707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6.34705290188309</v>
      </c>
      <c r="P67" s="18">
        <f t="shared" si="45"/>
        <v>2.14781913418201</v>
      </c>
      <c r="Q67" s="24">
        <f t="shared" si="46"/>
        <v>0.622867548912784</v>
      </c>
      <c r="R67" s="18">
        <f t="shared" si="47"/>
        <v>0.80117865</v>
      </c>
      <c r="S67" s="25">
        <f t="shared" si="48"/>
        <v>0.777439025506713</v>
      </c>
      <c r="T67" s="3">
        <v>0.27</v>
      </c>
      <c r="U67" s="26">
        <f t="shared" si="49"/>
        <v>0.209908536886813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0.315985228717108</v>
      </c>
      <c r="AC67" s="29">
        <f t="shared" si="51"/>
        <v>10.2321666666667</v>
      </c>
      <c r="AD67" s="1">
        <f t="shared" si="52"/>
        <v>0.29</v>
      </c>
      <c r="AE67" s="30">
        <f t="shared" si="53"/>
        <v>165.668557356003</v>
      </c>
      <c r="AF67" s="1">
        <f t="shared" si="54"/>
        <v>5356418.20217598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22.7139036674193</v>
      </c>
      <c r="E68" s="20">
        <f t="shared" si="55"/>
        <v>24.7926749616667</v>
      </c>
      <c r="F68" s="16" t="s">
        <v>110</v>
      </c>
      <c r="G68" s="13">
        <v>11</v>
      </c>
      <c r="H68" s="18">
        <f t="shared" si="40"/>
        <v>22.7139036674193</v>
      </c>
      <c r="I68" s="18">
        <f t="shared" si="41"/>
        <v>295.863903667419</v>
      </c>
      <c r="J68" s="18">
        <f t="shared" si="42"/>
        <v>0.268971106718656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3.98927207931602</v>
      </c>
      <c r="O68" s="18">
        <f t="shared" si="56"/>
        <v>2.97264668838505</v>
      </c>
      <c r="P68" s="18">
        <f t="shared" si="45"/>
        <v>0.799556069658475</v>
      </c>
      <c r="Q68" s="24">
        <f t="shared" si="46"/>
        <v>0.231871260200958</v>
      </c>
      <c r="R68" s="18">
        <f t="shared" si="47"/>
        <v>0.80117865</v>
      </c>
      <c r="S68" s="25">
        <f t="shared" si="48"/>
        <v>0.289412679932195</v>
      </c>
      <c r="T68" s="3">
        <v>0.27</v>
      </c>
      <c r="U68" s="26">
        <f t="shared" si="49"/>
        <v>0.0781414235816926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0.241582878601923</v>
      </c>
      <c r="AC68" s="29">
        <f t="shared" si="51"/>
        <v>10.2321666666667</v>
      </c>
      <c r="AD68" s="1">
        <f t="shared" si="52"/>
        <v>0.29</v>
      </c>
      <c r="AE68" s="30">
        <f t="shared" si="53"/>
        <v>165.668557356003</v>
      </c>
      <c r="AF68" s="1">
        <f t="shared" si="54"/>
        <v>4095188.03626073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16.2730822879333</v>
      </c>
      <c r="E69" s="20">
        <f t="shared" si="55"/>
        <v>22.7139036674193</v>
      </c>
      <c r="F69" s="16" t="s">
        <v>112</v>
      </c>
      <c r="G69" s="13">
        <v>12</v>
      </c>
      <c r="H69" s="18">
        <f t="shared" si="40"/>
        <v>16.2730822879333</v>
      </c>
      <c r="I69" s="18">
        <f t="shared" si="41"/>
        <v>289.423082287933</v>
      </c>
      <c r="J69" s="18">
        <f t="shared" si="42"/>
        <v>0.129312470485327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4.93577561872658</v>
      </c>
      <c r="P69" s="18">
        <f t="shared" si="45"/>
        <v>0.638257339018777</v>
      </c>
      <c r="Q69" s="24">
        <f t="shared" si="46"/>
        <v>0.185094628315445</v>
      </c>
      <c r="R69" s="18">
        <f t="shared" si="47"/>
        <v>0.80117865</v>
      </c>
      <c r="S69" s="25">
        <f t="shared" si="48"/>
        <v>0.231027909087999</v>
      </c>
      <c r="T69" s="3">
        <v>0.27</v>
      </c>
      <c r="U69" s="26">
        <f t="shared" si="49"/>
        <v>0.0623775354537596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0.238519955138666</v>
      </c>
      <c r="AC69" s="29">
        <f t="shared" si="51"/>
        <v>10.2321666666667</v>
      </c>
      <c r="AD69" s="1">
        <f t="shared" si="52"/>
        <v>0.29</v>
      </c>
      <c r="AE69" s="30">
        <f t="shared" si="53"/>
        <v>165.668557356003</v>
      </c>
      <c r="AF69" s="1">
        <f t="shared" si="54"/>
        <v>4043266.94154035</v>
      </c>
      <c r="AG69" s="1">
        <f>SUM(AF58:AF69)</f>
        <v>57808617.3117348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12.701677168129</v>
      </c>
      <c r="E70" s="20">
        <f t="shared" si="55"/>
        <v>16.2730822879333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11</v>
      </c>
      <c r="E74" s="16"/>
      <c r="F74" s="16"/>
      <c r="G74" s="13">
        <v>1</v>
      </c>
      <c r="H74" s="18">
        <f t="shared" ref="H74:H85" si="57">E75</f>
        <v>11</v>
      </c>
      <c r="I74" s="18">
        <f t="shared" ref="I74:I85" si="58">H74+273.15</f>
        <v>284.15</v>
      </c>
      <c r="J74" s="18">
        <f t="shared" ref="J74:J85" si="59">EXP(($C$16*(I74-$C$14))/($C$17*I74*$C$14))</f>
        <v>0.0692638331246278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0.0361016951012185</v>
      </c>
      <c r="Q74" s="24">
        <f t="shared" ref="Q74:Q85" si="63">P74*$B$76</f>
        <v>0.00938644072631681</v>
      </c>
      <c r="R74" s="18">
        <f t="shared" ref="R74:R85" si="64">L74*$B$76</f>
        <v>0.1355172</v>
      </c>
      <c r="S74" s="25">
        <f t="shared" ref="S74:S85" si="65">Q74/R74</f>
        <v>0.0692638331246278</v>
      </c>
      <c r="T74" s="3">
        <v>0.01</v>
      </c>
      <c r="U74" s="26">
        <f t="shared" ref="U74:U85" si="66">S74*T74</f>
        <v>0.000692638331246278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0.00618263833124628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9.47283439880646</v>
      </c>
      <c r="E75" s="20">
        <f t="shared" ref="E75:E86" si="74">D74</f>
        <v>11</v>
      </c>
      <c r="F75" s="16" t="s">
        <v>110</v>
      </c>
      <c r="G75" s="13">
        <v>2</v>
      </c>
      <c r="H75" s="18">
        <f t="shared" si="57"/>
        <v>9.47283439880646</v>
      </c>
      <c r="I75" s="18">
        <f t="shared" si="58"/>
        <v>282.622834398806</v>
      </c>
      <c r="J75" s="18">
        <f t="shared" si="59"/>
        <v>0.0575562631621848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1.00633830489878</v>
      </c>
      <c r="P75" s="18">
        <f t="shared" si="62"/>
        <v>0.0579210723069412</v>
      </c>
      <c r="Q75" s="24">
        <f t="shared" si="63"/>
        <v>0.0150594787998047</v>
      </c>
      <c r="R75" s="18">
        <f t="shared" si="64"/>
        <v>0.1355172</v>
      </c>
      <c r="S75" s="25">
        <f t="shared" si="65"/>
        <v>0.111125958917427</v>
      </c>
      <c r="T75" s="3">
        <v>0.01</v>
      </c>
      <c r="U75" s="26">
        <f t="shared" si="66"/>
        <v>0.00111125958917427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0.00660125958917427</v>
      </c>
      <c r="AU75" s="29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9.67043829689655</v>
      </c>
      <c r="E76" s="20">
        <f t="shared" si="74"/>
        <v>9.47283439880646</v>
      </c>
      <c r="F76" s="16" t="s">
        <v>110</v>
      </c>
      <c r="G76" s="13">
        <v>3</v>
      </c>
      <c r="H76" s="18">
        <f t="shared" si="57"/>
        <v>9.67043829689655</v>
      </c>
      <c r="I76" s="18">
        <f t="shared" si="58"/>
        <v>282.820438296897</v>
      </c>
      <c r="J76" s="18">
        <f t="shared" si="59"/>
        <v>0.0589585060577422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1.46963723259184</v>
      </c>
      <c r="P76" s="18">
        <f t="shared" si="62"/>
        <v>0.0866476156804495</v>
      </c>
      <c r="Q76" s="24">
        <f t="shared" si="63"/>
        <v>0.0225283800769169</v>
      </c>
      <c r="R76" s="18">
        <f t="shared" si="64"/>
        <v>0.1355172</v>
      </c>
      <c r="S76" s="25">
        <f t="shared" si="65"/>
        <v>0.16624000552636</v>
      </c>
      <c r="T76" s="3">
        <v>0.01</v>
      </c>
      <c r="U76" s="26">
        <f t="shared" si="66"/>
        <v>0.0016624000552636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0.0071524000552636</v>
      </c>
      <c r="AU76" s="29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9">
        <v>13.062188278129</v>
      </c>
      <c r="E77" s="20">
        <f t="shared" si="74"/>
        <v>9.67043829689655</v>
      </c>
      <c r="F77" s="16" t="s">
        <v>110</v>
      </c>
      <c r="G77" s="13">
        <v>4</v>
      </c>
      <c r="H77" s="18">
        <f t="shared" si="57"/>
        <v>13.062188278129</v>
      </c>
      <c r="I77" s="18">
        <f t="shared" si="58"/>
        <v>286.212188278129</v>
      </c>
      <c r="J77" s="18">
        <f t="shared" si="59"/>
        <v>0.0886606009033812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1.90420961691139</v>
      </c>
      <c r="P77" s="18">
        <f t="shared" si="62"/>
        <v>0.168828368881361</v>
      </c>
      <c r="Q77" s="24">
        <f t="shared" si="63"/>
        <v>0.0438953759091539</v>
      </c>
      <c r="R77" s="18">
        <f t="shared" si="64"/>
        <v>0.1355172</v>
      </c>
      <c r="S77" s="25">
        <f t="shared" si="65"/>
        <v>0.323909997470092</v>
      </c>
      <c r="T77" s="3">
        <v>0.01</v>
      </c>
      <c r="U77" s="26">
        <f t="shared" si="66"/>
        <v>0.00323909997470092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0.0112290999747009</v>
      </c>
      <c r="AU77" s="29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9">
        <v>20.0015519326667</v>
      </c>
      <c r="E78" s="20">
        <f t="shared" si="74"/>
        <v>13.062188278129</v>
      </c>
      <c r="F78" s="16" t="s">
        <v>110</v>
      </c>
      <c r="G78" s="13">
        <v>5</v>
      </c>
      <c r="H78" s="18">
        <f t="shared" si="57"/>
        <v>20.0015519326667</v>
      </c>
      <c r="I78" s="18">
        <f t="shared" si="58"/>
        <v>293.151551932667</v>
      </c>
      <c r="J78" s="18">
        <f t="shared" si="59"/>
        <v>0.198365396865639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1.64861218562853</v>
      </c>
      <c r="O78" s="18">
        <f t="shared" si="75"/>
        <v>0.607989062401501</v>
      </c>
      <c r="P78" s="18">
        <f t="shared" si="62"/>
        <v>0.120603991653241</v>
      </c>
      <c r="Q78" s="24">
        <f t="shared" si="63"/>
        <v>0.0313570378298428</v>
      </c>
      <c r="R78" s="18">
        <f t="shared" si="64"/>
        <v>0.1355172</v>
      </c>
      <c r="S78" s="25">
        <f t="shared" si="65"/>
        <v>0.231387881610916</v>
      </c>
      <c r="T78" s="3">
        <v>0.01</v>
      </c>
      <c r="U78" s="26">
        <f t="shared" si="66"/>
        <v>0.00231387881610916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0.0122638788161092</v>
      </c>
      <c r="AU78" s="29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9">
        <v>23.2605302348387</v>
      </c>
      <c r="E79" s="20">
        <f t="shared" si="74"/>
        <v>20.0015519326667</v>
      </c>
      <c r="F79" s="16" t="s">
        <v>112</v>
      </c>
      <c r="G79" s="13">
        <v>6</v>
      </c>
      <c r="H79" s="18">
        <f t="shared" si="57"/>
        <v>23.2605302348387</v>
      </c>
      <c r="I79" s="18">
        <f t="shared" si="58"/>
        <v>296.410530234839</v>
      </c>
      <c r="J79" s="18">
        <f t="shared" si="59"/>
        <v>0.285800635220699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1.00860507074826</v>
      </c>
      <c r="P79" s="18">
        <f t="shared" si="62"/>
        <v>0.288259969906671</v>
      </c>
      <c r="Q79" s="24">
        <f t="shared" si="63"/>
        <v>0.0749475921757344</v>
      </c>
      <c r="R79" s="18">
        <f t="shared" si="64"/>
        <v>0.1355172</v>
      </c>
      <c r="S79" s="25">
        <f t="shared" si="65"/>
        <v>0.553048558970628</v>
      </c>
      <c r="T79" s="3">
        <v>0.01</v>
      </c>
      <c r="U79" s="26">
        <f t="shared" si="66"/>
        <v>0.00553048558970628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0.0154804855897063</v>
      </c>
      <c r="AU79" s="29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9">
        <v>26.273391103</v>
      </c>
      <c r="E80" s="20">
        <f t="shared" si="74"/>
        <v>23.2605302348387</v>
      </c>
      <c r="F80" s="16" t="s">
        <v>110</v>
      </c>
      <c r="G80" s="13">
        <v>7</v>
      </c>
      <c r="H80" s="18">
        <f t="shared" si="57"/>
        <v>26.273391103</v>
      </c>
      <c r="I80" s="18">
        <f t="shared" si="58"/>
        <v>299.423391103</v>
      </c>
      <c r="J80" s="18">
        <f t="shared" si="59"/>
        <v>0.397751720453283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1.24156510084159</v>
      </c>
      <c r="P80" s="18">
        <f t="shared" si="62"/>
        <v>0.493834654914496</v>
      </c>
      <c r="Q80" s="24">
        <f t="shared" si="63"/>
        <v>0.128397010277769</v>
      </c>
      <c r="R80" s="18">
        <f t="shared" si="64"/>
        <v>0.1355172</v>
      </c>
      <c r="S80" s="25">
        <f t="shared" si="65"/>
        <v>0.947459143767499</v>
      </c>
      <c r="T80" s="3">
        <v>0.01</v>
      </c>
      <c r="U80" s="26">
        <f t="shared" si="66"/>
        <v>0.00947459143767499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0.021924591437675</v>
      </c>
      <c r="AU80" s="29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9">
        <v>27.8020675309677</v>
      </c>
      <c r="E81" s="20">
        <f t="shared" si="74"/>
        <v>26.273391103</v>
      </c>
      <c r="F81" s="16" t="s">
        <v>110</v>
      </c>
      <c r="G81" s="13">
        <v>8</v>
      </c>
      <c r="H81" s="18">
        <f t="shared" si="57"/>
        <v>27.8020675309677</v>
      </c>
      <c r="I81" s="18">
        <f t="shared" si="58"/>
        <v>300.952067530968</v>
      </c>
      <c r="J81" s="18">
        <f t="shared" si="59"/>
        <v>0.469188449740751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1.26895044592709</v>
      </c>
      <c r="P81" s="18">
        <f t="shared" si="62"/>
        <v>0.595376892522367</v>
      </c>
      <c r="Q81" s="24">
        <f t="shared" si="63"/>
        <v>0.154797992055816</v>
      </c>
      <c r="R81" s="18">
        <f t="shared" si="64"/>
        <v>0.1355172</v>
      </c>
      <c r="S81" s="25">
        <f t="shared" si="65"/>
        <v>1.14227560823139</v>
      </c>
      <c r="T81" s="3">
        <v>0.01</v>
      </c>
      <c r="U81" s="26">
        <f t="shared" si="66"/>
        <v>0.0114227560823139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0.0238727560823139</v>
      </c>
      <c r="AU81" s="29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9">
        <v>27.0788180474194</v>
      </c>
      <c r="E82" s="20">
        <f t="shared" si="74"/>
        <v>27.8020675309677</v>
      </c>
      <c r="F82" s="16" t="s">
        <v>110</v>
      </c>
      <c r="G82" s="13">
        <v>9</v>
      </c>
      <c r="H82" s="18">
        <f t="shared" si="57"/>
        <v>27.0788180474194</v>
      </c>
      <c r="I82" s="18">
        <f t="shared" si="58"/>
        <v>300.228818047419</v>
      </c>
      <c r="J82" s="18">
        <f t="shared" si="59"/>
        <v>0.434009148972527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1.19479355340473</v>
      </c>
      <c r="P82" s="18">
        <f t="shared" si="62"/>
        <v>0.518551333311046</v>
      </c>
      <c r="Q82" s="24">
        <f t="shared" si="63"/>
        <v>0.134823346660872</v>
      </c>
      <c r="R82" s="18">
        <f t="shared" si="64"/>
        <v>0.1355172</v>
      </c>
      <c r="S82" s="25">
        <f t="shared" si="65"/>
        <v>0.994879961074108</v>
      </c>
      <c r="T82" s="3">
        <v>0.01</v>
      </c>
      <c r="U82" s="26">
        <f t="shared" si="66"/>
        <v>0.00994879961074108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0.0198987996107411</v>
      </c>
      <c r="AU82" s="29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9">
        <v>24.7926749616667</v>
      </c>
      <c r="E83" s="20">
        <f t="shared" si="74"/>
        <v>27.0788180474194</v>
      </c>
      <c r="F83" s="16" t="s">
        <v>110</v>
      </c>
      <c r="G83" s="13">
        <v>10</v>
      </c>
      <c r="H83" s="18">
        <f t="shared" si="57"/>
        <v>24.7926749616667</v>
      </c>
      <c r="I83" s="18">
        <f t="shared" si="58"/>
        <v>297.942674961667</v>
      </c>
      <c r="J83" s="18">
        <f t="shared" si="59"/>
        <v>0.338396286809707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1.19746222009368</v>
      </c>
      <c r="P83" s="18">
        <f t="shared" si="62"/>
        <v>0.405216768874609</v>
      </c>
      <c r="Q83" s="24">
        <f t="shared" si="63"/>
        <v>0.105356359907398</v>
      </c>
      <c r="R83" s="18">
        <f t="shared" si="64"/>
        <v>0.1355172</v>
      </c>
      <c r="S83" s="25">
        <f t="shared" si="65"/>
        <v>0.777439025506713</v>
      </c>
      <c r="T83" s="3">
        <v>0.01</v>
      </c>
      <c r="U83" s="26">
        <f t="shared" si="66"/>
        <v>0.00777439025506713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0.0177243902550671</v>
      </c>
      <c r="AU83" s="29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9">
        <v>22.7139036674193</v>
      </c>
      <c r="E84" s="20">
        <f t="shared" si="74"/>
        <v>24.7926749616667</v>
      </c>
      <c r="F84" s="16" t="s">
        <v>110</v>
      </c>
      <c r="G84" s="13">
        <v>11</v>
      </c>
      <c r="H84" s="18">
        <f t="shared" si="57"/>
        <v>22.7139036674193</v>
      </c>
      <c r="I84" s="18">
        <f t="shared" si="58"/>
        <v>295.863903667419</v>
      </c>
      <c r="J84" s="18">
        <f t="shared" si="59"/>
        <v>0.268971106718656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0.752633178658116</v>
      </c>
      <c r="O84" s="18">
        <f t="shared" si="75"/>
        <v>0.560832272560954</v>
      </c>
      <c r="P84" s="18">
        <f t="shared" si="62"/>
        <v>0.150847677034259</v>
      </c>
      <c r="Q84" s="24">
        <f t="shared" si="63"/>
        <v>0.0392203960289072</v>
      </c>
      <c r="R84" s="18">
        <f t="shared" si="64"/>
        <v>0.1355172</v>
      </c>
      <c r="S84" s="25">
        <f t="shared" si="65"/>
        <v>0.289412679932195</v>
      </c>
      <c r="T84" s="3">
        <v>0.01</v>
      </c>
      <c r="U84" s="26">
        <f t="shared" si="66"/>
        <v>0.00289412679932195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0.0103441267993219</v>
      </c>
      <c r="AU84" s="29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9">
        <v>16.2730822879333</v>
      </c>
      <c r="E85" s="20">
        <f t="shared" si="74"/>
        <v>22.7139036674193</v>
      </c>
      <c r="F85" s="16" t="s">
        <v>112</v>
      </c>
      <c r="G85" s="13">
        <v>12</v>
      </c>
      <c r="H85" s="18">
        <f t="shared" si="57"/>
        <v>16.2730822879333</v>
      </c>
      <c r="I85" s="18">
        <f t="shared" si="58"/>
        <v>289.423082287933</v>
      </c>
      <c r="J85" s="18">
        <f t="shared" si="59"/>
        <v>0.129312470485327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0.931204595526695</v>
      </c>
      <c r="P85" s="18">
        <f t="shared" si="62"/>
        <v>0.120416366774847</v>
      </c>
      <c r="Q85" s="24">
        <f t="shared" si="63"/>
        <v>0.0313082553614601</v>
      </c>
      <c r="R85" s="18">
        <f t="shared" si="64"/>
        <v>0.1355172</v>
      </c>
      <c r="S85" s="25">
        <f t="shared" si="65"/>
        <v>0.231027909087999</v>
      </c>
      <c r="T85" s="3">
        <v>0.01</v>
      </c>
      <c r="U85" s="26">
        <f t="shared" si="66"/>
        <v>0.00231027909087999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0.00976027909087999</v>
      </c>
      <c r="AU85" s="29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9">
        <v>12.701677168129</v>
      </c>
      <c r="E86" s="20">
        <f t="shared" si="74"/>
        <v>16.2730822879333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11</v>
      </c>
      <c r="E90" s="16"/>
      <c r="F90" s="16"/>
      <c r="G90" s="13">
        <v>1</v>
      </c>
      <c r="H90" s="18">
        <f t="shared" ref="H90:H101" si="76">E91</f>
        <v>11</v>
      </c>
      <c r="I90" s="18">
        <f t="shared" ref="I90:I101" si="77">H90+273.15</f>
        <v>284.15</v>
      </c>
      <c r="J90" s="18">
        <f t="shared" ref="J90:J101" si="78">EXP(($C$16*(I90-$C$14))/($C$17*I90*$C$14))</f>
        <v>0.0692638331246278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0.0197194132905815</v>
      </c>
      <c r="Q90" s="24">
        <f t="shared" ref="Q90:Q101" si="82">P90*$B$76</f>
        <v>0.0051270474555512</v>
      </c>
      <c r="R90" s="18">
        <f t="shared" ref="R90:R101" si="83">L90*$B$76</f>
        <v>0.074022</v>
      </c>
      <c r="S90" s="25">
        <f t="shared" ref="S90:S101" si="84">Q90/R90</f>
        <v>0.0692638331246278</v>
      </c>
      <c r="T90" s="3">
        <v>0.01</v>
      </c>
      <c r="U90" s="26">
        <f t="shared" ref="U90:U101" si="85">S90*T90</f>
        <v>0.000692638331246278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0.00618263833124628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9.47283439880646</v>
      </c>
      <c r="E91" s="20">
        <f t="shared" ref="E91:E102" si="95">D90</f>
        <v>11</v>
      </c>
      <c r="F91" s="16" t="s">
        <v>110</v>
      </c>
      <c r="G91" s="13">
        <v>2</v>
      </c>
      <c r="H91" s="18">
        <f t="shared" si="76"/>
        <v>9.47283439880646</v>
      </c>
      <c r="I91" s="18">
        <f t="shared" si="77"/>
        <v>282.622834398806</v>
      </c>
      <c r="J91" s="18">
        <f t="shared" si="78"/>
        <v>0.0575562631621848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0.549680586709418</v>
      </c>
      <c r="P91" s="18">
        <f t="shared" si="81"/>
        <v>0.0316375605037914</v>
      </c>
      <c r="Q91" s="24">
        <f t="shared" si="82"/>
        <v>0.00822576573098577</v>
      </c>
      <c r="R91" s="18">
        <f t="shared" si="83"/>
        <v>0.074022</v>
      </c>
      <c r="S91" s="25">
        <f t="shared" si="84"/>
        <v>0.111125958917427</v>
      </c>
      <c r="T91" s="3">
        <v>0.01</v>
      </c>
      <c r="U91" s="26">
        <f t="shared" si="85"/>
        <v>0.00111125958917427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0.00660125958917427</v>
      </c>
      <c r="AU91" s="29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9.67043829689655</v>
      </c>
      <c r="E92" s="20">
        <f t="shared" si="95"/>
        <v>9.47283439880646</v>
      </c>
      <c r="F92" s="16" t="s">
        <v>110</v>
      </c>
      <c r="G92" s="13">
        <v>3</v>
      </c>
      <c r="H92" s="18">
        <f t="shared" si="76"/>
        <v>9.67043829689655</v>
      </c>
      <c r="I92" s="18">
        <f t="shared" si="77"/>
        <v>282.820438296897</v>
      </c>
      <c r="J92" s="18">
        <f t="shared" si="78"/>
        <v>0.0589585060577422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0.802743026205627</v>
      </c>
      <c r="P92" s="18">
        <f t="shared" si="81"/>
        <v>0.0473285295733548</v>
      </c>
      <c r="Q92" s="24">
        <f t="shared" si="82"/>
        <v>0.0123054176890722</v>
      </c>
      <c r="R92" s="18">
        <f t="shared" si="83"/>
        <v>0.074022</v>
      </c>
      <c r="S92" s="25">
        <f t="shared" si="84"/>
        <v>0.16624000552636</v>
      </c>
      <c r="T92" s="3">
        <v>0.01</v>
      </c>
      <c r="U92" s="26">
        <f t="shared" si="85"/>
        <v>0.0016624000552636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0.0071524000552636</v>
      </c>
      <c r="AU92" s="29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9">
        <v>13.062188278129</v>
      </c>
      <c r="E93" s="20">
        <f t="shared" si="95"/>
        <v>9.67043829689655</v>
      </c>
      <c r="F93" s="16" t="s">
        <v>110</v>
      </c>
      <c r="G93" s="13">
        <v>4</v>
      </c>
      <c r="H93" s="18">
        <f t="shared" si="76"/>
        <v>13.062188278129</v>
      </c>
      <c r="I93" s="18">
        <f t="shared" si="77"/>
        <v>286.212188278129</v>
      </c>
      <c r="J93" s="18">
        <f t="shared" si="78"/>
        <v>0.0886606009033812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1.04011449663227</v>
      </c>
      <c r="P93" s="18">
        <f t="shared" si="81"/>
        <v>0.0922171762797351</v>
      </c>
      <c r="Q93" s="24">
        <f t="shared" si="82"/>
        <v>0.0239764658327311</v>
      </c>
      <c r="R93" s="18">
        <f t="shared" si="83"/>
        <v>0.074022</v>
      </c>
      <c r="S93" s="25">
        <f t="shared" si="84"/>
        <v>0.323909997470092</v>
      </c>
      <c r="T93" s="3">
        <v>0.01</v>
      </c>
      <c r="U93" s="26">
        <f t="shared" si="85"/>
        <v>0.00323909997470092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0.0131890999747009</v>
      </c>
      <c r="AU93" s="29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9">
        <v>20.0015519326667</v>
      </c>
      <c r="E94" s="20">
        <f t="shared" si="95"/>
        <v>13.062188278129</v>
      </c>
      <c r="F94" s="16" t="s">
        <v>110</v>
      </c>
      <c r="G94" s="13">
        <v>5</v>
      </c>
      <c r="H94" s="18">
        <f t="shared" si="76"/>
        <v>20.0015519326667</v>
      </c>
      <c r="I94" s="18">
        <f t="shared" si="77"/>
        <v>293.151551932667</v>
      </c>
      <c r="J94" s="18">
        <f t="shared" si="78"/>
        <v>0.198365396865639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0.90050245433491</v>
      </c>
      <c r="O94" s="18">
        <f t="shared" si="96"/>
        <v>0.332094866017627</v>
      </c>
      <c r="P94" s="18">
        <f t="shared" si="81"/>
        <v>0.0658761298946278</v>
      </c>
      <c r="Q94" s="24">
        <f t="shared" si="82"/>
        <v>0.0171277937726032</v>
      </c>
      <c r="R94" s="18">
        <f t="shared" si="83"/>
        <v>0.074022</v>
      </c>
      <c r="S94" s="25">
        <f t="shared" si="84"/>
        <v>0.231387881610916</v>
      </c>
      <c r="T94" s="3">
        <v>0.01</v>
      </c>
      <c r="U94" s="26">
        <f t="shared" si="85"/>
        <v>0.00231387881610916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0.0122638788161092</v>
      </c>
      <c r="AU94" s="29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9">
        <v>23.2605302348387</v>
      </c>
      <c r="E95" s="20">
        <f t="shared" si="95"/>
        <v>20.0015519326667</v>
      </c>
      <c r="F95" s="16" t="s">
        <v>112</v>
      </c>
      <c r="G95" s="13">
        <v>6</v>
      </c>
      <c r="H95" s="18">
        <f t="shared" si="76"/>
        <v>23.2605302348387</v>
      </c>
      <c r="I95" s="18">
        <f t="shared" si="77"/>
        <v>296.410530234839</v>
      </c>
      <c r="J95" s="18">
        <f t="shared" si="78"/>
        <v>0.285800635220699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0.550918736122999</v>
      </c>
      <c r="P95" s="18">
        <f t="shared" si="81"/>
        <v>0.157452924738938</v>
      </c>
      <c r="Q95" s="24">
        <f t="shared" si="82"/>
        <v>0.0409377604321238</v>
      </c>
      <c r="R95" s="18">
        <f t="shared" si="83"/>
        <v>0.074022</v>
      </c>
      <c r="S95" s="25">
        <f t="shared" si="84"/>
        <v>0.553048558970628</v>
      </c>
      <c r="T95" s="3">
        <v>0.01</v>
      </c>
      <c r="U95" s="26">
        <f t="shared" si="85"/>
        <v>0.00553048558970628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0.0154804855897063</v>
      </c>
      <c r="AU95" s="29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9">
        <v>26.273391103</v>
      </c>
      <c r="E96" s="20">
        <f t="shared" si="95"/>
        <v>23.2605302348387</v>
      </c>
      <c r="F96" s="16" t="s">
        <v>110</v>
      </c>
      <c r="G96" s="13">
        <v>7</v>
      </c>
      <c r="H96" s="18">
        <f t="shared" si="76"/>
        <v>26.273391103</v>
      </c>
      <c r="I96" s="18">
        <f t="shared" si="77"/>
        <v>299.423391103</v>
      </c>
      <c r="J96" s="18">
        <f t="shared" si="78"/>
        <v>0.397751720453283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0.678165811384061</v>
      </c>
      <c r="P96" s="18">
        <f t="shared" si="81"/>
        <v>0.269741618230607</v>
      </c>
      <c r="Q96" s="24">
        <f t="shared" si="82"/>
        <v>0.0701328207399578</v>
      </c>
      <c r="R96" s="18">
        <f t="shared" si="83"/>
        <v>0.074022</v>
      </c>
      <c r="S96" s="25">
        <f t="shared" si="84"/>
        <v>0.947459143767499</v>
      </c>
      <c r="T96" s="3">
        <v>0.01</v>
      </c>
      <c r="U96" s="26">
        <f t="shared" si="85"/>
        <v>0.00947459143767499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0.024374591437675</v>
      </c>
      <c r="AU96" s="29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9">
        <v>27.8020675309677</v>
      </c>
      <c r="E97" s="20">
        <f t="shared" si="95"/>
        <v>26.273391103</v>
      </c>
      <c r="F97" s="16" t="s">
        <v>110</v>
      </c>
      <c r="G97" s="13">
        <v>8</v>
      </c>
      <c r="H97" s="18">
        <f t="shared" si="76"/>
        <v>27.8020675309677</v>
      </c>
      <c r="I97" s="18">
        <f t="shared" si="77"/>
        <v>300.952067530968</v>
      </c>
      <c r="J97" s="18">
        <f t="shared" si="78"/>
        <v>0.469188449740751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0.693124193153454</v>
      </c>
      <c r="P97" s="18">
        <f t="shared" si="81"/>
        <v>0.325205865663478</v>
      </c>
      <c r="Q97" s="24">
        <f t="shared" si="82"/>
        <v>0.0845535250725043</v>
      </c>
      <c r="R97" s="18">
        <f t="shared" si="83"/>
        <v>0.074022</v>
      </c>
      <c r="S97" s="25">
        <f t="shared" si="84"/>
        <v>1.14227560823139</v>
      </c>
      <c r="T97" s="3">
        <v>0.01</v>
      </c>
      <c r="U97" s="26">
        <f t="shared" si="85"/>
        <v>0.0114227560823139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0.026322756082314</v>
      </c>
      <c r="AU97" s="29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9">
        <v>27.0788180474194</v>
      </c>
      <c r="E98" s="20">
        <f t="shared" si="95"/>
        <v>27.8020675309677</v>
      </c>
      <c r="F98" s="16" t="s">
        <v>110</v>
      </c>
      <c r="G98" s="13">
        <v>9</v>
      </c>
      <c r="H98" s="18">
        <f t="shared" si="76"/>
        <v>27.0788180474194</v>
      </c>
      <c r="I98" s="18">
        <f t="shared" si="77"/>
        <v>300.228818047419</v>
      </c>
      <c r="J98" s="18">
        <f t="shared" si="78"/>
        <v>0.434009148972527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0.652618327489976</v>
      </c>
      <c r="P98" s="18">
        <f t="shared" si="81"/>
        <v>0.283242324917799</v>
      </c>
      <c r="Q98" s="24">
        <f t="shared" si="82"/>
        <v>0.0736430044786276</v>
      </c>
      <c r="R98" s="18">
        <f t="shared" si="83"/>
        <v>0.074022</v>
      </c>
      <c r="S98" s="25">
        <f t="shared" si="84"/>
        <v>0.994879961074108</v>
      </c>
      <c r="T98" s="3">
        <v>0.01</v>
      </c>
      <c r="U98" s="26">
        <f t="shared" si="85"/>
        <v>0.00994879961074108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0.0198987996107411</v>
      </c>
      <c r="AU98" s="29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9">
        <v>24.7926749616667</v>
      </c>
      <c r="E99" s="20">
        <f t="shared" si="95"/>
        <v>27.0788180474194</v>
      </c>
      <c r="F99" s="16" t="s">
        <v>110</v>
      </c>
      <c r="G99" s="13">
        <v>10</v>
      </c>
      <c r="H99" s="18">
        <f t="shared" si="76"/>
        <v>24.7926749616667</v>
      </c>
      <c r="I99" s="18">
        <f t="shared" si="77"/>
        <v>297.942674961667</v>
      </c>
      <c r="J99" s="18">
        <f t="shared" si="78"/>
        <v>0.338396286809707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0.654076002572178</v>
      </c>
      <c r="P99" s="18">
        <f t="shared" si="81"/>
        <v>0.221336890561761</v>
      </c>
      <c r="Q99" s="24">
        <f t="shared" si="82"/>
        <v>0.057547591546058</v>
      </c>
      <c r="R99" s="18">
        <f t="shared" si="83"/>
        <v>0.074022</v>
      </c>
      <c r="S99" s="25">
        <f t="shared" si="84"/>
        <v>0.777439025506714</v>
      </c>
      <c r="T99" s="3">
        <v>0.01</v>
      </c>
      <c r="U99" s="26">
        <f t="shared" si="85"/>
        <v>0.00777439025506713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0.0177243902550671</v>
      </c>
      <c r="AU99" s="29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9">
        <v>22.7139036674193</v>
      </c>
      <c r="E100" s="20">
        <f t="shared" si="95"/>
        <v>24.7926749616667</v>
      </c>
      <c r="F100" s="16" t="s">
        <v>110</v>
      </c>
      <c r="G100" s="13">
        <v>11</v>
      </c>
      <c r="H100" s="18">
        <f t="shared" si="76"/>
        <v>22.7139036674193</v>
      </c>
      <c r="I100" s="18">
        <f t="shared" si="77"/>
        <v>295.863903667419</v>
      </c>
      <c r="J100" s="18">
        <f t="shared" si="78"/>
        <v>0.268971106718656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0.411102156409896</v>
      </c>
      <c r="O100" s="18">
        <f t="shared" si="96"/>
        <v>0.306336955600521</v>
      </c>
      <c r="P100" s="18">
        <f t="shared" si="81"/>
        <v>0.0823957899766959</v>
      </c>
      <c r="Q100" s="24">
        <f t="shared" si="82"/>
        <v>0.0214229053939409</v>
      </c>
      <c r="R100" s="18">
        <f t="shared" si="83"/>
        <v>0.074022</v>
      </c>
      <c r="S100" s="25">
        <f t="shared" si="84"/>
        <v>0.289412679932195</v>
      </c>
      <c r="T100" s="3">
        <v>0.01</v>
      </c>
      <c r="U100" s="26">
        <f t="shared" si="85"/>
        <v>0.00289412679932195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0.00838412679932195</v>
      </c>
      <c r="AU100" s="29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9">
        <v>16.2730822879333</v>
      </c>
      <c r="E101" s="20">
        <f t="shared" si="95"/>
        <v>22.7139036674193</v>
      </c>
      <c r="F101" s="16" t="s">
        <v>112</v>
      </c>
      <c r="G101" s="13">
        <v>12</v>
      </c>
      <c r="H101" s="18">
        <f t="shared" si="76"/>
        <v>16.2730822879333</v>
      </c>
      <c r="I101" s="18">
        <f t="shared" si="77"/>
        <v>289.423082287933</v>
      </c>
      <c r="J101" s="18">
        <f t="shared" si="78"/>
        <v>0.129312470485327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0.508641165623825</v>
      </c>
      <c r="P101" s="18">
        <f t="shared" si="81"/>
        <v>0.0657736457173532</v>
      </c>
      <c r="Q101" s="24">
        <f t="shared" si="82"/>
        <v>0.0171011478865118</v>
      </c>
      <c r="R101" s="18">
        <f t="shared" si="83"/>
        <v>0.074022</v>
      </c>
      <c r="S101" s="25">
        <f t="shared" si="84"/>
        <v>0.231027909087999</v>
      </c>
      <c r="T101" s="3">
        <v>0.01</v>
      </c>
      <c r="U101" s="26">
        <f t="shared" si="85"/>
        <v>0.00231027909087999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0.00780027909087999</v>
      </c>
      <c r="AU101" s="29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9">
        <v>12.701677168129</v>
      </c>
      <c r="E102" s="20">
        <f t="shared" si="95"/>
        <v>16.2730822879333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339.8262</v>
      </c>
      <c r="F2" s="3">
        <v>1069.523</v>
      </c>
      <c r="G2" s="7">
        <f>(F2+F3+F4)/3</f>
        <v>1305.751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167.415123287671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4110.84851774294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AV38+AV53+AY85+AY101+BB101+AG69</f>
        <v>120665247.158258</v>
      </c>
      <c r="J14" s="14" t="s">
        <v>35</v>
      </c>
      <c r="K14" s="14">
        <f>I14/(10000*1000)</f>
        <v>12.0665247158258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38">
        <v>67379325.4794521</v>
      </c>
      <c r="J15" s="14" t="s">
        <v>35</v>
      </c>
      <c r="K15" s="14">
        <f>I15/(10000*1000)</f>
        <v>6.73793254794521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1305.751</v>
      </c>
      <c r="C27" s="16" t="s">
        <v>109</v>
      </c>
      <c r="D27" s="17">
        <v>8</v>
      </c>
      <c r="E27" s="16"/>
      <c r="F27" s="16"/>
      <c r="G27" s="13">
        <v>1</v>
      </c>
      <c r="H27" s="18">
        <f t="shared" ref="H27:H38" si="0">E28</f>
        <v>8</v>
      </c>
      <c r="I27" s="18">
        <f t="shared" ref="I27:I38" si="1">H27+273.15</f>
        <v>281.15</v>
      </c>
      <c r="J27" s="18">
        <f t="shared" ref="J27:J38" si="2">EXP(($C$16*(I27-$C$14))/($C$17*I27*$C$14))</f>
        <v>0.0480520561620816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110</v>
      </c>
      <c r="N27" s="13"/>
      <c r="O27" s="18">
        <f>L27</f>
        <v>1.08812583333333</v>
      </c>
      <c r="P27" s="18">
        <f t="shared" ref="P27:P38" si="5">O27*J27</f>
        <v>0.0522866836547452</v>
      </c>
      <c r="Q27" s="24">
        <f t="shared" ref="Q27:Q38" si="6">P27*$B$29</f>
        <v>0.00627440203856942</v>
      </c>
      <c r="R27" s="18">
        <f t="shared" ref="R27:R38" si="7">L27*$B$29</f>
        <v>0.1305751</v>
      </c>
      <c r="S27" s="25">
        <f t="shared" ref="S27:S38" si="8">Q27/R27</f>
        <v>0.0480520561620816</v>
      </c>
      <c r="T27" s="3">
        <v>0.01</v>
      </c>
      <c r="U27" s="26">
        <f t="shared" ref="U27:U38" si="9">S27*T27</f>
        <v>0.000480520561620816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0.0223805205616208</v>
      </c>
      <c r="AR27" s="29">
        <f t="shared" ref="AR27:AR38" si="15">$B$27/12</f>
        <v>108.812583333333</v>
      </c>
      <c r="AS27" s="1">
        <f t="shared" ref="AS27:AS38" si="16">$B$29</f>
        <v>0.12</v>
      </c>
      <c r="AT27" s="2">
        <f>$E$2/12</f>
        <v>28.31885</v>
      </c>
      <c r="AU27" s="1">
        <f t="shared" ref="AU27:AU38" si="17">AT27*10000*AS27*0.67*AR27*AQ27</f>
        <v>55447.371964366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6.76357816603226</v>
      </c>
      <c r="E28" s="20">
        <f t="shared" ref="E28:E39" si="18">D27</f>
        <v>8</v>
      </c>
      <c r="F28" s="16" t="s">
        <v>110</v>
      </c>
      <c r="G28" s="13">
        <v>2</v>
      </c>
      <c r="H28" s="18">
        <f t="shared" si="0"/>
        <v>6.76357816603226</v>
      </c>
      <c r="I28" s="18">
        <f t="shared" si="1"/>
        <v>279.913578166032</v>
      </c>
      <c r="J28" s="18">
        <f t="shared" si="2"/>
        <v>0.0412359297128834</v>
      </c>
      <c r="K28" s="18">
        <f t="shared" si="3"/>
        <v>108.812583333333</v>
      </c>
      <c r="L28" s="18">
        <f t="shared" si="4"/>
        <v>1.08812583333333</v>
      </c>
      <c r="M28" s="13" t="s">
        <v>110</v>
      </c>
      <c r="N28" s="13"/>
      <c r="O28" s="18">
        <f t="shared" ref="O28:O38" si="19">L28+O27-P27-N28</f>
        <v>2.12396498301192</v>
      </c>
      <c r="P28" s="18">
        <f t="shared" si="5"/>
        <v>0.0875836707521052</v>
      </c>
      <c r="Q28" s="24">
        <f t="shared" si="6"/>
        <v>0.0105100404902526</v>
      </c>
      <c r="R28" s="18">
        <f t="shared" si="7"/>
        <v>0.1305751</v>
      </c>
      <c r="S28" s="25">
        <f t="shared" si="8"/>
        <v>0.0804903882153077</v>
      </c>
      <c r="T28" s="3">
        <v>0.01</v>
      </c>
      <c r="U28" s="26">
        <f t="shared" si="9"/>
        <v>0.000804903882153077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0.0227049038821531</v>
      </c>
      <c r="AR28" s="29">
        <f t="shared" si="15"/>
        <v>108.812583333333</v>
      </c>
      <c r="AS28" s="1">
        <f t="shared" si="16"/>
        <v>0.12</v>
      </c>
      <c r="AT28" s="2">
        <f t="shared" ref="AT28:AT38" si="20">$E$2/12</f>
        <v>28.31885</v>
      </c>
      <c r="AU28" s="1">
        <f t="shared" si="17"/>
        <v>56251.0263111479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9.01173954344828</v>
      </c>
      <c r="E29" s="20">
        <f t="shared" si="18"/>
        <v>6.76357816603226</v>
      </c>
      <c r="F29" s="16" t="s">
        <v>110</v>
      </c>
      <c r="G29" s="13">
        <v>3</v>
      </c>
      <c r="H29" s="18">
        <f t="shared" si="0"/>
        <v>9.01173954344828</v>
      </c>
      <c r="I29" s="18">
        <f t="shared" si="1"/>
        <v>282.161739543448</v>
      </c>
      <c r="J29" s="18">
        <f t="shared" si="2"/>
        <v>0.0544054297599797</v>
      </c>
      <c r="K29" s="18">
        <f t="shared" si="3"/>
        <v>108.812583333333</v>
      </c>
      <c r="L29" s="18">
        <f t="shared" si="4"/>
        <v>1.08812583333333</v>
      </c>
      <c r="M29" s="13" t="s">
        <v>110</v>
      </c>
      <c r="N29" s="13"/>
      <c r="O29" s="18">
        <f t="shared" si="19"/>
        <v>3.12450714559315</v>
      </c>
      <c r="P29" s="18">
        <f t="shared" si="5"/>
        <v>0.169990154044123</v>
      </c>
      <c r="Q29" s="24">
        <f t="shared" si="6"/>
        <v>0.0203988184852947</v>
      </c>
      <c r="R29" s="18">
        <f t="shared" si="7"/>
        <v>0.1305751</v>
      </c>
      <c r="S29" s="25">
        <f t="shared" si="8"/>
        <v>0.156222882351189</v>
      </c>
      <c r="T29" s="3">
        <v>0.01</v>
      </c>
      <c r="U29" s="26">
        <f t="shared" si="9"/>
        <v>0.00156222882351189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0.0234622288235119</v>
      </c>
      <c r="AR29" s="29">
        <f t="shared" si="15"/>
        <v>108.812583333333</v>
      </c>
      <c r="AS29" s="1">
        <f t="shared" si="16"/>
        <v>0.12</v>
      </c>
      <c r="AT29" s="2">
        <f t="shared" si="20"/>
        <v>28.31885</v>
      </c>
      <c r="AU29" s="1">
        <f t="shared" si="17"/>
        <v>58127.2864100047</v>
      </c>
    </row>
    <row r="30" s="1" customFormat="1" spans="1:47">
      <c r="A30" s="13"/>
      <c r="B30" s="13"/>
      <c r="C30" s="16">
        <v>3</v>
      </c>
      <c r="D30" s="19">
        <v>13.2569875770323</v>
      </c>
      <c r="E30" s="20">
        <f t="shared" si="18"/>
        <v>9.01173954344828</v>
      </c>
      <c r="F30" s="16" t="s">
        <v>110</v>
      </c>
      <c r="G30" s="13">
        <v>4</v>
      </c>
      <c r="H30" s="18">
        <f t="shared" si="0"/>
        <v>13.2569875770323</v>
      </c>
      <c r="I30" s="18">
        <f t="shared" si="1"/>
        <v>286.406987577032</v>
      </c>
      <c r="J30" s="18">
        <f t="shared" si="2"/>
        <v>0.0907359740668852</v>
      </c>
      <c r="K30" s="18">
        <f t="shared" si="3"/>
        <v>108.812583333333</v>
      </c>
      <c r="L30" s="18">
        <f t="shared" si="4"/>
        <v>1.08812583333333</v>
      </c>
      <c r="M30" s="13" t="s">
        <v>110</v>
      </c>
      <c r="N30" s="13"/>
      <c r="O30" s="18">
        <f t="shared" si="19"/>
        <v>4.04264282488236</v>
      </c>
      <c r="P30" s="18">
        <f t="shared" si="5"/>
        <v>0.366813134520205</v>
      </c>
      <c r="Q30" s="24">
        <f t="shared" si="6"/>
        <v>0.0440175761424247</v>
      </c>
      <c r="R30" s="18">
        <f t="shared" si="7"/>
        <v>0.1305751</v>
      </c>
      <c r="S30" s="25">
        <f t="shared" si="8"/>
        <v>0.337105436966348</v>
      </c>
      <c r="T30" s="3">
        <v>0.01</v>
      </c>
      <c r="U30" s="26">
        <f t="shared" si="9"/>
        <v>0.00337105436966348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0.0328210543696635</v>
      </c>
      <c r="AR30" s="29">
        <f t="shared" si="15"/>
        <v>108.812583333333</v>
      </c>
      <c r="AS30" s="1">
        <f t="shared" si="16"/>
        <v>0.12</v>
      </c>
      <c r="AT30" s="2">
        <f t="shared" si="20"/>
        <v>28.31885</v>
      </c>
      <c r="AU30" s="1">
        <f t="shared" si="17"/>
        <v>81313.6229287785</v>
      </c>
    </row>
    <row r="31" s="1" customFormat="1" spans="1:47">
      <c r="A31" s="13"/>
      <c r="B31" s="13"/>
      <c r="C31" s="16">
        <v>4</v>
      </c>
      <c r="D31" s="19">
        <v>19.8627960713333</v>
      </c>
      <c r="E31" s="20">
        <f t="shared" si="18"/>
        <v>13.2569875770323</v>
      </c>
      <c r="F31" s="16" t="s">
        <v>110</v>
      </c>
      <c r="G31" s="13">
        <v>5</v>
      </c>
      <c r="H31" s="18">
        <f t="shared" si="0"/>
        <v>19.8627960713333</v>
      </c>
      <c r="I31" s="18">
        <f t="shared" si="1"/>
        <v>293.012796071333</v>
      </c>
      <c r="J31" s="18">
        <f t="shared" si="2"/>
        <v>0.195269807816679</v>
      </c>
      <c r="K31" s="18">
        <f t="shared" si="3"/>
        <v>108.812583333333</v>
      </c>
      <c r="L31" s="18">
        <f t="shared" si="4"/>
        <v>1.08812583333333</v>
      </c>
      <c r="M31" s="13" t="s">
        <v>112</v>
      </c>
      <c r="N31" s="18">
        <f>(O30-P30)*C22/100</f>
        <v>3.49203820584405</v>
      </c>
      <c r="O31" s="18">
        <f t="shared" si="19"/>
        <v>1.27191731785144</v>
      </c>
      <c r="P31" s="18">
        <f t="shared" si="5"/>
        <v>0.248367050215557</v>
      </c>
      <c r="Q31" s="24">
        <f t="shared" si="6"/>
        <v>0.0298040460258668</v>
      </c>
      <c r="R31" s="18">
        <f t="shared" si="7"/>
        <v>0.1305751</v>
      </c>
      <c r="S31" s="25">
        <f t="shared" si="8"/>
        <v>0.228252140154339</v>
      </c>
      <c r="T31" s="3">
        <v>0.01</v>
      </c>
      <c r="U31" s="26">
        <f t="shared" si="9"/>
        <v>0.00228252140154339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0.0317325214015434</v>
      </c>
      <c r="AR31" s="29">
        <f t="shared" si="15"/>
        <v>108.812583333333</v>
      </c>
      <c r="AS31" s="1">
        <f t="shared" si="16"/>
        <v>0.12</v>
      </c>
      <c r="AT31" s="2">
        <f t="shared" si="20"/>
        <v>28.31885</v>
      </c>
      <c r="AU31" s="1">
        <f t="shared" si="17"/>
        <v>78616.8003855919</v>
      </c>
    </row>
    <row r="32" s="1" customFormat="1" spans="1:47">
      <c r="A32" s="13"/>
      <c r="B32" s="13"/>
      <c r="C32" s="16">
        <v>5</v>
      </c>
      <c r="D32" s="19">
        <v>22.7101877435484</v>
      </c>
      <c r="E32" s="20">
        <f t="shared" si="18"/>
        <v>19.8627960713333</v>
      </c>
      <c r="F32" s="16" t="s">
        <v>112</v>
      </c>
      <c r="G32" s="13">
        <v>6</v>
      </c>
      <c r="H32" s="18">
        <f t="shared" si="0"/>
        <v>22.7101877435484</v>
      </c>
      <c r="I32" s="18">
        <f t="shared" si="1"/>
        <v>295.860187743548</v>
      </c>
      <c r="J32" s="18">
        <f t="shared" si="2"/>
        <v>0.268859954038521</v>
      </c>
      <c r="K32" s="18">
        <f t="shared" si="3"/>
        <v>108.812583333333</v>
      </c>
      <c r="L32" s="18">
        <f t="shared" si="4"/>
        <v>1.08812583333333</v>
      </c>
      <c r="M32" s="13" t="s">
        <v>110</v>
      </c>
      <c r="N32" s="13"/>
      <c r="O32" s="18">
        <f t="shared" si="19"/>
        <v>2.11167610096922</v>
      </c>
      <c r="P32" s="18">
        <f t="shared" si="5"/>
        <v>0.567745139450827</v>
      </c>
      <c r="Q32" s="24">
        <f t="shared" si="6"/>
        <v>0.0681294167340993</v>
      </c>
      <c r="R32" s="18">
        <f t="shared" si="7"/>
        <v>0.1305751</v>
      </c>
      <c r="S32" s="25">
        <f t="shared" si="8"/>
        <v>0.521764231726411</v>
      </c>
      <c r="T32" s="3">
        <v>0.01</v>
      </c>
      <c r="U32" s="26">
        <f t="shared" si="9"/>
        <v>0.00521764231726411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0.0346676423172641</v>
      </c>
      <c r="AR32" s="29">
        <f t="shared" si="15"/>
        <v>108.812583333333</v>
      </c>
      <c r="AS32" s="1">
        <f t="shared" si="16"/>
        <v>0.12</v>
      </c>
      <c r="AT32" s="2">
        <f t="shared" si="20"/>
        <v>28.31885</v>
      </c>
      <c r="AU32" s="1">
        <f t="shared" si="17"/>
        <v>85888.5142282735</v>
      </c>
    </row>
    <row r="33" s="1" customFormat="1" spans="1:47">
      <c r="A33" s="13"/>
      <c r="B33" s="13"/>
      <c r="C33" s="16">
        <v>6</v>
      </c>
      <c r="D33" s="19">
        <v>26.814402464</v>
      </c>
      <c r="E33" s="20">
        <f t="shared" si="18"/>
        <v>22.7101877435484</v>
      </c>
      <c r="F33" s="16" t="s">
        <v>110</v>
      </c>
      <c r="G33" s="13">
        <v>7</v>
      </c>
      <c r="H33" s="18">
        <f t="shared" si="0"/>
        <v>26.814402464</v>
      </c>
      <c r="I33" s="18">
        <f t="shared" si="1"/>
        <v>299.964402464</v>
      </c>
      <c r="J33" s="18">
        <f t="shared" si="2"/>
        <v>0.421777454412999</v>
      </c>
      <c r="K33" s="18">
        <f t="shared" si="3"/>
        <v>108.812583333333</v>
      </c>
      <c r="L33" s="18">
        <f t="shared" si="4"/>
        <v>1.08812583333333</v>
      </c>
      <c r="M33" s="13" t="s">
        <v>110</v>
      </c>
      <c r="N33" s="13"/>
      <c r="O33" s="18">
        <f t="shared" si="19"/>
        <v>2.63205679485172</v>
      </c>
      <c r="P33" s="18">
        <f t="shared" si="5"/>
        <v>1.110142214803</v>
      </c>
      <c r="Q33" s="24">
        <f t="shared" si="6"/>
        <v>0.13321706577636</v>
      </c>
      <c r="R33" s="18">
        <f t="shared" si="7"/>
        <v>0.1305751</v>
      </c>
      <c r="S33" s="25">
        <f t="shared" si="8"/>
        <v>1.02023330463741</v>
      </c>
      <c r="T33" s="3">
        <v>0.01</v>
      </c>
      <c r="U33" s="26">
        <f t="shared" si="9"/>
        <v>0.0102023330463741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0.0451023330463741</v>
      </c>
      <c r="AR33" s="29">
        <f t="shared" si="15"/>
        <v>108.812583333333</v>
      </c>
      <c r="AS33" s="1">
        <f t="shared" si="16"/>
        <v>0.12</v>
      </c>
      <c r="AT33" s="2">
        <f t="shared" si="20"/>
        <v>28.31885</v>
      </c>
      <c r="AU33" s="1">
        <f t="shared" si="17"/>
        <v>111740.289060636</v>
      </c>
    </row>
    <row r="34" s="1" customFormat="1" spans="1:47">
      <c r="A34" s="13"/>
      <c r="B34" s="13"/>
      <c r="C34" s="16">
        <v>7</v>
      </c>
      <c r="D34" s="19">
        <v>29.3605978441935</v>
      </c>
      <c r="E34" s="20">
        <f t="shared" si="18"/>
        <v>26.814402464</v>
      </c>
      <c r="F34" s="16" t="s">
        <v>110</v>
      </c>
      <c r="G34" s="13">
        <v>8</v>
      </c>
      <c r="H34" s="18">
        <f t="shared" si="0"/>
        <v>29.3605978441935</v>
      </c>
      <c r="I34" s="18">
        <f t="shared" si="1"/>
        <v>302.510597844193</v>
      </c>
      <c r="J34" s="18">
        <f t="shared" si="2"/>
        <v>0.554290093692828</v>
      </c>
      <c r="K34" s="18">
        <f t="shared" si="3"/>
        <v>108.812583333333</v>
      </c>
      <c r="L34" s="18">
        <f t="shared" si="4"/>
        <v>1.08812583333333</v>
      </c>
      <c r="M34" s="13" t="s">
        <v>110</v>
      </c>
      <c r="N34" s="13"/>
      <c r="O34" s="18">
        <f t="shared" si="19"/>
        <v>2.61004041338206</v>
      </c>
      <c r="P34" s="18">
        <f t="shared" si="5"/>
        <v>1.44671954527561</v>
      </c>
      <c r="Q34" s="24">
        <f t="shared" si="6"/>
        <v>0.173606345433073</v>
      </c>
      <c r="R34" s="18">
        <f t="shared" si="7"/>
        <v>0.1305751</v>
      </c>
      <c r="S34" s="25">
        <f t="shared" si="8"/>
        <v>1.32955169425927</v>
      </c>
      <c r="T34" s="3">
        <v>0.01</v>
      </c>
      <c r="U34" s="26">
        <f t="shared" si="9"/>
        <v>0.0132955169425927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0.0481955169425927</v>
      </c>
      <c r="AR34" s="29">
        <f t="shared" si="15"/>
        <v>108.812583333333</v>
      </c>
      <c r="AS34" s="1">
        <f t="shared" si="16"/>
        <v>0.12</v>
      </c>
      <c r="AT34" s="2">
        <f t="shared" si="20"/>
        <v>28.31885</v>
      </c>
      <c r="AU34" s="1">
        <f t="shared" si="17"/>
        <v>119403.60134042</v>
      </c>
    </row>
    <row r="35" s="1" customFormat="1" spans="1:47">
      <c r="A35" s="13"/>
      <c r="B35" s="13"/>
      <c r="C35" s="16">
        <v>8</v>
      </c>
      <c r="D35" s="19">
        <v>28.9389991035484</v>
      </c>
      <c r="E35" s="20">
        <f t="shared" si="18"/>
        <v>29.3605978441935</v>
      </c>
      <c r="F35" s="16" t="s">
        <v>110</v>
      </c>
      <c r="G35" s="13">
        <v>9</v>
      </c>
      <c r="H35" s="18">
        <f t="shared" si="0"/>
        <v>28.9389991035484</v>
      </c>
      <c r="I35" s="18">
        <f t="shared" si="1"/>
        <v>302.088999103548</v>
      </c>
      <c r="J35" s="18">
        <f t="shared" si="2"/>
        <v>0.529942337455677</v>
      </c>
      <c r="K35" s="18">
        <f t="shared" si="3"/>
        <v>108.812583333333</v>
      </c>
      <c r="L35" s="18">
        <f t="shared" si="4"/>
        <v>1.08812583333333</v>
      </c>
      <c r="M35" s="13" t="s">
        <v>110</v>
      </c>
      <c r="N35" s="13"/>
      <c r="O35" s="18">
        <f t="shared" si="19"/>
        <v>2.25144670143978</v>
      </c>
      <c r="P35" s="18">
        <f t="shared" si="5"/>
        <v>1.19313692761787</v>
      </c>
      <c r="Q35" s="24">
        <f t="shared" si="6"/>
        <v>0.143176431314145</v>
      </c>
      <c r="R35" s="18">
        <f t="shared" si="7"/>
        <v>0.1305751</v>
      </c>
      <c r="S35" s="25">
        <f t="shared" si="8"/>
        <v>1.09650638838603</v>
      </c>
      <c r="T35" s="3">
        <v>0.01</v>
      </c>
      <c r="U35" s="26">
        <f t="shared" si="9"/>
        <v>0.0109650638838603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0.0404150638838603</v>
      </c>
      <c r="AR35" s="29">
        <f t="shared" si="15"/>
        <v>108.812583333333</v>
      </c>
      <c r="AS35" s="1">
        <f t="shared" si="16"/>
        <v>0.12</v>
      </c>
      <c r="AT35" s="2">
        <f t="shared" si="20"/>
        <v>28.31885</v>
      </c>
      <c r="AU35" s="1">
        <f t="shared" si="17"/>
        <v>100127.656725502</v>
      </c>
    </row>
    <row r="36" s="1" customFormat="1" spans="1:47">
      <c r="A36" s="13"/>
      <c r="B36" s="13"/>
      <c r="C36" s="16">
        <v>9</v>
      </c>
      <c r="D36" s="19">
        <v>24.9196151313333</v>
      </c>
      <c r="E36" s="20">
        <f t="shared" si="18"/>
        <v>28.9389991035484</v>
      </c>
      <c r="F36" s="16" t="s">
        <v>110</v>
      </c>
      <c r="G36" s="13">
        <v>10</v>
      </c>
      <c r="H36" s="18">
        <f t="shared" si="0"/>
        <v>24.9196151313333</v>
      </c>
      <c r="I36" s="18">
        <f t="shared" si="1"/>
        <v>298.069615131333</v>
      </c>
      <c r="J36" s="18">
        <f t="shared" si="2"/>
        <v>0.343138877915997</v>
      </c>
      <c r="K36" s="18">
        <f t="shared" si="3"/>
        <v>108.812583333333</v>
      </c>
      <c r="L36" s="18">
        <f t="shared" si="4"/>
        <v>1.08812583333333</v>
      </c>
      <c r="M36" s="13" t="s">
        <v>110</v>
      </c>
      <c r="N36" s="13"/>
      <c r="O36" s="18">
        <f t="shared" si="19"/>
        <v>2.14643560715524</v>
      </c>
      <c r="P36" s="18">
        <f t="shared" si="5"/>
        <v>0.736525505758192</v>
      </c>
      <c r="Q36" s="24">
        <f t="shared" si="6"/>
        <v>0.0883830606909831</v>
      </c>
      <c r="R36" s="18">
        <f t="shared" si="7"/>
        <v>0.1305751</v>
      </c>
      <c r="S36" s="25">
        <f t="shared" si="8"/>
        <v>0.676875305406491</v>
      </c>
      <c r="T36" s="3">
        <v>0.01</v>
      </c>
      <c r="U36" s="26">
        <f t="shared" si="9"/>
        <v>0.00676875305406491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0.0362187530540649</v>
      </c>
      <c r="AR36" s="29">
        <f t="shared" si="15"/>
        <v>108.812583333333</v>
      </c>
      <c r="AS36" s="1">
        <f t="shared" si="16"/>
        <v>0.12</v>
      </c>
      <c r="AT36" s="2">
        <f t="shared" si="20"/>
        <v>28.31885</v>
      </c>
      <c r="AU36" s="1">
        <f t="shared" si="17"/>
        <v>89731.3655929018</v>
      </c>
    </row>
    <row r="37" s="1" customFormat="1" spans="1:47">
      <c r="A37" s="13"/>
      <c r="B37" s="13"/>
      <c r="C37" s="16">
        <v>10</v>
      </c>
      <c r="D37" s="19">
        <v>21.0925782148387</v>
      </c>
      <c r="E37" s="20">
        <f t="shared" si="18"/>
        <v>24.9196151313333</v>
      </c>
      <c r="F37" s="16" t="s">
        <v>110</v>
      </c>
      <c r="G37" s="13">
        <v>11</v>
      </c>
      <c r="H37" s="18">
        <f t="shared" si="0"/>
        <v>21.0925782148387</v>
      </c>
      <c r="I37" s="18">
        <f t="shared" si="1"/>
        <v>294.242578214839</v>
      </c>
      <c r="J37" s="18">
        <f t="shared" si="2"/>
        <v>0.224363187774044</v>
      </c>
      <c r="K37" s="18">
        <f t="shared" si="3"/>
        <v>108.812583333333</v>
      </c>
      <c r="L37" s="18">
        <f t="shared" si="4"/>
        <v>1.08812583333333</v>
      </c>
      <c r="M37" s="13" t="s">
        <v>112</v>
      </c>
      <c r="N37" s="18">
        <f>(O36-P36)*C22/100</f>
        <v>1.3394145963272</v>
      </c>
      <c r="O37" s="18">
        <f t="shared" si="19"/>
        <v>1.15862133840319</v>
      </c>
      <c r="P37" s="18">
        <f t="shared" si="5"/>
        <v>0.259951976907168</v>
      </c>
      <c r="Q37" s="24">
        <f t="shared" si="6"/>
        <v>0.0311942372288602</v>
      </c>
      <c r="R37" s="18">
        <f t="shared" si="7"/>
        <v>0.1305751</v>
      </c>
      <c r="S37" s="25">
        <f t="shared" si="8"/>
        <v>0.238898819368013</v>
      </c>
      <c r="T37" s="3">
        <v>0.01</v>
      </c>
      <c r="U37" s="26">
        <f t="shared" si="9"/>
        <v>0.00238898819368013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0.0242889881936801</v>
      </c>
      <c r="AR37" s="29">
        <f t="shared" si="15"/>
        <v>108.812583333333</v>
      </c>
      <c r="AS37" s="1">
        <f t="shared" si="16"/>
        <v>0.12</v>
      </c>
      <c r="AT37" s="2">
        <f t="shared" si="20"/>
        <v>28.31885</v>
      </c>
      <c r="AU37" s="1">
        <f t="shared" si="17"/>
        <v>60175.5691653823</v>
      </c>
    </row>
    <row r="38" s="1" customFormat="1" spans="1:48">
      <c r="A38" s="13"/>
      <c r="B38" s="13"/>
      <c r="C38" s="16">
        <v>11</v>
      </c>
      <c r="D38" s="19">
        <v>13.9658757627</v>
      </c>
      <c r="E38" s="20">
        <f t="shared" si="18"/>
        <v>21.0925782148387</v>
      </c>
      <c r="F38" s="16" t="s">
        <v>112</v>
      </c>
      <c r="G38" s="13">
        <v>12</v>
      </c>
      <c r="H38" s="18">
        <f t="shared" si="0"/>
        <v>13.9658757627</v>
      </c>
      <c r="I38" s="18">
        <f t="shared" si="1"/>
        <v>287.1158757627</v>
      </c>
      <c r="J38" s="18">
        <f t="shared" si="2"/>
        <v>0.098680835587392</v>
      </c>
      <c r="K38" s="18">
        <f t="shared" si="3"/>
        <v>108.812583333333</v>
      </c>
      <c r="L38" s="18">
        <f t="shared" si="4"/>
        <v>1.08812583333333</v>
      </c>
      <c r="M38" s="13" t="s">
        <v>110</v>
      </c>
      <c r="N38" s="13"/>
      <c r="O38" s="18">
        <f t="shared" si="19"/>
        <v>1.98679519482935</v>
      </c>
      <c r="P38" s="18">
        <f t="shared" si="5"/>
        <v>0.196058609966776</v>
      </c>
      <c r="Q38" s="24">
        <f t="shared" si="6"/>
        <v>0.0235270331960131</v>
      </c>
      <c r="R38" s="18">
        <f t="shared" si="7"/>
        <v>0.1305751</v>
      </c>
      <c r="S38" s="25">
        <f t="shared" si="8"/>
        <v>0.180180089435222</v>
      </c>
      <c r="T38" s="3">
        <v>0.01</v>
      </c>
      <c r="U38" s="26">
        <f t="shared" si="9"/>
        <v>0.00180180089435222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0.0237018008943522</v>
      </c>
      <c r="AR38" s="29">
        <f t="shared" si="15"/>
        <v>108.812583333333</v>
      </c>
      <c r="AS38" s="1">
        <f t="shared" si="16"/>
        <v>0.12</v>
      </c>
      <c r="AT38" s="2">
        <f t="shared" si="20"/>
        <v>28.31885</v>
      </c>
      <c r="AU38" s="1">
        <f t="shared" si="17"/>
        <v>58720.8222791809</v>
      </c>
      <c r="AV38" s="1">
        <f>SUM(AU27:AU38)</f>
        <v>955543.926392185</v>
      </c>
    </row>
    <row r="39" s="1" customFormat="1" spans="1:46">
      <c r="A39" s="13"/>
      <c r="B39" s="13"/>
      <c r="C39" s="16">
        <v>12</v>
      </c>
      <c r="D39" s="19">
        <v>10.1802794143226</v>
      </c>
      <c r="E39" s="20">
        <f t="shared" si="18"/>
        <v>13.9658757627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8</v>
      </c>
      <c r="E42" s="16"/>
      <c r="F42" s="16"/>
      <c r="G42" s="13">
        <v>1</v>
      </c>
      <c r="H42" s="18">
        <f t="shared" ref="H42:H53" si="21">E43</f>
        <v>8</v>
      </c>
      <c r="I42" s="18">
        <f t="shared" ref="I42:I53" si="22">H42+273.15</f>
        <v>281.15</v>
      </c>
      <c r="J42" s="18">
        <f t="shared" ref="J42:J53" si="23">EXP(($C$16*(I42-$C$14))/($C$17*I42*$C$14))</f>
        <v>0.0480520561620816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0.00370438306376004</v>
      </c>
      <c r="Q42" s="24">
        <f t="shared" ref="Q42:Q53" si="27">P42*$B$44</f>
        <v>0.000481569798288805</v>
      </c>
      <c r="R42" s="18">
        <f t="shared" ref="R42:R53" si="28">L42*$B$44</f>
        <v>0.0100218354166667</v>
      </c>
      <c r="S42" s="25">
        <f t="shared" ref="S42:S53" si="29">Q42/R42</f>
        <v>0.0480520561620816</v>
      </c>
      <c r="T42" s="3">
        <v>0.01</v>
      </c>
      <c r="U42" s="26">
        <f t="shared" ref="U42:U53" si="30">S42*T42</f>
        <v>0.000480520561620816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0.0152805205616208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13.9512602739726</v>
      </c>
      <c r="AU42" s="1">
        <f t="shared" ref="AU42:AU53" si="37">AT42*10000*AS42*0.67*AR42*AQ42</f>
        <v>1431.44168301866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6.76357816603226</v>
      </c>
      <c r="E43" s="20">
        <f t="shared" ref="E43:E54" si="38">D42</f>
        <v>8</v>
      </c>
      <c r="F43" s="16" t="s">
        <v>110</v>
      </c>
      <c r="G43" s="13">
        <v>2</v>
      </c>
      <c r="H43" s="18">
        <f t="shared" si="21"/>
        <v>6.76357816603226</v>
      </c>
      <c r="I43" s="18">
        <f t="shared" si="22"/>
        <v>279.913578166032</v>
      </c>
      <c r="J43" s="18">
        <f t="shared" si="23"/>
        <v>0.0412359297128834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0.150477700269573</v>
      </c>
      <c r="P43" s="18">
        <f t="shared" si="26"/>
        <v>0.00620508787167246</v>
      </c>
      <c r="Q43" s="24">
        <f t="shared" si="27"/>
        <v>0.00080666142331742</v>
      </c>
      <c r="R43" s="18">
        <f t="shared" si="28"/>
        <v>0.0100218354166667</v>
      </c>
      <c r="S43" s="25">
        <f t="shared" si="29"/>
        <v>0.0804903882153077</v>
      </c>
      <c r="T43" s="3">
        <v>0.01</v>
      </c>
      <c r="U43" s="26">
        <f t="shared" si="30"/>
        <v>0.000804903882153077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0.0156049038821531</v>
      </c>
      <c r="AR43" s="29">
        <f t="shared" si="34"/>
        <v>7.70910416666667</v>
      </c>
      <c r="AS43" s="1">
        <f t="shared" si="35"/>
        <v>0.13</v>
      </c>
      <c r="AT43" s="2">
        <f t="shared" si="36"/>
        <v>13.9512602739726</v>
      </c>
      <c r="AU43" s="1">
        <f t="shared" si="37"/>
        <v>1461.8291167722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9.01173954344828</v>
      </c>
      <c r="E44" s="20">
        <f t="shared" si="38"/>
        <v>6.76357816603226</v>
      </c>
      <c r="F44" s="16" t="s">
        <v>110</v>
      </c>
      <c r="G44" s="13">
        <v>3</v>
      </c>
      <c r="H44" s="18">
        <f t="shared" si="21"/>
        <v>9.01173954344828</v>
      </c>
      <c r="I44" s="18">
        <f t="shared" si="22"/>
        <v>282.161739543448</v>
      </c>
      <c r="J44" s="18">
        <f t="shared" si="23"/>
        <v>0.0544054297599797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0.221363654064568</v>
      </c>
      <c r="P44" s="18">
        <f t="shared" si="26"/>
        <v>0.0120433847326223</v>
      </c>
      <c r="Q44" s="24">
        <f t="shared" si="27"/>
        <v>0.0015656400152409</v>
      </c>
      <c r="R44" s="18">
        <f t="shared" si="28"/>
        <v>0.0100218354166667</v>
      </c>
      <c r="S44" s="25">
        <f t="shared" si="29"/>
        <v>0.156222882351189</v>
      </c>
      <c r="T44" s="3">
        <v>0.01</v>
      </c>
      <c r="U44" s="26">
        <f t="shared" si="30"/>
        <v>0.00156222882351189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0.0163622288235119</v>
      </c>
      <c r="AR44" s="29">
        <f t="shared" si="34"/>
        <v>7.70910416666667</v>
      </c>
      <c r="AS44" s="1">
        <f t="shared" si="35"/>
        <v>0.13</v>
      </c>
      <c r="AT44" s="2">
        <f t="shared" si="36"/>
        <v>13.9512602739726</v>
      </c>
      <c r="AU44" s="1">
        <f t="shared" si="37"/>
        <v>1532.77345955679</v>
      </c>
    </row>
    <row r="45" s="1" customFormat="1" spans="1:47">
      <c r="A45" s="13"/>
      <c r="B45" s="13"/>
      <c r="C45" s="16">
        <v>3</v>
      </c>
      <c r="D45" s="19">
        <v>13.2569875770323</v>
      </c>
      <c r="E45" s="20">
        <f t="shared" si="38"/>
        <v>9.01173954344828</v>
      </c>
      <c r="F45" s="16" t="s">
        <v>110</v>
      </c>
      <c r="G45" s="13">
        <v>4</v>
      </c>
      <c r="H45" s="18">
        <f t="shared" si="21"/>
        <v>13.2569875770323</v>
      </c>
      <c r="I45" s="18">
        <f t="shared" si="22"/>
        <v>286.406987577032</v>
      </c>
      <c r="J45" s="18">
        <f t="shared" si="23"/>
        <v>0.0907359740668852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0.286411310998612</v>
      </c>
      <c r="P45" s="18">
        <f t="shared" si="26"/>
        <v>0.0259878092872326</v>
      </c>
      <c r="Q45" s="24">
        <f t="shared" si="27"/>
        <v>0.00337841520734024</v>
      </c>
      <c r="R45" s="18">
        <f t="shared" si="28"/>
        <v>0.0100218354166667</v>
      </c>
      <c r="S45" s="25">
        <f t="shared" si="29"/>
        <v>0.337105436966348</v>
      </c>
      <c r="T45" s="3">
        <v>0.01</v>
      </c>
      <c r="U45" s="26">
        <f t="shared" si="30"/>
        <v>0.00337105436966348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0.0304710543696635</v>
      </c>
      <c r="AR45" s="29">
        <f t="shared" si="34"/>
        <v>7.70910416666667</v>
      </c>
      <c r="AS45" s="1">
        <f t="shared" si="35"/>
        <v>0.13</v>
      </c>
      <c r="AT45" s="2">
        <f t="shared" si="36"/>
        <v>13.9512602739726</v>
      </c>
      <c r="AU45" s="1">
        <f t="shared" si="37"/>
        <v>2854.45362770008</v>
      </c>
    </row>
    <row r="46" s="1" customFormat="1" spans="1:47">
      <c r="A46" s="13"/>
      <c r="B46" s="13"/>
      <c r="C46" s="16">
        <v>4</v>
      </c>
      <c r="D46" s="19">
        <v>19.8627960713333</v>
      </c>
      <c r="E46" s="20">
        <f t="shared" si="38"/>
        <v>13.2569875770323</v>
      </c>
      <c r="F46" s="16" t="s">
        <v>110</v>
      </c>
      <c r="G46" s="13">
        <v>5</v>
      </c>
      <c r="H46" s="18">
        <f t="shared" si="21"/>
        <v>19.8627960713333</v>
      </c>
      <c r="I46" s="18">
        <f t="shared" si="22"/>
        <v>293.012796071333</v>
      </c>
      <c r="J46" s="18">
        <f t="shared" si="23"/>
        <v>0.195269807816679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0.24740232662581</v>
      </c>
      <c r="O46" s="18">
        <f t="shared" si="39"/>
        <v>0.0901122167522356</v>
      </c>
      <c r="P46" s="18">
        <f t="shared" si="26"/>
        <v>0.017596195247144</v>
      </c>
      <c r="Q46" s="24">
        <f t="shared" si="27"/>
        <v>0.00228750538212871</v>
      </c>
      <c r="R46" s="18">
        <f t="shared" si="28"/>
        <v>0.0100218354166667</v>
      </c>
      <c r="S46" s="25">
        <f t="shared" si="29"/>
        <v>0.228252140154339</v>
      </c>
      <c r="T46" s="3">
        <v>0.01</v>
      </c>
      <c r="U46" s="26">
        <f t="shared" si="30"/>
        <v>0.00228252140154339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0.0293825214015434</v>
      </c>
      <c r="AR46" s="29">
        <f t="shared" si="34"/>
        <v>7.70910416666667</v>
      </c>
      <c r="AS46" s="1">
        <f t="shared" si="35"/>
        <v>0.13</v>
      </c>
      <c r="AT46" s="2">
        <f t="shared" si="36"/>
        <v>13.9512602739726</v>
      </c>
      <c r="AU46" s="1">
        <f t="shared" si="37"/>
        <v>2752.48252942345</v>
      </c>
    </row>
    <row r="47" s="1" customFormat="1" spans="1:47">
      <c r="A47" s="13"/>
      <c r="B47" s="13"/>
      <c r="C47" s="16">
        <v>5</v>
      </c>
      <c r="D47" s="19">
        <v>22.7101877435484</v>
      </c>
      <c r="E47" s="20">
        <f t="shared" si="38"/>
        <v>19.8627960713333</v>
      </c>
      <c r="F47" s="16" t="s">
        <v>112</v>
      </c>
      <c r="G47" s="13">
        <v>6</v>
      </c>
      <c r="H47" s="18">
        <f t="shared" si="21"/>
        <v>22.7101877435484</v>
      </c>
      <c r="I47" s="18">
        <f t="shared" si="22"/>
        <v>295.860187743548</v>
      </c>
      <c r="J47" s="18">
        <f t="shared" si="23"/>
        <v>0.268859954038521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0.149607063171758</v>
      </c>
      <c r="P47" s="18">
        <f t="shared" si="26"/>
        <v>0.040223348128197</v>
      </c>
      <c r="Q47" s="24">
        <f t="shared" si="27"/>
        <v>0.00522903525666561</v>
      </c>
      <c r="R47" s="18">
        <f t="shared" si="28"/>
        <v>0.0100218354166667</v>
      </c>
      <c r="S47" s="25">
        <f t="shared" si="29"/>
        <v>0.521764231726411</v>
      </c>
      <c r="T47" s="3">
        <v>0.01</v>
      </c>
      <c r="U47" s="26">
        <f t="shared" si="30"/>
        <v>0.00521764231726411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0.0323176423172641</v>
      </c>
      <c r="AR47" s="29">
        <f t="shared" si="34"/>
        <v>7.70910416666667</v>
      </c>
      <c r="AS47" s="1">
        <f t="shared" si="35"/>
        <v>0.13</v>
      </c>
      <c r="AT47" s="2">
        <f t="shared" si="36"/>
        <v>13.9512602739726</v>
      </c>
      <c r="AU47" s="1">
        <f t="shared" si="37"/>
        <v>3027.43745694176</v>
      </c>
    </row>
    <row r="48" s="1" customFormat="1" spans="1:47">
      <c r="A48" s="13"/>
      <c r="B48" s="13"/>
      <c r="C48" s="16">
        <v>6</v>
      </c>
      <c r="D48" s="19">
        <v>26.814402464</v>
      </c>
      <c r="E48" s="20">
        <f t="shared" si="38"/>
        <v>22.7101877435484</v>
      </c>
      <c r="F48" s="16" t="s">
        <v>110</v>
      </c>
      <c r="G48" s="13">
        <v>7</v>
      </c>
      <c r="H48" s="18">
        <f t="shared" si="21"/>
        <v>26.814402464</v>
      </c>
      <c r="I48" s="18">
        <f t="shared" si="22"/>
        <v>299.964402464</v>
      </c>
      <c r="J48" s="18">
        <f t="shared" si="23"/>
        <v>0.421777454412999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0.186474756710228</v>
      </c>
      <c r="P48" s="18">
        <f t="shared" si="26"/>
        <v>0.0786508481975232</v>
      </c>
      <c r="Q48" s="24">
        <f t="shared" si="27"/>
        <v>0.010224610265678</v>
      </c>
      <c r="R48" s="18">
        <f t="shared" si="28"/>
        <v>0.0100218354166667</v>
      </c>
      <c r="S48" s="25">
        <f t="shared" si="29"/>
        <v>1.02023330463741</v>
      </c>
      <c r="T48" s="3">
        <v>0.01</v>
      </c>
      <c r="U48" s="26">
        <f t="shared" si="30"/>
        <v>0.0102023330463741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0.0447023330463741</v>
      </c>
      <c r="AR48" s="29">
        <f t="shared" si="34"/>
        <v>7.70910416666667</v>
      </c>
      <c r="AS48" s="1">
        <f t="shared" si="35"/>
        <v>0.13</v>
      </c>
      <c r="AT48" s="2">
        <f t="shared" si="36"/>
        <v>13.9512602739726</v>
      </c>
      <c r="AU48" s="1">
        <f t="shared" si="37"/>
        <v>4187.60490473598</v>
      </c>
    </row>
    <row r="49" s="1" customFormat="1" spans="1:47">
      <c r="A49" s="13"/>
      <c r="B49" s="13"/>
      <c r="C49" s="16">
        <v>7</v>
      </c>
      <c r="D49" s="19">
        <v>29.3605978441935</v>
      </c>
      <c r="E49" s="20">
        <f t="shared" si="38"/>
        <v>26.814402464</v>
      </c>
      <c r="F49" s="16" t="s">
        <v>110</v>
      </c>
      <c r="G49" s="13">
        <v>8</v>
      </c>
      <c r="H49" s="18">
        <f t="shared" si="21"/>
        <v>29.3605978441935</v>
      </c>
      <c r="I49" s="18">
        <f t="shared" si="22"/>
        <v>302.510597844193</v>
      </c>
      <c r="J49" s="18">
        <f t="shared" si="23"/>
        <v>0.554290093692828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0.184914950179371</v>
      </c>
      <c r="P49" s="18">
        <f t="shared" si="26"/>
        <v>0.102496525060128</v>
      </c>
      <c r="Q49" s="24">
        <f t="shared" si="27"/>
        <v>0.0133245482578167</v>
      </c>
      <c r="R49" s="18">
        <f t="shared" si="28"/>
        <v>0.0100218354166667</v>
      </c>
      <c r="S49" s="25">
        <f t="shared" si="29"/>
        <v>1.32955169425927</v>
      </c>
      <c r="T49" s="3">
        <v>0.01</v>
      </c>
      <c r="U49" s="26">
        <f t="shared" si="30"/>
        <v>0.0132955169425927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0.0477955169425927</v>
      </c>
      <c r="AR49" s="29">
        <f t="shared" si="34"/>
        <v>7.70910416666667</v>
      </c>
      <c r="AS49" s="1">
        <f t="shared" si="35"/>
        <v>0.13</v>
      </c>
      <c r="AT49" s="2">
        <f t="shared" si="36"/>
        <v>13.9512602739726</v>
      </c>
      <c r="AU49" s="1">
        <f t="shared" si="37"/>
        <v>4477.36678453805</v>
      </c>
    </row>
    <row r="50" s="1" customFormat="1" spans="1:47">
      <c r="A50" s="13"/>
      <c r="B50" s="13"/>
      <c r="C50" s="16">
        <v>8</v>
      </c>
      <c r="D50" s="19">
        <v>28.9389991035484</v>
      </c>
      <c r="E50" s="20">
        <f t="shared" si="38"/>
        <v>29.3605978441935</v>
      </c>
      <c r="F50" s="16" t="s">
        <v>110</v>
      </c>
      <c r="G50" s="13">
        <v>9</v>
      </c>
      <c r="H50" s="18">
        <f t="shared" si="21"/>
        <v>28.9389991035484</v>
      </c>
      <c r="I50" s="18">
        <f t="shared" si="22"/>
        <v>302.088999103548</v>
      </c>
      <c r="J50" s="18">
        <f t="shared" si="23"/>
        <v>0.529942337455677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0.15950946678591</v>
      </c>
      <c r="P50" s="18">
        <f t="shared" si="26"/>
        <v>0.0845308196748336</v>
      </c>
      <c r="Q50" s="24">
        <f t="shared" si="27"/>
        <v>0.0109890065577284</v>
      </c>
      <c r="R50" s="18">
        <f t="shared" si="28"/>
        <v>0.0100218354166667</v>
      </c>
      <c r="S50" s="25">
        <f t="shared" si="29"/>
        <v>1.09650638838603</v>
      </c>
      <c r="T50" s="3">
        <v>0.01</v>
      </c>
      <c r="U50" s="26">
        <f t="shared" si="30"/>
        <v>0.0109650638838603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0.0380650638838603</v>
      </c>
      <c r="AR50" s="29">
        <f t="shared" si="34"/>
        <v>7.70910416666667</v>
      </c>
      <c r="AS50" s="1">
        <f t="shared" si="35"/>
        <v>0.13</v>
      </c>
      <c r="AT50" s="2">
        <f t="shared" si="36"/>
        <v>13.9512602739726</v>
      </c>
      <c r="AU50" s="1">
        <f t="shared" si="37"/>
        <v>3565.84181084641</v>
      </c>
    </row>
    <row r="51" s="1" customFormat="1" spans="1:47">
      <c r="A51" s="13"/>
      <c r="B51" s="13"/>
      <c r="C51" s="16">
        <v>9</v>
      </c>
      <c r="D51" s="19">
        <v>24.9196151313333</v>
      </c>
      <c r="E51" s="20">
        <f t="shared" si="38"/>
        <v>28.9389991035484</v>
      </c>
      <c r="F51" s="16" t="s">
        <v>110</v>
      </c>
      <c r="G51" s="13">
        <v>10</v>
      </c>
      <c r="H51" s="18">
        <f t="shared" si="21"/>
        <v>24.9196151313333</v>
      </c>
      <c r="I51" s="18">
        <f t="shared" si="22"/>
        <v>298.069615131333</v>
      </c>
      <c r="J51" s="18">
        <f t="shared" si="23"/>
        <v>0.343138877915997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0.152069688777743</v>
      </c>
      <c r="P51" s="18">
        <f t="shared" si="26"/>
        <v>0.0521810223722295</v>
      </c>
      <c r="Q51" s="24">
        <f t="shared" si="27"/>
        <v>0.00678353290838984</v>
      </c>
      <c r="R51" s="18">
        <f t="shared" si="28"/>
        <v>0.0100218354166667</v>
      </c>
      <c r="S51" s="25">
        <f t="shared" si="29"/>
        <v>0.676875305406491</v>
      </c>
      <c r="T51" s="3">
        <v>0.01</v>
      </c>
      <c r="U51" s="26">
        <f t="shared" si="30"/>
        <v>0.00676875305406491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0.0338687530540649</v>
      </c>
      <c r="AR51" s="29">
        <f t="shared" si="34"/>
        <v>7.70910416666667</v>
      </c>
      <c r="AS51" s="1">
        <f t="shared" si="35"/>
        <v>0.13</v>
      </c>
      <c r="AT51" s="2">
        <f t="shared" si="36"/>
        <v>13.9512602739726</v>
      </c>
      <c r="AU51" s="1">
        <f t="shared" si="37"/>
        <v>3172.7417058828</v>
      </c>
    </row>
    <row r="52" s="1" customFormat="1" spans="1:47">
      <c r="A52" s="13"/>
      <c r="B52" s="13"/>
      <c r="C52" s="16">
        <v>10</v>
      </c>
      <c r="D52" s="19">
        <v>21.0925782148387</v>
      </c>
      <c r="E52" s="20">
        <f t="shared" si="38"/>
        <v>24.9196151313333</v>
      </c>
      <c r="F52" s="16" t="s">
        <v>110</v>
      </c>
      <c r="G52" s="13">
        <v>11</v>
      </c>
      <c r="H52" s="18">
        <f t="shared" si="21"/>
        <v>21.0925782148387</v>
      </c>
      <c r="I52" s="18">
        <f t="shared" si="22"/>
        <v>294.242578214839</v>
      </c>
      <c r="J52" s="18">
        <f t="shared" si="23"/>
        <v>0.224363187774044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0.0948942330852375</v>
      </c>
      <c r="O52" s="18">
        <f t="shared" si="39"/>
        <v>0.0820854749869423</v>
      </c>
      <c r="P52" s="18">
        <f t="shared" si="26"/>
        <v>0.0184169588380169</v>
      </c>
      <c r="Q52" s="24">
        <f t="shared" si="27"/>
        <v>0.0023942046489422</v>
      </c>
      <c r="R52" s="18">
        <f t="shared" si="28"/>
        <v>0.0100218354166667</v>
      </c>
      <c r="S52" s="25">
        <f t="shared" si="29"/>
        <v>0.238898819368013</v>
      </c>
      <c r="T52" s="3">
        <v>0.01</v>
      </c>
      <c r="U52" s="26">
        <f t="shared" si="30"/>
        <v>0.00238898819368013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0.0171889881936801</v>
      </c>
      <c r="AR52" s="29">
        <f t="shared" si="34"/>
        <v>7.70910416666667</v>
      </c>
      <c r="AS52" s="1">
        <f t="shared" si="35"/>
        <v>0.13</v>
      </c>
      <c r="AT52" s="2">
        <f t="shared" si="36"/>
        <v>13.9512602739726</v>
      </c>
      <c r="AU52" s="1">
        <f t="shared" si="37"/>
        <v>1610.22224930925</v>
      </c>
    </row>
    <row r="53" s="1" customFormat="1" spans="1:48">
      <c r="A53" s="13"/>
      <c r="B53" s="13"/>
      <c r="C53" s="16">
        <v>11</v>
      </c>
      <c r="D53" s="19">
        <v>13.9658757627</v>
      </c>
      <c r="E53" s="20">
        <f t="shared" si="38"/>
        <v>21.0925782148387</v>
      </c>
      <c r="F53" s="16" t="s">
        <v>112</v>
      </c>
      <c r="G53" s="13">
        <v>12</v>
      </c>
      <c r="H53" s="18">
        <f t="shared" si="21"/>
        <v>13.9658757627</v>
      </c>
      <c r="I53" s="18">
        <f t="shared" si="22"/>
        <v>287.1158757627</v>
      </c>
      <c r="J53" s="18">
        <f t="shared" si="23"/>
        <v>0.098680835587392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0.140759557815592</v>
      </c>
      <c r="P53" s="18">
        <f t="shared" si="26"/>
        <v>0.0138902707821544</v>
      </c>
      <c r="Q53" s="24">
        <f t="shared" si="27"/>
        <v>0.00180573520168008</v>
      </c>
      <c r="R53" s="18">
        <f t="shared" si="28"/>
        <v>0.0100218354166667</v>
      </c>
      <c r="S53" s="25">
        <f t="shared" si="29"/>
        <v>0.180180089435222</v>
      </c>
      <c r="T53" s="3">
        <v>0.01</v>
      </c>
      <c r="U53" s="26">
        <f t="shared" si="30"/>
        <v>0.00180180089435222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0.0166018008943522</v>
      </c>
      <c r="AR53" s="29">
        <f t="shared" si="34"/>
        <v>7.70910416666667</v>
      </c>
      <c r="AS53" s="1">
        <f t="shared" si="35"/>
        <v>0.13</v>
      </c>
      <c r="AT53" s="2">
        <f t="shared" si="36"/>
        <v>13.9512602739726</v>
      </c>
      <c r="AU53" s="1">
        <f t="shared" si="37"/>
        <v>1555.21598348162</v>
      </c>
      <c r="AV53" s="1">
        <f>SUM(AU42:AU53)</f>
        <v>31629.411312207</v>
      </c>
    </row>
    <row r="54" s="1" customFormat="1" spans="1:46">
      <c r="A54" s="13"/>
      <c r="B54" s="13"/>
      <c r="C54" s="16">
        <v>12</v>
      </c>
      <c r="D54" s="19">
        <v>10.1802794143226</v>
      </c>
      <c r="E54" s="20">
        <f t="shared" si="38"/>
        <v>13.9658757627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8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="1" customFormat="1" spans="1:78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8</v>
      </c>
      <c r="E58" s="16"/>
      <c r="F58" s="16"/>
      <c r="G58" s="13">
        <v>1</v>
      </c>
      <c r="H58" s="18">
        <f t="shared" ref="H58:H69" si="40">E59</f>
        <v>8</v>
      </c>
      <c r="I58" s="18">
        <f t="shared" ref="I58:I69" si="41">H58+273.15</f>
        <v>281.15</v>
      </c>
      <c r="J58" s="18">
        <f t="shared" ref="J58:J69" si="42">EXP(($C$16*(I58-$C$14))/($C$17*I58*$C$14))</f>
        <v>0.0480520561620816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0.13275269477814</v>
      </c>
      <c r="Q58" s="24">
        <f t="shared" ref="Q58:Q69" si="46">P58*$B$60</f>
        <v>0.0384982814856607</v>
      </c>
      <c r="R58" s="18">
        <f t="shared" ref="R58:R69" si="47">L58*$B$60</f>
        <v>0.80117865</v>
      </c>
      <c r="S58" s="25">
        <f t="shared" ref="S58:S69" si="48">Q58/R58</f>
        <v>0.0480520561620816</v>
      </c>
      <c r="T58" s="3">
        <v>0.27</v>
      </c>
      <c r="U58" s="26">
        <f t="shared" ref="U58:U69" si="49">S58*T58</f>
        <v>0.012974055163762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0.228920858918319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342.570709811912</v>
      </c>
      <c r="AF58" s="1">
        <f t="shared" ref="AF58:AF69" si="54">AE58*10000*AC58*AB58</f>
        <v>8024226.88389785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111</v>
      </c>
      <c r="B59" s="13">
        <v>27</v>
      </c>
      <c r="C59" s="16">
        <v>1</v>
      </c>
      <c r="D59" s="19">
        <v>6.76357816603226</v>
      </c>
      <c r="E59" s="20">
        <f t="shared" ref="E59:E70" si="55">D58</f>
        <v>8</v>
      </c>
      <c r="F59" s="16" t="s">
        <v>110</v>
      </c>
      <c r="G59" s="13">
        <v>2</v>
      </c>
      <c r="H59" s="18">
        <f t="shared" si="40"/>
        <v>6.76357816603226</v>
      </c>
      <c r="I59" s="18">
        <f t="shared" si="41"/>
        <v>279.913578166032</v>
      </c>
      <c r="J59" s="18">
        <f t="shared" si="42"/>
        <v>0.0412359297128834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5.39261730522186</v>
      </c>
      <c r="P59" s="18">
        <f t="shared" si="45"/>
        <v>0.222369588166607</v>
      </c>
      <c r="Q59" s="24">
        <f t="shared" si="46"/>
        <v>0.0644871805683161</v>
      </c>
      <c r="R59" s="18">
        <f t="shared" si="47"/>
        <v>0.80117865</v>
      </c>
      <c r="S59" s="25">
        <f t="shared" si="48"/>
        <v>0.0804903882153077</v>
      </c>
      <c r="T59" s="3">
        <v>0.27</v>
      </c>
      <c r="U59" s="26">
        <f t="shared" si="49"/>
        <v>0.0217324048181331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0.230622606256163</v>
      </c>
      <c r="AC59" s="29">
        <f t="shared" si="51"/>
        <v>10.2321666666667</v>
      </c>
      <c r="AD59" s="1">
        <f t="shared" si="52"/>
        <v>0.29</v>
      </c>
      <c r="AE59" s="30">
        <f t="shared" si="53"/>
        <v>342.570709811912</v>
      </c>
      <c r="AF59" s="1">
        <f t="shared" si="54"/>
        <v>8083877.22245788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9.01173954344828</v>
      </c>
      <c r="E60" s="20">
        <f t="shared" si="55"/>
        <v>6.76357816603226</v>
      </c>
      <c r="F60" s="16" t="s">
        <v>110</v>
      </c>
      <c r="G60" s="13">
        <v>3</v>
      </c>
      <c r="H60" s="18">
        <f t="shared" si="40"/>
        <v>9.01173954344828</v>
      </c>
      <c r="I60" s="18">
        <f t="shared" si="41"/>
        <v>282.161739543448</v>
      </c>
      <c r="J60" s="18">
        <f t="shared" si="42"/>
        <v>0.0544054297599797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7.93293271705525</v>
      </c>
      <c r="P60" s="18">
        <f t="shared" si="45"/>
        <v>0.431594613728394</v>
      </c>
      <c r="Q60" s="24">
        <f t="shared" si="46"/>
        <v>0.125162437981234</v>
      </c>
      <c r="R60" s="18">
        <f t="shared" si="47"/>
        <v>0.80117865</v>
      </c>
      <c r="S60" s="25">
        <f t="shared" si="48"/>
        <v>0.156222882351189</v>
      </c>
      <c r="T60" s="3">
        <v>0.27</v>
      </c>
      <c r="U60" s="26">
        <f t="shared" si="49"/>
        <v>0.042180178234821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0.234595608631026</v>
      </c>
      <c r="AC60" s="29">
        <f t="shared" si="51"/>
        <v>10.2321666666667</v>
      </c>
      <c r="AD60" s="1">
        <f t="shared" si="52"/>
        <v>0.29</v>
      </c>
      <c r="AE60" s="30">
        <f t="shared" si="53"/>
        <v>342.570709811912</v>
      </c>
      <c r="AF60" s="1">
        <f t="shared" si="54"/>
        <v>8223140.51465764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/>
      <c r="B61" s="13"/>
      <c r="C61" s="16">
        <v>3</v>
      </c>
      <c r="D61" s="19">
        <v>13.2569875770323</v>
      </c>
      <c r="E61" s="20">
        <f t="shared" si="55"/>
        <v>9.01173954344828</v>
      </c>
      <c r="F61" s="16" t="s">
        <v>110</v>
      </c>
      <c r="G61" s="13">
        <v>4</v>
      </c>
      <c r="H61" s="18">
        <f t="shared" si="40"/>
        <v>13.2569875770323</v>
      </c>
      <c r="I61" s="18">
        <f t="shared" si="41"/>
        <v>286.406987577032</v>
      </c>
      <c r="J61" s="18">
        <f t="shared" si="42"/>
        <v>0.0907359740668852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10.2640231033269</v>
      </c>
      <c r="P61" s="18">
        <f t="shared" si="45"/>
        <v>0.931316134125376</v>
      </c>
      <c r="Q61" s="24">
        <f t="shared" si="46"/>
        <v>0.270081678896359</v>
      </c>
      <c r="R61" s="18">
        <f t="shared" si="47"/>
        <v>0.80117865</v>
      </c>
      <c r="S61" s="25">
        <f t="shared" si="48"/>
        <v>0.337105436966348</v>
      </c>
      <c r="T61" s="3">
        <v>0.27</v>
      </c>
      <c r="U61" s="26">
        <f t="shared" si="49"/>
        <v>0.0910184679809141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0.292884888328692</v>
      </c>
      <c r="AC61" s="29">
        <f t="shared" si="51"/>
        <v>10.2321666666667</v>
      </c>
      <c r="AD61" s="1">
        <f t="shared" si="52"/>
        <v>0.29</v>
      </c>
      <c r="AE61" s="30">
        <f t="shared" si="53"/>
        <v>342.570709811912</v>
      </c>
      <c r="AF61" s="1">
        <f t="shared" si="54"/>
        <v>10266320.0108517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4</v>
      </c>
      <c r="D62" s="19">
        <v>19.8627960713333</v>
      </c>
      <c r="E62" s="20">
        <f t="shared" si="55"/>
        <v>13.2569875770323</v>
      </c>
      <c r="F62" s="16" t="s">
        <v>110</v>
      </c>
      <c r="G62" s="13">
        <v>5</v>
      </c>
      <c r="H62" s="18">
        <f t="shared" si="40"/>
        <v>19.8627960713333</v>
      </c>
      <c r="I62" s="18">
        <f t="shared" si="41"/>
        <v>293.012796071333</v>
      </c>
      <c r="J62" s="18">
        <f t="shared" si="42"/>
        <v>0.195269807816679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8.8660716207414</v>
      </c>
      <c r="O62" s="18">
        <f t="shared" si="56"/>
        <v>3.22932034846007</v>
      </c>
      <c r="P62" s="18">
        <f t="shared" si="45"/>
        <v>0.630588763822289</v>
      </c>
      <c r="Q62" s="24">
        <f t="shared" si="46"/>
        <v>0.182870741508464</v>
      </c>
      <c r="R62" s="18">
        <f t="shared" si="47"/>
        <v>0.80117865</v>
      </c>
      <c r="S62" s="25">
        <f t="shared" si="48"/>
        <v>0.228252140154339</v>
      </c>
      <c r="T62" s="3">
        <v>0.27</v>
      </c>
      <c r="U62" s="26">
        <f t="shared" si="49"/>
        <v>0.0616280778416715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0.287174335524637</v>
      </c>
      <c r="AC62" s="29">
        <f t="shared" si="51"/>
        <v>10.2321666666667</v>
      </c>
      <c r="AD62" s="1">
        <f t="shared" si="52"/>
        <v>0.29</v>
      </c>
      <c r="AE62" s="30">
        <f t="shared" si="53"/>
        <v>342.570709811912</v>
      </c>
      <c r="AF62" s="1">
        <f t="shared" si="54"/>
        <v>10066151.3955987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5</v>
      </c>
      <c r="D63" s="19">
        <v>22.7101877435484</v>
      </c>
      <c r="E63" s="20">
        <f t="shared" si="55"/>
        <v>19.8627960713333</v>
      </c>
      <c r="F63" s="16" t="s">
        <v>112</v>
      </c>
      <c r="G63" s="13">
        <v>6</v>
      </c>
      <c r="H63" s="18">
        <f t="shared" si="40"/>
        <v>22.7101877435484</v>
      </c>
      <c r="I63" s="18">
        <f t="shared" si="41"/>
        <v>295.860187743548</v>
      </c>
      <c r="J63" s="18">
        <f t="shared" si="42"/>
        <v>0.268859954038521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5.36141658463778</v>
      </c>
      <c r="P63" s="18">
        <f t="shared" si="45"/>
        <v>1.44147021652708</v>
      </c>
      <c r="Q63" s="24">
        <f t="shared" si="46"/>
        <v>0.418026362792853</v>
      </c>
      <c r="R63" s="18">
        <f t="shared" si="47"/>
        <v>0.80117865</v>
      </c>
      <c r="S63" s="25">
        <f t="shared" si="48"/>
        <v>0.521764231726411</v>
      </c>
      <c r="T63" s="3">
        <v>0.27</v>
      </c>
      <c r="U63" s="26">
        <f t="shared" si="49"/>
        <v>0.140876342566131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0.317772273360599</v>
      </c>
      <c r="AC63" s="29">
        <f t="shared" si="51"/>
        <v>10.2321666666667</v>
      </c>
      <c r="AD63" s="1">
        <f t="shared" si="52"/>
        <v>0.29</v>
      </c>
      <c r="AE63" s="30">
        <f t="shared" si="53"/>
        <v>342.570709811912</v>
      </c>
      <c r="AF63" s="1">
        <f t="shared" si="54"/>
        <v>11138682.7347493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6</v>
      </c>
      <c r="D64" s="19">
        <v>26.814402464</v>
      </c>
      <c r="E64" s="20">
        <f t="shared" si="55"/>
        <v>22.7101877435484</v>
      </c>
      <c r="F64" s="16" t="s">
        <v>110</v>
      </c>
      <c r="G64" s="13">
        <v>7</v>
      </c>
      <c r="H64" s="18">
        <f t="shared" si="40"/>
        <v>26.814402464</v>
      </c>
      <c r="I64" s="18">
        <f t="shared" si="41"/>
        <v>299.964402464</v>
      </c>
      <c r="J64" s="18">
        <f t="shared" si="42"/>
        <v>0.421777454412999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6.6826313681107</v>
      </c>
      <c r="P64" s="18">
        <f t="shared" si="45"/>
        <v>2.81858324722219</v>
      </c>
      <c r="Q64" s="24">
        <f t="shared" si="46"/>
        <v>0.817389141694435</v>
      </c>
      <c r="R64" s="18">
        <f t="shared" si="47"/>
        <v>0.80117865</v>
      </c>
      <c r="S64" s="25">
        <f t="shared" si="48"/>
        <v>1.02023330463741</v>
      </c>
      <c r="T64" s="3">
        <v>0.27</v>
      </c>
      <c r="U64" s="26">
        <f t="shared" si="49"/>
        <v>0.275462992252099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0.343922459394583</v>
      </c>
      <c r="AC64" s="29">
        <f t="shared" si="51"/>
        <v>10.2321666666667</v>
      </c>
      <c r="AD64" s="1">
        <f t="shared" si="52"/>
        <v>0.29</v>
      </c>
      <c r="AE64" s="30">
        <f t="shared" si="53"/>
        <v>342.570709811912</v>
      </c>
      <c r="AF64" s="1">
        <f t="shared" si="54"/>
        <v>12055309.6720425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7</v>
      </c>
      <c r="D65" s="19">
        <v>29.3605978441935</v>
      </c>
      <c r="E65" s="20">
        <f t="shared" si="55"/>
        <v>26.814402464</v>
      </c>
      <c r="F65" s="16" t="s">
        <v>110</v>
      </c>
      <c r="G65" s="13">
        <v>8</v>
      </c>
      <c r="H65" s="18">
        <f t="shared" si="40"/>
        <v>29.3605978441935</v>
      </c>
      <c r="I65" s="18">
        <f t="shared" si="41"/>
        <v>302.510597844193</v>
      </c>
      <c r="J65" s="18">
        <f t="shared" si="42"/>
        <v>0.554290093692828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6.62673312088851</v>
      </c>
      <c r="P65" s="18">
        <f t="shared" si="45"/>
        <v>3.67313252245466</v>
      </c>
      <c r="Q65" s="24">
        <f t="shared" si="46"/>
        <v>1.06520843151185</v>
      </c>
      <c r="R65" s="18">
        <f t="shared" si="47"/>
        <v>0.80117865</v>
      </c>
      <c r="S65" s="25">
        <f t="shared" si="48"/>
        <v>1.32955169425927</v>
      </c>
      <c r="T65" s="3">
        <v>0.27</v>
      </c>
      <c r="U65" s="26">
        <f t="shared" si="49"/>
        <v>0.358978957450002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0.360149611432535</v>
      </c>
      <c r="AC65" s="29">
        <f t="shared" si="51"/>
        <v>10.2321666666667</v>
      </c>
      <c r="AD65" s="1">
        <f t="shared" si="52"/>
        <v>0.29</v>
      </c>
      <c r="AE65" s="30">
        <f t="shared" si="53"/>
        <v>342.570709811912</v>
      </c>
      <c r="AF65" s="1">
        <f t="shared" si="54"/>
        <v>12624110.393162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8</v>
      </c>
      <c r="D66" s="19">
        <v>28.9389991035484</v>
      </c>
      <c r="E66" s="20">
        <f t="shared" si="55"/>
        <v>29.3605978441935</v>
      </c>
      <c r="F66" s="16" t="s">
        <v>110</v>
      </c>
      <c r="G66" s="13">
        <v>9</v>
      </c>
      <c r="H66" s="18">
        <f t="shared" si="40"/>
        <v>28.9389991035484</v>
      </c>
      <c r="I66" s="18">
        <f t="shared" si="41"/>
        <v>302.088999103548</v>
      </c>
      <c r="J66" s="18">
        <f t="shared" si="42"/>
        <v>0.529942337455677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5.71628559843385</v>
      </c>
      <c r="P66" s="18">
        <f t="shared" si="45"/>
        <v>3.02930175159826</v>
      </c>
      <c r="Q66" s="24">
        <f t="shared" si="46"/>
        <v>0.878497507963495</v>
      </c>
      <c r="R66" s="18">
        <f t="shared" si="47"/>
        <v>0.80117865</v>
      </c>
      <c r="S66" s="25">
        <f t="shared" si="48"/>
        <v>1.09650638838603</v>
      </c>
      <c r="T66" s="3">
        <v>0.27</v>
      </c>
      <c r="U66" s="26">
        <f t="shared" si="49"/>
        <v>0.296056724864228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0.33272382164112</v>
      </c>
      <c r="AC66" s="29">
        <f t="shared" si="51"/>
        <v>10.2321666666667</v>
      </c>
      <c r="AD66" s="1">
        <f t="shared" si="52"/>
        <v>0.29</v>
      </c>
      <c r="AE66" s="30">
        <f t="shared" si="53"/>
        <v>342.570709811912</v>
      </c>
      <c r="AF66" s="1">
        <f t="shared" si="54"/>
        <v>11662770.4750948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9</v>
      </c>
      <c r="D67" s="19">
        <v>24.9196151313333</v>
      </c>
      <c r="E67" s="20">
        <f t="shared" si="55"/>
        <v>28.9389991035484</v>
      </c>
      <c r="F67" s="16" t="s">
        <v>110</v>
      </c>
      <c r="G67" s="13">
        <v>10</v>
      </c>
      <c r="H67" s="18">
        <f t="shared" si="40"/>
        <v>24.9196151313333</v>
      </c>
      <c r="I67" s="18">
        <f t="shared" si="41"/>
        <v>298.069615131333</v>
      </c>
      <c r="J67" s="18">
        <f t="shared" si="42"/>
        <v>0.343138877915997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5.44966884683559</v>
      </c>
      <c r="P67" s="18">
        <f t="shared" si="45"/>
        <v>1.86999325311693</v>
      </c>
      <c r="Q67" s="24">
        <f t="shared" si="46"/>
        <v>0.54229804340391</v>
      </c>
      <c r="R67" s="18">
        <f t="shared" si="47"/>
        <v>0.80117865</v>
      </c>
      <c r="S67" s="25">
        <f t="shared" si="48"/>
        <v>0.676875305406491</v>
      </c>
      <c r="T67" s="3">
        <v>0.27</v>
      </c>
      <c r="U67" s="26">
        <f t="shared" si="49"/>
        <v>0.182756332459753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0.31070955539693</v>
      </c>
      <c r="AC67" s="29">
        <f t="shared" si="51"/>
        <v>10.2321666666667</v>
      </c>
      <c r="AD67" s="1">
        <f t="shared" si="52"/>
        <v>0.29</v>
      </c>
      <c r="AE67" s="30">
        <f t="shared" si="53"/>
        <v>342.570709811912</v>
      </c>
      <c r="AF67" s="1">
        <f t="shared" si="54"/>
        <v>10891117.4773706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10</v>
      </c>
      <c r="D68" s="19">
        <v>21.0925782148387</v>
      </c>
      <c r="E68" s="20">
        <f t="shared" si="55"/>
        <v>24.9196151313333</v>
      </c>
      <c r="F68" s="16" t="s">
        <v>110</v>
      </c>
      <c r="G68" s="13">
        <v>11</v>
      </c>
      <c r="H68" s="18">
        <f t="shared" si="40"/>
        <v>21.0925782148387</v>
      </c>
      <c r="I68" s="18">
        <f t="shared" si="41"/>
        <v>294.242578214839</v>
      </c>
      <c r="J68" s="18">
        <f t="shared" si="42"/>
        <v>0.224363187774044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3.40069181403273</v>
      </c>
      <c r="O68" s="18">
        <f t="shared" si="56"/>
        <v>2.94166877968593</v>
      </c>
      <c r="P68" s="18">
        <f t="shared" si="45"/>
        <v>0.660002184785718</v>
      </c>
      <c r="Q68" s="24">
        <f t="shared" si="46"/>
        <v>0.191400633587858</v>
      </c>
      <c r="R68" s="18">
        <f t="shared" si="47"/>
        <v>0.80117865</v>
      </c>
      <c r="S68" s="25">
        <f t="shared" si="48"/>
        <v>0.238898819368013</v>
      </c>
      <c r="T68" s="3">
        <v>0.27</v>
      </c>
      <c r="U68" s="26">
        <f t="shared" si="49"/>
        <v>0.0645026812293634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0.238932870962865</v>
      </c>
      <c r="AC68" s="29">
        <f t="shared" si="51"/>
        <v>10.2321666666667</v>
      </c>
      <c r="AD68" s="1">
        <f t="shared" si="52"/>
        <v>0.29</v>
      </c>
      <c r="AE68" s="30">
        <f t="shared" si="53"/>
        <v>342.570709811912</v>
      </c>
      <c r="AF68" s="1">
        <f t="shared" si="54"/>
        <v>8375171.99475131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="1" customFormat="1" spans="1:78">
      <c r="A69" s="13"/>
      <c r="B69" s="13"/>
      <c r="C69" s="16">
        <v>11</v>
      </c>
      <c r="D69" s="19">
        <v>13.9658757627</v>
      </c>
      <c r="E69" s="20">
        <f t="shared" si="55"/>
        <v>21.0925782148387</v>
      </c>
      <c r="F69" s="16" t="s">
        <v>112</v>
      </c>
      <c r="G69" s="13">
        <v>12</v>
      </c>
      <c r="H69" s="18">
        <f t="shared" si="40"/>
        <v>13.9658757627</v>
      </c>
      <c r="I69" s="18">
        <f t="shared" si="41"/>
        <v>287.1158757627</v>
      </c>
      <c r="J69" s="18">
        <f t="shared" si="42"/>
        <v>0.098680835587392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5.04435159490021</v>
      </c>
      <c r="P69" s="18">
        <f t="shared" si="45"/>
        <v>0.497780830381347</v>
      </c>
      <c r="Q69" s="24">
        <f t="shared" si="46"/>
        <v>0.14435644081059</v>
      </c>
      <c r="R69" s="18">
        <f t="shared" si="47"/>
        <v>0.80117865</v>
      </c>
      <c r="S69" s="25">
        <f t="shared" si="48"/>
        <v>0.180180089435222</v>
      </c>
      <c r="T69" s="3">
        <v>0.27</v>
      </c>
      <c r="U69" s="26">
        <f t="shared" si="49"/>
        <v>0.04864862414751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0.235852427671861</v>
      </c>
      <c r="AC69" s="29">
        <f t="shared" si="51"/>
        <v>10.2321666666667</v>
      </c>
      <c r="AD69" s="1">
        <f t="shared" si="52"/>
        <v>0.29</v>
      </c>
      <c r="AE69" s="30">
        <f t="shared" si="53"/>
        <v>342.570709811912</v>
      </c>
      <c r="AF69" s="1">
        <f t="shared" si="54"/>
        <v>8267195.04591932</v>
      </c>
      <c r="AG69" s="1">
        <f>SUM(AF58:AF69)</f>
        <v>119678073.820554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="1" customFormat="1" spans="1:46">
      <c r="A70" s="13"/>
      <c r="B70" s="13"/>
      <c r="C70" s="16">
        <v>12</v>
      </c>
      <c r="D70" s="19">
        <v>10.1802794143226</v>
      </c>
      <c r="E70" s="20">
        <f t="shared" si="55"/>
        <v>13.9658757627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8</v>
      </c>
      <c r="E74" s="16"/>
      <c r="F74" s="16"/>
      <c r="G74" s="13">
        <v>1</v>
      </c>
      <c r="H74" s="18">
        <f t="shared" ref="H74:H85" si="57">E75</f>
        <v>8</v>
      </c>
      <c r="I74" s="18">
        <f t="shared" ref="I74:I85" si="58">H74+273.15</f>
        <v>281.15</v>
      </c>
      <c r="J74" s="18">
        <f t="shared" ref="J74:J85" si="59">EXP(($C$16*(I74-$C$14))/($C$17*I74*$C$14))</f>
        <v>0.0480520561620816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0.0250456927128002</v>
      </c>
      <c r="Q74" s="24">
        <f t="shared" ref="Q74:Q85" si="63">P74*$B$76</f>
        <v>0.00651188010532805</v>
      </c>
      <c r="R74" s="18">
        <f t="shared" ref="R74:R85" si="64">L74*$B$76</f>
        <v>0.1355172</v>
      </c>
      <c r="S74" s="25">
        <f t="shared" ref="S74:S85" si="65">Q74/R74</f>
        <v>0.0480520561620816</v>
      </c>
      <c r="T74" s="3">
        <v>0.01</v>
      </c>
      <c r="U74" s="26">
        <f t="shared" ref="U74:U85" si="66">S74*T74</f>
        <v>0.000480520561620816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0.00597052056162082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6.76357816603226</v>
      </c>
      <c r="E75" s="20">
        <f t="shared" ref="E75:E86" si="74">D74</f>
        <v>8</v>
      </c>
      <c r="F75" s="16" t="s">
        <v>110</v>
      </c>
      <c r="G75" s="13">
        <v>2</v>
      </c>
      <c r="H75" s="18">
        <f t="shared" si="57"/>
        <v>6.76357816603226</v>
      </c>
      <c r="I75" s="18">
        <f t="shared" si="58"/>
        <v>279.913578166032</v>
      </c>
      <c r="J75" s="18">
        <f t="shared" si="59"/>
        <v>0.0412359297128834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1.0173943072872</v>
      </c>
      <c r="P75" s="18">
        <f t="shared" si="62"/>
        <v>0.0419532001455827</v>
      </c>
      <c r="Q75" s="24">
        <f t="shared" si="63"/>
        <v>0.0109078320378515</v>
      </c>
      <c r="R75" s="18">
        <f t="shared" si="64"/>
        <v>0.1355172</v>
      </c>
      <c r="S75" s="25">
        <f t="shared" si="65"/>
        <v>0.0804903882153077</v>
      </c>
      <c r="T75" s="3">
        <v>0.01</v>
      </c>
      <c r="U75" s="26">
        <f t="shared" si="66"/>
        <v>0.000804903882153077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0.00629490388215308</v>
      </c>
      <c r="AU75" s="29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9.01173954344828</v>
      </c>
      <c r="E76" s="20">
        <f t="shared" si="74"/>
        <v>6.76357816603226</v>
      </c>
      <c r="F76" s="16" t="s">
        <v>110</v>
      </c>
      <c r="G76" s="13">
        <v>3</v>
      </c>
      <c r="H76" s="18">
        <f t="shared" si="57"/>
        <v>9.01173954344828</v>
      </c>
      <c r="I76" s="18">
        <f t="shared" si="58"/>
        <v>282.161739543448</v>
      </c>
      <c r="J76" s="18">
        <f t="shared" si="59"/>
        <v>0.0544054297599797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1.49666110714162</v>
      </c>
      <c r="P76" s="18">
        <f t="shared" si="62"/>
        <v>0.0814264907390867</v>
      </c>
      <c r="Q76" s="24">
        <f t="shared" si="63"/>
        <v>0.0211708875921625</v>
      </c>
      <c r="R76" s="18">
        <f t="shared" si="64"/>
        <v>0.1355172</v>
      </c>
      <c r="S76" s="25">
        <f t="shared" si="65"/>
        <v>0.156222882351189</v>
      </c>
      <c r="T76" s="3">
        <v>0.01</v>
      </c>
      <c r="U76" s="26">
        <f t="shared" si="66"/>
        <v>0.00156222882351189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0.00705222882351189</v>
      </c>
      <c r="AU76" s="29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9">
        <v>13.2569875770323</v>
      </c>
      <c r="E77" s="20">
        <f t="shared" si="74"/>
        <v>9.01173954344828</v>
      </c>
      <c r="F77" s="16" t="s">
        <v>110</v>
      </c>
      <c r="G77" s="13">
        <v>4</v>
      </c>
      <c r="H77" s="18">
        <f t="shared" si="57"/>
        <v>13.2569875770323</v>
      </c>
      <c r="I77" s="18">
        <f t="shared" si="58"/>
        <v>286.406987577032</v>
      </c>
      <c r="J77" s="18">
        <f t="shared" si="59"/>
        <v>0.0907359740668852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1.93645461640253</v>
      </c>
      <c r="P77" s="18">
        <f t="shared" si="62"/>
        <v>0.1757060958556</v>
      </c>
      <c r="Q77" s="24">
        <f t="shared" si="63"/>
        <v>0.045683584922456</v>
      </c>
      <c r="R77" s="18">
        <f t="shared" si="64"/>
        <v>0.1355172</v>
      </c>
      <c r="S77" s="25">
        <f t="shared" si="65"/>
        <v>0.337105436966348</v>
      </c>
      <c r="T77" s="3">
        <v>0.01</v>
      </c>
      <c r="U77" s="26">
        <f t="shared" si="66"/>
        <v>0.00337105436966348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0.0113610543696635</v>
      </c>
      <c r="AU77" s="29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9">
        <v>19.8627960713333</v>
      </c>
      <c r="E78" s="20">
        <f t="shared" si="74"/>
        <v>13.2569875770323</v>
      </c>
      <c r="F78" s="16" t="s">
        <v>110</v>
      </c>
      <c r="G78" s="13">
        <v>5</v>
      </c>
      <c r="H78" s="18">
        <f t="shared" si="57"/>
        <v>19.8627960713333</v>
      </c>
      <c r="I78" s="18">
        <f t="shared" si="58"/>
        <v>293.012796071333</v>
      </c>
      <c r="J78" s="18">
        <f t="shared" si="59"/>
        <v>0.195269807816679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1.67271109451958</v>
      </c>
      <c r="O78" s="18">
        <f t="shared" si="75"/>
        <v>0.609257426027347</v>
      </c>
      <c r="P78" s="18">
        <f t="shared" si="62"/>
        <v>0.118969580491244</v>
      </c>
      <c r="Q78" s="24">
        <f t="shared" si="63"/>
        <v>0.0309320909277236</v>
      </c>
      <c r="R78" s="18">
        <f t="shared" si="64"/>
        <v>0.1355172</v>
      </c>
      <c r="S78" s="25">
        <f t="shared" si="65"/>
        <v>0.228252140154339</v>
      </c>
      <c r="T78" s="3">
        <v>0.01</v>
      </c>
      <c r="U78" s="26">
        <f t="shared" si="66"/>
        <v>0.00228252140154339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0.0122325214015434</v>
      </c>
      <c r="AU78" s="29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9">
        <v>22.7101877435484</v>
      </c>
      <c r="E79" s="20">
        <f t="shared" si="74"/>
        <v>19.8627960713333</v>
      </c>
      <c r="F79" s="16" t="s">
        <v>112</v>
      </c>
      <c r="G79" s="13">
        <v>6</v>
      </c>
      <c r="H79" s="18">
        <f t="shared" si="57"/>
        <v>22.7101877435484</v>
      </c>
      <c r="I79" s="18">
        <f t="shared" si="58"/>
        <v>295.860187743548</v>
      </c>
      <c r="J79" s="18">
        <f t="shared" si="59"/>
        <v>0.268859954038521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1.0115078455361</v>
      </c>
      <c r="P79" s="18">
        <f t="shared" si="62"/>
        <v>0.27195395286044</v>
      </c>
      <c r="Q79" s="24">
        <f t="shared" si="63"/>
        <v>0.0707080277437144</v>
      </c>
      <c r="R79" s="18">
        <f t="shared" si="64"/>
        <v>0.1355172</v>
      </c>
      <c r="S79" s="25">
        <f t="shared" si="65"/>
        <v>0.521764231726411</v>
      </c>
      <c r="T79" s="3">
        <v>0.01</v>
      </c>
      <c r="U79" s="26">
        <f t="shared" si="66"/>
        <v>0.00521764231726411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0.0151676423172641</v>
      </c>
      <c r="AU79" s="29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9">
        <v>26.814402464</v>
      </c>
      <c r="E80" s="20">
        <f t="shared" si="74"/>
        <v>22.7101877435484</v>
      </c>
      <c r="F80" s="16" t="s">
        <v>110</v>
      </c>
      <c r="G80" s="13">
        <v>7</v>
      </c>
      <c r="H80" s="18">
        <f t="shared" si="57"/>
        <v>26.814402464</v>
      </c>
      <c r="I80" s="18">
        <f t="shared" si="58"/>
        <v>299.964402464</v>
      </c>
      <c r="J80" s="18">
        <f t="shared" si="59"/>
        <v>0.421777454412999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1.26077389267566</v>
      </c>
      <c r="P80" s="18">
        <f t="shared" si="62"/>
        <v>0.531766003043109</v>
      </c>
      <c r="Q80" s="24">
        <f t="shared" si="63"/>
        <v>0.138259160791208</v>
      </c>
      <c r="R80" s="18">
        <f t="shared" si="64"/>
        <v>0.1355172</v>
      </c>
      <c r="S80" s="25">
        <f t="shared" si="65"/>
        <v>1.02023330463741</v>
      </c>
      <c r="T80" s="3">
        <v>0.01</v>
      </c>
      <c r="U80" s="26">
        <f t="shared" si="66"/>
        <v>0.0102023330463741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0.0226523330463741</v>
      </c>
      <c r="AU80" s="29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9">
        <v>29.3605978441935</v>
      </c>
      <c r="E81" s="20">
        <f t="shared" si="74"/>
        <v>26.814402464</v>
      </c>
      <c r="F81" s="16" t="s">
        <v>110</v>
      </c>
      <c r="G81" s="13">
        <v>8</v>
      </c>
      <c r="H81" s="18">
        <f t="shared" si="57"/>
        <v>29.3605978441935</v>
      </c>
      <c r="I81" s="18">
        <f t="shared" si="58"/>
        <v>302.510597844193</v>
      </c>
      <c r="J81" s="18">
        <f t="shared" si="59"/>
        <v>0.554290093692828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1.25022788963255</v>
      </c>
      <c r="P81" s="18">
        <f t="shared" si="62"/>
        <v>0.692988934081815</v>
      </c>
      <c r="Q81" s="24">
        <f t="shared" si="63"/>
        <v>0.180177122861272</v>
      </c>
      <c r="R81" s="18">
        <f t="shared" si="64"/>
        <v>0.1355172</v>
      </c>
      <c r="S81" s="25">
        <f t="shared" si="65"/>
        <v>1.32955169425927</v>
      </c>
      <c r="T81" s="3">
        <v>0.01</v>
      </c>
      <c r="U81" s="26">
        <f t="shared" si="66"/>
        <v>0.0132955169425927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0.0257455169425927</v>
      </c>
      <c r="AU81" s="29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9">
        <v>28.9389991035484</v>
      </c>
      <c r="E82" s="20">
        <f t="shared" si="74"/>
        <v>29.3605978441935</v>
      </c>
      <c r="F82" s="16" t="s">
        <v>110</v>
      </c>
      <c r="G82" s="13">
        <v>9</v>
      </c>
      <c r="H82" s="18">
        <f t="shared" si="57"/>
        <v>28.9389991035484</v>
      </c>
      <c r="I82" s="18">
        <f t="shared" si="58"/>
        <v>302.088999103548</v>
      </c>
      <c r="J82" s="18">
        <f t="shared" si="59"/>
        <v>0.529942337455677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1.07845895555074</v>
      </c>
      <c r="P82" s="18">
        <f t="shared" si="62"/>
        <v>0.571521059754567</v>
      </c>
      <c r="Q82" s="24">
        <f t="shared" si="63"/>
        <v>0.148595475536187</v>
      </c>
      <c r="R82" s="18">
        <f t="shared" si="64"/>
        <v>0.1355172</v>
      </c>
      <c r="S82" s="25">
        <f t="shared" si="65"/>
        <v>1.09650638838603</v>
      </c>
      <c r="T82" s="3">
        <v>0.01</v>
      </c>
      <c r="U82" s="26">
        <f t="shared" si="66"/>
        <v>0.0109650638838603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0.0209150638838603</v>
      </c>
      <c r="AU82" s="29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9">
        <v>24.9196151313333</v>
      </c>
      <c r="E83" s="20">
        <f t="shared" si="74"/>
        <v>28.9389991035484</v>
      </c>
      <c r="F83" s="16" t="s">
        <v>110</v>
      </c>
      <c r="G83" s="13">
        <v>10</v>
      </c>
      <c r="H83" s="18">
        <f t="shared" si="57"/>
        <v>24.9196151313333</v>
      </c>
      <c r="I83" s="18">
        <f t="shared" si="58"/>
        <v>298.069615131333</v>
      </c>
      <c r="J83" s="18">
        <f t="shared" si="59"/>
        <v>0.343138877915997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1.02815789579617</v>
      </c>
      <c r="P83" s="18">
        <f t="shared" si="62"/>
        <v>0.352800946683971</v>
      </c>
      <c r="Q83" s="24">
        <f t="shared" si="63"/>
        <v>0.0917282461378325</v>
      </c>
      <c r="R83" s="18">
        <f t="shared" si="64"/>
        <v>0.1355172</v>
      </c>
      <c r="S83" s="25">
        <f t="shared" si="65"/>
        <v>0.676875305406491</v>
      </c>
      <c r="T83" s="3">
        <v>0.01</v>
      </c>
      <c r="U83" s="26">
        <f t="shared" si="66"/>
        <v>0.00676875305406491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0.0167187530540649</v>
      </c>
      <c r="AU83" s="29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9">
        <v>21.0925782148387</v>
      </c>
      <c r="E84" s="20">
        <f t="shared" si="74"/>
        <v>24.9196151313333</v>
      </c>
      <c r="F84" s="16" t="s">
        <v>110</v>
      </c>
      <c r="G84" s="13">
        <v>11</v>
      </c>
      <c r="H84" s="18">
        <f t="shared" si="57"/>
        <v>21.0925782148387</v>
      </c>
      <c r="I84" s="18">
        <f t="shared" si="58"/>
        <v>294.242578214839</v>
      </c>
      <c r="J84" s="18">
        <f t="shared" si="59"/>
        <v>0.224363187774044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0.641589101656591</v>
      </c>
      <c r="O84" s="18">
        <f t="shared" si="75"/>
        <v>0.55498784745561</v>
      </c>
      <c r="P84" s="18">
        <f t="shared" si="62"/>
        <v>0.124518842630996</v>
      </c>
      <c r="Q84" s="24">
        <f t="shared" si="63"/>
        <v>0.0323748990840588</v>
      </c>
      <c r="R84" s="18">
        <f t="shared" si="64"/>
        <v>0.1355172</v>
      </c>
      <c r="S84" s="25">
        <f t="shared" si="65"/>
        <v>0.238898819368013</v>
      </c>
      <c r="T84" s="3">
        <v>0.01</v>
      </c>
      <c r="U84" s="26">
        <f t="shared" si="66"/>
        <v>0.00238898819368013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0.00983898819368013</v>
      </c>
      <c r="AU84" s="29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9">
        <v>13.9658757627</v>
      </c>
      <c r="E85" s="20">
        <f t="shared" si="74"/>
        <v>21.0925782148387</v>
      </c>
      <c r="F85" s="16" t="s">
        <v>112</v>
      </c>
      <c r="G85" s="13">
        <v>12</v>
      </c>
      <c r="H85" s="18">
        <f t="shared" si="57"/>
        <v>13.9658757627</v>
      </c>
      <c r="I85" s="18">
        <f t="shared" si="58"/>
        <v>287.1158757627</v>
      </c>
      <c r="J85" s="18">
        <f t="shared" si="59"/>
        <v>0.098680835587392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0.951689004824614</v>
      </c>
      <c r="P85" s="18">
        <f t="shared" si="62"/>
        <v>0.0939134662154265</v>
      </c>
      <c r="Q85" s="24">
        <f t="shared" si="63"/>
        <v>0.0244175012160109</v>
      </c>
      <c r="R85" s="18">
        <f t="shared" si="64"/>
        <v>0.1355172</v>
      </c>
      <c r="S85" s="25">
        <f t="shared" si="65"/>
        <v>0.180180089435222</v>
      </c>
      <c r="T85" s="3">
        <v>0.01</v>
      </c>
      <c r="U85" s="26">
        <f t="shared" si="66"/>
        <v>0.00180180089435222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0.00925180089435222</v>
      </c>
      <c r="AU85" s="29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9">
        <v>10.1802794143226</v>
      </c>
      <c r="E86" s="20">
        <f t="shared" si="74"/>
        <v>13.9658757627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8</v>
      </c>
      <c r="E90" s="16"/>
      <c r="F90" s="16"/>
      <c r="G90" s="13">
        <v>1</v>
      </c>
      <c r="H90" s="18">
        <f t="shared" ref="H90:H101" si="76">E91</f>
        <v>8</v>
      </c>
      <c r="I90" s="18">
        <f t="shared" ref="I90:I101" si="77">H90+273.15</f>
        <v>281.15</v>
      </c>
      <c r="J90" s="18">
        <f t="shared" ref="J90:J101" si="78">EXP(($C$16*(I90-$C$14))/($C$17*I90*$C$14))</f>
        <v>0.0480520561620816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0.0136804203893446</v>
      </c>
      <c r="Q90" s="24">
        <f t="shared" ref="Q90:Q101" si="82">P90*$B$76</f>
        <v>0.0035569093012296</v>
      </c>
      <c r="R90" s="18">
        <f t="shared" ref="R90:R101" si="83">L90*$B$76</f>
        <v>0.074022</v>
      </c>
      <c r="S90" s="25">
        <f t="shared" ref="S90:S101" si="84">Q90/R90</f>
        <v>0.0480520561620816</v>
      </c>
      <c r="T90" s="3">
        <v>0.01</v>
      </c>
      <c r="U90" s="26">
        <f t="shared" ref="U90:U101" si="85">S90*T90</f>
        <v>0.000480520561620816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0.00597052056162082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6.76357816603226</v>
      </c>
      <c r="E91" s="20">
        <f t="shared" ref="E91:E102" si="95">D90</f>
        <v>8</v>
      </c>
      <c r="F91" s="16" t="s">
        <v>110</v>
      </c>
      <c r="G91" s="13">
        <v>2</v>
      </c>
      <c r="H91" s="18">
        <f t="shared" si="76"/>
        <v>6.76357816603226</v>
      </c>
      <c r="I91" s="18">
        <f t="shared" si="77"/>
        <v>279.913578166032</v>
      </c>
      <c r="J91" s="18">
        <f t="shared" si="78"/>
        <v>0.0412359297128834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0.555719579610655</v>
      </c>
      <c r="P91" s="18">
        <f t="shared" si="81"/>
        <v>0.0229156135248981</v>
      </c>
      <c r="Q91" s="24">
        <f t="shared" si="82"/>
        <v>0.00595805951647351</v>
      </c>
      <c r="R91" s="18">
        <f t="shared" si="83"/>
        <v>0.074022</v>
      </c>
      <c r="S91" s="25">
        <f t="shared" si="84"/>
        <v>0.0804903882153077</v>
      </c>
      <c r="T91" s="3">
        <v>0.01</v>
      </c>
      <c r="U91" s="26">
        <f t="shared" si="85"/>
        <v>0.000804903882153077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0.00629490388215308</v>
      </c>
      <c r="AU91" s="29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9.01173954344828</v>
      </c>
      <c r="E92" s="20">
        <f t="shared" si="95"/>
        <v>6.76357816603226</v>
      </c>
      <c r="F92" s="16" t="s">
        <v>110</v>
      </c>
      <c r="G92" s="13">
        <v>3</v>
      </c>
      <c r="H92" s="18">
        <f t="shared" si="76"/>
        <v>9.01173954344828</v>
      </c>
      <c r="I92" s="18">
        <f t="shared" si="77"/>
        <v>282.161739543448</v>
      </c>
      <c r="J92" s="18">
        <f t="shared" si="78"/>
        <v>0.0544054297599797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0.817503966085757</v>
      </c>
      <c r="P92" s="18">
        <f t="shared" si="81"/>
        <v>0.0444766546053835</v>
      </c>
      <c r="Q92" s="24">
        <f t="shared" si="82"/>
        <v>0.0115639301973997</v>
      </c>
      <c r="R92" s="18">
        <f t="shared" si="83"/>
        <v>0.074022</v>
      </c>
      <c r="S92" s="25">
        <f t="shared" si="84"/>
        <v>0.156222882351189</v>
      </c>
      <c r="T92" s="3">
        <v>0.01</v>
      </c>
      <c r="U92" s="26">
        <f t="shared" si="85"/>
        <v>0.00156222882351189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0.00705222882351189</v>
      </c>
      <c r="AU92" s="29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9">
        <v>13.2569875770323</v>
      </c>
      <c r="E93" s="20">
        <f t="shared" si="95"/>
        <v>9.01173954344828</v>
      </c>
      <c r="F93" s="16" t="s">
        <v>110</v>
      </c>
      <c r="G93" s="13">
        <v>4</v>
      </c>
      <c r="H93" s="18">
        <f t="shared" si="76"/>
        <v>13.2569875770323</v>
      </c>
      <c r="I93" s="18">
        <f t="shared" si="77"/>
        <v>286.406987577032</v>
      </c>
      <c r="J93" s="18">
        <f t="shared" si="78"/>
        <v>0.0907359740668852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1.05772731148037</v>
      </c>
      <c r="P93" s="18">
        <f t="shared" si="81"/>
        <v>0.0959739179043194</v>
      </c>
      <c r="Q93" s="24">
        <f t="shared" si="82"/>
        <v>0.0249532186551231</v>
      </c>
      <c r="R93" s="18">
        <f t="shared" si="83"/>
        <v>0.074022</v>
      </c>
      <c r="S93" s="25">
        <f t="shared" si="84"/>
        <v>0.337105436966349</v>
      </c>
      <c r="T93" s="3">
        <v>0.01</v>
      </c>
      <c r="U93" s="26">
        <f t="shared" si="85"/>
        <v>0.00337105436966349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0.0133210543696635</v>
      </c>
      <c r="AU93" s="29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9">
        <v>19.8627960713333</v>
      </c>
      <c r="E94" s="20">
        <f t="shared" si="95"/>
        <v>13.2569875770323</v>
      </c>
      <c r="F94" s="16" t="s">
        <v>110</v>
      </c>
      <c r="G94" s="13">
        <v>5</v>
      </c>
      <c r="H94" s="18">
        <f t="shared" si="76"/>
        <v>19.8627960713333</v>
      </c>
      <c r="I94" s="18">
        <f t="shared" si="77"/>
        <v>293.012796071333</v>
      </c>
      <c r="J94" s="18">
        <f t="shared" si="78"/>
        <v>0.195269807816679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0.913665723897252</v>
      </c>
      <c r="O94" s="18">
        <f t="shared" si="96"/>
        <v>0.332787669678803</v>
      </c>
      <c r="P94" s="18">
        <f t="shared" si="81"/>
        <v>0.0649833843019402</v>
      </c>
      <c r="Q94" s="24">
        <f t="shared" si="82"/>
        <v>0.0168956799185045</v>
      </c>
      <c r="R94" s="18">
        <f t="shared" si="83"/>
        <v>0.074022</v>
      </c>
      <c r="S94" s="25">
        <f t="shared" si="84"/>
        <v>0.228252140154339</v>
      </c>
      <c r="T94" s="3">
        <v>0.01</v>
      </c>
      <c r="U94" s="26">
        <f t="shared" si="85"/>
        <v>0.00228252140154339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0.0122325214015434</v>
      </c>
      <c r="AU94" s="29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9">
        <v>22.7101877435484</v>
      </c>
      <c r="E95" s="20">
        <f t="shared" si="95"/>
        <v>19.8627960713333</v>
      </c>
      <c r="F95" s="16" t="s">
        <v>112</v>
      </c>
      <c r="G95" s="13">
        <v>6</v>
      </c>
      <c r="H95" s="18">
        <f t="shared" si="76"/>
        <v>22.7101877435484</v>
      </c>
      <c r="I95" s="18">
        <f t="shared" si="77"/>
        <v>295.860187743548</v>
      </c>
      <c r="J95" s="18">
        <f t="shared" si="78"/>
        <v>0.268859954038521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0.552504285376862</v>
      </c>
      <c r="P95" s="18">
        <f t="shared" si="81"/>
        <v>0.148546276772509</v>
      </c>
      <c r="Q95" s="24">
        <f t="shared" si="82"/>
        <v>0.0386220319608524</v>
      </c>
      <c r="R95" s="18">
        <f t="shared" si="83"/>
        <v>0.074022</v>
      </c>
      <c r="S95" s="25">
        <f t="shared" si="84"/>
        <v>0.521764231726411</v>
      </c>
      <c r="T95" s="3">
        <v>0.01</v>
      </c>
      <c r="U95" s="26">
        <f t="shared" si="85"/>
        <v>0.00521764231726411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0.0151676423172641</v>
      </c>
      <c r="AU95" s="29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9">
        <v>26.814402464</v>
      </c>
      <c r="E96" s="20">
        <f t="shared" si="95"/>
        <v>22.7101877435484</v>
      </c>
      <c r="F96" s="16" t="s">
        <v>110</v>
      </c>
      <c r="G96" s="13">
        <v>7</v>
      </c>
      <c r="H96" s="18">
        <f t="shared" si="76"/>
        <v>26.814402464</v>
      </c>
      <c r="I96" s="18">
        <f t="shared" si="77"/>
        <v>299.964402464</v>
      </c>
      <c r="J96" s="18">
        <f t="shared" si="78"/>
        <v>0.421777454412999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0.688658008604353</v>
      </c>
      <c r="P96" s="18">
        <f t="shared" si="81"/>
        <v>0.290460421830269</v>
      </c>
      <c r="Q96" s="24">
        <f t="shared" si="82"/>
        <v>0.07551970967587</v>
      </c>
      <c r="R96" s="18">
        <f t="shared" si="83"/>
        <v>0.074022</v>
      </c>
      <c r="S96" s="25">
        <f t="shared" si="84"/>
        <v>1.02023330463741</v>
      </c>
      <c r="T96" s="3">
        <v>0.01</v>
      </c>
      <c r="U96" s="26">
        <f t="shared" si="85"/>
        <v>0.010202333046374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0.025102333046374</v>
      </c>
      <c r="AU96" s="29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9">
        <v>29.3605978441935</v>
      </c>
      <c r="E97" s="20">
        <f t="shared" si="95"/>
        <v>26.814402464</v>
      </c>
      <c r="F97" s="16" t="s">
        <v>110</v>
      </c>
      <c r="G97" s="13">
        <v>8</v>
      </c>
      <c r="H97" s="18">
        <f t="shared" si="76"/>
        <v>29.3605978441935</v>
      </c>
      <c r="I97" s="18">
        <f t="shared" si="77"/>
        <v>302.510597844193</v>
      </c>
      <c r="J97" s="18">
        <f t="shared" si="78"/>
        <v>0.554290093692828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0.682897586774084</v>
      </c>
      <c r="P97" s="18">
        <f t="shared" si="81"/>
        <v>0.378523367355613</v>
      </c>
      <c r="Q97" s="24">
        <f t="shared" si="82"/>
        <v>0.0984160755124594</v>
      </c>
      <c r="R97" s="18">
        <f t="shared" si="83"/>
        <v>0.074022</v>
      </c>
      <c r="S97" s="25">
        <f t="shared" si="84"/>
        <v>1.32955169425927</v>
      </c>
      <c r="T97" s="3">
        <v>0.01</v>
      </c>
      <c r="U97" s="26">
        <f t="shared" si="85"/>
        <v>0.0132955169425927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0.0281955169425927</v>
      </c>
      <c r="AU97" s="29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9">
        <v>28.9389991035484</v>
      </c>
      <c r="E98" s="20">
        <f t="shared" si="95"/>
        <v>29.3605978441935</v>
      </c>
      <c r="F98" s="16" t="s">
        <v>110</v>
      </c>
      <c r="G98" s="13">
        <v>9</v>
      </c>
      <c r="H98" s="18">
        <f t="shared" si="76"/>
        <v>28.9389991035484</v>
      </c>
      <c r="I98" s="18">
        <f t="shared" si="77"/>
        <v>302.088999103548</v>
      </c>
      <c r="J98" s="18">
        <f t="shared" si="78"/>
        <v>0.529942337455677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0.589074219418471</v>
      </c>
      <c r="P98" s="18">
        <f t="shared" si="81"/>
        <v>0.312175368773503</v>
      </c>
      <c r="Q98" s="24">
        <f t="shared" si="82"/>
        <v>0.0811655958811107</v>
      </c>
      <c r="R98" s="18">
        <f t="shared" si="83"/>
        <v>0.074022</v>
      </c>
      <c r="S98" s="25">
        <f t="shared" si="84"/>
        <v>1.09650638838603</v>
      </c>
      <c r="T98" s="3">
        <v>0.01</v>
      </c>
      <c r="U98" s="26">
        <f t="shared" si="85"/>
        <v>0.0109650638838603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0.0209150638838603</v>
      </c>
      <c r="AU98" s="29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9">
        <v>24.9196151313333</v>
      </c>
      <c r="E99" s="20">
        <f t="shared" si="95"/>
        <v>28.9389991035484</v>
      </c>
      <c r="F99" s="16" t="s">
        <v>110</v>
      </c>
      <c r="G99" s="13">
        <v>10</v>
      </c>
      <c r="H99" s="18">
        <f t="shared" si="76"/>
        <v>24.9196151313333</v>
      </c>
      <c r="I99" s="18">
        <f t="shared" si="77"/>
        <v>298.069615131333</v>
      </c>
      <c r="J99" s="18">
        <f t="shared" si="78"/>
        <v>0.343138877915997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0.561598850644968</v>
      </c>
      <c r="P99" s="18">
        <f t="shared" si="81"/>
        <v>0.192706399449228</v>
      </c>
      <c r="Q99" s="24">
        <f t="shared" si="82"/>
        <v>0.0501036638567993</v>
      </c>
      <c r="R99" s="18">
        <f t="shared" si="83"/>
        <v>0.074022</v>
      </c>
      <c r="S99" s="25">
        <f t="shared" si="84"/>
        <v>0.676875305406491</v>
      </c>
      <c r="T99" s="3">
        <v>0.01</v>
      </c>
      <c r="U99" s="26">
        <f t="shared" si="85"/>
        <v>0.00676875305406491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0.0167187530540649</v>
      </c>
      <c r="AU99" s="29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9">
        <v>21.0925782148387</v>
      </c>
      <c r="E100" s="20">
        <f t="shared" si="95"/>
        <v>24.9196151313333</v>
      </c>
      <c r="F100" s="16" t="s">
        <v>110</v>
      </c>
      <c r="G100" s="13">
        <v>11</v>
      </c>
      <c r="H100" s="18">
        <f t="shared" si="76"/>
        <v>21.0925782148387</v>
      </c>
      <c r="I100" s="18">
        <f t="shared" si="77"/>
        <v>294.242578214839</v>
      </c>
      <c r="J100" s="18">
        <f t="shared" si="78"/>
        <v>0.224363187774044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0.350447828635953</v>
      </c>
      <c r="O100" s="18">
        <f t="shared" si="96"/>
        <v>0.303144622559787</v>
      </c>
      <c r="P100" s="18">
        <f t="shared" si="81"/>
        <v>0.0680144938740732</v>
      </c>
      <c r="Q100" s="24">
        <f t="shared" si="82"/>
        <v>0.017683768407259</v>
      </c>
      <c r="R100" s="18">
        <f t="shared" si="83"/>
        <v>0.074022</v>
      </c>
      <c r="S100" s="25">
        <f t="shared" si="84"/>
        <v>0.238898819368013</v>
      </c>
      <c r="T100" s="3">
        <v>0.01</v>
      </c>
      <c r="U100" s="26">
        <f t="shared" si="85"/>
        <v>0.00238898819368013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0.00787898819368012</v>
      </c>
      <c r="AU100" s="29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9">
        <v>13.9658757627</v>
      </c>
      <c r="E101" s="20">
        <f t="shared" si="95"/>
        <v>21.0925782148387</v>
      </c>
      <c r="F101" s="16" t="s">
        <v>112</v>
      </c>
      <c r="G101" s="13">
        <v>12</v>
      </c>
      <c r="H101" s="18">
        <f t="shared" si="76"/>
        <v>13.9658757627</v>
      </c>
      <c r="I101" s="18">
        <f t="shared" si="77"/>
        <v>287.1158757627</v>
      </c>
      <c r="J101" s="18">
        <f t="shared" si="78"/>
        <v>0.098680835587392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0.519830128685714</v>
      </c>
      <c r="P101" s="18">
        <f t="shared" si="81"/>
        <v>0.0512972714622077</v>
      </c>
      <c r="Q101" s="24">
        <f t="shared" si="82"/>
        <v>0.013337290580174</v>
      </c>
      <c r="R101" s="18">
        <f t="shared" si="83"/>
        <v>0.074022</v>
      </c>
      <c r="S101" s="25">
        <f t="shared" si="84"/>
        <v>0.180180089435222</v>
      </c>
      <c r="T101" s="3">
        <v>0.01</v>
      </c>
      <c r="U101" s="26">
        <f t="shared" si="85"/>
        <v>0.00180180089435222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0.00729180089435222</v>
      </c>
      <c r="AU101" s="29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9">
        <v>10.1802794143226</v>
      </c>
      <c r="E102" s="20">
        <f t="shared" si="95"/>
        <v>13.9658757627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topLeftCell="A25" workbookViewId="0">
      <selection activeCell="H8" sqref="H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771.409034833981</v>
      </c>
      <c r="F2" s="3">
        <v>769.42</v>
      </c>
      <c r="G2" s="7">
        <f>(F2+F3+F4)/3</f>
        <v>1231.02333333333</v>
      </c>
      <c r="H2" s="3">
        <v>0.18</v>
      </c>
      <c r="I2" s="21">
        <f>(H2+H3+H4)/3</f>
        <v>0.173333333333333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1268.01</v>
      </c>
      <c r="G3" s="9"/>
      <c r="H3" s="3">
        <v>0.24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3647.83465794309</v>
      </c>
      <c r="F5" s="3">
        <v>91.104</v>
      </c>
      <c r="G5" s="7">
        <f>(F5+F6)/2</f>
        <v>92.50925</v>
      </c>
      <c r="H5" s="3">
        <v>0.18</v>
      </c>
      <c r="I5" s="21">
        <f>(H5+H6)/2</f>
        <v>0.185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0.19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6795.54688121451</v>
      </c>
      <c r="F7" s="3">
        <v>108.2955</v>
      </c>
      <c r="G7" s="3"/>
      <c r="H7" s="3">
        <v>0.45</v>
      </c>
      <c r="M7" s="2"/>
    </row>
    <row r="8" s="1" customFormat="1" spans="1:13">
      <c r="A8" s="4" t="s">
        <v>49</v>
      </c>
      <c r="B8" s="5"/>
      <c r="C8" s="3"/>
      <c r="D8" s="3"/>
      <c r="E8" s="12">
        <v>0.9282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12">
        <v>11.95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12">
        <v>0.389983853869375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AV38+AV53+AG69+AY85+AY101+BB101</f>
        <v>182988178.281614</v>
      </c>
      <c r="J14" s="14" t="s">
        <v>35</v>
      </c>
      <c r="K14" s="14">
        <f>I14/(10000*1000)</f>
        <v>18.2988178281614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38">
        <v>122125872.327769</v>
      </c>
      <c r="J15" s="14" t="s">
        <v>35</v>
      </c>
      <c r="K15" s="14">
        <f>I15/(10000*1000)</f>
        <v>12.2125872327769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1231.02333333333</v>
      </c>
      <c r="C27" s="16" t="s">
        <v>109</v>
      </c>
      <c r="D27" s="17">
        <v>0</v>
      </c>
      <c r="E27" s="16"/>
      <c r="F27" s="16"/>
      <c r="G27" s="13">
        <v>1</v>
      </c>
      <c r="H27" s="18">
        <f t="shared" ref="H27:H38" si="0">E28</f>
        <v>0</v>
      </c>
      <c r="I27" s="18">
        <f t="shared" ref="I27:I38" si="1">H27+273.15</f>
        <v>273.15</v>
      </c>
      <c r="J27" s="18">
        <f t="shared" ref="J27:J38" si="2">EXP(($C$16*(I27-$C$14))/($C$17*I27*$C$14))</f>
        <v>0.0174263747487528</v>
      </c>
      <c r="K27" s="18">
        <f t="shared" ref="K27:K38" si="3">$B$27/12</f>
        <v>102.585277777778</v>
      </c>
      <c r="L27" s="18">
        <f t="shared" ref="L27:L38" si="4">K27*$B$28/100</f>
        <v>1.02585277777778</v>
      </c>
      <c r="M27" s="13" t="s">
        <v>110</v>
      </c>
      <c r="N27" s="13"/>
      <c r="O27" s="18">
        <f>L27</f>
        <v>1.02585277777778</v>
      </c>
      <c r="P27" s="18">
        <f t="shared" ref="P27:P38" si="5">O27*J27</f>
        <v>0.0178768949426046</v>
      </c>
      <c r="Q27" s="24">
        <f t="shared" ref="Q27:Q38" si="6">P27*$B$29</f>
        <v>0.00309866179005146</v>
      </c>
      <c r="R27" s="18">
        <f t="shared" ref="R27:R38" si="7">L27*$B$29</f>
        <v>0.177814481481481</v>
      </c>
      <c r="S27" s="25">
        <f t="shared" ref="S27:S38" si="8">Q27/R27</f>
        <v>0.0174263747487528</v>
      </c>
      <c r="T27" s="3">
        <v>0.01</v>
      </c>
      <c r="U27" s="26">
        <f t="shared" ref="U27:U38" si="9">S27*T27</f>
        <v>0.000174263747487528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0.0220742637474875</v>
      </c>
      <c r="AR27" s="29">
        <f t="shared" ref="AR27:AR38" si="15">$B$27/12</f>
        <v>102.585277777778</v>
      </c>
      <c r="AS27" s="1">
        <f t="shared" ref="AS27:AS38" si="16">$B$29</f>
        <v>0.173333333333333</v>
      </c>
      <c r="AT27" s="2">
        <f>$E$2/12</f>
        <v>64.2840862361651</v>
      </c>
      <c r="AU27" s="1">
        <f t="shared" ref="AU27:AU38" si="17">AT27*10000*AS27*0.67*AR27*AQ27</f>
        <v>169056.406265557</v>
      </c>
    </row>
    <row r="28" s="1" customFormat="1" spans="1:47">
      <c r="A28" s="13" t="s">
        <v>111</v>
      </c>
      <c r="B28" s="13">
        <v>1</v>
      </c>
      <c r="C28" s="16">
        <v>1</v>
      </c>
      <c r="D28" s="37">
        <v>-2.22577715009677</v>
      </c>
      <c r="E28" s="20">
        <f t="shared" ref="E28:E39" si="18">D27</f>
        <v>0</v>
      </c>
      <c r="F28" s="16" t="s">
        <v>110</v>
      </c>
      <c r="G28" s="13">
        <v>2</v>
      </c>
      <c r="H28" s="18">
        <f t="shared" si="0"/>
        <v>-2.22577715009677</v>
      </c>
      <c r="I28" s="18">
        <f t="shared" si="1"/>
        <v>270.924222849903</v>
      </c>
      <c r="J28" s="18">
        <f t="shared" si="2"/>
        <v>0.0130023837753923</v>
      </c>
      <c r="K28" s="18">
        <f t="shared" si="3"/>
        <v>102.585277777778</v>
      </c>
      <c r="L28" s="18">
        <f t="shared" si="4"/>
        <v>1.02585277777778</v>
      </c>
      <c r="M28" s="13" t="s">
        <v>110</v>
      </c>
      <c r="N28" s="13"/>
      <c r="O28" s="18">
        <f t="shared" ref="O28:O38" si="19">L28+O27-P27-N28</f>
        <v>2.03382866061295</v>
      </c>
      <c r="P28" s="18">
        <f t="shared" si="5"/>
        <v>0.0264446207786817</v>
      </c>
      <c r="Q28" s="24">
        <f t="shared" si="6"/>
        <v>0.00458373426830483</v>
      </c>
      <c r="R28" s="18">
        <f t="shared" si="7"/>
        <v>0.177814481481481</v>
      </c>
      <c r="S28" s="25">
        <f t="shared" si="8"/>
        <v>0.0257781831384875</v>
      </c>
      <c r="T28" s="3">
        <v>0.01</v>
      </c>
      <c r="U28" s="26">
        <f t="shared" si="9"/>
        <v>0.000257781831384875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0.0221577818313849</v>
      </c>
      <c r="AR28" s="29">
        <f t="shared" si="15"/>
        <v>102.585277777778</v>
      </c>
      <c r="AS28" s="1">
        <f t="shared" si="16"/>
        <v>0.173333333333333</v>
      </c>
      <c r="AT28" s="2">
        <f t="shared" ref="AT28:AT38" si="20">$E$2/12</f>
        <v>64.2840862361651</v>
      </c>
      <c r="AU28" s="1">
        <f t="shared" si="17"/>
        <v>169696.031998192</v>
      </c>
    </row>
    <row r="29" s="1" customFormat="1" spans="1:47">
      <c r="A29" s="13" t="s">
        <v>73</v>
      </c>
      <c r="B29" s="13">
        <f>I2</f>
        <v>0.173333333333333</v>
      </c>
      <c r="C29" s="16">
        <v>2</v>
      </c>
      <c r="D29" s="37">
        <v>2.42270351441379</v>
      </c>
      <c r="E29" s="20">
        <f t="shared" si="18"/>
        <v>-2.22577715009677</v>
      </c>
      <c r="F29" s="16" t="s">
        <v>110</v>
      </c>
      <c r="G29" s="13">
        <v>3</v>
      </c>
      <c r="H29" s="18">
        <f t="shared" si="0"/>
        <v>2.42270351441379</v>
      </c>
      <c r="I29" s="18">
        <f t="shared" si="1"/>
        <v>275.572703514414</v>
      </c>
      <c r="J29" s="18">
        <f t="shared" si="2"/>
        <v>0.0238401266969918</v>
      </c>
      <c r="K29" s="18">
        <f t="shared" si="3"/>
        <v>102.585277777778</v>
      </c>
      <c r="L29" s="18">
        <f t="shared" si="4"/>
        <v>1.02585277777778</v>
      </c>
      <c r="M29" s="13" t="s">
        <v>110</v>
      </c>
      <c r="N29" s="13"/>
      <c r="O29" s="18">
        <f t="shared" si="19"/>
        <v>3.03323681761205</v>
      </c>
      <c r="P29" s="18">
        <f t="shared" si="5"/>
        <v>0.0723127500338514</v>
      </c>
      <c r="Q29" s="24">
        <f t="shared" si="6"/>
        <v>0.0125342100058676</v>
      </c>
      <c r="R29" s="18">
        <f t="shared" si="7"/>
        <v>0.177814481481481</v>
      </c>
      <c r="S29" s="25">
        <f t="shared" si="8"/>
        <v>0.0704903779570561</v>
      </c>
      <c r="T29" s="3">
        <v>0.01</v>
      </c>
      <c r="U29" s="26">
        <f t="shared" si="9"/>
        <v>0.000704903779570561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0.0226049037795706</v>
      </c>
      <c r="AR29" s="29">
        <f t="shared" si="15"/>
        <v>102.585277777778</v>
      </c>
      <c r="AS29" s="1">
        <f t="shared" si="16"/>
        <v>0.173333333333333</v>
      </c>
      <c r="AT29" s="2">
        <f t="shared" si="20"/>
        <v>64.2840862361651</v>
      </c>
      <c r="AU29" s="1">
        <f t="shared" si="17"/>
        <v>173120.328753337</v>
      </c>
    </row>
    <row r="30" s="1" customFormat="1" spans="1:47">
      <c r="A30" s="13"/>
      <c r="B30" s="13"/>
      <c r="C30" s="16">
        <v>3</v>
      </c>
      <c r="D30" s="37">
        <v>9.5972272636129</v>
      </c>
      <c r="E30" s="20">
        <f t="shared" si="18"/>
        <v>2.42270351441379</v>
      </c>
      <c r="F30" s="16" t="s">
        <v>110</v>
      </c>
      <c r="G30" s="13">
        <v>4</v>
      </c>
      <c r="H30" s="18">
        <f t="shared" si="0"/>
        <v>9.5972272636129</v>
      </c>
      <c r="I30" s="18">
        <f t="shared" si="1"/>
        <v>282.747227263613</v>
      </c>
      <c r="J30" s="18">
        <f t="shared" si="2"/>
        <v>0.0584352727693813</v>
      </c>
      <c r="K30" s="18">
        <f t="shared" si="3"/>
        <v>102.585277777778</v>
      </c>
      <c r="L30" s="18">
        <f t="shared" si="4"/>
        <v>1.02585277777778</v>
      </c>
      <c r="M30" s="13" t="s">
        <v>110</v>
      </c>
      <c r="N30" s="13"/>
      <c r="O30" s="18">
        <f t="shared" si="19"/>
        <v>3.98677684535597</v>
      </c>
      <c r="P30" s="18">
        <f t="shared" si="5"/>
        <v>0.23296839242903</v>
      </c>
      <c r="Q30" s="24">
        <f t="shared" si="6"/>
        <v>0.0403811880210318</v>
      </c>
      <c r="R30" s="18">
        <f t="shared" si="7"/>
        <v>0.177814481481481</v>
      </c>
      <c r="S30" s="25">
        <f t="shared" si="8"/>
        <v>0.227097296488966</v>
      </c>
      <c r="T30" s="3">
        <v>0.01</v>
      </c>
      <c r="U30" s="26">
        <f t="shared" si="9"/>
        <v>0.00227097296488966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0.0317209729648897</v>
      </c>
      <c r="AR30" s="29">
        <f t="shared" si="15"/>
        <v>102.585277777778</v>
      </c>
      <c r="AS30" s="1">
        <f t="shared" si="16"/>
        <v>0.173333333333333</v>
      </c>
      <c r="AT30" s="2">
        <f t="shared" si="20"/>
        <v>64.2840862361651</v>
      </c>
      <c r="AU30" s="1">
        <f t="shared" si="17"/>
        <v>242936.016078973</v>
      </c>
    </row>
    <row r="31" s="1" customFormat="1" spans="1:47">
      <c r="A31" s="13"/>
      <c r="B31" s="13"/>
      <c r="C31" s="16">
        <v>4</v>
      </c>
      <c r="D31" s="37">
        <v>16.5237593183333</v>
      </c>
      <c r="E31" s="20">
        <f t="shared" si="18"/>
        <v>9.5972272636129</v>
      </c>
      <c r="F31" s="16" t="s">
        <v>110</v>
      </c>
      <c r="G31" s="13">
        <v>5</v>
      </c>
      <c r="H31" s="18">
        <f t="shared" si="0"/>
        <v>16.5237593183333</v>
      </c>
      <c r="I31" s="18">
        <f t="shared" si="1"/>
        <v>289.673759318333</v>
      </c>
      <c r="J31" s="18">
        <f t="shared" si="2"/>
        <v>0.133132489762849</v>
      </c>
      <c r="K31" s="18">
        <f t="shared" si="3"/>
        <v>102.585277777778</v>
      </c>
      <c r="L31" s="18">
        <f t="shared" si="4"/>
        <v>1.02585277777778</v>
      </c>
      <c r="M31" s="13" t="s">
        <v>112</v>
      </c>
      <c r="N31" s="18">
        <f>(O30-P30)*C22/100</f>
        <v>3.5661180302806</v>
      </c>
      <c r="O31" s="18">
        <f t="shared" si="19"/>
        <v>1.21354320042413</v>
      </c>
      <c r="P31" s="18">
        <f t="shared" si="5"/>
        <v>0.16156202770724</v>
      </c>
      <c r="Q31" s="24">
        <f t="shared" si="6"/>
        <v>0.0280040848025883</v>
      </c>
      <c r="R31" s="18">
        <f t="shared" si="7"/>
        <v>0.177814481481481</v>
      </c>
      <c r="S31" s="25">
        <f t="shared" si="8"/>
        <v>0.157490461796301</v>
      </c>
      <c r="T31" s="3">
        <v>0.01</v>
      </c>
      <c r="U31" s="26">
        <f t="shared" si="9"/>
        <v>0.00157490461796301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0.031024904617963</v>
      </c>
      <c r="AR31" s="29">
        <f t="shared" si="15"/>
        <v>102.585277777778</v>
      </c>
      <c r="AS31" s="1">
        <f t="shared" si="16"/>
        <v>0.173333333333333</v>
      </c>
      <c r="AT31" s="2">
        <f t="shared" si="20"/>
        <v>64.2840862361651</v>
      </c>
      <c r="AU31" s="1">
        <f t="shared" si="17"/>
        <v>237605.155915629</v>
      </c>
    </row>
    <row r="32" s="1" customFormat="1" spans="1:47">
      <c r="A32" s="13"/>
      <c r="B32" s="13"/>
      <c r="C32" s="16">
        <v>5</v>
      </c>
      <c r="D32" s="37">
        <v>19.8947827867742</v>
      </c>
      <c r="E32" s="20">
        <f t="shared" si="18"/>
        <v>16.5237593183333</v>
      </c>
      <c r="F32" s="16" t="s">
        <v>112</v>
      </c>
      <c r="G32" s="13">
        <v>6</v>
      </c>
      <c r="H32" s="18">
        <f t="shared" si="0"/>
        <v>19.8947827867742</v>
      </c>
      <c r="I32" s="18">
        <f t="shared" si="1"/>
        <v>293.044782786774</v>
      </c>
      <c r="J32" s="18">
        <f t="shared" si="2"/>
        <v>0.195979365638842</v>
      </c>
      <c r="K32" s="18">
        <f t="shared" si="3"/>
        <v>102.585277777778</v>
      </c>
      <c r="L32" s="18">
        <f t="shared" si="4"/>
        <v>1.02585277777778</v>
      </c>
      <c r="M32" s="13" t="s">
        <v>110</v>
      </c>
      <c r="N32" s="13"/>
      <c r="O32" s="18">
        <f t="shared" si="19"/>
        <v>2.07783395049466</v>
      </c>
      <c r="P32" s="18">
        <f t="shared" si="5"/>
        <v>0.407212579520793</v>
      </c>
      <c r="Q32" s="24">
        <f t="shared" si="6"/>
        <v>0.0705835137836042</v>
      </c>
      <c r="R32" s="18">
        <f t="shared" si="7"/>
        <v>0.177814481481481</v>
      </c>
      <c r="S32" s="25">
        <f t="shared" si="8"/>
        <v>0.396950311333079</v>
      </c>
      <c r="T32" s="3">
        <v>0.01</v>
      </c>
      <c r="U32" s="26">
        <f t="shared" si="9"/>
        <v>0.00396950311333079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0.0334195031133308</v>
      </c>
      <c r="AR32" s="29">
        <f t="shared" si="15"/>
        <v>102.585277777778</v>
      </c>
      <c r="AS32" s="1">
        <f t="shared" si="16"/>
        <v>0.173333333333333</v>
      </c>
      <c r="AT32" s="2">
        <f t="shared" si="20"/>
        <v>64.2840862361651</v>
      </c>
      <c r="AU32" s="1">
        <f t="shared" si="17"/>
        <v>255944.259801795</v>
      </c>
    </row>
    <row r="33" s="1" customFormat="1" spans="1:47">
      <c r="A33" s="13"/>
      <c r="B33" s="13"/>
      <c r="C33" s="16">
        <v>6</v>
      </c>
      <c r="D33" s="37">
        <v>24.6319706836667</v>
      </c>
      <c r="E33" s="20">
        <f t="shared" si="18"/>
        <v>19.8947827867742</v>
      </c>
      <c r="F33" s="16" t="s">
        <v>110</v>
      </c>
      <c r="G33" s="13">
        <v>7</v>
      </c>
      <c r="H33" s="18">
        <f t="shared" si="0"/>
        <v>24.6319706836667</v>
      </c>
      <c r="I33" s="18">
        <f t="shared" si="1"/>
        <v>297.781970683667</v>
      </c>
      <c r="J33" s="18">
        <f t="shared" si="2"/>
        <v>0.332480485309997</v>
      </c>
      <c r="K33" s="18">
        <f t="shared" si="3"/>
        <v>102.585277777778</v>
      </c>
      <c r="L33" s="18">
        <f t="shared" si="4"/>
        <v>1.02585277777778</v>
      </c>
      <c r="M33" s="13" t="s">
        <v>110</v>
      </c>
      <c r="N33" s="13"/>
      <c r="O33" s="18">
        <f t="shared" si="19"/>
        <v>2.69647414875165</v>
      </c>
      <c r="P33" s="18">
        <f t="shared" si="5"/>
        <v>0.896525033602809</v>
      </c>
      <c r="Q33" s="24">
        <f t="shared" si="6"/>
        <v>0.155397672491154</v>
      </c>
      <c r="R33" s="18">
        <f t="shared" si="7"/>
        <v>0.177814481481481</v>
      </c>
      <c r="S33" s="25">
        <f t="shared" si="8"/>
        <v>0.873931477326482</v>
      </c>
      <c r="T33" s="3">
        <v>0.01</v>
      </c>
      <c r="U33" s="26">
        <f t="shared" si="9"/>
        <v>0.00873931477326483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0.0436393147732648</v>
      </c>
      <c r="AR33" s="29">
        <f t="shared" si="15"/>
        <v>102.585277777778</v>
      </c>
      <c r="AS33" s="1">
        <f t="shared" si="16"/>
        <v>0.173333333333333</v>
      </c>
      <c r="AT33" s="2">
        <f t="shared" si="20"/>
        <v>64.2840862361651</v>
      </c>
      <c r="AU33" s="1">
        <f t="shared" si="17"/>
        <v>334212.991737913</v>
      </c>
    </row>
    <row r="34" s="1" customFormat="1" spans="1:47">
      <c r="A34" s="13"/>
      <c r="B34" s="13"/>
      <c r="C34" s="16">
        <v>7</v>
      </c>
      <c r="D34" s="37">
        <v>27.2000419932258</v>
      </c>
      <c r="E34" s="20">
        <f t="shared" si="18"/>
        <v>24.6319706836667</v>
      </c>
      <c r="F34" s="16" t="s">
        <v>110</v>
      </c>
      <c r="G34" s="13">
        <v>8</v>
      </c>
      <c r="H34" s="18">
        <f t="shared" si="0"/>
        <v>27.2000419932258</v>
      </c>
      <c r="I34" s="18">
        <f t="shared" si="1"/>
        <v>300.350041993226</v>
      </c>
      <c r="J34" s="18">
        <f t="shared" si="2"/>
        <v>0.439727468877302</v>
      </c>
      <c r="K34" s="18">
        <f t="shared" si="3"/>
        <v>102.585277777778</v>
      </c>
      <c r="L34" s="18">
        <f t="shared" si="4"/>
        <v>1.02585277777778</v>
      </c>
      <c r="M34" s="13" t="s">
        <v>110</v>
      </c>
      <c r="N34" s="13"/>
      <c r="O34" s="18">
        <f t="shared" si="19"/>
        <v>2.82580189292662</v>
      </c>
      <c r="P34" s="18">
        <f t="shared" si="5"/>
        <v>1.24258271392531</v>
      </c>
      <c r="Q34" s="24">
        <f t="shared" si="6"/>
        <v>0.215381003747054</v>
      </c>
      <c r="R34" s="18">
        <f t="shared" si="7"/>
        <v>0.177814481481481</v>
      </c>
      <c r="S34" s="25">
        <f t="shared" si="8"/>
        <v>1.21126806969029</v>
      </c>
      <c r="T34" s="3">
        <v>0.01</v>
      </c>
      <c r="U34" s="26">
        <f t="shared" si="9"/>
        <v>0.0121126806969029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0.0470126806969029</v>
      </c>
      <c r="AR34" s="29">
        <f t="shared" si="15"/>
        <v>102.585277777778</v>
      </c>
      <c r="AS34" s="1">
        <f t="shared" si="16"/>
        <v>0.173333333333333</v>
      </c>
      <c r="AT34" s="2">
        <f t="shared" si="20"/>
        <v>64.2840862361651</v>
      </c>
      <c r="AU34" s="1">
        <f t="shared" si="17"/>
        <v>360048.015120465</v>
      </c>
    </row>
    <row r="35" s="1" customFormat="1" spans="1:47">
      <c r="A35" s="13"/>
      <c r="B35" s="13"/>
      <c r="C35" s="16">
        <v>8</v>
      </c>
      <c r="D35" s="37">
        <v>26.5832505335484</v>
      </c>
      <c r="E35" s="20">
        <f t="shared" si="18"/>
        <v>27.2000419932258</v>
      </c>
      <c r="F35" s="16" t="s">
        <v>110</v>
      </c>
      <c r="G35" s="13">
        <v>9</v>
      </c>
      <c r="H35" s="18">
        <f t="shared" si="0"/>
        <v>26.5832505335484</v>
      </c>
      <c r="I35" s="18">
        <f t="shared" si="1"/>
        <v>299.733250533548</v>
      </c>
      <c r="J35" s="18">
        <f t="shared" si="2"/>
        <v>0.411350258008851</v>
      </c>
      <c r="K35" s="18">
        <f t="shared" si="3"/>
        <v>102.585277777778</v>
      </c>
      <c r="L35" s="18">
        <f t="shared" si="4"/>
        <v>1.02585277777778</v>
      </c>
      <c r="M35" s="13" t="s">
        <v>110</v>
      </c>
      <c r="N35" s="13"/>
      <c r="O35" s="18">
        <f t="shared" si="19"/>
        <v>2.60907195677908</v>
      </c>
      <c r="P35" s="18">
        <f t="shared" si="5"/>
        <v>1.07324242258473</v>
      </c>
      <c r="Q35" s="24">
        <f t="shared" si="6"/>
        <v>0.186028686581354</v>
      </c>
      <c r="R35" s="18">
        <f t="shared" si="7"/>
        <v>0.177814481481481</v>
      </c>
      <c r="S35" s="25">
        <f t="shared" si="8"/>
        <v>1.04619536626845</v>
      </c>
      <c r="T35" s="3">
        <v>0.01</v>
      </c>
      <c r="U35" s="26">
        <f t="shared" si="9"/>
        <v>0.0104619536626845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0.0399119536626845</v>
      </c>
      <c r="AR35" s="29">
        <f t="shared" si="15"/>
        <v>102.585277777778</v>
      </c>
      <c r="AS35" s="1">
        <f t="shared" si="16"/>
        <v>0.173333333333333</v>
      </c>
      <c r="AT35" s="2">
        <f t="shared" si="20"/>
        <v>64.2840862361651</v>
      </c>
      <c r="AU35" s="1">
        <f t="shared" si="17"/>
        <v>305666.885674448</v>
      </c>
    </row>
    <row r="36" s="1" customFormat="1" spans="1:47">
      <c r="A36" s="13"/>
      <c r="B36" s="13"/>
      <c r="C36" s="16">
        <v>9</v>
      </c>
      <c r="D36" s="37">
        <v>22.5902898093333</v>
      </c>
      <c r="E36" s="20">
        <f t="shared" si="18"/>
        <v>26.5832505335484</v>
      </c>
      <c r="F36" s="16" t="s">
        <v>110</v>
      </c>
      <c r="G36" s="13">
        <v>10</v>
      </c>
      <c r="H36" s="18">
        <f t="shared" si="0"/>
        <v>22.5902898093333</v>
      </c>
      <c r="I36" s="18">
        <f t="shared" si="1"/>
        <v>295.740289809333</v>
      </c>
      <c r="J36" s="18">
        <f t="shared" si="2"/>
        <v>0.26529657072589</v>
      </c>
      <c r="K36" s="18">
        <f t="shared" si="3"/>
        <v>102.585277777778</v>
      </c>
      <c r="L36" s="18">
        <f t="shared" si="4"/>
        <v>1.02585277777778</v>
      </c>
      <c r="M36" s="13" t="s">
        <v>110</v>
      </c>
      <c r="N36" s="13"/>
      <c r="O36" s="18">
        <f t="shared" si="19"/>
        <v>2.56168231197213</v>
      </c>
      <c r="P36" s="18">
        <f t="shared" si="5"/>
        <v>0.679605532655375</v>
      </c>
      <c r="Q36" s="24">
        <f t="shared" si="6"/>
        <v>0.117798292326932</v>
      </c>
      <c r="R36" s="18">
        <f t="shared" si="7"/>
        <v>0.177814481481481</v>
      </c>
      <c r="S36" s="25">
        <f t="shared" si="8"/>
        <v>0.662478620107215</v>
      </c>
      <c r="T36" s="3">
        <v>0.01</v>
      </c>
      <c r="U36" s="26">
        <f t="shared" si="9"/>
        <v>0.00662478620107215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0.0360747862010721</v>
      </c>
      <c r="AR36" s="29">
        <f t="shared" si="15"/>
        <v>102.585277777778</v>
      </c>
      <c r="AS36" s="1">
        <f t="shared" si="16"/>
        <v>0.173333333333333</v>
      </c>
      <c r="AT36" s="2">
        <f t="shared" si="20"/>
        <v>64.2840862361651</v>
      </c>
      <c r="AU36" s="1">
        <f t="shared" si="17"/>
        <v>276279.82440165</v>
      </c>
    </row>
    <row r="37" s="1" customFormat="1" spans="1:47">
      <c r="A37" s="13"/>
      <c r="B37" s="13"/>
      <c r="C37" s="16">
        <v>10</v>
      </c>
      <c r="D37" s="37">
        <v>15.6152668841936</v>
      </c>
      <c r="E37" s="20">
        <f t="shared" si="18"/>
        <v>22.5902898093333</v>
      </c>
      <c r="F37" s="16" t="s">
        <v>110</v>
      </c>
      <c r="G37" s="13">
        <v>11</v>
      </c>
      <c r="H37" s="18">
        <f t="shared" si="0"/>
        <v>15.6152668841936</v>
      </c>
      <c r="I37" s="18">
        <f t="shared" si="1"/>
        <v>288.765266884194</v>
      </c>
      <c r="J37" s="18">
        <f t="shared" si="2"/>
        <v>0.119772506520471</v>
      </c>
      <c r="K37" s="18">
        <f t="shared" si="3"/>
        <v>102.585277777778</v>
      </c>
      <c r="L37" s="18">
        <f t="shared" si="4"/>
        <v>1.02585277777778</v>
      </c>
      <c r="M37" s="13" t="s">
        <v>112</v>
      </c>
      <c r="N37" s="18">
        <f>(O36-P36)*C22/100</f>
        <v>1.78797294035092</v>
      </c>
      <c r="O37" s="18">
        <f t="shared" si="19"/>
        <v>1.11995661674362</v>
      </c>
      <c r="P37" s="18">
        <f t="shared" si="5"/>
        <v>0.134140011181569</v>
      </c>
      <c r="Q37" s="24">
        <f t="shared" si="6"/>
        <v>0.023250935271472</v>
      </c>
      <c r="R37" s="18">
        <f t="shared" si="7"/>
        <v>0.177814481481481</v>
      </c>
      <c r="S37" s="25">
        <f t="shared" si="8"/>
        <v>0.130759514510597</v>
      </c>
      <c r="T37" s="3">
        <v>0.01</v>
      </c>
      <c r="U37" s="26">
        <f t="shared" si="9"/>
        <v>0.00130759514510597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0.023207595145106</v>
      </c>
      <c r="AR37" s="29">
        <f t="shared" si="15"/>
        <v>102.585277777778</v>
      </c>
      <c r="AS37" s="1">
        <f t="shared" si="16"/>
        <v>0.173333333333333</v>
      </c>
      <c r="AT37" s="2">
        <f t="shared" si="20"/>
        <v>64.2840862361651</v>
      </c>
      <c r="AU37" s="1">
        <f t="shared" si="17"/>
        <v>177736.058523997</v>
      </c>
    </row>
    <row r="38" s="1" customFormat="1" spans="1:48">
      <c r="A38" s="13"/>
      <c r="B38" s="13"/>
      <c r="C38" s="16">
        <v>11</v>
      </c>
      <c r="D38" s="37">
        <v>7.44896313136667</v>
      </c>
      <c r="E38" s="20">
        <f t="shared" si="18"/>
        <v>15.6152668841936</v>
      </c>
      <c r="F38" s="16" t="s">
        <v>112</v>
      </c>
      <c r="G38" s="13">
        <v>12</v>
      </c>
      <c r="H38" s="18">
        <f t="shared" si="0"/>
        <v>7.44896313136667</v>
      </c>
      <c r="I38" s="18">
        <f t="shared" si="1"/>
        <v>280.598963131367</v>
      </c>
      <c r="J38" s="18">
        <f t="shared" si="2"/>
        <v>0.0448926913502052</v>
      </c>
      <c r="K38" s="18">
        <f t="shared" si="3"/>
        <v>102.585277777778</v>
      </c>
      <c r="L38" s="18">
        <f t="shared" si="4"/>
        <v>1.02585277777778</v>
      </c>
      <c r="M38" s="13" t="s">
        <v>110</v>
      </c>
      <c r="N38" s="13"/>
      <c r="O38" s="18">
        <f t="shared" si="19"/>
        <v>2.01166938333982</v>
      </c>
      <c r="P38" s="18">
        <f t="shared" si="5"/>
        <v>0.0903092527249323</v>
      </c>
      <c r="Q38" s="24">
        <f t="shared" si="6"/>
        <v>0.0156536038056549</v>
      </c>
      <c r="R38" s="18">
        <f t="shared" si="7"/>
        <v>0.177814481481481</v>
      </c>
      <c r="S38" s="25">
        <f t="shared" si="8"/>
        <v>0.0880333461888771</v>
      </c>
      <c r="T38" s="3">
        <v>0.01</v>
      </c>
      <c r="U38" s="26">
        <f t="shared" si="9"/>
        <v>0.000880333461888771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0.0227803334618888</v>
      </c>
      <c r="AR38" s="29">
        <f t="shared" si="15"/>
        <v>102.585277777778</v>
      </c>
      <c r="AS38" s="1">
        <f t="shared" si="16"/>
        <v>0.173333333333333</v>
      </c>
      <c r="AT38" s="2">
        <f t="shared" si="20"/>
        <v>64.2840862361651</v>
      </c>
      <c r="AU38" s="1">
        <f t="shared" si="17"/>
        <v>174463.862199538</v>
      </c>
      <c r="AV38" s="1">
        <f>SUM(AU27:AU38)</f>
        <v>2876765.83647149</v>
      </c>
    </row>
    <row r="39" s="1" customFormat="1" spans="1:46">
      <c r="A39" s="13"/>
      <c r="B39" s="13"/>
      <c r="C39" s="16">
        <v>12</v>
      </c>
      <c r="D39" s="37">
        <v>2.54217434116129</v>
      </c>
      <c r="E39" s="20">
        <f t="shared" si="18"/>
        <v>7.44896313136667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0</v>
      </c>
      <c r="E42" s="16"/>
      <c r="F42" s="16"/>
      <c r="G42" s="13">
        <v>1</v>
      </c>
      <c r="H42" s="18">
        <f t="shared" ref="H42:H53" si="21">E43</f>
        <v>0</v>
      </c>
      <c r="I42" s="18">
        <f t="shared" ref="I42:I53" si="22">H42+273.15</f>
        <v>273.15</v>
      </c>
      <c r="J42" s="18">
        <f t="shared" ref="J42:J53" si="23">EXP(($C$16*(I42-$C$14))/($C$17*I42*$C$14))</f>
        <v>0.0174263747487528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0.00134341738185505</v>
      </c>
      <c r="Q42" s="24">
        <f t="shared" ref="Q42:Q53" si="27">P42*$B$44</f>
        <v>0.000248532215643184</v>
      </c>
      <c r="R42" s="18">
        <f t="shared" ref="R42:R53" si="28">L42*$B$44</f>
        <v>0.0142618427083333</v>
      </c>
      <c r="S42" s="25">
        <f t="shared" ref="S42:S53" si="29">Q42/R42</f>
        <v>0.0174263747487528</v>
      </c>
      <c r="T42" s="3">
        <v>0.01</v>
      </c>
      <c r="U42" s="26">
        <f t="shared" ref="U42:U53" si="30">S42*T42</f>
        <v>0.000174263747487528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0.0149742637474875</v>
      </c>
      <c r="AR42" s="29">
        <f t="shared" ref="AR42:AR53" si="34">$B$42/12</f>
        <v>7.70910416666667</v>
      </c>
      <c r="AS42" s="1">
        <f t="shared" ref="AS42:AS53" si="35">$B$44</f>
        <v>0.185</v>
      </c>
      <c r="AT42" s="2">
        <f t="shared" ref="AT42:AT53" si="36">$E$5/12</f>
        <v>303.986221495257</v>
      </c>
      <c r="AU42" s="1">
        <f t="shared" ref="AU42:AU53" si="37">AT42*10000*AS42*0.67*AR42*AQ42</f>
        <v>43496.0503291628</v>
      </c>
    </row>
    <row r="43" s="1" customFormat="1" spans="1:47">
      <c r="A43" s="13" t="s">
        <v>111</v>
      </c>
      <c r="B43" s="13">
        <v>1</v>
      </c>
      <c r="C43" s="16">
        <v>1</v>
      </c>
      <c r="D43" s="37">
        <v>-2.22577715009677</v>
      </c>
      <c r="E43" s="20">
        <f t="shared" ref="E43:E54" si="38">D42</f>
        <v>0</v>
      </c>
      <c r="F43" s="16" t="s">
        <v>110</v>
      </c>
      <c r="G43" s="13">
        <v>2</v>
      </c>
      <c r="H43" s="18">
        <f t="shared" si="21"/>
        <v>-2.22577715009677</v>
      </c>
      <c r="I43" s="18">
        <f t="shared" si="22"/>
        <v>270.924222849903</v>
      </c>
      <c r="J43" s="18">
        <f t="shared" si="23"/>
        <v>0.0130023837753923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0.152838665951478</v>
      </c>
      <c r="P43" s="18">
        <f t="shared" si="26"/>
        <v>0.0019872669904201</v>
      </c>
      <c r="Q43" s="24">
        <f t="shared" si="27"/>
        <v>0.000367644393227719</v>
      </c>
      <c r="R43" s="18">
        <f t="shared" si="28"/>
        <v>0.0142618427083333</v>
      </c>
      <c r="S43" s="25">
        <f t="shared" si="29"/>
        <v>0.0257781831384875</v>
      </c>
      <c r="T43" s="3">
        <v>0.01</v>
      </c>
      <c r="U43" s="26">
        <f t="shared" si="30"/>
        <v>0.000257781831384875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0.0150577818313849</v>
      </c>
      <c r="AR43" s="29">
        <f t="shared" si="34"/>
        <v>7.70910416666667</v>
      </c>
      <c r="AS43" s="1">
        <f t="shared" si="35"/>
        <v>0.185</v>
      </c>
      <c r="AT43" s="2">
        <f t="shared" si="36"/>
        <v>303.986221495257</v>
      </c>
      <c r="AU43" s="1">
        <f t="shared" si="37"/>
        <v>43738.6470165094</v>
      </c>
    </row>
    <row r="44" s="1" customFormat="1" spans="1:47">
      <c r="A44" s="13" t="s">
        <v>73</v>
      </c>
      <c r="B44" s="13">
        <f>I5</f>
        <v>0.185</v>
      </c>
      <c r="C44" s="16">
        <v>2</v>
      </c>
      <c r="D44" s="37">
        <v>2.42270351441379</v>
      </c>
      <c r="E44" s="20">
        <f t="shared" si="38"/>
        <v>-2.22577715009677</v>
      </c>
      <c r="F44" s="16" t="s">
        <v>110</v>
      </c>
      <c r="G44" s="13">
        <v>3</v>
      </c>
      <c r="H44" s="18">
        <f t="shared" si="21"/>
        <v>2.42270351441379</v>
      </c>
      <c r="I44" s="18">
        <f t="shared" si="22"/>
        <v>275.572703514414</v>
      </c>
      <c r="J44" s="18">
        <f t="shared" si="23"/>
        <v>0.0238401266969918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0.227942440627725</v>
      </c>
      <c r="P44" s="18">
        <f t="shared" si="26"/>
        <v>0.00543417666418649</v>
      </c>
      <c r="Q44" s="24">
        <f t="shared" si="27"/>
        <v>0.0010053226828745</v>
      </c>
      <c r="R44" s="18">
        <f t="shared" si="28"/>
        <v>0.0142618427083333</v>
      </c>
      <c r="S44" s="25">
        <f t="shared" si="29"/>
        <v>0.0704903779570561</v>
      </c>
      <c r="T44" s="3">
        <v>0.01</v>
      </c>
      <c r="U44" s="26">
        <f t="shared" si="30"/>
        <v>0.000704903779570561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0.0155049037795706</v>
      </c>
      <c r="AR44" s="29">
        <f t="shared" si="34"/>
        <v>7.70910416666667</v>
      </c>
      <c r="AS44" s="1">
        <f t="shared" si="35"/>
        <v>0.185</v>
      </c>
      <c r="AT44" s="2">
        <f t="shared" si="36"/>
        <v>303.986221495257</v>
      </c>
      <c r="AU44" s="1">
        <f t="shared" si="37"/>
        <v>45037.4112889646</v>
      </c>
    </row>
    <row r="45" s="1" customFormat="1" spans="1:47">
      <c r="A45" s="13"/>
      <c r="B45" s="13"/>
      <c r="C45" s="16">
        <v>3</v>
      </c>
      <c r="D45" s="37">
        <v>9.5972272636129</v>
      </c>
      <c r="E45" s="20">
        <f t="shared" si="38"/>
        <v>2.42270351441379</v>
      </c>
      <c r="F45" s="16" t="s">
        <v>110</v>
      </c>
      <c r="G45" s="13">
        <v>4</v>
      </c>
      <c r="H45" s="18">
        <f t="shared" si="21"/>
        <v>9.5972272636129</v>
      </c>
      <c r="I45" s="18">
        <f t="shared" si="22"/>
        <v>282.747227263613</v>
      </c>
      <c r="J45" s="18">
        <f t="shared" si="23"/>
        <v>0.0584352727693813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0.299599305630205</v>
      </c>
      <c r="P45" s="18">
        <f t="shared" si="26"/>
        <v>0.0175071671460183</v>
      </c>
      <c r="Q45" s="24">
        <f t="shared" si="27"/>
        <v>0.00323882592201338</v>
      </c>
      <c r="R45" s="18">
        <f t="shared" si="28"/>
        <v>0.0142618427083333</v>
      </c>
      <c r="S45" s="25">
        <f t="shared" si="29"/>
        <v>0.227097296488966</v>
      </c>
      <c r="T45" s="3">
        <v>0.01</v>
      </c>
      <c r="U45" s="26">
        <f t="shared" si="30"/>
        <v>0.00227097296488966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0.0293709729648897</v>
      </c>
      <c r="AR45" s="29">
        <f t="shared" si="34"/>
        <v>7.70910416666667</v>
      </c>
      <c r="AS45" s="1">
        <f t="shared" si="35"/>
        <v>0.185</v>
      </c>
      <c r="AT45" s="2">
        <f t="shared" si="36"/>
        <v>303.986221495257</v>
      </c>
      <c r="AU45" s="1">
        <f t="shared" si="37"/>
        <v>85314.4661961541</v>
      </c>
    </row>
    <row r="46" s="1" customFormat="1" spans="1:47">
      <c r="A46" s="13"/>
      <c r="B46" s="13"/>
      <c r="C46" s="16">
        <v>4</v>
      </c>
      <c r="D46" s="37">
        <v>16.5237593183333</v>
      </c>
      <c r="E46" s="20">
        <f t="shared" si="38"/>
        <v>9.5972272636129</v>
      </c>
      <c r="F46" s="16" t="s">
        <v>110</v>
      </c>
      <c r="G46" s="13">
        <v>5</v>
      </c>
      <c r="H46" s="18">
        <f t="shared" si="21"/>
        <v>16.5237593183333</v>
      </c>
      <c r="I46" s="18">
        <f t="shared" si="22"/>
        <v>289.673759318333</v>
      </c>
      <c r="J46" s="18">
        <f t="shared" si="23"/>
        <v>0.133132489762849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0.267987531559977</v>
      </c>
      <c r="O46" s="18">
        <f t="shared" si="39"/>
        <v>0.091195648590876</v>
      </c>
      <c r="P46" s="18">
        <f t="shared" si="26"/>
        <v>0.0121411037524412</v>
      </c>
      <c r="Q46" s="24">
        <f t="shared" si="27"/>
        <v>0.00224610419420162</v>
      </c>
      <c r="R46" s="18">
        <f t="shared" si="28"/>
        <v>0.0142618427083333</v>
      </c>
      <c r="S46" s="25">
        <f t="shared" si="29"/>
        <v>0.1574904617963</v>
      </c>
      <c r="T46" s="3">
        <v>0.01</v>
      </c>
      <c r="U46" s="26">
        <f t="shared" si="30"/>
        <v>0.001574904617963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0.028674904617963</v>
      </c>
      <c r="AR46" s="29">
        <f t="shared" si="34"/>
        <v>7.70910416666667</v>
      </c>
      <c r="AS46" s="1">
        <f t="shared" si="35"/>
        <v>0.185</v>
      </c>
      <c r="AT46" s="2">
        <f t="shared" si="36"/>
        <v>303.986221495257</v>
      </c>
      <c r="AU46" s="1">
        <f t="shared" si="37"/>
        <v>83292.5822250281</v>
      </c>
    </row>
    <row r="47" s="1" customFormat="1" spans="1:47">
      <c r="A47" s="13"/>
      <c r="B47" s="13"/>
      <c r="C47" s="16">
        <v>5</v>
      </c>
      <c r="D47" s="37">
        <v>19.8947827867742</v>
      </c>
      <c r="E47" s="20">
        <f t="shared" si="38"/>
        <v>16.5237593183333</v>
      </c>
      <c r="F47" s="16" t="s">
        <v>112</v>
      </c>
      <c r="G47" s="13">
        <v>6</v>
      </c>
      <c r="H47" s="18">
        <f t="shared" si="21"/>
        <v>19.8947827867742</v>
      </c>
      <c r="I47" s="18">
        <f t="shared" si="22"/>
        <v>293.044782786774</v>
      </c>
      <c r="J47" s="18">
        <f t="shared" si="23"/>
        <v>0.195979365638842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0.156145586505101</v>
      </c>
      <c r="P47" s="18">
        <f t="shared" si="26"/>
        <v>0.0306013129905747</v>
      </c>
      <c r="Q47" s="24">
        <f t="shared" si="27"/>
        <v>0.00566124290325632</v>
      </c>
      <c r="R47" s="18">
        <f t="shared" si="28"/>
        <v>0.0142618427083333</v>
      </c>
      <c r="S47" s="25">
        <f t="shared" si="29"/>
        <v>0.396950311333079</v>
      </c>
      <c r="T47" s="3">
        <v>0.01</v>
      </c>
      <c r="U47" s="26">
        <f t="shared" si="30"/>
        <v>0.00396950311333079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0.0310695031133308</v>
      </c>
      <c r="AR47" s="29">
        <f t="shared" si="34"/>
        <v>7.70910416666667</v>
      </c>
      <c r="AS47" s="1">
        <f t="shared" si="35"/>
        <v>0.185</v>
      </c>
      <c r="AT47" s="2">
        <f t="shared" si="36"/>
        <v>303.986221495257</v>
      </c>
      <c r="AU47" s="1">
        <f t="shared" si="37"/>
        <v>90248.2214757479</v>
      </c>
    </row>
    <row r="48" s="1" customFormat="1" spans="1:47">
      <c r="A48" s="13"/>
      <c r="B48" s="13"/>
      <c r="C48" s="16">
        <v>6</v>
      </c>
      <c r="D48" s="37">
        <v>24.6319706836667</v>
      </c>
      <c r="E48" s="20">
        <f t="shared" si="38"/>
        <v>19.8947827867742</v>
      </c>
      <c r="F48" s="16" t="s">
        <v>110</v>
      </c>
      <c r="G48" s="13">
        <v>7</v>
      </c>
      <c r="H48" s="18">
        <f t="shared" si="21"/>
        <v>24.6319706836667</v>
      </c>
      <c r="I48" s="18">
        <f t="shared" si="22"/>
        <v>297.781970683667</v>
      </c>
      <c r="J48" s="18">
        <f t="shared" si="23"/>
        <v>0.332480485309997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0.202635315181193</v>
      </c>
      <c r="P48" s="18">
        <f t="shared" si="26"/>
        <v>0.0673722879323874</v>
      </c>
      <c r="Q48" s="24">
        <f t="shared" si="27"/>
        <v>0.0124638732674917</v>
      </c>
      <c r="R48" s="18">
        <f t="shared" si="28"/>
        <v>0.0142618427083333</v>
      </c>
      <c r="S48" s="25">
        <f t="shared" si="29"/>
        <v>0.873931477326482</v>
      </c>
      <c r="T48" s="3">
        <v>0.01</v>
      </c>
      <c r="U48" s="26">
        <f t="shared" si="30"/>
        <v>0.00873931477326482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0.0432393147732648</v>
      </c>
      <c r="AR48" s="29">
        <f t="shared" si="34"/>
        <v>7.70910416666667</v>
      </c>
      <c r="AS48" s="1">
        <f t="shared" si="35"/>
        <v>0.185</v>
      </c>
      <c r="AT48" s="2">
        <f t="shared" si="36"/>
        <v>303.986221495257</v>
      </c>
      <c r="AU48" s="1">
        <f t="shared" si="37"/>
        <v>125598.12243804</v>
      </c>
    </row>
    <row r="49" s="1" customFormat="1" spans="1:47">
      <c r="A49" s="13"/>
      <c r="B49" s="13"/>
      <c r="C49" s="16">
        <v>7</v>
      </c>
      <c r="D49" s="37">
        <v>27.2000419932258</v>
      </c>
      <c r="E49" s="20">
        <f t="shared" si="38"/>
        <v>24.6319706836667</v>
      </c>
      <c r="F49" s="16" t="s">
        <v>110</v>
      </c>
      <c r="G49" s="13">
        <v>8</v>
      </c>
      <c r="H49" s="18">
        <f t="shared" si="21"/>
        <v>27.2000419932258</v>
      </c>
      <c r="I49" s="18">
        <f t="shared" si="22"/>
        <v>300.350041993226</v>
      </c>
      <c r="J49" s="18">
        <f t="shared" si="23"/>
        <v>0.439727468877302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0.212354068915473</v>
      </c>
      <c r="P49" s="18">
        <f t="shared" si="26"/>
        <v>0.093377917229997</v>
      </c>
      <c r="Q49" s="24">
        <f t="shared" si="27"/>
        <v>0.0172749146875494</v>
      </c>
      <c r="R49" s="18">
        <f t="shared" si="28"/>
        <v>0.0142618427083333</v>
      </c>
      <c r="S49" s="25">
        <f t="shared" si="29"/>
        <v>1.21126806969029</v>
      </c>
      <c r="T49" s="3">
        <v>0.01</v>
      </c>
      <c r="U49" s="26">
        <f t="shared" si="30"/>
        <v>0.0121126806969029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0.0466126806969029</v>
      </c>
      <c r="AR49" s="29">
        <f t="shared" si="34"/>
        <v>7.70910416666667</v>
      </c>
      <c r="AS49" s="1">
        <f t="shared" si="35"/>
        <v>0.185</v>
      </c>
      <c r="AT49" s="2">
        <f t="shared" si="36"/>
        <v>303.986221495257</v>
      </c>
      <c r="AU49" s="1">
        <f t="shared" si="37"/>
        <v>135396.807466401</v>
      </c>
    </row>
    <row r="50" s="1" customFormat="1" spans="1:47">
      <c r="A50" s="13"/>
      <c r="B50" s="13"/>
      <c r="C50" s="16">
        <v>8</v>
      </c>
      <c r="D50" s="37">
        <v>26.5832505335484</v>
      </c>
      <c r="E50" s="20">
        <f t="shared" si="38"/>
        <v>27.2000419932258</v>
      </c>
      <c r="F50" s="16" t="s">
        <v>110</v>
      </c>
      <c r="G50" s="13">
        <v>9</v>
      </c>
      <c r="H50" s="18">
        <f t="shared" si="21"/>
        <v>26.5832505335484</v>
      </c>
      <c r="I50" s="18">
        <f t="shared" si="22"/>
        <v>299.733250533548</v>
      </c>
      <c r="J50" s="18">
        <f t="shared" si="23"/>
        <v>0.411350258008851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0.196067193352142</v>
      </c>
      <c r="P50" s="18">
        <f t="shared" si="26"/>
        <v>0.0806522905724751</v>
      </c>
      <c r="Q50" s="24">
        <f t="shared" si="27"/>
        <v>0.0149206737559079</v>
      </c>
      <c r="R50" s="18">
        <f t="shared" si="28"/>
        <v>0.0142618427083333</v>
      </c>
      <c r="S50" s="25">
        <f t="shared" si="29"/>
        <v>1.04619536626845</v>
      </c>
      <c r="T50" s="3">
        <v>0.01</v>
      </c>
      <c r="U50" s="26">
        <f t="shared" si="30"/>
        <v>0.0104619536626845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0.0375619536626845</v>
      </c>
      <c r="AR50" s="29">
        <f t="shared" si="34"/>
        <v>7.70910416666667</v>
      </c>
      <c r="AS50" s="1">
        <f t="shared" si="35"/>
        <v>0.185</v>
      </c>
      <c r="AT50" s="2">
        <f t="shared" si="36"/>
        <v>303.986221495257</v>
      </c>
      <c r="AU50" s="1">
        <f t="shared" si="37"/>
        <v>109106.975442979</v>
      </c>
    </row>
    <row r="51" s="1" customFormat="1" spans="1:47">
      <c r="A51" s="13"/>
      <c r="B51" s="13"/>
      <c r="C51" s="16">
        <v>9</v>
      </c>
      <c r="D51" s="37">
        <v>22.5902898093333</v>
      </c>
      <c r="E51" s="20">
        <f t="shared" si="38"/>
        <v>26.5832505335484</v>
      </c>
      <c r="F51" s="16" t="s">
        <v>110</v>
      </c>
      <c r="G51" s="13">
        <v>10</v>
      </c>
      <c r="H51" s="18">
        <f t="shared" si="21"/>
        <v>22.5902898093333</v>
      </c>
      <c r="I51" s="18">
        <f t="shared" si="22"/>
        <v>295.740289809333</v>
      </c>
      <c r="J51" s="18">
        <f t="shared" si="23"/>
        <v>0.26529657072589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0.192505944446334</v>
      </c>
      <c r="P51" s="18">
        <f t="shared" si="26"/>
        <v>0.0510711669059611</v>
      </c>
      <c r="Q51" s="24">
        <f t="shared" si="27"/>
        <v>0.00944816587760281</v>
      </c>
      <c r="R51" s="18">
        <f t="shared" si="28"/>
        <v>0.0142618427083333</v>
      </c>
      <c r="S51" s="25">
        <f t="shared" si="29"/>
        <v>0.662478620107215</v>
      </c>
      <c r="T51" s="3">
        <v>0.01</v>
      </c>
      <c r="U51" s="26">
        <f t="shared" si="30"/>
        <v>0.00662478620107215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0.0337247862010721</v>
      </c>
      <c r="AR51" s="29">
        <f t="shared" si="34"/>
        <v>7.70910416666667</v>
      </c>
      <c r="AS51" s="1">
        <f t="shared" si="35"/>
        <v>0.185</v>
      </c>
      <c r="AT51" s="2">
        <f t="shared" si="36"/>
        <v>303.986221495257</v>
      </c>
      <c r="AU51" s="1">
        <f t="shared" si="37"/>
        <v>97961.0765963845</v>
      </c>
    </row>
    <row r="52" s="1" customFormat="1" spans="1:47">
      <c r="A52" s="13"/>
      <c r="B52" s="13"/>
      <c r="C52" s="16">
        <v>10</v>
      </c>
      <c r="D52" s="37">
        <v>15.6152668841936</v>
      </c>
      <c r="E52" s="20">
        <f t="shared" si="38"/>
        <v>22.5902898093333</v>
      </c>
      <c r="F52" s="16" t="s">
        <v>110</v>
      </c>
      <c r="G52" s="13">
        <v>11</v>
      </c>
      <c r="H52" s="18">
        <f t="shared" si="21"/>
        <v>15.6152668841936</v>
      </c>
      <c r="I52" s="18">
        <f t="shared" si="22"/>
        <v>288.765266884194</v>
      </c>
      <c r="J52" s="18">
        <f t="shared" si="23"/>
        <v>0.119772506520471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0.134363038663354</v>
      </c>
      <c r="O52" s="18">
        <f t="shared" si="39"/>
        <v>0.0841627805436853</v>
      </c>
      <c r="P52" s="18">
        <f t="shared" si="26"/>
        <v>0.0100803871814495</v>
      </c>
      <c r="Q52" s="24">
        <f t="shared" si="27"/>
        <v>0.00186487162856816</v>
      </c>
      <c r="R52" s="18">
        <f t="shared" si="28"/>
        <v>0.0142618427083333</v>
      </c>
      <c r="S52" s="25">
        <f t="shared" si="29"/>
        <v>0.130759514510597</v>
      </c>
      <c r="T52" s="3">
        <v>0.01</v>
      </c>
      <c r="U52" s="26">
        <f t="shared" si="30"/>
        <v>0.00130759514510597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0.016107595145106</v>
      </c>
      <c r="AR52" s="29">
        <f t="shared" si="34"/>
        <v>7.70910416666667</v>
      </c>
      <c r="AS52" s="1">
        <f t="shared" si="35"/>
        <v>0.185</v>
      </c>
      <c r="AT52" s="2">
        <f t="shared" si="36"/>
        <v>303.986221495257</v>
      </c>
      <c r="AU52" s="1">
        <f t="shared" si="37"/>
        <v>46788.0612314486</v>
      </c>
    </row>
    <row r="53" s="1" customFormat="1" spans="1:48">
      <c r="A53" s="13"/>
      <c r="B53" s="13"/>
      <c r="C53" s="16">
        <v>11</v>
      </c>
      <c r="D53" s="37">
        <v>7.44896313136667</v>
      </c>
      <c r="E53" s="20">
        <f t="shared" si="38"/>
        <v>15.6152668841936</v>
      </c>
      <c r="F53" s="16" t="s">
        <v>112</v>
      </c>
      <c r="G53" s="13">
        <v>12</v>
      </c>
      <c r="H53" s="18">
        <f t="shared" si="21"/>
        <v>7.44896313136667</v>
      </c>
      <c r="I53" s="18">
        <f t="shared" si="22"/>
        <v>280.598963131367</v>
      </c>
      <c r="J53" s="18">
        <f t="shared" si="23"/>
        <v>0.0448926913502052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0.151173435028902</v>
      </c>
      <c r="P53" s="18">
        <f t="shared" si="26"/>
        <v>0.00678658235910282</v>
      </c>
      <c r="Q53" s="24">
        <f t="shared" si="27"/>
        <v>0.00125551773643402</v>
      </c>
      <c r="R53" s="18">
        <f t="shared" si="28"/>
        <v>0.0142618427083333</v>
      </c>
      <c r="S53" s="25">
        <f t="shared" si="29"/>
        <v>0.0880333461888771</v>
      </c>
      <c r="T53" s="3">
        <v>0.01</v>
      </c>
      <c r="U53" s="26">
        <f t="shared" si="30"/>
        <v>0.000880333461888771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0.0156803334618888</v>
      </c>
      <c r="AR53" s="29">
        <f t="shared" si="34"/>
        <v>7.70910416666667</v>
      </c>
      <c r="AS53" s="1">
        <f t="shared" si="35"/>
        <v>0.185</v>
      </c>
      <c r="AT53" s="2">
        <f t="shared" si="36"/>
        <v>303.986221495257</v>
      </c>
      <c r="AU53" s="1">
        <f t="shared" si="37"/>
        <v>45546.9854770526</v>
      </c>
      <c r="AV53" s="1">
        <f>SUM(AU42:AU53)</f>
        <v>951525.407183873</v>
      </c>
    </row>
    <row r="54" s="1" customFormat="1" spans="1:46">
      <c r="A54" s="13"/>
      <c r="B54" s="13"/>
      <c r="C54" s="16">
        <v>12</v>
      </c>
      <c r="D54" s="37">
        <v>2.54217434116129</v>
      </c>
      <c r="E54" s="20">
        <f t="shared" si="38"/>
        <v>7.44896313136667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66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 s="13" customFormat="1" spans="1:66">
      <c r="A57" s="39" t="s">
        <v>48</v>
      </c>
      <c r="B57" s="39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13" t="s">
        <v>94</v>
      </c>
      <c r="L57" s="13" t="s">
        <v>95</v>
      </c>
      <c r="M57" s="13" t="s">
        <v>96</v>
      </c>
      <c r="N57" s="13" t="s">
        <v>97</v>
      </c>
      <c r="O57" s="13" t="s">
        <v>98</v>
      </c>
      <c r="P57" s="13" t="s">
        <v>99</v>
      </c>
      <c r="Q57" s="13" t="s">
        <v>100</v>
      </c>
      <c r="R57" s="13" t="s">
        <v>101</v>
      </c>
      <c r="S57" s="4" t="s">
        <v>102</v>
      </c>
      <c r="T57" s="4" t="s">
        <v>103</v>
      </c>
      <c r="U57" s="4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G57" s="1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</row>
    <row r="58" s="13" customFormat="1" spans="1:78">
      <c r="A58" s="13" t="s">
        <v>108</v>
      </c>
      <c r="B58" s="13">
        <f>F7</f>
        <v>108.2955</v>
      </c>
      <c r="C58" s="16" t="s">
        <v>109</v>
      </c>
      <c r="D58" s="17">
        <v>0</v>
      </c>
      <c r="E58" s="16"/>
      <c r="F58" s="16"/>
      <c r="G58" s="13">
        <v>1</v>
      </c>
      <c r="H58" s="18">
        <f t="shared" ref="H58:H69" si="40">E59</f>
        <v>0</v>
      </c>
      <c r="I58" s="18">
        <f t="shared" ref="I58:I69" si="41">H58+273.15</f>
        <v>273.15</v>
      </c>
      <c r="J58" s="18">
        <f t="shared" ref="J58:J69" si="42">EXP(($C$16*(I58-$C$14))/($C$17*I58*$C$14))</f>
        <v>0.0174263747487528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110</v>
      </c>
      <c r="O58" s="18">
        <f>L58</f>
        <v>2.43664875</v>
      </c>
      <c r="P58" s="18">
        <f t="shared" ref="P58:P69" si="45">O58*J58</f>
        <v>0.0424619542485801</v>
      </c>
      <c r="Q58" s="24">
        <f t="shared" ref="Q58:Q69" si="46">P58*$B$60</f>
        <v>0.019107879411861</v>
      </c>
      <c r="R58" s="18">
        <f t="shared" ref="R58:R69" si="47">L58*$B$60</f>
        <v>1.0964919375</v>
      </c>
      <c r="S58" s="25">
        <f t="shared" ref="S58:S69" si="48">Q58/R58</f>
        <v>0.0174263747487528</v>
      </c>
      <c r="T58" s="4">
        <v>0.27</v>
      </c>
      <c r="U58" s="40">
        <f t="shared" ref="U58:U69" si="49">S58*T58</f>
        <v>0.00470512118216326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0.227818594036422</v>
      </c>
      <c r="AC58" s="29">
        <f t="shared" ref="AC58:AC69" si="51">$B$58/12</f>
        <v>9.024625</v>
      </c>
      <c r="AD58" s="1">
        <f t="shared" ref="AD58:AD69" si="52">$B$60</f>
        <v>0.45</v>
      </c>
      <c r="AE58" s="30">
        <f t="shared" ref="AE58:AE69" si="53">$E$7/12</f>
        <v>566.295573434542</v>
      </c>
      <c r="AF58" s="1">
        <f t="shared" ref="AF58:AF69" si="54">AE58*10000*AC58*AB58</f>
        <v>11642908.8892588</v>
      </c>
      <c r="AG58" s="1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35"/>
      <c r="BP58" s="4"/>
      <c r="BQ58" s="40"/>
      <c r="BR58" s="25"/>
      <c r="BS58" s="28"/>
      <c r="BT58" s="28"/>
      <c r="BU58" s="25"/>
      <c r="BV58" s="28"/>
      <c r="BW58" s="40"/>
      <c r="BX58" s="4"/>
      <c r="BY58" s="4"/>
      <c r="BZ58" s="4"/>
    </row>
    <row r="59" s="13" customFormat="1" spans="1:78">
      <c r="A59" s="13" t="s">
        <v>111</v>
      </c>
      <c r="B59" s="13">
        <v>27</v>
      </c>
      <c r="C59" s="16">
        <v>1</v>
      </c>
      <c r="D59" s="37">
        <v>-2.22577715009677</v>
      </c>
      <c r="E59" s="20">
        <f t="shared" ref="E59:E70" si="55">D58</f>
        <v>0</v>
      </c>
      <c r="F59" s="16" t="s">
        <v>110</v>
      </c>
      <c r="G59" s="13">
        <v>2</v>
      </c>
      <c r="H59" s="18">
        <f t="shared" si="40"/>
        <v>-2.22577715009677</v>
      </c>
      <c r="I59" s="18">
        <f t="shared" si="41"/>
        <v>270.924222849903</v>
      </c>
      <c r="J59" s="18">
        <f t="shared" si="42"/>
        <v>0.0130023837753923</v>
      </c>
      <c r="K59" s="18">
        <f t="shared" si="43"/>
        <v>9.024625</v>
      </c>
      <c r="L59" s="18">
        <f t="shared" si="44"/>
        <v>2.43664875</v>
      </c>
      <c r="M59" s="13" t="s">
        <v>110</v>
      </c>
      <c r="O59" s="18">
        <f t="shared" ref="O59:O69" si="56">L59+O58-P58-N59</f>
        <v>4.83083554575142</v>
      </c>
      <c r="P59" s="18">
        <f t="shared" si="45"/>
        <v>0.0628123777216667</v>
      </c>
      <c r="Q59" s="24">
        <f t="shared" si="46"/>
        <v>0.02826556997475</v>
      </c>
      <c r="R59" s="18">
        <f t="shared" si="47"/>
        <v>1.0964919375</v>
      </c>
      <c r="S59" s="25">
        <f t="shared" si="48"/>
        <v>0.0257781831384875</v>
      </c>
      <c r="T59" s="4">
        <v>0.27</v>
      </c>
      <c r="U59" s="40">
        <f t="shared" si="49"/>
        <v>0.00696010944739163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0.228498472998389</v>
      </c>
      <c r="AC59" s="29">
        <f t="shared" si="51"/>
        <v>9.024625</v>
      </c>
      <c r="AD59" s="1">
        <f t="shared" si="52"/>
        <v>0.45</v>
      </c>
      <c r="AE59" s="30">
        <f t="shared" si="53"/>
        <v>566.295573434542</v>
      </c>
      <c r="AF59" s="1">
        <f t="shared" si="54"/>
        <v>11677654.8187707</v>
      </c>
      <c r="AG59" s="1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35"/>
      <c r="BP59" s="4"/>
      <c r="BQ59" s="40"/>
      <c r="BR59" s="25"/>
      <c r="BS59" s="28"/>
      <c r="BT59" s="28"/>
      <c r="BU59" s="25"/>
      <c r="BV59" s="28"/>
      <c r="BW59" s="40"/>
      <c r="BX59" s="4"/>
      <c r="BY59" s="4"/>
      <c r="BZ59" s="4"/>
    </row>
    <row r="60" s="13" customFormat="1" spans="1:78">
      <c r="A60" s="13" t="s">
        <v>73</v>
      </c>
      <c r="B60" s="13">
        <f>H7</f>
        <v>0.45</v>
      </c>
      <c r="C60" s="16">
        <v>2</v>
      </c>
      <c r="D60" s="37">
        <v>2.42270351441379</v>
      </c>
      <c r="E60" s="20">
        <f t="shared" si="55"/>
        <v>-2.22577715009677</v>
      </c>
      <c r="F60" s="16" t="s">
        <v>110</v>
      </c>
      <c r="G60" s="13">
        <v>3</v>
      </c>
      <c r="H60" s="18">
        <f t="shared" si="40"/>
        <v>2.42270351441379</v>
      </c>
      <c r="I60" s="18">
        <f t="shared" si="41"/>
        <v>275.572703514414</v>
      </c>
      <c r="J60" s="18">
        <f t="shared" si="42"/>
        <v>0.0238401266969918</v>
      </c>
      <c r="K60" s="18">
        <f t="shared" si="43"/>
        <v>9.024625</v>
      </c>
      <c r="L60" s="18">
        <f t="shared" si="44"/>
        <v>2.43664875</v>
      </c>
      <c r="M60" s="13" t="s">
        <v>110</v>
      </c>
      <c r="O60" s="18">
        <f t="shared" si="56"/>
        <v>7.20467191802975</v>
      </c>
      <c r="P60" s="18">
        <f t="shared" si="45"/>
        <v>0.171760291336088</v>
      </c>
      <c r="Q60" s="24">
        <f t="shared" si="46"/>
        <v>0.0772921311012397</v>
      </c>
      <c r="R60" s="18">
        <f t="shared" si="47"/>
        <v>1.0964919375</v>
      </c>
      <c r="S60" s="25">
        <f t="shared" si="48"/>
        <v>0.0704903779570561</v>
      </c>
      <c r="T60" s="4">
        <v>0.27</v>
      </c>
      <c r="U60" s="40">
        <f t="shared" si="49"/>
        <v>0.0190324020484051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0.232138269217594</v>
      </c>
      <c r="AC60" s="29">
        <f t="shared" si="51"/>
        <v>9.024625</v>
      </c>
      <c r="AD60" s="1">
        <f t="shared" si="52"/>
        <v>0.45</v>
      </c>
      <c r="AE60" s="30">
        <f t="shared" si="53"/>
        <v>566.295573434542</v>
      </c>
      <c r="AF60" s="1">
        <f t="shared" si="54"/>
        <v>11863670.4332333</v>
      </c>
      <c r="AG60" s="1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35"/>
      <c r="BP60" s="4"/>
      <c r="BQ60" s="40"/>
      <c r="BR60" s="25"/>
      <c r="BS60" s="28"/>
      <c r="BT60" s="28"/>
      <c r="BU60" s="25"/>
      <c r="BV60" s="28"/>
      <c r="BW60" s="40"/>
      <c r="BX60" s="4"/>
      <c r="BY60" s="4"/>
      <c r="BZ60" s="4"/>
    </row>
    <row r="61" s="13" customFormat="1" spans="3:78">
      <c r="C61" s="16">
        <v>3</v>
      </c>
      <c r="D61" s="37">
        <v>9.5972272636129</v>
      </c>
      <c r="E61" s="20">
        <f t="shared" si="55"/>
        <v>2.42270351441379</v>
      </c>
      <c r="F61" s="16" t="s">
        <v>110</v>
      </c>
      <c r="G61" s="13">
        <v>4</v>
      </c>
      <c r="H61" s="18">
        <f t="shared" si="40"/>
        <v>9.5972272636129</v>
      </c>
      <c r="I61" s="18">
        <f t="shared" si="41"/>
        <v>282.747227263613</v>
      </c>
      <c r="J61" s="18">
        <f t="shared" si="42"/>
        <v>0.0584352727693813</v>
      </c>
      <c r="K61" s="18">
        <f t="shared" si="43"/>
        <v>9.024625</v>
      </c>
      <c r="L61" s="18">
        <f t="shared" si="44"/>
        <v>2.43664875</v>
      </c>
      <c r="M61" s="13" t="s">
        <v>110</v>
      </c>
      <c r="O61" s="18">
        <f t="shared" si="56"/>
        <v>9.46956037669366</v>
      </c>
      <c r="P61" s="18">
        <f t="shared" si="45"/>
        <v>0.553356343618219</v>
      </c>
      <c r="Q61" s="24">
        <f t="shared" si="46"/>
        <v>0.249010354628199</v>
      </c>
      <c r="R61" s="18">
        <f t="shared" si="47"/>
        <v>1.0964919375</v>
      </c>
      <c r="S61" s="25">
        <f t="shared" si="48"/>
        <v>0.227097296488966</v>
      </c>
      <c r="T61" s="4">
        <v>0.27</v>
      </c>
      <c r="U61" s="40">
        <f t="shared" si="49"/>
        <v>0.0613162700520209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0.293686855420684</v>
      </c>
      <c r="AC61" s="29">
        <f t="shared" si="51"/>
        <v>9.024625</v>
      </c>
      <c r="AD61" s="1">
        <f t="shared" si="52"/>
        <v>0.45</v>
      </c>
      <c r="AE61" s="30">
        <f t="shared" si="53"/>
        <v>566.295573434542</v>
      </c>
      <c r="AF61" s="1">
        <f t="shared" si="54"/>
        <v>15009175.6737349</v>
      </c>
      <c r="AG61" s="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35"/>
      <c r="BP61" s="4"/>
      <c r="BQ61" s="40"/>
      <c r="BR61" s="25"/>
      <c r="BS61" s="28"/>
      <c r="BT61" s="28"/>
      <c r="BU61" s="25"/>
      <c r="BV61" s="28"/>
      <c r="BW61" s="40"/>
      <c r="BX61" s="4"/>
      <c r="BY61" s="4"/>
      <c r="BZ61" s="4"/>
    </row>
    <row r="62" s="13" customFormat="1" spans="3:78">
      <c r="C62" s="16">
        <v>4</v>
      </c>
      <c r="D62" s="37">
        <v>16.5237593183333</v>
      </c>
      <c r="E62" s="20">
        <f t="shared" si="55"/>
        <v>9.5972272636129</v>
      </c>
      <c r="F62" s="16" t="s">
        <v>110</v>
      </c>
      <c r="G62" s="13">
        <v>5</v>
      </c>
      <c r="H62" s="18">
        <f t="shared" si="40"/>
        <v>16.5237593183333</v>
      </c>
      <c r="I62" s="18">
        <f t="shared" si="41"/>
        <v>289.673759318333</v>
      </c>
      <c r="J62" s="18">
        <f t="shared" si="42"/>
        <v>0.133132489762849</v>
      </c>
      <c r="K62" s="18">
        <f t="shared" si="43"/>
        <v>9.024625</v>
      </c>
      <c r="L62" s="18">
        <f t="shared" si="44"/>
        <v>2.43664875</v>
      </c>
      <c r="M62" s="13" t="s">
        <v>112</v>
      </c>
      <c r="N62" s="18">
        <f>(O61-P61)*$C$22/100</f>
        <v>8.47039383142167</v>
      </c>
      <c r="O62" s="18">
        <f t="shared" si="56"/>
        <v>2.88245895165377</v>
      </c>
      <c r="P62" s="18">
        <f t="shared" si="45"/>
        <v>0.383748936872878</v>
      </c>
      <c r="Q62" s="24">
        <f t="shared" si="46"/>
        <v>0.172687021592795</v>
      </c>
      <c r="R62" s="18">
        <f t="shared" si="47"/>
        <v>1.0964919375</v>
      </c>
      <c r="S62" s="25">
        <f t="shared" si="48"/>
        <v>0.1574904617963</v>
      </c>
      <c r="T62" s="4">
        <v>0.27</v>
      </c>
      <c r="U62" s="40">
        <f t="shared" si="49"/>
        <v>0.0425224246850011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0.288020511042528</v>
      </c>
      <c r="AC62" s="29">
        <f t="shared" si="51"/>
        <v>9.024625</v>
      </c>
      <c r="AD62" s="1">
        <f t="shared" si="52"/>
        <v>0.45</v>
      </c>
      <c r="AE62" s="30">
        <f t="shared" si="53"/>
        <v>566.295573434542</v>
      </c>
      <c r="AF62" s="1">
        <f t="shared" si="54"/>
        <v>14719591.1838951</v>
      </c>
      <c r="AG62" s="1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35"/>
      <c r="BP62" s="4"/>
      <c r="BQ62" s="40"/>
      <c r="BR62" s="25"/>
      <c r="BS62" s="28"/>
      <c r="BT62" s="28"/>
      <c r="BU62" s="25"/>
      <c r="BV62" s="28"/>
      <c r="BW62" s="40"/>
      <c r="BX62" s="4"/>
      <c r="BY62" s="4"/>
      <c r="BZ62" s="4"/>
    </row>
    <row r="63" s="13" customFormat="1" spans="3:78">
      <c r="C63" s="16">
        <v>5</v>
      </c>
      <c r="D63" s="37">
        <v>19.8947827867742</v>
      </c>
      <c r="E63" s="20">
        <f t="shared" si="55"/>
        <v>16.5237593183333</v>
      </c>
      <c r="F63" s="16" t="s">
        <v>112</v>
      </c>
      <c r="G63" s="13">
        <v>6</v>
      </c>
      <c r="H63" s="18">
        <f t="shared" si="40"/>
        <v>19.8947827867742</v>
      </c>
      <c r="I63" s="18">
        <f t="shared" si="41"/>
        <v>293.044782786774</v>
      </c>
      <c r="J63" s="18">
        <f t="shared" si="42"/>
        <v>0.195979365638842</v>
      </c>
      <c r="K63" s="18">
        <f t="shared" si="43"/>
        <v>9.024625</v>
      </c>
      <c r="L63" s="18">
        <f t="shared" si="44"/>
        <v>2.43664875</v>
      </c>
      <c r="M63" s="13" t="s">
        <v>110</v>
      </c>
      <c r="O63" s="18">
        <f t="shared" si="56"/>
        <v>4.93535876478089</v>
      </c>
      <c r="P63" s="18">
        <f t="shared" si="45"/>
        <v>0.967228479921858</v>
      </c>
      <c r="Q63" s="24">
        <f t="shared" si="46"/>
        <v>0.435252815964836</v>
      </c>
      <c r="R63" s="18">
        <f t="shared" si="47"/>
        <v>1.0964919375</v>
      </c>
      <c r="S63" s="25">
        <f t="shared" si="48"/>
        <v>0.396950311333079</v>
      </c>
      <c r="T63" s="4">
        <v>0.27</v>
      </c>
      <c r="U63" s="40">
        <f t="shared" si="49"/>
        <v>0.107176584059931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0.322713740094069</v>
      </c>
      <c r="AC63" s="29">
        <f t="shared" si="51"/>
        <v>9.024625</v>
      </c>
      <c r="AD63" s="1">
        <f t="shared" si="52"/>
        <v>0.45</v>
      </c>
      <c r="AE63" s="30">
        <f t="shared" si="53"/>
        <v>566.295573434542</v>
      </c>
      <c r="AF63" s="1">
        <f t="shared" si="54"/>
        <v>16492625.148176</v>
      </c>
      <c r="AG63" s="1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35"/>
      <c r="BP63" s="4"/>
      <c r="BQ63" s="40"/>
      <c r="BR63" s="25"/>
      <c r="BS63" s="28"/>
      <c r="BT63" s="28"/>
      <c r="BU63" s="25"/>
      <c r="BV63" s="28"/>
      <c r="BW63" s="40"/>
      <c r="BX63" s="4"/>
      <c r="BY63" s="4"/>
      <c r="BZ63" s="4"/>
    </row>
    <row r="64" s="13" customFormat="1" spans="3:78">
      <c r="C64" s="16">
        <v>6</v>
      </c>
      <c r="D64" s="37">
        <v>24.6319706836667</v>
      </c>
      <c r="E64" s="20">
        <f t="shared" si="55"/>
        <v>19.8947827867742</v>
      </c>
      <c r="F64" s="16" t="s">
        <v>110</v>
      </c>
      <c r="G64" s="13">
        <v>7</v>
      </c>
      <c r="H64" s="18">
        <f t="shared" si="40"/>
        <v>24.6319706836667</v>
      </c>
      <c r="I64" s="18">
        <f t="shared" si="41"/>
        <v>297.781970683667</v>
      </c>
      <c r="J64" s="18">
        <f t="shared" si="42"/>
        <v>0.332480485309997</v>
      </c>
      <c r="K64" s="18">
        <f t="shared" si="43"/>
        <v>9.024625</v>
      </c>
      <c r="L64" s="18">
        <f t="shared" si="44"/>
        <v>2.43664875</v>
      </c>
      <c r="M64" s="13" t="s">
        <v>110</v>
      </c>
      <c r="O64" s="18">
        <f t="shared" si="56"/>
        <v>6.40477903485904</v>
      </c>
      <c r="P64" s="18">
        <f t="shared" si="45"/>
        <v>2.12946404181323</v>
      </c>
      <c r="Q64" s="24">
        <f t="shared" si="46"/>
        <v>0.958258818815952</v>
      </c>
      <c r="R64" s="18">
        <f t="shared" si="47"/>
        <v>1.0964919375</v>
      </c>
      <c r="S64" s="25">
        <f t="shared" si="48"/>
        <v>0.873931477326482</v>
      </c>
      <c r="T64" s="4">
        <v>0.27</v>
      </c>
      <c r="U64" s="40">
        <f t="shared" si="49"/>
        <v>0.23596149887815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0.361542391911762</v>
      </c>
      <c r="AC64" s="29">
        <f t="shared" si="51"/>
        <v>9.024625</v>
      </c>
      <c r="AD64" s="1">
        <f t="shared" si="52"/>
        <v>0.45</v>
      </c>
      <c r="AE64" s="30">
        <f t="shared" si="53"/>
        <v>566.295573434542</v>
      </c>
      <c r="AF64" s="1">
        <f t="shared" si="54"/>
        <v>18477004.2429477</v>
      </c>
      <c r="AG64" s="1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35"/>
      <c r="BP64" s="4"/>
      <c r="BQ64" s="40"/>
      <c r="BR64" s="25"/>
      <c r="BS64" s="28"/>
      <c r="BT64" s="28"/>
      <c r="BU64" s="25"/>
      <c r="BV64" s="28"/>
      <c r="BW64" s="40"/>
      <c r="BX64" s="4"/>
      <c r="BY64" s="4"/>
      <c r="BZ64" s="4"/>
    </row>
    <row r="65" s="13" customFormat="1" spans="3:78">
      <c r="C65" s="16">
        <v>7</v>
      </c>
      <c r="D65" s="37">
        <v>27.2000419932258</v>
      </c>
      <c r="E65" s="20">
        <f t="shared" si="55"/>
        <v>24.6319706836667</v>
      </c>
      <c r="F65" s="16" t="s">
        <v>110</v>
      </c>
      <c r="G65" s="13">
        <v>8</v>
      </c>
      <c r="H65" s="18">
        <f t="shared" si="40"/>
        <v>27.2000419932258</v>
      </c>
      <c r="I65" s="18">
        <f t="shared" si="41"/>
        <v>300.350041993226</v>
      </c>
      <c r="J65" s="18">
        <f t="shared" si="42"/>
        <v>0.439727468877302</v>
      </c>
      <c r="K65" s="18">
        <f t="shared" si="43"/>
        <v>9.024625</v>
      </c>
      <c r="L65" s="18">
        <f t="shared" si="44"/>
        <v>2.43664875</v>
      </c>
      <c r="M65" s="13" t="s">
        <v>110</v>
      </c>
      <c r="O65" s="18">
        <f t="shared" si="56"/>
        <v>6.71196374304581</v>
      </c>
      <c r="P65" s="18">
        <f t="shared" si="45"/>
        <v>2.95143482792576</v>
      </c>
      <c r="Q65" s="24">
        <f t="shared" si="46"/>
        <v>1.32814567256659</v>
      </c>
      <c r="R65" s="18">
        <f t="shared" si="47"/>
        <v>1.0964919375</v>
      </c>
      <c r="S65" s="25">
        <f t="shared" si="48"/>
        <v>1.21126806969029</v>
      </c>
      <c r="T65" s="4">
        <v>0.27</v>
      </c>
      <c r="U65" s="40">
        <f t="shared" si="49"/>
        <v>0.327042378816378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0.389003277213138</v>
      </c>
      <c r="AC65" s="29">
        <f t="shared" si="51"/>
        <v>9.024625</v>
      </c>
      <c r="AD65" s="1">
        <f t="shared" si="52"/>
        <v>0.45</v>
      </c>
      <c r="AE65" s="30">
        <f t="shared" si="53"/>
        <v>566.295573434542</v>
      </c>
      <c r="AF65" s="1">
        <f t="shared" si="54"/>
        <v>19880421.6722168</v>
      </c>
      <c r="AG65" s="1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35"/>
      <c r="BP65" s="4"/>
      <c r="BQ65" s="40"/>
      <c r="BR65" s="25"/>
      <c r="BS65" s="28"/>
      <c r="BT65" s="28"/>
      <c r="BU65" s="25"/>
      <c r="BV65" s="28"/>
      <c r="BW65" s="40"/>
      <c r="BX65" s="4"/>
      <c r="BY65" s="4"/>
      <c r="BZ65" s="4"/>
    </row>
    <row r="66" s="13" customFormat="1" spans="3:78">
      <c r="C66" s="16">
        <v>8</v>
      </c>
      <c r="D66" s="37">
        <v>26.5832505335484</v>
      </c>
      <c r="E66" s="20">
        <f t="shared" si="55"/>
        <v>27.2000419932258</v>
      </c>
      <c r="F66" s="16" t="s">
        <v>110</v>
      </c>
      <c r="G66" s="13">
        <v>9</v>
      </c>
      <c r="H66" s="18">
        <f t="shared" si="40"/>
        <v>26.5832505335484</v>
      </c>
      <c r="I66" s="18">
        <f t="shared" si="41"/>
        <v>299.733250533548</v>
      </c>
      <c r="J66" s="18">
        <f t="shared" si="42"/>
        <v>0.411350258008851</v>
      </c>
      <c r="K66" s="18">
        <f t="shared" si="43"/>
        <v>9.024625</v>
      </c>
      <c r="L66" s="18">
        <f t="shared" si="44"/>
        <v>2.43664875</v>
      </c>
      <c r="M66" s="13" t="s">
        <v>110</v>
      </c>
      <c r="O66" s="18">
        <f t="shared" si="56"/>
        <v>6.19717766512005</v>
      </c>
      <c r="P66" s="18">
        <f t="shared" si="45"/>
        <v>2.54921063147382</v>
      </c>
      <c r="Q66" s="24">
        <f t="shared" si="46"/>
        <v>1.14714478416322</v>
      </c>
      <c r="R66" s="18">
        <f t="shared" si="47"/>
        <v>1.0964919375</v>
      </c>
      <c r="S66" s="25">
        <f t="shared" si="48"/>
        <v>1.04619536626846</v>
      </c>
      <c r="T66" s="4">
        <v>0.27</v>
      </c>
      <c r="U66" s="40">
        <f t="shared" si="49"/>
        <v>0.282472748892483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0.360365533791084</v>
      </c>
      <c r="AC66" s="29">
        <f t="shared" si="51"/>
        <v>9.024625</v>
      </c>
      <c r="AD66" s="1">
        <f t="shared" si="52"/>
        <v>0.45</v>
      </c>
      <c r="AE66" s="30">
        <f t="shared" si="53"/>
        <v>566.295573434542</v>
      </c>
      <c r="AF66" s="1">
        <f t="shared" si="54"/>
        <v>18416859.6707603</v>
      </c>
      <c r="AG66" s="1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35"/>
      <c r="BP66" s="4"/>
      <c r="BQ66" s="40"/>
      <c r="BR66" s="25"/>
      <c r="BS66" s="28"/>
      <c r="BT66" s="28"/>
      <c r="BU66" s="25"/>
      <c r="BV66" s="28"/>
      <c r="BW66" s="40"/>
      <c r="BX66" s="4"/>
      <c r="BY66" s="4"/>
      <c r="BZ66" s="4"/>
    </row>
    <row r="67" s="13" customFormat="1" spans="3:78">
      <c r="C67" s="16">
        <v>9</v>
      </c>
      <c r="D67" s="37">
        <v>22.5902898093333</v>
      </c>
      <c r="E67" s="20">
        <f t="shared" si="55"/>
        <v>26.5832505335484</v>
      </c>
      <c r="F67" s="16" t="s">
        <v>110</v>
      </c>
      <c r="G67" s="13">
        <v>10</v>
      </c>
      <c r="H67" s="18">
        <f t="shared" si="40"/>
        <v>22.5902898093333</v>
      </c>
      <c r="I67" s="18">
        <f t="shared" si="41"/>
        <v>295.740289809333</v>
      </c>
      <c r="J67" s="18">
        <f t="shared" si="42"/>
        <v>0.26529657072589</v>
      </c>
      <c r="K67" s="18">
        <f t="shared" si="43"/>
        <v>9.024625</v>
      </c>
      <c r="L67" s="18">
        <f t="shared" si="44"/>
        <v>2.43664875</v>
      </c>
      <c r="M67" s="13" t="s">
        <v>110</v>
      </c>
      <c r="O67" s="18">
        <f t="shared" si="56"/>
        <v>6.08461578364623</v>
      </c>
      <c r="P67" s="18">
        <f t="shared" si="45"/>
        <v>1.61422770158597</v>
      </c>
      <c r="Q67" s="24">
        <f t="shared" si="46"/>
        <v>0.726402465713686</v>
      </c>
      <c r="R67" s="18">
        <f t="shared" si="47"/>
        <v>1.0964919375</v>
      </c>
      <c r="S67" s="25">
        <f t="shared" si="48"/>
        <v>0.662478620107215</v>
      </c>
      <c r="T67" s="4">
        <v>0.27</v>
      </c>
      <c r="U67" s="40">
        <f t="shared" si="49"/>
        <v>0.178869227428948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0.329129072069828</v>
      </c>
      <c r="AC67" s="29">
        <f t="shared" si="51"/>
        <v>9.024625</v>
      </c>
      <c r="AD67" s="1">
        <f t="shared" si="52"/>
        <v>0.45</v>
      </c>
      <c r="AE67" s="30">
        <f t="shared" si="53"/>
        <v>566.295573434542</v>
      </c>
      <c r="AF67" s="1">
        <f t="shared" si="54"/>
        <v>16820487.4370468</v>
      </c>
      <c r="AG67" s="1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35"/>
      <c r="BP67" s="4"/>
      <c r="BQ67" s="40"/>
      <c r="BR67" s="25"/>
      <c r="BS67" s="28"/>
      <c r="BT67" s="28"/>
      <c r="BU67" s="25"/>
      <c r="BV67" s="28"/>
      <c r="BW67" s="40"/>
      <c r="BX67" s="4"/>
      <c r="BY67" s="4"/>
      <c r="BZ67" s="4"/>
    </row>
    <row r="68" s="13" customFormat="1" spans="3:78">
      <c r="C68" s="16">
        <v>10</v>
      </c>
      <c r="D68" s="37">
        <v>15.6152668841936</v>
      </c>
      <c r="E68" s="20">
        <f t="shared" si="55"/>
        <v>22.5902898093333</v>
      </c>
      <c r="F68" s="16" t="s">
        <v>110</v>
      </c>
      <c r="G68" s="13">
        <v>11</v>
      </c>
      <c r="H68" s="18">
        <f t="shared" si="40"/>
        <v>15.6152668841936</v>
      </c>
      <c r="I68" s="18">
        <f t="shared" si="41"/>
        <v>288.765266884194</v>
      </c>
      <c r="J68" s="18">
        <f t="shared" si="42"/>
        <v>0.119772506520471</v>
      </c>
      <c r="K68" s="18">
        <f t="shared" si="43"/>
        <v>9.024625</v>
      </c>
      <c r="L68" s="18">
        <f t="shared" si="44"/>
        <v>2.43664875</v>
      </c>
      <c r="M68" s="13" t="s">
        <v>112</v>
      </c>
      <c r="N68" s="18">
        <f>(O67-P67)*$C$22/100</f>
        <v>4.24686867795725</v>
      </c>
      <c r="O68" s="18">
        <f t="shared" si="56"/>
        <v>2.66016815410301</v>
      </c>
      <c r="P68" s="18">
        <f t="shared" si="45"/>
        <v>0.318615007582852</v>
      </c>
      <c r="Q68" s="24">
        <f t="shared" si="46"/>
        <v>0.143376753412284</v>
      </c>
      <c r="R68" s="18">
        <f t="shared" si="47"/>
        <v>1.0964919375</v>
      </c>
      <c r="S68" s="25">
        <f t="shared" si="48"/>
        <v>0.130759514510597</v>
      </c>
      <c r="T68" s="4">
        <v>0.27</v>
      </c>
      <c r="U68" s="40">
        <f t="shared" si="49"/>
        <v>0.0353050689178611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0.237044478278735</v>
      </c>
      <c r="AC68" s="29">
        <f t="shared" si="51"/>
        <v>9.024625</v>
      </c>
      <c r="AD68" s="1">
        <f t="shared" si="52"/>
        <v>0.45</v>
      </c>
      <c r="AE68" s="30">
        <f t="shared" si="53"/>
        <v>566.295573434542</v>
      </c>
      <c r="AF68" s="1">
        <f t="shared" si="54"/>
        <v>12114407.4081151</v>
      </c>
      <c r="AG68" s="1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35"/>
      <c r="BP68" s="4"/>
      <c r="BQ68" s="40"/>
      <c r="BR68" s="25"/>
      <c r="BS68" s="28"/>
      <c r="BT68" s="28"/>
      <c r="BU68" s="25"/>
      <c r="BV68" s="28"/>
      <c r="BW68" s="40"/>
      <c r="BX68" s="4"/>
      <c r="BY68" s="4"/>
      <c r="BZ68" s="4"/>
    </row>
    <row r="69" s="13" customFormat="1" spans="3:78">
      <c r="C69" s="16">
        <v>11</v>
      </c>
      <c r="D69" s="37">
        <v>7.44896313136667</v>
      </c>
      <c r="E69" s="20">
        <f t="shared" si="55"/>
        <v>15.6152668841936</v>
      </c>
      <c r="F69" s="16" t="s">
        <v>112</v>
      </c>
      <c r="G69" s="13">
        <v>12</v>
      </c>
      <c r="H69" s="18">
        <f t="shared" si="40"/>
        <v>7.44896313136667</v>
      </c>
      <c r="I69" s="18">
        <f t="shared" si="41"/>
        <v>280.598963131367</v>
      </c>
      <c r="J69" s="18">
        <f t="shared" si="42"/>
        <v>0.0448926913502052</v>
      </c>
      <c r="K69" s="18">
        <f t="shared" si="43"/>
        <v>9.024625</v>
      </c>
      <c r="L69" s="18">
        <f t="shared" si="44"/>
        <v>2.43664875</v>
      </c>
      <c r="M69" s="13" t="s">
        <v>110</v>
      </c>
      <c r="O69" s="18">
        <f t="shared" si="56"/>
        <v>4.77820189652016</v>
      </c>
      <c r="P69" s="18">
        <f t="shared" si="45"/>
        <v>0.214506342949445</v>
      </c>
      <c r="Q69" s="24">
        <f t="shared" si="46"/>
        <v>0.0965278543272501</v>
      </c>
      <c r="R69" s="18">
        <f t="shared" si="47"/>
        <v>1.0964919375</v>
      </c>
      <c r="S69" s="25">
        <f t="shared" si="48"/>
        <v>0.0880333461888771</v>
      </c>
      <c r="T69" s="4">
        <v>0.27</v>
      </c>
      <c r="U69" s="40">
        <f t="shared" si="49"/>
        <v>0.0237690034709968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0.233566354546506</v>
      </c>
      <c r="AC69" s="29">
        <f t="shared" si="51"/>
        <v>9.024625</v>
      </c>
      <c r="AD69" s="1">
        <f t="shared" si="52"/>
        <v>0.45</v>
      </c>
      <c r="AE69" s="30">
        <f t="shared" si="53"/>
        <v>566.295573434542</v>
      </c>
      <c r="AF69" s="1">
        <f t="shared" si="54"/>
        <v>11936654.2361618</v>
      </c>
      <c r="AG69" s="1">
        <f>SUM(AF58:AF69)</f>
        <v>179051460.814317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35"/>
      <c r="BP69" s="4"/>
      <c r="BQ69" s="40"/>
      <c r="BR69" s="25"/>
      <c r="BS69" s="28"/>
      <c r="BT69" s="28"/>
      <c r="BU69" s="25"/>
      <c r="BV69" s="28"/>
      <c r="BW69" s="40"/>
      <c r="BX69" s="4"/>
      <c r="BY69" s="4"/>
      <c r="BZ69" s="4"/>
    </row>
    <row r="70" s="13" customFormat="1" spans="3:55">
      <c r="C70" s="16">
        <v>12</v>
      </c>
      <c r="D70" s="37">
        <v>2.54217434116129</v>
      </c>
      <c r="E70" s="20">
        <f t="shared" si="55"/>
        <v>7.44896313136667</v>
      </c>
      <c r="F70" s="16" t="s">
        <v>110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2"/>
      <c r="AU70" s="1"/>
      <c r="AV70" s="1"/>
      <c r="AW70" s="1"/>
      <c r="AX70" s="1"/>
      <c r="AY70" s="1"/>
      <c r="AZ70" s="1"/>
      <c r="BA70" s="1"/>
      <c r="BB70" s="1"/>
      <c r="BC70" s="1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0</v>
      </c>
      <c r="E74" s="16"/>
      <c r="F74" s="16"/>
      <c r="G74" s="13">
        <v>1</v>
      </c>
      <c r="H74" s="18">
        <f t="shared" ref="H74:H85" si="57">E75</f>
        <v>0</v>
      </c>
      <c r="I74" s="18">
        <f t="shared" ref="I74:I85" si="58">H74+273.15</f>
        <v>273.15</v>
      </c>
      <c r="J74" s="18">
        <f t="shared" ref="J74:J85" si="59">EXP(($C$16*(I74-$C$14))/($C$17*I74*$C$14))</f>
        <v>0.0174263747487528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0.00908297504654493</v>
      </c>
      <c r="Q74" s="24">
        <f t="shared" ref="Q74:Q85" si="63">P74*$B$76</f>
        <v>0.00236157351210168</v>
      </c>
      <c r="R74" s="18">
        <f t="shared" ref="R74:R85" si="64">L74*$B$76</f>
        <v>0.1355172</v>
      </c>
      <c r="S74" s="25">
        <f t="shared" ref="S74:S85" si="65">Q74/R74</f>
        <v>0.0174263747487528</v>
      </c>
      <c r="T74" s="3">
        <v>0.01</v>
      </c>
      <c r="U74" s="26">
        <f t="shared" ref="U74:U85" si="66">S74*T74</f>
        <v>0.000174263747487528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0.00566426374748753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0.9282</v>
      </c>
      <c r="AX74" s="1">
        <f t="shared" ref="AX74:AX85" si="73">AW74*10000*AV74*0.67*AU74*AT74</f>
        <v>477.369045313982</v>
      </c>
    </row>
    <row r="75" s="1" customFormat="1" spans="1:50">
      <c r="A75" s="13" t="s">
        <v>111</v>
      </c>
      <c r="B75" s="13">
        <v>1</v>
      </c>
      <c r="C75" s="16">
        <v>1</v>
      </c>
      <c r="D75" s="37">
        <v>-2.22577715009677</v>
      </c>
      <c r="E75" s="20">
        <f t="shared" ref="E75:E86" si="74">D74</f>
        <v>0</v>
      </c>
      <c r="F75" s="16" t="s">
        <v>110</v>
      </c>
      <c r="G75" s="13">
        <v>2</v>
      </c>
      <c r="H75" s="18">
        <f t="shared" si="57"/>
        <v>-2.22577715009677</v>
      </c>
      <c r="I75" s="18">
        <f t="shared" si="58"/>
        <v>270.924222849903</v>
      </c>
      <c r="J75" s="18">
        <f t="shared" si="59"/>
        <v>0.0130023837753923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1.03335702495346</v>
      </c>
      <c r="P75" s="18">
        <f t="shared" si="62"/>
        <v>0.0134361046154425</v>
      </c>
      <c r="Q75" s="24">
        <f t="shared" si="63"/>
        <v>0.00349338720001504</v>
      </c>
      <c r="R75" s="18">
        <f t="shared" si="64"/>
        <v>0.1355172</v>
      </c>
      <c r="S75" s="25">
        <f t="shared" si="65"/>
        <v>0.0257781831384875</v>
      </c>
      <c r="T75" s="3">
        <v>0.01</v>
      </c>
      <c r="U75" s="26">
        <f t="shared" si="66"/>
        <v>0.000257781831384875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0.00574778183138488</v>
      </c>
      <c r="AU75" s="29">
        <f t="shared" si="70"/>
        <v>52.122</v>
      </c>
      <c r="AV75" s="1">
        <f t="shared" si="71"/>
        <v>0.26</v>
      </c>
      <c r="AW75" s="2">
        <f t="shared" si="72"/>
        <v>0.9282</v>
      </c>
      <c r="AX75" s="1">
        <f t="shared" si="73"/>
        <v>484.407726730294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37">
        <v>2.42270351441379</v>
      </c>
      <c r="E76" s="20">
        <f t="shared" si="74"/>
        <v>-2.22577715009677</v>
      </c>
      <c r="F76" s="16" t="s">
        <v>110</v>
      </c>
      <c r="G76" s="13">
        <v>3</v>
      </c>
      <c r="H76" s="18">
        <f t="shared" si="57"/>
        <v>2.42270351441379</v>
      </c>
      <c r="I76" s="18">
        <f t="shared" si="58"/>
        <v>275.572703514414</v>
      </c>
      <c r="J76" s="18">
        <f t="shared" si="59"/>
        <v>0.0238401266969918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1.54114092033801</v>
      </c>
      <c r="P76" s="18">
        <f t="shared" si="62"/>
        <v>0.0367409947987768</v>
      </c>
      <c r="Q76" s="24">
        <f t="shared" si="63"/>
        <v>0.00955265864768196</v>
      </c>
      <c r="R76" s="18">
        <f t="shared" si="64"/>
        <v>0.1355172</v>
      </c>
      <c r="S76" s="25">
        <f t="shared" si="65"/>
        <v>0.0704903779570561</v>
      </c>
      <c r="T76" s="3">
        <v>0.01</v>
      </c>
      <c r="U76" s="26">
        <f t="shared" si="66"/>
        <v>0.000704903779570561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0.00619490377957056</v>
      </c>
      <c r="AU76" s="29">
        <f t="shared" si="70"/>
        <v>52.122</v>
      </c>
      <c r="AV76" s="1">
        <f t="shared" si="71"/>
        <v>0.26</v>
      </c>
      <c r="AW76" s="2">
        <f t="shared" si="72"/>
        <v>0.9282</v>
      </c>
      <c r="AX76" s="1">
        <f t="shared" si="73"/>
        <v>522.089972307047</v>
      </c>
    </row>
    <row r="77" s="1" customFormat="1" spans="1:50">
      <c r="A77" s="13"/>
      <c r="B77" s="13"/>
      <c r="C77" s="16">
        <v>3</v>
      </c>
      <c r="D77" s="37">
        <v>9.5972272636129</v>
      </c>
      <c r="E77" s="20">
        <f t="shared" si="74"/>
        <v>2.42270351441379</v>
      </c>
      <c r="F77" s="16" t="s">
        <v>110</v>
      </c>
      <c r="G77" s="13">
        <v>4</v>
      </c>
      <c r="H77" s="18">
        <f t="shared" si="57"/>
        <v>9.5972272636129</v>
      </c>
      <c r="I77" s="18">
        <f t="shared" si="58"/>
        <v>282.747227263613</v>
      </c>
      <c r="J77" s="18">
        <f t="shared" si="59"/>
        <v>0.0584352727693813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2.02561992553924</v>
      </c>
      <c r="P77" s="18">
        <f t="shared" si="62"/>
        <v>0.118367652875979</v>
      </c>
      <c r="Q77" s="24">
        <f t="shared" si="63"/>
        <v>0.0307755897477546</v>
      </c>
      <c r="R77" s="18">
        <f t="shared" si="64"/>
        <v>0.1355172</v>
      </c>
      <c r="S77" s="25">
        <f t="shared" si="65"/>
        <v>0.227097296488966</v>
      </c>
      <c r="T77" s="3">
        <v>0.01</v>
      </c>
      <c r="U77" s="26">
        <f t="shared" si="66"/>
        <v>0.00227097296488966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0.0102609729648897</v>
      </c>
      <c r="AU77" s="29">
        <f t="shared" si="70"/>
        <v>52.122</v>
      </c>
      <c r="AV77" s="1">
        <f t="shared" si="71"/>
        <v>0.26</v>
      </c>
      <c r="AW77" s="2">
        <f t="shared" si="72"/>
        <v>0.9282</v>
      </c>
      <c r="AX77" s="1">
        <f t="shared" si="73"/>
        <v>864.767441384533</v>
      </c>
    </row>
    <row r="78" s="1" customFormat="1" spans="1:50">
      <c r="A78" s="13"/>
      <c r="B78" s="13"/>
      <c r="C78" s="16">
        <v>4</v>
      </c>
      <c r="D78" s="37">
        <v>16.5237593183333</v>
      </c>
      <c r="E78" s="20">
        <f t="shared" si="74"/>
        <v>9.5972272636129</v>
      </c>
      <c r="F78" s="16" t="s">
        <v>110</v>
      </c>
      <c r="G78" s="13">
        <v>5</v>
      </c>
      <c r="H78" s="18">
        <f t="shared" si="57"/>
        <v>16.5237593183333</v>
      </c>
      <c r="I78" s="18">
        <f t="shared" si="58"/>
        <v>289.673759318333</v>
      </c>
      <c r="J78" s="18">
        <f t="shared" si="59"/>
        <v>0.133132489762849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1.81188965903009</v>
      </c>
      <c r="O78" s="18">
        <f t="shared" si="75"/>
        <v>0.616582613633163</v>
      </c>
      <c r="P78" s="18">
        <f t="shared" si="62"/>
        <v>0.0820871784974677</v>
      </c>
      <c r="Q78" s="24">
        <f t="shared" si="63"/>
        <v>0.0213426664093416</v>
      </c>
      <c r="R78" s="18">
        <f t="shared" si="64"/>
        <v>0.1355172</v>
      </c>
      <c r="S78" s="25">
        <f t="shared" si="65"/>
        <v>0.1574904617963</v>
      </c>
      <c r="T78" s="3">
        <v>0.01</v>
      </c>
      <c r="U78" s="26">
        <f t="shared" si="66"/>
        <v>0.001574904617963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0.011524904617963</v>
      </c>
      <c r="AU78" s="29">
        <f t="shared" si="70"/>
        <v>52.122</v>
      </c>
      <c r="AV78" s="1">
        <f t="shared" si="71"/>
        <v>0.26</v>
      </c>
      <c r="AW78" s="2">
        <f t="shared" si="72"/>
        <v>0.9282</v>
      </c>
      <c r="AX78" s="1">
        <f t="shared" si="73"/>
        <v>971.288230928871</v>
      </c>
    </row>
    <row r="79" s="1" customFormat="1" spans="1:50">
      <c r="A79" s="13"/>
      <c r="B79" s="13"/>
      <c r="C79" s="16">
        <v>5</v>
      </c>
      <c r="D79" s="37">
        <v>19.8947827867742</v>
      </c>
      <c r="E79" s="20">
        <f t="shared" si="74"/>
        <v>16.5237593183333</v>
      </c>
      <c r="F79" s="16" t="s">
        <v>112</v>
      </c>
      <c r="G79" s="13">
        <v>6</v>
      </c>
      <c r="H79" s="18">
        <f t="shared" si="57"/>
        <v>19.8947827867742</v>
      </c>
      <c r="I79" s="18">
        <f t="shared" si="58"/>
        <v>293.044782786774</v>
      </c>
      <c r="J79" s="18">
        <f t="shared" si="59"/>
        <v>0.195979365638842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1.05571543513569</v>
      </c>
      <c r="P79" s="18">
        <f t="shared" si="62"/>
        <v>0.206898441273028</v>
      </c>
      <c r="Q79" s="24">
        <f t="shared" si="63"/>
        <v>0.0537935947309872</v>
      </c>
      <c r="R79" s="18">
        <f t="shared" si="64"/>
        <v>0.1355172</v>
      </c>
      <c r="S79" s="25">
        <f t="shared" si="65"/>
        <v>0.396950311333079</v>
      </c>
      <c r="T79" s="3">
        <v>0.01</v>
      </c>
      <c r="U79" s="26">
        <f t="shared" si="66"/>
        <v>0.00396950311333079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0.0139195031133308</v>
      </c>
      <c r="AU79" s="29">
        <f t="shared" si="70"/>
        <v>52.122</v>
      </c>
      <c r="AV79" s="1">
        <f t="shared" si="71"/>
        <v>0.26</v>
      </c>
      <c r="AW79" s="2">
        <f t="shared" si="72"/>
        <v>0.9282</v>
      </c>
      <c r="AX79" s="1">
        <f t="shared" si="73"/>
        <v>1173.09860710549</v>
      </c>
    </row>
    <row r="80" s="1" customFormat="1" spans="1:50">
      <c r="A80" s="13"/>
      <c r="B80" s="13"/>
      <c r="C80" s="16">
        <v>6</v>
      </c>
      <c r="D80" s="37">
        <v>24.6319706836667</v>
      </c>
      <c r="E80" s="20">
        <f t="shared" si="74"/>
        <v>19.8947827867742</v>
      </c>
      <c r="F80" s="16" t="s">
        <v>110</v>
      </c>
      <c r="G80" s="13">
        <v>7</v>
      </c>
      <c r="H80" s="18">
        <f t="shared" si="57"/>
        <v>24.6319706836667</v>
      </c>
      <c r="I80" s="18">
        <f t="shared" si="58"/>
        <v>297.781970683667</v>
      </c>
      <c r="J80" s="18">
        <f t="shared" si="59"/>
        <v>0.332480485309997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1.37003699386267</v>
      </c>
      <c r="P80" s="18">
        <f t="shared" si="62"/>
        <v>0.455510564612109</v>
      </c>
      <c r="Q80" s="24">
        <f t="shared" si="63"/>
        <v>0.118432746799148</v>
      </c>
      <c r="R80" s="18">
        <f t="shared" si="64"/>
        <v>0.1355172</v>
      </c>
      <c r="S80" s="25">
        <f t="shared" si="65"/>
        <v>0.873931477326482</v>
      </c>
      <c r="T80" s="3">
        <v>0.01</v>
      </c>
      <c r="U80" s="26">
        <f t="shared" si="66"/>
        <v>0.00873931477326482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0.0211893147732648</v>
      </c>
      <c r="AU80" s="29">
        <f t="shared" si="70"/>
        <v>52.122</v>
      </c>
      <c r="AV80" s="1">
        <f t="shared" si="71"/>
        <v>0.26</v>
      </c>
      <c r="AW80" s="2">
        <f t="shared" si="72"/>
        <v>0.9282</v>
      </c>
      <c r="AX80" s="1">
        <f t="shared" si="73"/>
        <v>1785.77894941026</v>
      </c>
    </row>
    <row r="81" s="1" customFormat="1" spans="1:50">
      <c r="A81" s="13"/>
      <c r="B81" s="13"/>
      <c r="C81" s="16">
        <v>7</v>
      </c>
      <c r="D81" s="37">
        <v>27.2000419932258</v>
      </c>
      <c r="E81" s="20">
        <f t="shared" si="74"/>
        <v>24.6319706836667</v>
      </c>
      <c r="F81" s="16" t="s">
        <v>110</v>
      </c>
      <c r="G81" s="13">
        <v>8</v>
      </c>
      <c r="H81" s="18">
        <f t="shared" si="57"/>
        <v>27.2000419932258</v>
      </c>
      <c r="I81" s="18">
        <f t="shared" si="58"/>
        <v>300.350041993226</v>
      </c>
      <c r="J81" s="18">
        <f t="shared" si="59"/>
        <v>0.439727468877302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1.43574642925056</v>
      </c>
      <c r="P81" s="18">
        <f t="shared" si="62"/>
        <v>0.631337143283972</v>
      </c>
      <c r="Q81" s="24">
        <f t="shared" si="63"/>
        <v>0.164147657253833</v>
      </c>
      <c r="R81" s="18">
        <f t="shared" si="64"/>
        <v>0.1355172</v>
      </c>
      <c r="S81" s="25">
        <f t="shared" si="65"/>
        <v>1.21126806969029</v>
      </c>
      <c r="T81" s="3">
        <v>0.01</v>
      </c>
      <c r="U81" s="26">
        <f t="shared" si="66"/>
        <v>0.0121126806969029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0.0245626806969029</v>
      </c>
      <c r="AU81" s="29">
        <f t="shared" si="70"/>
        <v>52.122</v>
      </c>
      <c r="AV81" s="1">
        <f t="shared" si="71"/>
        <v>0.26</v>
      </c>
      <c r="AW81" s="2">
        <f t="shared" si="72"/>
        <v>0.9282</v>
      </c>
      <c r="AX81" s="1">
        <f t="shared" si="73"/>
        <v>2070.07723463331</v>
      </c>
    </row>
    <row r="82" s="1" customFormat="1" spans="1:50">
      <c r="A82" s="13"/>
      <c r="B82" s="13"/>
      <c r="C82" s="16">
        <v>8</v>
      </c>
      <c r="D82" s="37">
        <v>26.5832505335484</v>
      </c>
      <c r="E82" s="20">
        <f t="shared" si="74"/>
        <v>27.2000419932258</v>
      </c>
      <c r="F82" s="16" t="s">
        <v>110</v>
      </c>
      <c r="G82" s="13">
        <v>9</v>
      </c>
      <c r="H82" s="18">
        <f t="shared" si="57"/>
        <v>26.5832505335484</v>
      </c>
      <c r="I82" s="18">
        <f t="shared" si="58"/>
        <v>299.733250533548</v>
      </c>
      <c r="J82" s="18">
        <f t="shared" si="59"/>
        <v>0.411350258008851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1.32562928596659</v>
      </c>
      <c r="P82" s="18">
        <f t="shared" si="62"/>
        <v>0.545297948806444</v>
      </c>
      <c r="Q82" s="24">
        <f t="shared" si="63"/>
        <v>0.141777466689675</v>
      </c>
      <c r="R82" s="18">
        <f t="shared" si="64"/>
        <v>0.1355172</v>
      </c>
      <c r="S82" s="25">
        <f t="shared" si="65"/>
        <v>1.04619536626846</v>
      </c>
      <c r="T82" s="3">
        <v>0.01</v>
      </c>
      <c r="U82" s="26">
        <f t="shared" si="66"/>
        <v>0.0104619536626846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0.0204119536626845</v>
      </c>
      <c r="AU82" s="29">
        <f t="shared" si="70"/>
        <v>52.122</v>
      </c>
      <c r="AV82" s="1">
        <f t="shared" si="71"/>
        <v>0.26</v>
      </c>
      <c r="AW82" s="2">
        <f t="shared" si="72"/>
        <v>0.9282</v>
      </c>
      <c r="AX82" s="1">
        <f t="shared" si="73"/>
        <v>1720.26502778425</v>
      </c>
    </row>
    <row r="83" s="1" customFormat="1" spans="1:50">
      <c r="A83" s="13"/>
      <c r="B83" s="13"/>
      <c r="C83" s="16">
        <v>9</v>
      </c>
      <c r="D83" s="37">
        <v>22.5902898093333</v>
      </c>
      <c r="E83" s="20">
        <f t="shared" si="74"/>
        <v>26.5832505335484</v>
      </c>
      <c r="F83" s="16" t="s">
        <v>110</v>
      </c>
      <c r="G83" s="13">
        <v>10</v>
      </c>
      <c r="H83" s="18">
        <f t="shared" si="57"/>
        <v>22.5902898093333</v>
      </c>
      <c r="I83" s="18">
        <f t="shared" si="58"/>
        <v>295.740289809333</v>
      </c>
      <c r="J83" s="18">
        <f t="shared" si="59"/>
        <v>0.26529657072589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1.30155133716014</v>
      </c>
      <c r="P83" s="18">
        <f t="shared" si="62"/>
        <v>0.345297106372282</v>
      </c>
      <c r="Q83" s="24">
        <f t="shared" si="63"/>
        <v>0.0897772476567934</v>
      </c>
      <c r="R83" s="18">
        <f t="shared" si="64"/>
        <v>0.1355172</v>
      </c>
      <c r="S83" s="25">
        <f t="shared" si="65"/>
        <v>0.662478620107214</v>
      </c>
      <c r="T83" s="3">
        <v>0.01</v>
      </c>
      <c r="U83" s="26">
        <f t="shared" si="66"/>
        <v>0.00662478620107214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0.0165747862010721</v>
      </c>
      <c r="AU83" s="29">
        <f t="shared" si="70"/>
        <v>52.122</v>
      </c>
      <c r="AV83" s="1">
        <f t="shared" si="71"/>
        <v>0.26</v>
      </c>
      <c r="AW83" s="2">
        <f t="shared" si="72"/>
        <v>0.9282</v>
      </c>
      <c r="AX83" s="1">
        <f t="shared" si="73"/>
        <v>1396.8787856319</v>
      </c>
    </row>
    <row r="84" s="1" customFormat="1" spans="1:50">
      <c r="A84" s="13"/>
      <c r="B84" s="13"/>
      <c r="C84" s="16">
        <v>10</v>
      </c>
      <c r="D84" s="37">
        <v>15.6152668841936</v>
      </c>
      <c r="E84" s="20">
        <f t="shared" si="74"/>
        <v>22.5902898093333</v>
      </c>
      <c r="F84" s="16" t="s">
        <v>110</v>
      </c>
      <c r="G84" s="13">
        <v>11</v>
      </c>
      <c r="H84" s="18">
        <f t="shared" si="57"/>
        <v>15.6152668841936</v>
      </c>
      <c r="I84" s="18">
        <f t="shared" si="58"/>
        <v>288.765266884194</v>
      </c>
      <c r="J84" s="18">
        <f t="shared" si="59"/>
        <v>0.119772506520471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0.908441519248467</v>
      </c>
      <c r="O84" s="18">
        <f t="shared" si="75"/>
        <v>0.569032711539393</v>
      </c>
      <c r="P84" s="18">
        <f t="shared" si="62"/>
        <v>0.0681544741532132</v>
      </c>
      <c r="Q84" s="24">
        <f t="shared" si="63"/>
        <v>0.0177201632798354</v>
      </c>
      <c r="R84" s="18">
        <f t="shared" si="64"/>
        <v>0.1355172</v>
      </c>
      <c r="S84" s="25">
        <f t="shared" si="65"/>
        <v>0.130759514510597</v>
      </c>
      <c r="T84" s="3">
        <v>0.01</v>
      </c>
      <c r="U84" s="26">
        <f t="shared" si="66"/>
        <v>0.00130759514510597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0.00875759514510597</v>
      </c>
      <c r="AU84" s="29">
        <f t="shared" si="70"/>
        <v>52.122</v>
      </c>
      <c r="AV84" s="1">
        <f t="shared" si="71"/>
        <v>0.26</v>
      </c>
      <c r="AW84" s="2">
        <f t="shared" si="72"/>
        <v>0.9282</v>
      </c>
      <c r="AX84" s="1">
        <f t="shared" si="73"/>
        <v>738.06676737466</v>
      </c>
    </row>
    <row r="85" s="1" customFormat="1" spans="1:51">
      <c r="A85" s="13"/>
      <c r="B85" s="13"/>
      <c r="C85" s="16">
        <v>11</v>
      </c>
      <c r="D85" s="37">
        <v>7.44896313136667</v>
      </c>
      <c r="E85" s="20">
        <f t="shared" si="74"/>
        <v>15.6152668841936</v>
      </c>
      <c r="F85" s="16" t="s">
        <v>112</v>
      </c>
      <c r="G85" s="13">
        <v>12</v>
      </c>
      <c r="H85" s="18">
        <f t="shared" si="57"/>
        <v>7.44896313136667</v>
      </c>
      <c r="I85" s="18">
        <f t="shared" si="58"/>
        <v>280.598963131367</v>
      </c>
      <c r="J85" s="18">
        <f t="shared" si="59"/>
        <v>0.0448926913502052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1.02209823738618</v>
      </c>
      <c r="P85" s="18">
        <f t="shared" si="62"/>
        <v>0.0458847407005665</v>
      </c>
      <c r="Q85" s="24">
        <f t="shared" si="63"/>
        <v>0.0119300325821473</v>
      </c>
      <c r="R85" s="18">
        <f t="shared" si="64"/>
        <v>0.1355172</v>
      </c>
      <c r="S85" s="25">
        <f t="shared" si="65"/>
        <v>0.0880333461888771</v>
      </c>
      <c r="T85" s="3">
        <v>0.01</v>
      </c>
      <c r="U85" s="26">
        <f t="shared" si="66"/>
        <v>0.000880333461888771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0.00833033346188877</v>
      </c>
      <c r="AU85" s="29">
        <f t="shared" si="70"/>
        <v>52.122</v>
      </c>
      <c r="AV85" s="1">
        <f t="shared" si="71"/>
        <v>0.26</v>
      </c>
      <c r="AW85" s="2">
        <f t="shared" si="72"/>
        <v>0.9282</v>
      </c>
      <c r="AX85" s="1">
        <f t="shared" si="73"/>
        <v>702.058291973579</v>
      </c>
      <c r="AY85" s="1">
        <f>SUM(AX74:AX85)</f>
        <v>12906.1460805782</v>
      </c>
    </row>
    <row r="86" s="1" customFormat="1" spans="1:46">
      <c r="A86" s="13"/>
      <c r="B86" s="13"/>
      <c r="C86" s="16">
        <v>12</v>
      </c>
      <c r="D86" s="37">
        <v>2.54217434116129</v>
      </c>
      <c r="E86" s="20">
        <f t="shared" si="74"/>
        <v>7.44896313136667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0</v>
      </c>
      <c r="E90" s="16"/>
      <c r="F90" s="16"/>
      <c r="G90" s="13">
        <v>1</v>
      </c>
      <c r="H90" s="18">
        <f t="shared" ref="H90:H101" si="76">E91</f>
        <v>0</v>
      </c>
      <c r="I90" s="18">
        <f t="shared" ref="I90:I101" si="77">H90+273.15</f>
        <v>273.15</v>
      </c>
      <c r="J90" s="18">
        <f t="shared" ref="J90:J101" si="78">EXP(($C$16*(I90-$C$14))/($C$17*I90*$C$14))</f>
        <v>0.0174263747487528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0.00496128889096992</v>
      </c>
      <c r="Q90" s="24">
        <f t="shared" ref="Q90:Q101" si="82">P90*$B$76</f>
        <v>0.00128993511165218</v>
      </c>
      <c r="R90" s="18">
        <f t="shared" ref="R90:R101" si="83">L90*$B$76</f>
        <v>0.074022</v>
      </c>
      <c r="S90" s="25">
        <f t="shared" ref="S90:S101" si="84">Q90/R90</f>
        <v>0.0174263747487528</v>
      </c>
      <c r="T90" s="3">
        <v>0.01</v>
      </c>
      <c r="U90" s="26">
        <f t="shared" ref="U90:U101" si="85">S90*T90</f>
        <v>0.000174263747487528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0.00566426374748753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11.95</v>
      </c>
      <c r="AX90" s="1">
        <f t="shared" ref="AX90:AX101" si="92">AW90*10000*AV90*0.67*AU90*AT90</f>
        <v>3356.96636978443</v>
      </c>
      <c r="AZ90" s="2">
        <f t="shared" ref="AZ90:AZ101" si="93">$E$10</f>
        <v>0.389983853869375</v>
      </c>
      <c r="BA90" s="1">
        <f t="shared" ref="BA90:BA101" si="94">AZ90*10000*AV90*0.67*AU90*AT90</f>
        <v>109.553362527064</v>
      </c>
    </row>
    <row r="91" s="1" customFormat="1" spans="1:53">
      <c r="A91" s="13" t="s">
        <v>111</v>
      </c>
      <c r="B91" s="13">
        <v>1</v>
      </c>
      <c r="C91" s="16">
        <v>1</v>
      </c>
      <c r="D91" s="37">
        <v>-2.22577715009677</v>
      </c>
      <c r="E91" s="20">
        <f t="shared" ref="E91:E102" si="95">D90</f>
        <v>0</v>
      </c>
      <c r="F91" s="16" t="s">
        <v>110</v>
      </c>
      <c r="G91" s="13">
        <v>2</v>
      </c>
      <c r="H91" s="18">
        <f t="shared" si="76"/>
        <v>-2.22577715009677</v>
      </c>
      <c r="I91" s="18">
        <f t="shared" si="77"/>
        <v>270.924222849903</v>
      </c>
      <c r="J91" s="18">
        <f t="shared" si="78"/>
        <v>0.0130023837753923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0.56443871110903</v>
      </c>
      <c r="P91" s="18">
        <f t="shared" si="81"/>
        <v>0.00733904873952739</v>
      </c>
      <c r="Q91" s="24">
        <f t="shared" si="82"/>
        <v>0.00190815267227712</v>
      </c>
      <c r="R91" s="18">
        <f t="shared" si="83"/>
        <v>0.074022</v>
      </c>
      <c r="S91" s="25">
        <f t="shared" si="84"/>
        <v>0.0257781831384875</v>
      </c>
      <c r="T91" s="3">
        <v>0.01</v>
      </c>
      <c r="U91" s="26">
        <f t="shared" si="85"/>
        <v>0.000257781831384875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0.00574778183138488</v>
      </c>
      <c r="AU91" s="29">
        <f t="shared" si="89"/>
        <v>28.47</v>
      </c>
      <c r="AV91" s="1">
        <f t="shared" si="90"/>
        <v>0.26</v>
      </c>
      <c r="AW91" s="2">
        <f t="shared" si="91"/>
        <v>11.95</v>
      </c>
      <c r="AX91" s="1">
        <f t="shared" si="92"/>
        <v>3406.46395877587</v>
      </c>
      <c r="AZ91" s="2">
        <f t="shared" si="93"/>
        <v>0.389983853869375</v>
      </c>
      <c r="BA91" s="1">
        <f t="shared" si="94"/>
        <v>111.168698134773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37">
        <v>2.42270351441379</v>
      </c>
      <c r="E92" s="20">
        <f t="shared" si="95"/>
        <v>-2.22577715009677</v>
      </c>
      <c r="F92" s="16" t="s">
        <v>110</v>
      </c>
      <c r="G92" s="13">
        <v>3</v>
      </c>
      <c r="H92" s="18">
        <f t="shared" si="76"/>
        <v>2.42270351441379</v>
      </c>
      <c r="I92" s="18">
        <f t="shared" si="77"/>
        <v>275.572703514414</v>
      </c>
      <c r="J92" s="18">
        <f t="shared" si="78"/>
        <v>0.0238401266969918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0.841799662369503</v>
      </c>
      <c r="P92" s="18">
        <f t="shared" si="81"/>
        <v>0.0200686106043739</v>
      </c>
      <c r="Q92" s="24">
        <f t="shared" si="82"/>
        <v>0.00521783875713721</v>
      </c>
      <c r="R92" s="18">
        <f t="shared" si="83"/>
        <v>0.074022</v>
      </c>
      <c r="S92" s="25">
        <f t="shared" si="84"/>
        <v>0.0704903779570561</v>
      </c>
      <c r="T92" s="3">
        <v>0.01</v>
      </c>
      <c r="U92" s="26">
        <f t="shared" si="85"/>
        <v>0.000704903779570561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0.00619490377957056</v>
      </c>
      <c r="AU92" s="29">
        <f t="shared" si="89"/>
        <v>28.47</v>
      </c>
      <c r="AV92" s="1">
        <f t="shared" si="90"/>
        <v>0.26</v>
      </c>
      <c r="AW92" s="2">
        <f t="shared" si="91"/>
        <v>11.95</v>
      </c>
      <c r="AX92" s="1">
        <f t="shared" si="92"/>
        <v>3671.45397516019</v>
      </c>
      <c r="AZ92" s="2">
        <f t="shared" si="93"/>
        <v>0.389983853869375</v>
      </c>
      <c r="BA92" s="1">
        <f t="shared" si="94"/>
        <v>119.816549835733</v>
      </c>
    </row>
    <row r="93" s="1" customFormat="1" spans="1:53">
      <c r="A93" s="13"/>
      <c r="B93" s="13"/>
      <c r="C93" s="16">
        <v>3</v>
      </c>
      <c r="D93" s="37">
        <v>9.5972272636129</v>
      </c>
      <c r="E93" s="20">
        <f t="shared" si="95"/>
        <v>2.42270351441379</v>
      </c>
      <c r="F93" s="16" t="s">
        <v>110</v>
      </c>
      <c r="G93" s="13">
        <v>4</v>
      </c>
      <c r="H93" s="18">
        <f t="shared" si="76"/>
        <v>9.5972272636129</v>
      </c>
      <c r="I93" s="18">
        <f t="shared" si="77"/>
        <v>282.747227263613</v>
      </c>
      <c r="J93" s="18">
        <f t="shared" si="78"/>
        <v>0.0584352727693813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1.10643105176513</v>
      </c>
      <c r="P93" s="18">
        <f t="shared" si="81"/>
        <v>0.0646546003104087</v>
      </c>
      <c r="Q93" s="24">
        <f t="shared" si="82"/>
        <v>0.0168101960807063</v>
      </c>
      <c r="R93" s="18">
        <f t="shared" si="83"/>
        <v>0.074022</v>
      </c>
      <c r="S93" s="25">
        <f t="shared" si="84"/>
        <v>0.227097296488966</v>
      </c>
      <c r="T93" s="3">
        <v>0.01</v>
      </c>
      <c r="U93" s="26">
        <f t="shared" si="85"/>
        <v>0.00227097296488966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0.0122209729648897</v>
      </c>
      <c r="AU93" s="29">
        <f t="shared" si="89"/>
        <v>28.47</v>
      </c>
      <c r="AV93" s="1">
        <f t="shared" si="90"/>
        <v>0.26</v>
      </c>
      <c r="AW93" s="2">
        <f t="shared" si="91"/>
        <v>11.95</v>
      </c>
      <c r="AX93" s="1">
        <f t="shared" si="92"/>
        <v>7242.84692205175</v>
      </c>
      <c r="AZ93" s="2">
        <f t="shared" si="93"/>
        <v>0.389983853869375</v>
      </c>
      <c r="BA93" s="1">
        <f t="shared" si="94"/>
        <v>236.367644824074</v>
      </c>
    </row>
    <row r="94" s="1" customFormat="1" spans="1:53">
      <c r="A94" s="13"/>
      <c r="B94" s="13"/>
      <c r="C94" s="16">
        <v>4</v>
      </c>
      <c r="D94" s="37">
        <v>16.5237593183333</v>
      </c>
      <c r="E94" s="20">
        <f t="shared" si="95"/>
        <v>9.5972272636129</v>
      </c>
      <c r="F94" s="16" t="s">
        <v>110</v>
      </c>
      <c r="G94" s="13">
        <v>5</v>
      </c>
      <c r="H94" s="18">
        <f t="shared" si="76"/>
        <v>16.5237593183333</v>
      </c>
      <c r="I94" s="18">
        <f t="shared" si="77"/>
        <v>289.673759318333</v>
      </c>
      <c r="J94" s="18">
        <f t="shared" si="78"/>
        <v>0.133132489762849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0.989687628881984</v>
      </c>
      <c r="O94" s="18">
        <f t="shared" si="96"/>
        <v>0.336788822572736</v>
      </c>
      <c r="P94" s="18">
        <f t="shared" si="81"/>
        <v>0.0448375344734067</v>
      </c>
      <c r="Q94" s="24">
        <f t="shared" si="82"/>
        <v>0.0116577589630858</v>
      </c>
      <c r="R94" s="18">
        <f t="shared" si="83"/>
        <v>0.074022</v>
      </c>
      <c r="S94" s="25">
        <f t="shared" si="84"/>
        <v>0.1574904617963</v>
      </c>
      <c r="T94" s="3">
        <v>0.01</v>
      </c>
      <c r="U94" s="26">
        <f t="shared" si="85"/>
        <v>0.001574904617963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0.011524904617963</v>
      </c>
      <c r="AU94" s="29">
        <f t="shared" si="89"/>
        <v>28.47</v>
      </c>
      <c r="AV94" s="1">
        <f t="shared" si="90"/>
        <v>0.26</v>
      </c>
      <c r="AW94" s="2">
        <f t="shared" si="91"/>
        <v>11.95</v>
      </c>
      <c r="AX94" s="1">
        <f t="shared" si="92"/>
        <v>6830.31704422946</v>
      </c>
      <c r="AZ94" s="2">
        <f t="shared" si="93"/>
        <v>0.389983853869375</v>
      </c>
      <c r="BA94" s="1">
        <f t="shared" si="94"/>
        <v>222.904884021614</v>
      </c>
    </row>
    <row r="95" s="1" customFormat="1" spans="1:53">
      <c r="A95" s="13"/>
      <c r="B95" s="13"/>
      <c r="C95" s="16">
        <v>5</v>
      </c>
      <c r="D95" s="37">
        <v>19.8947827867742</v>
      </c>
      <c r="E95" s="20">
        <f t="shared" si="95"/>
        <v>16.5237593183333</v>
      </c>
      <c r="F95" s="16" t="s">
        <v>112</v>
      </c>
      <c r="G95" s="13">
        <v>6</v>
      </c>
      <c r="H95" s="18">
        <f t="shared" si="76"/>
        <v>19.8947827867742</v>
      </c>
      <c r="I95" s="18">
        <f t="shared" si="77"/>
        <v>293.044782786774</v>
      </c>
      <c r="J95" s="18">
        <f t="shared" si="78"/>
        <v>0.195979365638842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0.576651288099329</v>
      </c>
      <c r="P95" s="18">
        <f t="shared" si="81"/>
        <v>0.113011753636528</v>
      </c>
      <c r="Q95" s="24">
        <f t="shared" si="82"/>
        <v>0.0293830559454972</v>
      </c>
      <c r="R95" s="18">
        <f t="shared" si="83"/>
        <v>0.074022</v>
      </c>
      <c r="S95" s="25">
        <f t="shared" si="84"/>
        <v>0.396950311333079</v>
      </c>
      <c r="T95" s="3">
        <v>0.01</v>
      </c>
      <c r="U95" s="26">
        <f t="shared" si="85"/>
        <v>0.00396950311333079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0.0139195031133308</v>
      </c>
      <c r="AU95" s="29">
        <f t="shared" si="89"/>
        <v>28.47</v>
      </c>
      <c r="AV95" s="1">
        <f t="shared" si="90"/>
        <v>0.26</v>
      </c>
      <c r="AW95" s="2">
        <f t="shared" si="91"/>
        <v>11.95</v>
      </c>
      <c r="AX95" s="1">
        <f t="shared" si="92"/>
        <v>8249.49294712623</v>
      </c>
      <c r="AZ95" s="2">
        <f t="shared" si="93"/>
        <v>0.389983853869375</v>
      </c>
      <c r="BA95" s="1">
        <f t="shared" si="94"/>
        <v>269.21916753042</v>
      </c>
    </row>
    <row r="96" s="1" customFormat="1" spans="1:53">
      <c r="A96" s="13"/>
      <c r="B96" s="13"/>
      <c r="C96" s="16">
        <v>6</v>
      </c>
      <c r="D96" s="37">
        <v>24.6319706836667</v>
      </c>
      <c r="E96" s="20">
        <f t="shared" si="95"/>
        <v>19.8947827867742</v>
      </c>
      <c r="F96" s="16" t="s">
        <v>110</v>
      </c>
      <c r="G96" s="13">
        <v>7</v>
      </c>
      <c r="H96" s="18">
        <f t="shared" si="76"/>
        <v>24.6319706836667</v>
      </c>
      <c r="I96" s="18">
        <f t="shared" si="77"/>
        <v>297.781970683667</v>
      </c>
      <c r="J96" s="18">
        <f t="shared" si="78"/>
        <v>0.332480485309997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0.748339534462802</v>
      </c>
      <c r="P96" s="18">
        <f t="shared" si="81"/>
        <v>0.24880829159485</v>
      </c>
      <c r="Q96" s="24">
        <f t="shared" si="82"/>
        <v>0.0646901558146609</v>
      </c>
      <c r="R96" s="18">
        <f t="shared" si="83"/>
        <v>0.074022</v>
      </c>
      <c r="S96" s="25">
        <f t="shared" si="84"/>
        <v>0.873931477326482</v>
      </c>
      <c r="T96" s="3">
        <v>0.01</v>
      </c>
      <c r="U96" s="26">
        <f t="shared" si="85"/>
        <v>0.00873931477326482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0.0236393147732648</v>
      </c>
      <c r="AU96" s="29">
        <f t="shared" si="89"/>
        <v>28.47</v>
      </c>
      <c r="AV96" s="1">
        <f t="shared" si="90"/>
        <v>0.26</v>
      </c>
      <c r="AW96" s="2">
        <f t="shared" si="91"/>
        <v>11.95</v>
      </c>
      <c r="AX96" s="1">
        <f t="shared" si="92"/>
        <v>14010.0087560008</v>
      </c>
      <c r="AZ96" s="2">
        <f t="shared" si="93"/>
        <v>0.389983853869375</v>
      </c>
      <c r="BA96" s="1">
        <f t="shared" si="94"/>
        <v>457.211481791539</v>
      </c>
    </row>
    <row r="97" s="1" customFormat="1" spans="1:53">
      <c r="A97" s="13"/>
      <c r="B97" s="13"/>
      <c r="C97" s="16">
        <v>7</v>
      </c>
      <c r="D97" s="37">
        <v>27.2000419932258</v>
      </c>
      <c r="E97" s="20">
        <f t="shared" si="95"/>
        <v>24.6319706836667</v>
      </c>
      <c r="F97" s="16" t="s">
        <v>110</v>
      </c>
      <c r="G97" s="13">
        <v>8</v>
      </c>
      <c r="H97" s="18">
        <f t="shared" si="76"/>
        <v>27.2000419932258</v>
      </c>
      <c r="I97" s="18">
        <f t="shared" si="77"/>
        <v>300.350041993226</v>
      </c>
      <c r="J97" s="18">
        <f t="shared" si="78"/>
        <v>0.439727468877302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0.784231242867952</v>
      </c>
      <c r="P97" s="18">
        <f t="shared" si="81"/>
        <v>0.344848019440825</v>
      </c>
      <c r="Q97" s="24">
        <f t="shared" si="82"/>
        <v>0.0896604850546146</v>
      </c>
      <c r="R97" s="18">
        <f t="shared" si="83"/>
        <v>0.074022</v>
      </c>
      <c r="S97" s="25">
        <f t="shared" si="84"/>
        <v>1.21126806969029</v>
      </c>
      <c r="T97" s="3">
        <v>0.01</v>
      </c>
      <c r="U97" s="26">
        <f t="shared" si="85"/>
        <v>0.0121126806969029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0.0270126806969029</v>
      </c>
      <c r="AU97" s="29">
        <f t="shared" si="89"/>
        <v>28.47</v>
      </c>
      <c r="AV97" s="1">
        <f t="shared" si="90"/>
        <v>0.26</v>
      </c>
      <c r="AW97" s="2">
        <f t="shared" si="91"/>
        <v>11.95</v>
      </c>
      <c r="AX97" s="1">
        <f t="shared" si="92"/>
        <v>16009.2581665977</v>
      </c>
      <c r="AZ97" s="2">
        <f t="shared" si="93"/>
        <v>0.389983853869375</v>
      </c>
      <c r="BA97" s="1">
        <f t="shared" si="94"/>
        <v>522.456250828414</v>
      </c>
    </row>
    <row r="98" s="1" customFormat="1" spans="1:53">
      <c r="A98" s="13"/>
      <c r="B98" s="13"/>
      <c r="C98" s="16">
        <v>8</v>
      </c>
      <c r="D98" s="37">
        <v>26.5832505335484</v>
      </c>
      <c r="E98" s="20">
        <f t="shared" si="95"/>
        <v>27.2000419932258</v>
      </c>
      <c r="F98" s="16" t="s">
        <v>110</v>
      </c>
      <c r="G98" s="13">
        <v>9</v>
      </c>
      <c r="H98" s="18">
        <f t="shared" si="76"/>
        <v>26.5832505335484</v>
      </c>
      <c r="I98" s="18">
        <f t="shared" si="77"/>
        <v>299.733250533548</v>
      </c>
      <c r="J98" s="18">
        <f t="shared" si="78"/>
        <v>0.411350258008851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0.724083223427127</v>
      </c>
      <c r="P98" s="18">
        <f t="shared" si="81"/>
        <v>0.297851820776629</v>
      </c>
      <c r="Q98" s="24">
        <f t="shared" si="82"/>
        <v>0.0774414734019236</v>
      </c>
      <c r="R98" s="18">
        <f t="shared" si="83"/>
        <v>0.074022</v>
      </c>
      <c r="S98" s="25">
        <f t="shared" si="84"/>
        <v>1.04619536626845</v>
      </c>
      <c r="T98" s="3">
        <v>0.01</v>
      </c>
      <c r="U98" s="26">
        <f t="shared" si="85"/>
        <v>0.0104619536626845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0.0204119536626845</v>
      </c>
      <c r="AU98" s="29">
        <f t="shared" si="89"/>
        <v>28.47</v>
      </c>
      <c r="AV98" s="1">
        <f t="shared" si="90"/>
        <v>0.26</v>
      </c>
      <c r="AW98" s="2">
        <f t="shared" si="91"/>
        <v>11.95</v>
      </c>
      <c r="AX98" s="1">
        <f t="shared" si="92"/>
        <v>12097.290140775</v>
      </c>
      <c r="AZ98" s="2">
        <f t="shared" si="93"/>
        <v>0.389983853869375</v>
      </c>
      <c r="BA98" s="1">
        <f t="shared" si="94"/>
        <v>394.790613428907</v>
      </c>
    </row>
    <row r="99" s="1" customFormat="1" spans="1:53">
      <c r="A99" s="13"/>
      <c r="B99" s="13"/>
      <c r="C99" s="16">
        <v>9</v>
      </c>
      <c r="D99" s="37">
        <v>22.5902898093333</v>
      </c>
      <c r="E99" s="20">
        <f t="shared" si="95"/>
        <v>26.5832505335484</v>
      </c>
      <c r="F99" s="16" t="s">
        <v>110</v>
      </c>
      <c r="G99" s="13">
        <v>10</v>
      </c>
      <c r="H99" s="18">
        <f t="shared" si="76"/>
        <v>22.5902898093333</v>
      </c>
      <c r="I99" s="18">
        <f t="shared" si="77"/>
        <v>295.740289809333</v>
      </c>
      <c r="J99" s="18">
        <f t="shared" si="78"/>
        <v>0.26529657072589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0.710931402650498</v>
      </c>
      <c r="P99" s="18">
        <f t="shared" si="81"/>
        <v>0.188607663144524</v>
      </c>
      <c r="Q99" s="24">
        <f t="shared" si="82"/>
        <v>0.0490379924175762</v>
      </c>
      <c r="R99" s="18">
        <f t="shared" si="83"/>
        <v>0.074022</v>
      </c>
      <c r="S99" s="25">
        <f t="shared" si="84"/>
        <v>0.662478620107214</v>
      </c>
      <c r="T99" s="3">
        <v>0.01</v>
      </c>
      <c r="U99" s="26">
        <f t="shared" si="85"/>
        <v>0.00662478620107214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0.0165747862010721</v>
      </c>
      <c r="AU99" s="29">
        <f t="shared" si="89"/>
        <v>28.47</v>
      </c>
      <c r="AV99" s="1">
        <f t="shared" si="90"/>
        <v>0.26</v>
      </c>
      <c r="AW99" s="2">
        <f t="shared" si="91"/>
        <v>11.95</v>
      </c>
      <c r="AX99" s="1">
        <f t="shared" si="92"/>
        <v>9823.16543576324</v>
      </c>
      <c r="AZ99" s="2">
        <f t="shared" si="93"/>
        <v>0.389983853869375</v>
      </c>
      <c r="BA99" s="1">
        <f t="shared" si="94"/>
        <v>320.575390279112</v>
      </c>
    </row>
    <row r="100" s="1" customFormat="1" spans="1:53">
      <c r="A100" s="13"/>
      <c r="B100" s="13"/>
      <c r="C100" s="16">
        <v>10</v>
      </c>
      <c r="D100" s="37">
        <v>15.6152668841936</v>
      </c>
      <c r="E100" s="20">
        <f t="shared" si="95"/>
        <v>22.5902898093333</v>
      </c>
      <c r="F100" s="16" t="s">
        <v>110</v>
      </c>
      <c r="G100" s="13">
        <v>11</v>
      </c>
      <c r="H100" s="18">
        <f t="shared" si="76"/>
        <v>15.6152668841936</v>
      </c>
      <c r="I100" s="18">
        <f t="shared" si="77"/>
        <v>288.765266884194</v>
      </c>
      <c r="J100" s="18">
        <f t="shared" si="78"/>
        <v>0.119772506520471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0.496207552530675</v>
      </c>
      <c r="O100" s="18">
        <f t="shared" si="96"/>
        <v>0.310816186975299</v>
      </c>
      <c r="P100" s="18">
        <f t="shared" si="81"/>
        <v>0.0372272337811669</v>
      </c>
      <c r="Q100" s="24">
        <f t="shared" si="82"/>
        <v>0.00967908078310339</v>
      </c>
      <c r="R100" s="18">
        <f t="shared" si="83"/>
        <v>0.074022</v>
      </c>
      <c r="S100" s="25">
        <f t="shared" si="84"/>
        <v>0.130759514510597</v>
      </c>
      <c r="T100" s="3">
        <v>0.01</v>
      </c>
      <c r="U100" s="26">
        <f t="shared" si="85"/>
        <v>0.00130759514510597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0.00679759514510597</v>
      </c>
      <c r="AU100" s="29">
        <f t="shared" si="89"/>
        <v>28.47</v>
      </c>
      <c r="AV100" s="1">
        <f t="shared" si="90"/>
        <v>0.26</v>
      </c>
      <c r="AW100" s="2">
        <f t="shared" si="91"/>
        <v>11.95</v>
      </c>
      <c r="AX100" s="1">
        <f t="shared" si="92"/>
        <v>4028.64331796917</v>
      </c>
      <c r="AZ100" s="2">
        <f t="shared" si="93"/>
        <v>0.389983853869375</v>
      </c>
      <c r="BA100" s="1">
        <f t="shared" si="94"/>
        <v>131.473292636546</v>
      </c>
    </row>
    <row r="101" s="1" customFormat="1" spans="1:54">
      <c r="A101" s="13"/>
      <c r="B101" s="13"/>
      <c r="C101" s="16">
        <v>11</v>
      </c>
      <c r="D101" s="37">
        <v>7.44896313136667</v>
      </c>
      <c r="E101" s="20">
        <f t="shared" si="95"/>
        <v>15.6152668841936</v>
      </c>
      <c r="F101" s="16" t="s">
        <v>112</v>
      </c>
      <c r="G101" s="13">
        <v>12</v>
      </c>
      <c r="H101" s="18">
        <f t="shared" si="76"/>
        <v>7.44896313136667</v>
      </c>
      <c r="I101" s="18">
        <f t="shared" si="77"/>
        <v>280.598963131367</v>
      </c>
      <c r="J101" s="18">
        <f t="shared" si="78"/>
        <v>0.0448926913502052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0.558288953194132</v>
      </c>
      <c r="P101" s="18">
        <f t="shared" si="81"/>
        <v>0.0250630936599733</v>
      </c>
      <c r="Q101" s="24">
        <f t="shared" si="82"/>
        <v>0.00651640435159306</v>
      </c>
      <c r="R101" s="18">
        <f t="shared" si="83"/>
        <v>0.074022</v>
      </c>
      <c r="S101" s="25">
        <f t="shared" si="84"/>
        <v>0.0880333461888771</v>
      </c>
      <c r="T101" s="3">
        <v>0.01</v>
      </c>
      <c r="U101" s="26">
        <f t="shared" si="85"/>
        <v>0.000880333461888771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0.00637033346188877</v>
      </c>
      <c r="AU101" s="29">
        <f t="shared" si="89"/>
        <v>28.47</v>
      </c>
      <c r="AV101" s="1">
        <f t="shared" si="90"/>
        <v>0.26</v>
      </c>
      <c r="AW101" s="2">
        <f t="shared" si="91"/>
        <v>11.95</v>
      </c>
      <c r="AX101" s="1">
        <f t="shared" si="92"/>
        <v>3775.4236294803</v>
      </c>
      <c r="AY101" s="1">
        <f>SUM(AX90:AX101)</f>
        <v>92501.3306637142</v>
      </c>
      <c r="AZ101" s="2">
        <f t="shared" si="93"/>
        <v>0.389983853869375</v>
      </c>
      <c r="BA101" s="1">
        <f t="shared" si="94"/>
        <v>123.209561256421</v>
      </c>
      <c r="BB101" s="1">
        <f>SUM(BA90:BA101)</f>
        <v>3018.74689709462</v>
      </c>
    </row>
    <row r="102" s="1" customFormat="1" spans="1:46">
      <c r="A102" s="13"/>
      <c r="B102" s="13"/>
      <c r="C102" s="16">
        <v>12</v>
      </c>
      <c r="D102" s="37">
        <v>2.54217434116129</v>
      </c>
      <c r="E102" s="20">
        <f t="shared" si="95"/>
        <v>7.44896313136667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L1" sqref="L1:L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594.373904157964</v>
      </c>
      <c r="F2" s="3">
        <v>769.42</v>
      </c>
      <c r="G2" s="7">
        <f>(F2+F3+F4)/3</f>
        <v>1231.02333333333</v>
      </c>
      <c r="H2" s="3">
        <v>0.18</v>
      </c>
      <c r="I2" s="21">
        <f>(H2+H3+H4)/3</f>
        <v>0.173333333333333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1268.01</v>
      </c>
      <c r="G3" s="9"/>
      <c r="H3" s="3">
        <v>0.24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3041.03835616438</v>
      </c>
      <c r="F5" s="3">
        <v>91.104</v>
      </c>
      <c r="G5" s="7">
        <f>(F5+F6)/2</f>
        <v>92.50925</v>
      </c>
      <c r="H5" s="3">
        <v>0.18</v>
      </c>
      <c r="I5" s="21">
        <f>(H5+H6)/2</f>
        <v>0.155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9015.45498090651</v>
      </c>
      <c r="F7" s="3">
        <v>108.2955</v>
      </c>
      <c r="G7" s="3"/>
      <c r="H7" s="3">
        <v>0.45</v>
      </c>
      <c r="M7" s="2"/>
    </row>
    <row r="8" s="1" customFormat="1" spans="1:13">
      <c r="A8" s="4" t="s">
        <v>49</v>
      </c>
      <c r="B8" s="5"/>
      <c r="C8" s="3"/>
      <c r="D8" s="3"/>
      <c r="E8" s="12">
        <v>1.01559510137148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12">
        <v>2.2882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12">
        <v>0.364348886874282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AV38+AV53+AG69+AY85+AY101+BB101</f>
        <v>241287915.426794</v>
      </c>
      <c r="J14" s="14" t="s">
        <v>35</v>
      </c>
      <c r="K14" s="14">
        <f>I14/(10000*1000)</f>
        <v>24.1287915426794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38">
        <v>161022658.342081</v>
      </c>
      <c r="J15" s="14" t="s">
        <v>35</v>
      </c>
      <c r="K15" s="14">
        <f>I15/(10000*1000)</f>
        <v>16.1022658342081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1231.02333333333</v>
      </c>
      <c r="C27" s="16" t="s">
        <v>109</v>
      </c>
      <c r="D27" s="17">
        <v>2</v>
      </c>
      <c r="E27" s="16"/>
      <c r="F27" s="16"/>
      <c r="G27" s="13">
        <v>1</v>
      </c>
      <c r="H27" s="18">
        <f t="shared" ref="H27:H38" si="0">E28</f>
        <v>2</v>
      </c>
      <c r="I27" s="18">
        <f t="shared" ref="I27:I38" si="1">H27+273.15</f>
        <v>275.15</v>
      </c>
      <c r="J27" s="18">
        <f t="shared" ref="J27:J38" si="2">EXP(($C$16*(I27-$C$14))/($C$17*I27*$C$14))</f>
        <v>0.0225805608773668</v>
      </c>
      <c r="K27" s="18">
        <f t="shared" ref="K27:K38" si="3">$B$27/12</f>
        <v>102.585277777778</v>
      </c>
      <c r="L27" s="18">
        <f t="shared" ref="L27:L38" si="4">K27*$B$28/100</f>
        <v>1.02585277777778</v>
      </c>
      <c r="M27" s="13" t="s">
        <v>110</v>
      </c>
      <c r="N27" s="13"/>
      <c r="O27" s="18">
        <f>L27</f>
        <v>1.02585277777778</v>
      </c>
      <c r="P27" s="18">
        <f t="shared" ref="P27:P38" si="5">O27*J27</f>
        <v>0.0231643310998269</v>
      </c>
      <c r="Q27" s="24">
        <f t="shared" ref="Q27:Q38" si="6">P27*$B$29</f>
        <v>0.00401515072397</v>
      </c>
      <c r="R27" s="18">
        <f t="shared" ref="R27:R38" si="7">L27*$B$29</f>
        <v>0.177814481481481</v>
      </c>
      <c r="S27" s="25">
        <f t="shared" ref="S27:S38" si="8">Q27/R27</f>
        <v>0.0225805608773668</v>
      </c>
      <c r="T27" s="3">
        <v>0.01</v>
      </c>
      <c r="U27" s="26">
        <f t="shared" ref="U27:U38" si="9">S27*T27</f>
        <v>0.000225805608773668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0.0221258056087737</v>
      </c>
      <c r="AR27" s="29">
        <f t="shared" ref="AR27:AR38" si="15">$B$27/12</f>
        <v>102.585277777778</v>
      </c>
      <c r="AS27" s="1">
        <f t="shared" ref="AS27:AS38" si="16">$B$29</f>
        <v>0.173333333333333</v>
      </c>
      <c r="AT27" s="2">
        <f>$E$2/12</f>
        <v>49.5311586798303</v>
      </c>
      <c r="AU27" s="1">
        <f t="shared" ref="AU27:AU38" si="17">AT27*10000*AS27*0.67*AR27*AQ27</f>
        <v>130562.816584211</v>
      </c>
    </row>
    <row r="28" s="1" customFormat="1" spans="1:47">
      <c r="A28" s="13" t="s">
        <v>111</v>
      </c>
      <c r="B28" s="13">
        <v>1</v>
      </c>
      <c r="C28" s="16">
        <v>1</v>
      </c>
      <c r="D28" s="37">
        <v>0.00708303880645174</v>
      </c>
      <c r="E28" s="20">
        <f t="shared" ref="E28:E39" si="18">D27</f>
        <v>2</v>
      </c>
      <c r="F28" s="16" t="s">
        <v>110</v>
      </c>
      <c r="G28" s="13">
        <v>2</v>
      </c>
      <c r="H28" s="18">
        <f t="shared" si="0"/>
        <v>0.00708303880645174</v>
      </c>
      <c r="I28" s="18">
        <f t="shared" si="1"/>
        <v>273.157083038806</v>
      </c>
      <c r="J28" s="18">
        <f t="shared" si="2"/>
        <v>0.0174424897184207</v>
      </c>
      <c r="K28" s="18">
        <f t="shared" si="3"/>
        <v>102.585277777778</v>
      </c>
      <c r="L28" s="18">
        <f t="shared" si="4"/>
        <v>1.02585277777778</v>
      </c>
      <c r="M28" s="13" t="s">
        <v>110</v>
      </c>
      <c r="N28" s="13"/>
      <c r="O28" s="18">
        <f t="shared" ref="O28:O38" si="19">L28+O27-P27-N28</f>
        <v>2.02854122445573</v>
      </c>
      <c r="P28" s="18">
        <f t="shared" si="5"/>
        <v>0.0353828094509616</v>
      </c>
      <c r="Q28" s="24">
        <f t="shared" si="6"/>
        <v>0.00613302030483334</v>
      </c>
      <c r="R28" s="18">
        <f t="shared" si="7"/>
        <v>0.177814481481481</v>
      </c>
      <c r="S28" s="25">
        <f t="shared" si="8"/>
        <v>0.0344911182359018</v>
      </c>
      <c r="T28" s="3">
        <v>0.01</v>
      </c>
      <c r="U28" s="26">
        <f t="shared" si="9"/>
        <v>0.000344911182359018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0.022244911182359</v>
      </c>
      <c r="AR28" s="29">
        <f t="shared" si="15"/>
        <v>102.585277777778</v>
      </c>
      <c r="AS28" s="1">
        <f t="shared" si="16"/>
        <v>0.173333333333333</v>
      </c>
      <c r="AT28" s="2">
        <f t="shared" ref="AT28:AT38" si="20">$E$2/12</f>
        <v>49.5311586798303</v>
      </c>
      <c r="AU28" s="1">
        <f t="shared" si="17"/>
        <v>131265.65016384</v>
      </c>
    </row>
    <row r="29" s="1" customFormat="1" spans="1:47">
      <c r="A29" s="13" t="s">
        <v>73</v>
      </c>
      <c r="B29" s="13">
        <f>I2</f>
        <v>0.173333333333333</v>
      </c>
      <c r="C29" s="16">
        <v>2</v>
      </c>
      <c r="D29" s="37">
        <v>5.05368072068965</v>
      </c>
      <c r="E29" s="20">
        <f t="shared" si="18"/>
        <v>0.00708303880645174</v>
      </c>
      <c r="F29" s="16" t="s">
        <v>110</v>
      </c>
      <c r="G29" s="13">
        <v>3</v>
      </c>
      <c r="H29" s="18">
        <f t="shared" si="0"/>
        <v>5.05368072068965</v>
      </c>
      <c r="I29" s="18">
        <f t="shared" si="1"/>
        <v>278.20368072069</v>
      </c>
      <c r="J29" s="18">
        <f t="shared" si="2"/>
        <v>0.0332985630602816</v>
      </c>
      <c r="K29" s="18">
        <f t="shared" si="3"/>
        <v>102.585277777778</v>
      </c>
      <c r="L29" s="18">
        <f t="shared" si="4"/>
        <v>1.02585277777778</v>
      </c>
      <c r="M29" s="13" t="s">
        <v>110</v>
      </c>
      <c r="N29" s="13"/>
      <c r="O29" s="18">
        <f t="shared" si="19"/>
        <v>3.01901119278254</v>
      </c>
      <c r="P29" s="18">
        <f t="shared" si="5"/>
        <v>0.100528734582566</v>
      </c>
      <c r="Q29" s="24">
        <f t="shared" si="6"/>
        <v>0.017424980660978</v>
      </c>
      <c r="R29" s="18">
        <f t="shared" si="7"/>
        <v>0.177814481481481</v>
      </c>
      <c r="S29" s="25">
        <f t="shared" si="8"/>
        <v>0.0979952842749355</v>
      </c>
      <c r="T29" s="3">
        <v>0.01</v>
      </c>
      <c r="U29" s="26">
        <f t="shared" si="9"/>
        <v>0.000979952842749355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0.0228799528427494</v>
      </c>
      <c r="AR29" s="29">
        <f t="shared" si="15"/>
        <v>102.585277777778</v>
      </c>
      <c r="AS29" s="1">
        <f t="shared" si="16"/>
        <v>0.173333333333333</v>
      </c>
      <c r="AT29" s="2">
        <f t="shared" si="20"/>
        <v>49.5311586798303</v>
      </c>
      <c r="AU29" s="1">
        <f t="shared" si="17"/>
        <v>135012.986161224</v>
      </c>
    </row>
    <row r="30" s="1" customFormat="1" spans="1:47">
      <c r="A30" s="13"/>
      <c r="B30" s="13"/>
      <c r="C30" s="16">
        <v>3</v>
      </c>
      <c r="D30" s="37">
        <v>11.1084786007097</v>
      </c>
      <c r="E30" s="20">
        <f t="shared" si="18"/>
        <v>5.05368072068965</v>
      </c>
      <c r="F30" s="16" t="s">
        <v>110</v>
      </c>
      <c r="G30" s="13">
        <v>4</v>
      </c>
      <c r="H30" s="18">
        <f t="shared" si="0"/>
        <v>11.1084786007097</v>
      </c>
      <c r="I30" s="18">
        <f t="shared" si="1"/>
        <v>284.25847860071</v>
      </c>
      <c r="J30" s="18">
        <f t="shared" si="2"/>
        <v>0.0701755246987397</v>
      </c>
      <c r="K30" s="18">
        <f t="shared" si="3"/>
        <v>102.585277777778</v>
      </c>
      <c r="L30" s="18">
        <f t="shared" si="4"/>
        <v>1.02585277777778</v>
      </c>
      <c r="M30" s="13" t="s">
        <v>110</v>
      </c>
      <c r="N30" s="13"/>
      <c r="O30" s="18">
        <f t="shared" si="19"/>
        <v>3.94433523597776</v>
      </c>
      <c r="P30" s="18">
        <f t="shared" si="5"/>
        <v>0.276795794772466</v>
      </c>
      <c r="Q30" s="24">
        <f t="shared" si="6"/>
        <v>0.0479779377605608</v>
      </c>
      <c r="R30" s="18">
        <f t="shared" si="7"/>
        <v>0.177814481481481</v>
      </c>
      <c r="S30" s="25">
        <f t="shared" si="8"/>
        <v>0.269820193275751</v>
      </c>
      <c r="T30" s="3">
        <v>0.01</v>
      </c>
      <c r="U30" s="26">
        <f t="shared" si="9"/>
        <v>0.00269820193275751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0.0321482019327575</v>
      </c>
      <c r="AR30" s="29">
        <f t="shared" si="15"/>
        <v>102.585277777778</v>
      </c>
      <c r="AS30" s="1">
        <f t="shared" si="16"/>
        <v>0.173333333333333</v>
      </c>
      <c r="AT30" s="2">
        <f t="shared" si="20"/>
        <v>49.5311586798303</v>
      </c>
      <c r="AU30" s="1">
        <f t="shared" si="17"/>
        <v>189704.269606093</v>
      </c>
    </row>
    <row r="31" s="1" customFormat="1" spans="1:47">
      <c r="A31" s="13"/>
      <c r="B31" s="13"/>
      <c r="C31" s="16">
        <v>4</v>
      </c>
      <c r="D31" s="37">
        <v>17.510142679</v>
      </c>
      <c r="E31" s="20">
        <f t="shared" si="18"/>
        <v>11.1084786007097</v>
      </c>
      <c r="F31" s="16" t="s">
        <v>110</v>
      </c>
      <c r="G31" s="13">
        <v>5</v>
      </c>
      <c r="H31" s="18">
        <f t="shared" si="0"/>
        <v>17.510142679</v>
      </c>
      <c r="I31" s="18">
        <f t="shared" si="1"/>
        <v>290.660142679</v>
      </c>
      <c r="J31" s="18">
        <f t="shared" si="2"/>
        <v>0.149218786351805</v>
      </c>
      <c r="K31" s="18">
        <f t="shared" si="3"/>
        <v>102.585277777778</v>
      </c>
      <c r="L31" s="18">
        <f t="shared" si="4"/>
        <v>1.02585277777778</v>
      </c>
      <c r="M31" s="13" t="s">
        <v>112</v>
      </c>
      <c r="N31" s="18">
        <f>(O30-P30)*C22/100</f>
        <v>3.48416246914503</v>
      </c>
      <c r="O31" s="18">
        <f t="shared" si="19"/>
        <v>1.20922974983804</v>
      </c>
      <c r="P31" s="18">
        <f t="shared" si="5"/>
        <v>0.180439795691329</v>
      </c>
      <c r="Q31" s="24">
        <f t="shared" si="6"/>
        <v>0.0312762312531638</v>
      </c>
      <c r="R31" s="18">
        <f t="shared" si="7"/>
        <v>0.177814481481481</v>
      </c>
      <c r="S31" s="25">
        <f t="shared" si="8"/>
        <v>0.175892486329473</v>
      </c>
      <c r="T31" s="3">
        <v>0.01</v>
      </c>
      <c r="U31" s="26">
        <f t="shared" si="9"/>
        <v>0.00175892486329473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0.0312089248632947</v>
      </c>
      <c r="AR31" s="29">
        <f t="shared" si="15"/>
        <v>102.585277777778</v>
      </c>
      <c r="AS31" s="1">
        <f t="shared" si="16"/>
        <v>0.173333333333333</v>
      </c>
      <c r="AT31" s="2">
        <f t="shared" si="20"/>
        <v>49.5311586798303</v>
      </c>
      <c r="AU31" s="1">
        <f t="shared" si="17"/>
        <v>184161.661941973</v>
      </c>
    </row>
    <row r="32" s="1" customFormat="1" spans="1:47">
      <c r="A32" s="13"/>
      <c r="B32" s="13"/>
      <c r="C32" s="16">
        <v>5</v>
      </c>
      <c r="D32" s="37">
        <v>20.1201437709677</v>
      </c>
      <c r="E32" s="20">
        <f t="shared" si="18"/>
        <v>17.510142679</v>
      </c>
      <c r="F32" s="16" t="s">
        <v>112</v>
      </c>
      <c r="G32" s="13">
        <v>6</v>
      </c>
      <c r="H32" s="18">
        <f t="shared" si="0"/>
        <v>20.1201437709677</v>
      </c>
      <c r="I32" s="18">
        <f t="shared" si="1"/>
        <v>293.270143770968</v>
      </c>
      <c r="J32" s="18">
        <f t="shared" si="2"/>
        <v>0.20104762809617</v>
      </c>
      <c r="K32" s="18">
        <f t="shared" si="3"/>
        <v>102.585277777778</v>
      </c>
      <c r="L32" s="18">
        <f t="shared" si="4"/>
        <v>1.02585277777778</v>
      </c>
      <c r="M32" s="13" t="s">
        <v>110</v>
      </c>
      <c r="N32" s="13"/>
      <c r="O32" s="18">
        <f t="shared" si="19"/>
        <v>2.05464273192449</v>
      </c>
      <c r="P32" s="18">
        <f t="shared" si="5"/>
        <v>0.413081047838454</v>
      </c>
      <c r="Q32" s="24">
        <f t="shared" si="6"/>
        <v>0.0716007149586653</v>
      </c>
      <c r="R32" s="18">
        <f t="shared" si="7"/>
        <v>0.177814481481481</v>
      </c>
      <c r="S32" s="25">
        <f t="shared" si="8"/>
        <v>0.402670886882305</v>
      </c>
      <c r="T32" s="3">
        <v>0.01</v>
      </c>
      <c r="U32" s="26">
        <f t="shared" si="9"/>
        <v>0.00402670886882305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0.033476708868823</v>
      </c>
      <c r="AR32" s="29">
        <f t="shared" si="15"/>
        <v>102.585277777778</v>
      </c>
      <c r="AS32" s="1">
        <f t="shared" si="16"/>
        <v>0.173333333333333</v>
      </c>
      <c r="AT32" s="2">
        <f t="shared" si="20"/>
        <v>49.5311586798303</v>
      </c>
      <c r="AU32" s="1">
        <f t="shared" si="17"/>
        <v>197543.695229339</v>
      </c>
    </row>
    <row r="33" s="1" customFormat="1" spans="1:47">
      <c r="A33" s="13"/>
      <c r="B33" s="13"/>
      <c r="C33" s="16">
        <v>6</v>
      </c>
      <c r="D33" s="37">
        <v>24.9541046503333</v>
      </c>
      <c r="E33" s="20">
        <f t="shared" si="18"/>
        <v>20.1201437709677</v>
      </c>
      <c r="F33" s="16" t="s">
        <v>110</v>
      </c>
      <c r="G33" s="13">
        <v>7</v>
      </c>
      <c r="H33" s="18">
        <f t="shared" si="0"/>
        <v>24.9541046503333</v>
      </c>
      <c r="I33" s="18">
        <f t="shared" si="1"/>
        <v>298.104104650333</v>
      </c>
      <c r="J33" s="18">
        <f t="shared" si="2"/>
        <v>0.344438173912586</v>
      </c>
      <c r="K33" s="18">
        <f t="shared" si="3"/>
        <v>102.585277777778</v>
      </c>
      <c r="L33" s="18">
        <f t="shared" si="4"/>
        <v>1.02585277777778</v>
      </c>
      <c r="M33" s="13" t="s">
        <v>110</v>
      </c>
      <c r="N33" s="13"/>
      <c r="O33" s="18">
        <f t="shared" si="19"/>
        <v>2.66741446186381</v>
      </c>
      <c r="P33" s="18">
        <f t="shared" si="5"/>
        <v>0.918759366312396</v>
      </c>
      <c r="Q33" s="24">
        <f t="shared" si="6"/>
        <v>0.159251623494149</v>
      </c>
      <c r="R33" s="18">
        <f t="shared" si="7"/>
        <v>0.177814481481481</v>
      </c>
      <c r="S33" s="25">
        <f t="shared" si="8"/>
        <v>0.895605476940492</v>
      </c>
      <c r="T33" s="3">
        <v>0.01</v>
      </c>
      <c r="U33" s="26">
        <f t="shared" si="9"/>
        <v>0.00895605476940492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0.0438560547694049</v>
      </c>
      <c r="AR33" s="29">
        <f t="shared" si="15"/>
        <v>102.585277777778</v>
      </c>
      <c r="AS33" s="1">
        <f t="shared" si="16"/>
        <v>0.173333333333333</v>
      </c>
      <c r="AT33" s="2">
        <f t="shared" si="20"/>
        <v>49.5311586798303</v>
      </c>
      <c r="AU33" s="1">
        <f t="shared" si="17"/>
        <v>258791.482498355</v>
      </c>
    </row>
    <row r="34" s="1" customFormat="1" spans="1:47">
      <c r="A34" s="13"/>
      <c r="B34" s="13"/>
      <c r="C34" s="16">
        <v>7</v>
      </c>
      <c r="D34" s="37">
        <v>27.3312770903226</v>
      </c>
      <c r="E34" s="20">
        <f t="shared" si="18"/>
        <v>24.9541046503333</v>
      </c>
      <c r="F34" s="16" t="s">
        <v>110</v>
      </c>
      <c r="G34" s="13">
        <v>8</v>
      </c>
      <c r="H34" s="18">
        <f t="shared" si="0"/>
        <v>27.3312770903226</v>
      </c>
      <c r="I34" s="18">
        <f t="shared" si="1"/>
        <v>300.481277090323</v>
      </c>
      <c r="J34" s="18">
        <f t="shared" si="2"/>
        <v>0.445997683042853</v>
      </c>
      <c r="K34" s="18">
        <f t="shared" si="3"/>
        <v>102.585277777778</v>
      </c>
      <c r="L34" s="18">
        <f t="shared" si="4"/>
        <v>1.02585277777778</v>
      </c>
      <c r="M34" s="13" t="s">
        <v>110</v>
      </c>
      <c r="N34" s="13"/>
      <c r="O34" s="18">
        <f t="shared" si="19"/>
        <v>2.7745078733292</v>
      </c>
      <c r="P34" s="18">
        <f t="shared" si="5"/>
        <v>1.23742408308897</v>
      </c>
      <c r="Q34" s="24">
        <f t="shared" si="6"/>
        <v>0.214486841068756</v>
      </c>
      <c r="R34" s="18">
        <f t="shared" si="7"/>
        <v>0.177814481481481</v>
      </c>
      <c r="S34" s="25">
        <f t="shared" si="8"/>
        <v>1.20623944282678</v>
      </c>
      <c r="T34" s="3">
        <v>0.01</v>
      </c>
      <c r="U34" s="26">
        <f t="shared" si="9"/>
        <v>0.0120623944282678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0.0469623944282678</v>
      </c>
      <c r="AR34" s="29">
        <f t="shared" si="15"/>
        <v>102.585277777778</v>
      </c>
      <c r="AS34" s="1">
        <f t="shared" si="16"/>
        <v>0.173333333333333</v>
      </c>
      <c r="AT34" s="2">
        <f t="shared" si="20"/>
        <v>49.5311586798303</v>
      </c>
      <c r="AU34" s="1">
        <f t="shared" si="17"/>
        <v>277121.773485254</v>
      </c>
    </row>
    <row r="35" s="1" customFormat="1" spans="1:47">
      <c r="A35" s="13"/>
      <c r="B35" s="13"/>
      <c r="C35" s="16">
        <v>8</v>
      </c>
      <c r="D35" s="37">
        <v>26.6888198074193</v>
      </c>
      <c r="E35" s="20">
        <f t="shared" si="18"/>
        <v>27.3312770903226</v>
      </c>
      <c r="F35" s="16" t="s">
        <v>110</v>
      </c>
      <c r="G35" s="13">
        <v>9</v>
      </c>
      <c r="H35" s="18">
        <f t="shared" si="0"/>
        <v>26.6888198074193</v>
      </c>
      <c r="I35" s="18">
        <f t="shared" si="1"/>
        <v>299.838819807419</v>
      </c>
      <c r="J35" s="18">
        <f t="shared" si="2"/>
        <v>0.416082078656824</v>
      </c>
      <c r="K35" s="18">
        <f t="shared" si="3"/>
        <v>102.585277777778</v>
      </c>
      <c r="L35" s="18">
        <f t="shared" si="4"/>
        <v>1.02585277777778</v>
      </c>
      <c r="M35" s="13" t="s">
        <v>110</v>
      </c>
      <c r="N35" s="13"/>
      <c r="O35" s="18">
        <f t="shared" si="19"/>
        <v>2.562936568018</v>
      </c>
      <c r="P35" s="18">
        <f t="shared" si="5"/>
        <v>1.06639197468652</v>
      </c>
      <c r="Q35" s="24">
        <f t="shared" si="6"/>
        <v>0.184841275612329</v>
      </c>
      <c r="R35" s="18">
        <f t="shared" si="7"/>
        <v>0.177814481481481</v>
      </c>
      <c r="S35" s="25">
        <f t="shared" si="8"/>
        <v>1.0395175582568</v>
      </c>
      <c r="T35" s="3">
        <v>0.01</v>
      </c>
      <c r="U35" s="26">
        <f t="shared" si="9"/>
        <v>0.010395175582568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0.039845175582568</v>
      </c>
      <c r="AR35" s="29">
        <f t="shared" si="15"/>
        <v>102.585277777778</v>
      </c>
      <c r="AS35" s="1">
        <f t="shared" si="16"/>
        <v>0.173333333333333</v>
      </c>
      <c r="AT35" s="2">
        <f t="shared" si="20"/>
        <v>49.5311586798303</v>
      </c>
      <c r="AU35" s="1">
        <f t="shared" si="17"/>
        <v>235123.567626827</v>
      </c>
    </row>
    <row r="36" s="1" customFormat="1" spans="1:47">
      <c r="A36" s="13"/>
      <c r="B36" s="13"/>
      <c r="C36" s="16">
        <v>9</v>
      </c>
      <c r="D36" s="37">
        <v>23.0738877553333</v>
      </c>
      <c r="E36" s="20">
        <f t="shared" si="18"/>
        <v>26.6888198074193</v>
      </c>
      <c r="F36" s="16" t="s">
        <v>110</v>
      </c>
      <c r="G36" s="13">
        <v>10</v>
      </c>
      <c r="H36" s="18">
        <f t="shared" si="0"/>
        <v>23.0738877553333</v>
      </c>
      <c r="I36" s="18">
        <f t="shared" si="1"/>
        <v>296.223887755333</v>
      </c>
      <c r="J36" s="18">
        <f t="shared" si="2"/>
        <v>0.279946144179521</v>
      </c>
      <c r="K36" s="18">
        <f t="shared" si="3"/>
        <v>102.585277777778</v>
      </c>
      <c r="L36" s="18">
        <f t="shared" si="4"/>
        <v>1.02585277777778</v>
      </c>
      <c r="M36" s="13" t="s">
        <v>110</v>
      </c>
      <c r="N36" s="13"/>
      <c r="O36" s="18">
        <f t="shared" si="19"/>
        <v>2.52239737110926</v>
      </c>
      <c r="P36" s="18">
        <f t="shared" si="5"/>
        <v>0.706135418130598</v>
      </c>
      <c r="Q36" s="24">
        <f t="shared" si="6"/>
        <v>0.122396805809304</v>
      </c>
      <c r="R36" s="18">
        <f t="shared" si="7"/>
        <v>0.177814481481481</v>
      </c>
      <c r="S36" s="25">
        <f t="shared" si="8"/>
        <v>0.688339919164856</v>
      </c>
      <c r="T36" s="3">
        <v>0.01</v>
      </c>
      <c r="U36" s="26">
        <f t="shared" si="9"/>
        <v>0.00688339919164856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0.0363333991916486</v>
      </c>
      <c r="AR36" s="29">
        <f t="shared" si="15"/>
        <v>102.585277777778</v>
      </c>
      <c r="AS36" s="1">
        <f t="shared" si="16"/>
        <v>0.173333333333333</v>
      </c>
      <c r="AT36" s="2">
        <f t="shared" si="20"/>
        <v>49.5311586798303</v>
      </c>
      <c r="AU36" s="1">
        <f t="shared" si="17"/>
        <v>214400.823112134</v>
      </c>
    </row>
    <row r="37" s="1" customFormat="1" spans="1:47">
      <c r="A37" s="13"/>
      <c r="B37" s="13"/>
      <c r="C37" s="16">
        <v>10</v>
      </c>
      <c r="D37" s="37">
        <v>15.3553475612903</v>
      </c>
      <c r="E37" s="20">
        <f t="shared" si="18"/>
        <v>23.0738877553333</v>
      </c>
      <c r="F37" s="16" t="s">
        <v>110</v>
      </c>
      <c r="G37" s="13">
        <v>11</v>
      </c>
      <c r="H37" s="18">
        <f t="shared" si="0"/>
        <v>15.3553475612903</v>
      </c>
      <c r="I37" s="18">
        <f t="shared" si="1"/>
        <v>288.50534756129</v>
      </c>
      <c r="J37" s="18">
        <f t="shared" si="2"/>
        <v>0.116188796150131</v>
      </c>
      <c r="K37" s="18">
        <f t="shared" si="3"/>
        <v>102.585277777778</v>
      </c>
      <c r="L37" s="18">
        <f t="shared" si="4"/>
        <v>1.02585277777778</v>
      </c>
      <c r="M37" s="13" t="s">
        <v>112</v>
      </c>
      <c r="N37" s="18">
        <f>(O36-P36)*C22/100</f>
        <v>1.72544885532973</v>
      </c>
      <c r="O37" s="18">
        <f t="shared" si="19"/>
        <v>1.11666587542671</v>
      </c>
      <c r="P37" s="18">
        <f t="shared" si="5"/>
        <v>0.129744063767762</v>
      </c>
      <c r="Q37" s="24">
        <f t="shared" si="6"/>
        <v>0.0224889710530787</v>
      </c>
      <c r="R37" s="18">
        <f t="shared" si="7"/>
        <v>0.177814481481481</v>
      </c>
      <c r="S37" s="25">
        <f t="shared" si="8"/>
        <v>0.126474350489956</v>
      </c>
      <c r="T37" s="3">
        <v>0.01</v>
      </c>
      <c r="U37" s="26">
        <f t="shared" si="9"/>
        <v>0.00126474350489956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0.0231647435048996</v>
      </c>
      <c r="AR37" s="29">
        <f t="shared" si="15"/>
        <v>102.585277777778</v>
      </c>
      <c r="AS37" s="1">
        <f t="shared" si="16"/>
        <v>0.173333333333333</v>
      </c>
      <c r="AT37" s="2">
        <f t="shared" si="20"/>
        <v>49.5311586798303</v>
      </c>
      <c r="AU37" s="1">
        <f t="shared" si="17"/>
        <v>136693.515749375</v>
      </c>
    </row>
    <row r="38" s="1" customFormat="1" spans="1:48">
      <c r="A38" s="13"/>
      <c r="B38" s="13"/>
      <c r="C38" s="16">
        <v>11</v>
      </c>
      <c r="D38" s="37">
        <v>8.18157985213333</v>
      </c>
      <c r="E38" s="20">
        <f t="shared" si="18"/>
        <v>15.3553475612903</v>
      </c>
      <c r="F38" s="16" t="s">
        <v>112</v>
      </c>
      <c r="G38" s="13">
        <v>12</v>
      </c>
      <c r="H38" s="18">
        <f t="shared" si="0"/>
        <v>8.18157985213333</v>
      </c>
      <c r="I38" s="18">
        <f t="shared" si="1"/>
        <v>281.331579852133</v>
      </c>
      <c r="J38" s="18">
        <f t="shared" si="2"/>
        <v>0.0491382358048661</v>
      </c>
      <c r="K38" s="18">
        <f t="shared" si="3"/>
        <v>102.585277777778</v>
      </c>
      <c r="L38" s="18">
        <f t="shared" si="4"/>
        <v>1.02585277777778</v>
      </c>
      <c r="M38" s="13" t="s">
        <v>110</v>
      </c>
      <c r="N38" s="13"/>
      <c r="O38" s="18">
        <f t="shared" si="19"/>
        <v>2.01277458943673</v>
      </c>
      <c r="P38" s="18">
        <f t="shared" si="5"/>
        <v>0.0989041923977844</v>
      </c>
      <c r="Q38" s="24">
        <f t="shared" si="6"/>
        <v>0.0171433933489493</v>
      </c>
      <c r="R38" s="18">
        <f t="shared" si="7"/>
        <v>0.177814481481481</v>
      </c>
      <c r="S38" s="25">
        <f t="shared" si="8"/>
        <v>0.0964116825925379</v>
      </c>
      <c r="T38" s="3">
        <v>0.01</v>
      </c>
      <c r="U38" s="26">
        <f t="shared" si="9"/>
        <v>0.000964116825925379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0.0228641168259254</v>
      </c>
      <c r="AR38" s="29">
        <f t="shared" si="15"/>
        <v>102.585277777778</v>
      </c>
      <c r="AS38" s="1">
        <f t="shared" si="16"/>
        <v>0.173333333333333</v>
      </c>
      <c r="AT38" s="2">
        <f t="shared" si="20"/>
        <v>49.5311586798303</v>
      </c>
      <c r="AU38" s="1">
        <f t="shared" si="17"/>
        <v>134919.538944134</v>
      </c>
      <c r="AV38" s="1">
        <f>SUM(AU27:AU38)</f>
        <v>2225301.78110276</v>
      </c>
    </row>
    <row r="39" s="1" customFormat="1" spans="1:46">
      <c r="A39" s="13"/>
      <c r="B39" s="13"/>
      <c r="C39" s="16">
        <v>12</v>
      </c>
      <c r="D39" s="37">
        <v>4.55139413951613</v>
      </c>
      <c r="E39" s="20">
        <f t="shared" si="18"/>
        <v>8.18157985213333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2</v>
      </c>
      <c r="E42" s="16"/>
      <c r="F42" s="16"/>
      <c r="G42" s="13">
        <v>1</v>
      </c>
      <c r="H42" s="18">
        <f t="shared" ref="H42:H53" si="21">E43</f>
        <v>2</v>
      </c>
      <c r="I42" s="18">
        <f t="shared" ref="I42:I53" si="22">H42+273.15</f>
        <v>275.15</v>
      </c>
      <c r="J42" s="18">
        <f t="shared" ref="J42:J53" si="23">EXP(($C$16*(I42-$C$14))/($C$17*I42*$C$14))</f>
        <v>0.0225805608773668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0.00174075895945379</v>
      </c>
      <c r="Q42" s="24">
        <f t="shared" ref="Q42:Q53" si="27">P42*$B$44</f>
        <v>0.000269817638715337</v>
      </c>
      <c r="R42" s="18">
        <f t="shared" ref="R42:R53" si="28">L42*$B$44</f>
        <v>0.0119491114583333</v>
      </c>
      <c r="S42" s="25">
        <f t="shared" ref="S42:S53" si="29">Q42/R42</f>
        <v>0.0225805608773668</v>
      </c>
      <c r="T42" s="3">
        <v>0.01</v>
      </c>
      <c r="U42" s="26">
        <f t="shared" ref="U42:U53" si="30">S42*T42</f>
        <v>0.000225805608773668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0.0150258056087737</v>
      </c>
      <c r="AR42" s="29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253.419863013698</v>
      </c>
      <c r="AU42" s="1">
        <f t="shared" ref="AU42:AU53" si="37">AT42*10000*AS42*0.67*AR42*AQ42</f>
        <v>30485.1848437752</v>
      </c>
    </row>
    <row r="43" s="1" customFormat="1" spans="1:47">
      <c r="A43" s="13" t="s">
        <v>111</v>
      </c>
      <c r="B43" s="13">
        <v>1</v>
      </c>
      <c r="C43" s="16">
        <v>1</v>
      </c>
      <c r="D43" s="37">
        <v>0.00708303880645174</v>
      </c>
      <c r="E43" s="20">
        <f t="shared" ref="E43:E54" si="38">D42</f>
        <v>2</v>
      </c>
      <c r="F43" s="16" t="s">
        <v>110</v>
      </c>
      <c r="G43" s="13">
        <v>2</v>
      </c>
      <c r="H43" s="18">
        <f t="shared" si="21"/>
        <v>0.00708303880645174</v>
      </c>
      <c r="I43" s="18">
        <f t="shared" si="22"/>
        <v>273.157083038806</v>
      </c>
      <c r="J43" s="18">
        <f t="shared" si="23"/>
        <v>0.0174424897184207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0.15244132437388</v>
      </c>
      <c r="P43" s="18">
        <f t="shared" si="26"/>
        <v>0.00265895623305383</v>
      </c>
      <c r="Q43" s="24">
        <f t="shared" si="27"/>
        <v>0.000412138216123343</v>
      </c>
      <c r="R43" s="18">
        <f t="shared" si="28"/>
        <v>0.0119491114583333</v>
      </c>
      <c r="S43" s="25">
        <f t="shared" si="29"/>
        <v>0.0344911182359018</v>
      </c>
      <c r="T43" s="3">
        <v>0.01</v>
      </c>
      <c r="U43" s="26">
        <f t="shared" si="30"/>
        <v>0.000344911182359018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0.015144911182359</v>
      </c>
      <c r="AR43" s="29">
        <f t="shared" si="34"/>
        <v>7.70910416666667</v>
      </c>
      <c r="AS43" s="1">
        <f t="shared" si="35"/>
        <v>0.155</v>
      </c>
      <c r="AT43" s="2">
        <f t="shared" si="36"/>
        <v>253.419863013698</v>
      </c>
      <c r="AU43" s="1">
        <f t="shared" si="37"/>
        <v>30726.8328140214</v>
      </c>
    </row>
    <row r="44" s="1" customFormat="1" spans="1:47">
      <c r="A44" s="13" t="s">
        <v>73</v>
      </c>
      <c r="B44" s="13">
        <f>I5</f>
        <v>0.155</v>
      </c>
      <c r="C44" s="16">
        <v>2</v>
      </c>
      <c r="D44" s="37">
        <v>5.05368072068965</v>
      </c>
      <c r="E44" s="20">
        <f t="shared" si="38"/>
        <v>0.00708303880645174</v>
      </c>
      <c r="F44" s="16" t="s">
        <v>110</v>
      </c>
      <c r="G44" s="13">
        <v>3</v>
      </c>
      <c r="H44" s="18">
        <f t="shared" si="21"/>
        <v>5.05368072068965</v>
      </c>
      <c r="I44" s="18">
        <f t="shared" si="22"/>
        <v>278.20368072069</v>
      </c>
      <c r="J44" s="18">
        <f t="shared" si="23"/>
        <v>0.0332985630602816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0.226873409807492</v>
      </c>
      <c r="P44" s="18">
        <f t="shared" si="26"/>
        <v>0.0075545585431759</v>
      </c>
      <c r="Q44" s="24">
        <f t="shared" si="27"/>
        <v>0.00117095657419226</v>
      </c>
      <c r="R44" s="18">
        <f t="shared" si="28"/>
        <v>0.0119491114583333</v>
      </c>
      <c r="S44" s="25">
        <f t="shared" si="29"/>
        <v>0.0979952842749355</v>
      </c>
      <c r="T44" s="3">
        <v>0.01</v>
      </c>
      <c r="U44" s="26">
        <f t="shared" si="30"/>
        <v>0.000979952842749355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0.0157799528427494</v>
      </c>
      <c r="AR44" s="29">
        <f t="shared" si="34"/>
        <v>7.70910416666667</v>
      </c>
      <c r="AS44" s="1">
        <f t="shared" si="35"/>
        <v>0.155</v>
      </c>
      <c r="AT44" s="2">
        <f t="shared" si="36"/>
        <v>253.419863013698</v>
      </c>
      <c r="AU44" s="1">
        <f t="shared" si="37"/>
        <v>32015.2404311939</v>
      </c>
    </row>
    <row r="45" s="1" customFormat="1" spans="1:47">
      <c r="A45" s="13"/>
      <c r="B45" s="13"/>
      <c r="C45" s="16">
        <v>3</v>
      </c>
      <c r="D45" s="37">
        <v>11.1084786007097</v>
      </c>
      <c r="E45" s="20">
        <f t="shared" si="38"/>
        <v>5.05368072068965</v>
      </c>
      <c r="F45" s="16" t="s">
        <v>110</v>
      </c>
      <c r="G45" s="13">
        <v>4</v>
      </c>
      <c r="H45" s="18">
        <f t="shared" si="21"/>
        <v>11.1084786007097</v>
      </c>
      <c r="I45" s="18">
        <f t="shared" si="22"/>
        <v>284.25847860071</v>
      </c>
      <c r="J45" s="18">
        <f t="shared" si="23"/>
        <v>0.0701755246987397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0.296409892930983</v>
      </c>
      <c r="P45" s="18">
        <f t="shared" si="26"/>
        <v>0.020800719762329</v>
      </c>
      <c r="Q45" s="24">
        <f t="shared" si="27"/>
        <v>0.00322411156316099</v>
      </c>
      <c r="R45" s="18">
        <f t="shared" si="28"/>
        <v>0.0119491114583333</v>
      </c>
      <c r="S45" s="25">
        <f t="shared" si="29"/>
        <v>0.269820193275751</v>
      </c>
      <c r="T45" s="3">
        <v>0.01</v>
      </c>
      <c r="U45" s="26">
        <f t="shared" si="30"/>
        <v>0.00269820193275751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0.0297982019327575</v>
      </c>
      <c r="AR45" s="29">
        <f t="shared" si="34"/>
        <v>7.70910416666667</v>
      </c>
      <c r="AS45" s="1">
        <f t="shared" si="35"/>
        <v>0.155</v>
      </c>
      <c r="AT45" s="2">
        <f t="shared" si="36"/>
        <v>253.419863013698</v>
      </c>
      <c r="AU45" s="1">
        <f t="shared" si="37"/>
        <v>60456.2389255076</v>
      </c>
    </row>
    <row r="46" s="1" customFormat="1" spans="1:47">
      <c r="A46" s="13"/>
      <c r="B46" s="13"/>
      <c r="C46" s="16">
        <v>4</v>
      </c>
      <c r="D46" s="37">
        <v>17.510142679</v>
      </c>
      <c r="E46" s="20">
        <f t="shared" si="38"/>
        <v>11.1084786007097</v>
      </c>
      <c r="F46" s="16" t="s">
        <v>110</v>
      </c>
      <c r="G46" s="13">
        <v>5</v>
      </c>
      <c r="H46" s="18">
        <f t="shared" si="21"/>
        <v>17.510142679</v>
      </c>
      <c r="I46" s="18">
        <f t="shared" si="22"/>
        <v>290.660142679</v>
      </c>
      <c r="J46" s="18">
        <f t="shared" si="23"/>
        <v>0.149218786351805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0.261828714510221</v>
      </c>
      <c r="O46" s="18">
        <f t="shared" si="39"/>
        <v>0.0908715003250994</v>
      </c>
      <c r="P46" s="18">
        <f t="shared" si="26"/>
        <v>0.013559734992479</v>
      </c>
      <c r="Q46" s="24">
        <f t="shared" si="27"/>
        <v>0.00210175892383424</v>
      </c>
      <c r="R46" s="18">
        <f t="shared" si="28"/>
        <v>0.0119491114583333</v>
      </c>
      <c r="S46" s="25">
        <f t="shared" si="29"/>
        <v>0.175892486329473</v>
      </c>
      <c r="T46" s="3">
        <v>0.01</v>
      </c>
      <c r="U46" s="26">
        <f t="shared" si="30"/>
        <v>0.00175892486329473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0.0288589248632947</v>
      </c>
      <c r="AR46" s="29">
        <f t="shared" si="34"/>
        <v>7.70910416666667</v>
      </c>
      <c r="AS46" s="1">
        <f t="shared" si="35"/>
        <v>0.155</v>
      </c>
      <c r="AT46" s="2">
        <f t="shared" si="36"/>
        <v>253.419863013698</v>
      </c>
      <c r="AU46" s="1">
        <f t="shared" si="37"/>
        <v>58550.5816963622</v>
      </c>
    </row>
    <row r="47" s="1" customFormat="1" spans="1:47">
      <c r="A47" s="13"/>
      <c r="B47" s="13"/>
      <c r="C47" s="16">
        <v>5</v>
      </c>
      <c r="D47" s="37">
        <v>20.1201437709677</v>
      </c>
      <c r="E47" s="20">
        <f t="shared" si="38"/>
        <v>17.510142679</v>
      </c>
      <c r="F47" s="16" t="s">
        <v>112</v>
      </c>
      <c r="G47" s="13">
        <v>6</v>
      </c>
      <c r="H47" s="18">
        <f t="shared" si="21"/>
        <v>20.1201437709677</v>
      </c>
      <c r="I47" s="18">
        <f t="shared" si="22"/>
        <v>293.270143770968</v>
      </c>
      <c r="J47" s="18">
        <f t="shared" si="23"/>
        <v>0.20104762809617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0.154402806999287</v>
      </c>
      <c r="P47" s="18">
        <f t="shared" si="26"/>
        <v>0.0310423181185974</v>
      </c>
      <c r="Q47" s="24">
        <f t="shared" si="27"/>
        <v>0.00481155930838259</v>
      </c>
      <c r="R47" s="18">
        <f t="shared" si="28"/>
        <v>0.0119491114583333</v>
      </c>
      <c r="S47" s="25">
        <f t="shared" si="29"/>
        <v>0.402670886882305</v>
      </c>
      <c r="T47" s="3">
        <v>0.01</v>
      </c>
      <c r="U47" s="26">
        <f t="shared" si="30"/>
        <v>0.00402670886882305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0.031126708868823</v>
      </c>
      <c r="AR47" s="29">
        <f t="shared" si="34"/>
        <v>7.70910416666667</v>
      </c>
      <c r="AS47" s="1">
        <f t="shared" si="35"/>
        <v>0.155</v>
      </c>
      <c r="AT47" s="2">
        <f t="shared" si="36"/>
        <v>253.419863013698</v>
      </c>
      <c r="AU47" s="1">
        <f t="shared" si="37"/>
        <v>63151.5872194152</v>
      </c>
    </row>
    <row r="48" s="1" customFormat="1" spans="1:47">
      <c r="A48" s="13"/>
      <c r="B48" s="13"/>
      <c r="C48" s="16">
        <v>6</v>
      </c>
      <c r="D48" s="37">
        <v>24.9541046503333</v>
      </c>
      <c r="E48" s="20">
        <f t="shared" si="38"/>
        <v>20.1201437709677</v>
      </c>
      <c r="F48" s="16" t="s">
        <v>110</v>
      </c>
      <c r="G48" s="13">
        <v>7</v>
      </c>
      <c r="H48" s="18">
        <f t="shared" si="21"/>
        <v>24.9541046503333</v>
      </c>
      <c r="I48" s="18">
        <f t="shared" si="22"/>
        <v>298.104104650333</v>
      </c>
      <c r="J48" s="18">
        <f t="shared" si="23"/>
        <v>0.344438173912586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0.200451530547356</v>
      </c>
      <c r="P48" s="18">
        <f t="shared" si="26"/>
        <v>0.0690431591397144</v>
      </c>
      <c r="Q48" s="24">
        <f t="shared" si="27"/>
        <v>0.0107016896666557</v>
      </c>
      <c r="R48" s="18">
        <f t="shared" si="28"/>
        <v>0.0119491114583333</v>
      </c>
      <c r="S48" s="25">
        <f t="shared" si="29"/>
        <v>0.895605476940493</v>
      </c>
      <c r="T48" s="3">
        <v>0.01</v>
      </c>
      <c r="U48" s="26">
        <f t="shared" si="30"/>
        <v>0.00895605476940492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0.0434560547694049</v>
      </c>
      <c r="AR48" s="29">
        <f t="shared" si="34"/>
        <v>7.70910416666667</v>
      </c>
      <c r="AS48" s="1">
        <f t="shared" si="35"/>
        <v>0.155</v>
      </c>
      <c r="AT48" s="2">
        <f t="shared" si="36"/>
        <v>253.419863013698</v>
      </c>
      <c r="AU48" s="1">
        <f t="shared" si="37"/>
        <v>88166.0455831392</v>
      </c>
    </row>
    <row r="49" s="1" customFormat="1" spans="1:47">
      <c r="A49" s="13"/>
      <c r="B49" s="13"/>
      <c r="C49" s="16">
        <v>7</v>
      </c>
      <c r="D49" s="37">
        <v>27.3312770903226</v>
      </c>
      <c r="E49" s="20">
        <f t="shared" si="38"/>
        <v>24.9541046503333</v>
      </c>
      <c r="F49" s="16" t="s">
        <v>110</v>
      </c>
      <c r="G49" s="13">
        <v>8</v>
      </c>
      <c r="H49" s="18">
        <f t="shared" si="21"/>
        <v>27.3312770903226</v>
      </c>
      <c r="I49" s="18">
        <f t="shared" si="22"/>
        <v>300.481277090323</v>
      </c>
      <c r="J49" s="18">
        <f t="shared" si="23"/>
        <v>0.445997683042853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0.208499413074309</v>
      </c>
      <c r="P49" s="18">
        <f t="shared" si="26"/>
        <v>0.0929902551469364</v>
      </c>
      <c r="Q49" s="24">
        <f t="shared" si="27"/>
        <v>0.0144134895477751</v>
      </c>
      <c r="R49" s="18">
        <f t="shared" si="28"/>
        <v>0.0119491114583333</v>
      </c>
      <c r="S49" s="25">
        <f t="shared" si="29"/>
        <v>1.20623944282678</v>
      </c>
      <c r="T49" s="3">
        <v>0.01</v>
      </c>
      <c r="U49" s="26">
        <f t="shared" si="30"/>
        <v>0.0120623944282678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0.0465623944282678</v>
      </c>
      <c r="AR49" s="29">
        <f t="shared" si="34"/>
        <v>7.70910416666667</v>
      </c>
      <c r="AS49" s="1">
        <f t="shared" si="35"/>
        <v>0.155</v>
      </c>
      <c r="AT49" s="2">
        <f t="shared" si="36"/>
        <v>253.419863013698</v>
      </c>
      <c r="AU49" s="1">
        <f t="shared" si="37"/>
        <v>94468.3591597698</v>
      </c>
    </row>
    <row r="50" s="1" customFormat="1" spans="1:47">
      <c r="A50" s="13"/>
      <c r="B50" s="13"/>
      <c r="C50" s="16">
        <v>8</v>
      </c>
      <c r="D50" s="37">
        <v>26.6888198074193</v>
      </c>
      <c r="E50" s="20">
        <f t="shared" si="38"/>
        <v>27.3312770903226</v>
      </c>
      <c r="F50" s="16" t="s">
        <v>110</v>
      </c>
      <c r="G50" s="13">
        <v>9</v>
      </c>
      <c r="H50" s="18">
        <f t="shared" si="21"/>
        <v>26.6888198074193</v>
      </c>
      <c r="I50" s="18">
        <f t="shared" si="22"/>
        <v>299.838819807419</v>
      </c>
      <c r="J50" s="18">
        <f t="shared" si="23"/>
        <v>0.416082078656824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0.192600199594039</v>
      </c>
      <c r="P50" s="18">
        <f t="shared" si="26"/>
        <v>0.0801374913968069</v>
      </c>
      <c r="Q50" s="24">
        <f t="shared" si="27"/>
        <v>0.0124213111665051</v>
      </c>
      <c r="R50" s="18">
        <f t="shared" si="28"/>
        <v>0.0119491114583333</v>
      </c>
      <c r="S50" s="25">
        <f t="shared" si="29"/>
        <v>1.0395175582568</v>
      </c>
      <c r="T50" s="3">
        <v>0.01</v>
      </c>
      <c r="U50" s="26">
        <f t="shared" si="30"/>
        <v>0.010395175582568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0.037495175582568</v>
      </c>
      <c r="AR50" s="29">
        <f t="shared" si="34"/>
        <v>7.70910416666667</v>
      </c>
      <c r="AS50" s="1">
        <f t="shared" si="35"/>
        <v>0.155</v>
      </c>
      <c r="AT50" s="2">
        <f t="shared" si="36"/>
        <v>253.419863013698</v>
      </c>
      <c r="AU50" s="1">
        <f t="shared" si="37"/>
        <v>76072.2844515545</v>
      </c>
    </row>
    <row r="51" s="1" customFormat="1" spans="1:47">
      <c r="A51" s="13"/>
      <c r="B51" s="13"/>
      <c r="C51" s="16">
        <v>9</v>
      </c>
      <c r="D51" s="37">
        <v>23.0738877553333</v>
      </c>
      <c r="E51" s="20">
        <f t="shared" si="38"/>
        <v>26.6888198074193</v>
      </c>
      <c r="F51" s="16" t="s">
        <v>110</v>
      </c>
      <c r="G51" s="13">
        <v>10</v>
      </c>
      <c r="H51" s="18">
        <f t="shared" si="21"/>
        <v>23.0738877553333</v>
      </c>
      <c r="I51" s="18">
        <f t="shared" si="22"/>
        <v>296.223887755333</v>
      </c>
      <c r="J51" s="18">
        <f t="shared" si="23"/>
        <v>0.279946144179521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0.189553749863899</v>
      </c>
      <c r="P51" s="18">
        <f t="shared" si="26"/>
        <v>0.0530648413891679</v>
      </c>
      <c r="Q51" s="24">
        <f t="shared" si="27"/>
        <v>0.00822505041532102</v>
      </c>
      <c r="R51" s="18">
        <f t="shared" si="28"/>
        <v>0.0119491114583333</v>
      </c>
      <c r="S51" s="25">
        <f t="shared" si="29"/>
        <v>0.688339919164856</v>
      </c>
      <c r="T51" s="3">
        <v>0.01</v>
      </c>
      <c r="U51" s="26">
        <f t="shared" si="30"/>
        <v>0.00688339919164856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0.0339833991916486</v>
      </c>
      <c r="AR51" s="29">
        <f t="shared" si="34"/>
        <v>7.70910416666667</v>
      </c>
      <c r="AS51" s="1">
        <f t="shared" si="35"/>
        <v>0.155</v>
      </c>
      <c r="AT51" s="2">
        <f t="shared" si="36"/>
        <v>253.419863013698</v>
      </c>
      <c r="AU51" s="1">
        <f t="shared" si="37"/>
        <v>68947.3984258312</v>
      </c>
    </row>
    <row r="52" s="1" customFormat="1" spans="1:47">
      <c r="A52" s="13"/>
      <c r="B52" s="13"/>
      <c r="C52" s="16">
        <v>10</v>
      </c>
      <c r="D52" s="37">
        <v>15.3553475612903</v>
      </c>
      <c r="E52" s="20">
        <f t="shared" si="38"/>
        <v>23.0738877553333</v>
      </c>
      <c r="F52" s="16" t="s">
        <v>110</v>
      </c>
      <c r="G52" s="13">
        <v>11</v>
      </c>
      <c r="H52" s="18">
        <f t="shared" si="21"/>
        <v>15.3553475612903</v>
      </c>
      <c r="I52" s="18">
        <f t="shared" si="22"/>
        <v>288.50534756129</v>
      </c>
      <c r="J52" s="18">
        <f t="shared" si="23"/>
        <v>0.116188796150131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0.129664463050994</v>
      </c>
      <c r="O52" s="18">
        <f t="shared" si="39"/>
        <v>0.0839154870904032</v>
      </c>
      <c r="P52" s="18">
        <f t="shared" si="26"/>
        <v>0.00975003942338581</v>
      </c>
      <c r="Q52" s="24">
        <f t="shared" si="27"/>
        <v>0.0015112561106248</v>
      </c>
      <c r="R52" s="18">
        <f t="shared" si="28"/>
        <v>0.0119491114583333</v>
      </c>
      <c r="S52" s="25">
        <f t="shared" si="29"/>
        <v>0.126474350489956</v>
      </c>
      <c r="T52" s="3">
        <v>0.01</v>
      </c>
      <c r="U52" s="26">
        <f t="shared" si="30"/>
        <v>0.00126474350489956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0.0160647435048996</v>
      </c>
      <c r="AR52" s="29">
        <f t="shared" si="34"/>
        <v>7.70910416666667</v>
      </c>
      <c r="AS52" s="1">
        <f t="shared" si="35"/>
        <v>0.155</v>
      </c>
      <c r="AT52" s="2">
        <f t="shared" si="36"/>
        <v>253.419863013698</v>
      </c>
      <c r="AU52" s="1">
        <f t="shared" si="37"/>
        <v>32593.0394659665</v>
      </c>
    </row>
    <row r="53" s="1" customFormat="1" spans="1:48">
      <c r="A53" s="13"/>
      <c r="B53" s="13"/>
      <c r="C53" s="16">
        <v>11</v>
      </c>
      <c r="D53" s="37">
        <v>8.18157985213333</v>
      </c>
      <c r="E53" s="20">
        <f t="shared" si="38"/>
        <v>15.3553475612903</v>
      </c>
      <c r="F53" s="16" t="s">
        <v>112</v>
      </c>
      <c r="G53" s="13">
        <v>12</v>
      </c>
      <c r="H53" s="18">
        <f t="shared" si="21"/>
        <v>8.18157985213333</v>
      </c>
      <c r="I53" s="18">
        <f t="shared" si="22"/>
        <v>281.331579852133</v>
      </c>
      <c r="J53" s="18">
        <f t="shared" si="23"/>
        <v>0.0491382358048661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0.151256489333684</v>
      </c>
      <c r="P53" s="18">
        <f t="shared" si="26"/>
        <v>0.00743247703989478</v>
      </c>
      <c r="Q53" s="24">
        <f t="shared" si="27"/>
        <v>0.00115203394118369</v>
      </c>
      <c r="R53" s="18">
        <f t="shared" si="28"/>
        <v>0.0119491114583333</v>
      </c>
      <c r="S53" s="25">
        <f t="shared" si="29"/>
        <v>0.0964116825925379</v>
      </c>
      <c r="T53" s="3">
        <v>0.01</v>
      </c>
      <c r="U53" s="26">
        <f t="shared" si="30"/>
        <v>0.000964116825925379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0.0157641168259254</v>
      </c>
      <c r="AR53" s="29">
        <f t="shared" si="34"/>
        <v>7.70910416666667</v>
      </c>
      <c r="AS53" s="1">
        <f t="shared" si="35"/>
        <v>0.155</v>
      </c>
      <c r="AT53" s="2">
        <f t="shared" si="36"/>
        <v>253.419863013698</v>
      </c>
      <c r="AU53" s="1">
        <f t="shared" si="37"/>
        <v>31983.1114450591</v>
      </c>
      <c r="AV53" s="1">
        <f>SUM(AU42:AU53)</f>
        <v>667615.904461596</v>
      </c>
    </row>
    <row r="54" s="1" customFormat="1" spans="1:46">
      <c r="A54" s="13"/>
      <c r="B54" s="13"/>
      <c r="C54" s="16">
        <v>12</v>
      </c>
      <c r="D54" s="37">
        <v>4.55139413951613</v>
      </c>
      <c r="E54" s="20">
        <f t="shared" si="38"/>
        <v>8.18157985213333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8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="1" customFormat="1" spans="1:78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3" t="s">
        <v>108</v>
      </c>
      <c r="B58" s="13">
        <f>F7</f>
        <v>108.2955</v>
      </c>
      <c r="C58" s="16" t="s">
        <v>109</v>
      </c>
      <c r="D58" s="17">
        <v>2</v>
      </c>
      <c r="E58" s="16"/>
      <c r="F58" s="16"/>
      <c r="G58" s="13">
        <v>1</v>
      </c>
      <c r="H58" s="18">
        <f t="shared" ref="H58:H69" si="40">E59</f>
        <v>2</v>
      </c>
      <c r="I58" s="18">
        <f t="shared" ref="I58:I69" si="41">H58+273.15</f>
        <v>275.15</v>
      </c>
      <c r="J58" s="18">
        <f t="shared" ref="J58:J69" si="42">EXP(($C$16*(I58-$C$14))/($C$17*I58*$C$14))</f>
        <v>0.0225805608773668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110</v>
      </c>
      <c r="N58" s="13"/>
      <c r="O58" s="18">
        <f>L58</f>
        <v>2.43664875</v>
      </c>
      <c r="P58" s="18">
        <f t="shared" ref="P58:P69" si="45">O58*J58</f>
        <v>0.0550208954361347</v>
      </c>
      <c r="Q58" s="24">
        <f t="shared" ref="Q58:Q69" si="46">P58*$B$60</f>
        <v>0.0247594029462606</v>
      </c>
      <c r="R58" s="18">
        <f t="shared" ref="R58:R69" si="47">L58*$B$60</f>
        <v>1.0964919375</v>
      </c>
      <c r="S58" s="25">
        <f t="shared" ref="S58:S69" si="48">Q58/R58</f>
        <v>0.0225805608773668</v>
      </c>
      <c r="T58" s="3">
        <v>0.27</v>
      </c>
      <c r="U58" s="26">
        <f t="shared" ref="U58:U69" si="49">S58*T58</f>
        <v>0.00609675143688904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0.228238170558222</v>
      </c>
      <c r="AC58" s="29">
        <f t="shared" ref="AC58:AC69" si="51">$B$58/12</f>
        <v>9.024625</v>
      </c>
      <c r="AD58" s="1">
        <f t="shared" ref="AD58:AD69" si="52">$B$60</f>
        <v>0.45</v>
      </c>
      <c r="AE58" s="30">
        <f t="shared" ref="AE58:AE69" si="53">$E$7/12</f>
        <v>751.287915075543</v>
      </c>
      <c r="AF58" s="1">
        <f t="shared" ref="AF58:AF69" si="54">AE58*10000*AC58*AB58</f>
        <v>15474757.2595933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111</v>
      </c>
      <c r="B59" s="13">
        <v>27</v>
      </c>
      <c r="C59" s="16">
        <v>1</v>
      </c>
      <c r="D59" s="37">
        <v>0.00708303880645174</v>
      </c>
      <c r="E59" s="20">
        <f t="shared" ref="E59:E70" si="55">D58</f>
        <v>2</v>
      </c>
      <c r="F59" s="16" t="s">
        <v>110</v>
      </c>
      <c r="G59" s="13">
        <v>2</v>
      </c>
      <c r="H59" s="18">
        <f t="shared" si="40"/>
        <v>0.00708303880645174</v>
      </c>
      <c r="I59" s="18">
        <f t="shared" si="41"/>
        <v>273.157083038806</v>
      </c>
      <c r="J59" s="18">
        <f t="shared" si="42"/>
        <v>0.0174424897184207</v>
      </c>
      <c r="K59" s="18">
        <f t="shared" si="43"/>
        <v>9.024625</v>
      </c>
      <c r="L59" s="18">
        <f t="shared" si="44"/>
        <v>2.43664875</v>
      </c>
      <c r="M59" s="13" t="s">
        <v>110</v>
      </c>
      <c r="N59" s="13"/>
      <c r="O59" s="18">
        <f t="shared" ref="O59:O69" si="56">L59+O58-P58-N59</f>
        <v>4.81827660456386</v>
      </c>
      <c r="P59" s="18">
        <f t="shared" si="45"/>
        <v>0.0840427401356122</v>
      </c>
      <c r="Q59" s="24">
        <f t="shared" si="46"/>
        <v>0.0378192330610255</v>
      </c>
      <c r="R59" s="18">
        <f t="shared" si="47"/>
        <v>1.0964919375</v>
      </c>
      <c r="S59" s="25">
        <f t="shared" si="48"/>
        <v>0.0344911182359018</v>
      </c>
      <c r="T59" s="3">
        <v>0.27</v>
      </c>
      <c r="U59" s="26">
        <f t="shared" si="49"/>
        <v>0.00931260192369347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0.229207749479994</v>
      </c>
      <c r="AC59" s="29">
        <f t="shared" si="51"/>
        <v>9.024625</v>
      </c>
      <c r="AD59" s="1">
        <f t="shared" si="52"/>
        <v>0.45</v>
      </c>
      <c r="AE59" s="30">
        <f t="shared" si="53"/>
        <v>751.287915075543</v>
      </c>
      <c r="AF59" s="1">
        <f t="shared" si="54"/>
        <v>15540495.599599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73</v>
      </c>
      <c r="B60" s="13">
        <f>H7</f>
        <v>0.45</v>
      </c>
      <c r="C60" s="16">
        <v>2</v>
      </c>
      <c r="D60" s="37">
        <v>5.05368072068965</v>
      </c>
      <c r="E60" s="20">
        <f t="shared" si="55"/>
        <v>0.00708303880645174</v>
      </c>
      <c r="F60" s="16" t="s">
        <v>110</v>
      </c>
      <c r="G60" s="13">
        <v>3</v>
      </c>
      <c r="H60" s="18">
        <f t="shared" si="40"/>
        <v>5.05368072068965</v>
      </c>
      <c r="I60" s="18">
        <f t="shared" si="41"/>
        <v>278.20368072069</v>
      </c>
      <c r="J60" s="18">
        <f t="shared" si="42"/>
        <v>0.0332985630602816</v>
      </c>
      <c r="K60" s="18">
        <f t="shared" si="43"/>
        <v>9.024625</v>
      </c>
      <c r="L60" s="18">
        <f t="shared" si="44"/>
        <v>2.43664875</v>
      </c>
      <c r="M60" s="13" t="s">
        <v>110</v>
      </c>
      <c r="N60" s="13"/>
      <c r="O60" s="18">
        <f t="shared" si="56"/>
        <v>7.17088261442825</v>
      </c>
      <c r="P60" s="18">
        <f t="shared" si="45"/>
        <v>0.238780086934416</v>
      </c>
      <c r="Q60" s="24">
        <f t="shared" si="46"/>
        <v>0.107451039120487</v>
      </c>
      <c r="R60" s="18">
        <f t="shared" si="47"/>
        <v>1.0964919375</v>
      </c>
      <c r="S60" s="25">
        <f t="shared" si="48"/>
        <v>0.0979952842749355</v>
      </c>
      <c r="T60" s="3">
        <v>0.27</v>
      </c>
      <c r="U60" s="26">
        <f t="shared" si="49"/>
        <v>0.0264587267542326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0.234377306116401</v>
      </c>
      <c r="AC60" s="29">
        <f t="shared" si="51"/>
        <v>9.024625</v>
      </c>
      <c r="AD60" s="1">
        <f t="shared" si="52"/>
        <v>0.45</v>
      </c>
      <c r="AE60" s="30">
        <f t="shared" si="53"/>
        <v>751.287915075543</v>
      </c>
      <c r="AF60" s="1">
        <f t="shared" si="54"/>
        <v>15890996.2800613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/>
      <c r="B61" s="13"/>
      <c r="C61" s="16">
        <v>3</v>
      </c>
      <c r="D61" s="37">
        <v>11.1084786007097</v>
      </c>
      <c r="E61" s="20">
        <f t="shared" si="55"/>
        <v>5.05368072068965</v>
      </c>
      <c r="F61" s="16" t="s">
        <v>110</v>
      </c>
      <c r="G61" s="13">
        <v>4</v>
      </c>
      <c r="H61" s="18">
        <f t="shared" si="40"/>
        <v>11.1084786007097</v>
      </c>
      <c r="I61" s="18">
        <f t="shared" si="41"/>
        <v>284.25847860071</v>
      </c>
      <c r="J61" s="18">
        <f t="shared" si="42"/>
        <v>0.0701755246987397</v>
      </c>
      <c r="K61" s="18">
        <f t="shared" si="43"/>
        <v>9.024625</v>
      </c>
      <c r="L61" s="18">
        <f t="shared" si="44"/>
        <v>2.43664875</v>
      </c>
      <c r="M61" s="13" t="s">
        <v>110</v>
      </c>
      <c r="N61" s="13"/>
      <c r="O61" s="18">
        <f t="shared" si="56"/>
        <v>9.36875127749384</v>
      </c>
      <c r="P61" s="18">
        <f t="shared" si="45"/>
        <v>0.657457036670118</v>
      </c>
      <c r="Q61" s="24">
        <f t="shared" si="46"/>
        <v>0.295855666501553</v>
      </c>
      <c r="R61" s="18">
        <f t="shared" si="47"/>
        <v>1.0964919375</v>
      </c>
      <c r="S61" s="25">
        <f t="shared" si="48"/>
        <v>0.269820193275751</v>
      </c>
      <c r="T61" s="3">
        <v>0.27</v>
      </c>
      <c r="U61" s="26">
        <f t="shared" si="49"/>
        <v>0.0728514521844529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0.297164712833613</v>
      </c>
      <c r="AC61" s="29">
        <f t="shared" si="51"/>
        <v>9.024625</v>
      </c>
      <c r="AD61" s="1">
        <f t="shared" si="52"/>
        <v>0.45</v>
      </c>
      <c r="AE61" s="30">
        <f t="shared" si="53"/>
        <v>751.287915075543</v>
      </c>
      <c r="AF61" s="1">
        <f t="shared" si="54"/>
        <v>20148040.0319098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4</v>
      </c>
      <c r="D62" s="37">
        <v>17.510142679</v>
      </c>
      <c r="E62" s="20">
        <f t="shared" si="55"/>
        <v>11.1084786007097</v>
      </c>
      <c r="F62" s="16" t="s">
        <v>110</v>
      </c>
      <c r="G62" s="13">
        <v>5</v>
      </c>
      <c r="H62" s="18">
        <f t="shared" si="40"/>
        <v>17.510142679</v>
      </c>
      <c r="I62" s="18">
        <f t="shared" si="41"/>
        <v>290.660142679</v>
      </c>
      <c r="J62" s="18">
        <f t="shared" si="42"/>
        <v>0.149218786351805</v>
      </c>
      <c r="K62" s="18">
        <f t="shared" si="43"/>
        <v>9.024625</v>
      </c>
      <c r="L62" s="18">
        <f t="shared" si="44"/>
        <v>2.43664875</v>
      </c>
      <c r="M62" s="13" t="s">
        <v>112</v>
      </c>
      <c r="N62" s="18">
        <f>(O61-P61)*$C$22/100</f>
        <v>8.27572952878253</v>
      </c>
      <c r="O62" s="18">
        <f t="shared" si="56"/>
        <v>2.87221346204119</v>
      </c>
      <c r="P62" s="18">
        <f t="shared" si="45"/>
        <v>0.428588206949102</v>
      </c>
      <c r="Q62" s="24">
        <f t="shared" si="46"/>
        <v>0.192864693127096</v>
      </c>
      <c r="R62" s="18">
        <f t="shared" si="47"/>
        <v>1.0964919375</v>
      </c>
      <c r="S62" s="25">
        <f t="shared" si="48"/>
        <v>0.175892486329473</v>
      </c>
      <c r="T62" s="3">
        <v>0.27</v>
      </c>
      <c r="U62" s="26">
        <f t="shared" si="49"/>
        <v>0.0474909713089577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0.289518527849651</v>
      </c>
      <c r="AC62" s="29">
        <f t="shared" si="51"/>
        <v>9.024625</v>
      </c>
      <c r="AD62" s="1">
        <f t="shared" si="52"/>
        <v>0.45</v>
      </c>
      <c r="AE62" s="30">
        <f t="shared" si="53"/>
        <v>751.287915075543</v>
      </c>
      <c r="AF62" s="1">
        <f t="shared" si="54"/>
        <v>19629621.6784005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5</v>
      </c>
      <c r="D63" s="37">
        <v>20.1201437709677</v>
      </c>
      <c r="E63" s="20">
        <f t="shared" si="55"/>
        <v>17.510142679</v>
      </c>
      <c r="F63" s="16" t="s">
        <v>112</v>
      </c>
      <c r="G63" s="13">
        <v>6</v>
      </c>
      <c r="H63" s="18">
        <f t="shared" si="40"/>
        <v>20.1201437709677</v>
      </c>
      <c r="I63" s="18">
        <f t="shared" si="41"/>
        <v>293.270143770968</v>
      </c>
      <c r="J63" s="18">
        <f t="shared" si="42"/>
        <v>0.20104762809617</v>
      </c>
      <c r="K63" s="18">
        <f t="shared" si="43"/>
        <v>9.024625</v>
      </c>
      <c r="L63" s="18">
        <f t="shared" si="44"/>
        <v>2.43664875</v>
      </c>
      <c r="M63" s="13" t="s">
        <v>110</v>
      </c>
      <c r="N63" s="13"/>
      <c r="O63" s="18">
        <f t="shared" si="56"/>
        <v>4.88027400509208</v>
      </c>
      <c r="P63" s="18">
        <f t="shared" si="45"/>
        <v>0.981167513183159</v>
      </c>
      <c r="Q63" s="24">
        <f t="shared" si="46"/>
        <v>0.441525380932422</v>
      </c>
      <c r="R63" s="18">
        <f t="shared" si="47"/>
        <v>1.0964919375</v>
      </c>
      <c r="S63" s="25">
        <f t="shared" si="48"/>
        <v>0.402670886882305</v>
      </c>
      <c r="T63" s="3">
        <v>0.27</v>
      </c>
      <c r="U63" s="26">
        <f t="shared" si="49"/>
        <v>0.108721139458222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0.323179423546654</v>
      </c>
      <c r="AC63" s="29">
        <f t="shared" si="51"/>
        <v>9.024625</v>
      </c>
      <c r="AD63" s="1">
        <f t="shared" si="52"/>
        <v>0.45</v>
      </c>
      <c r="AE63" s="30">
        <f t="shared" si="53"/>
        <v>751.287915075543</v>
      </c>
      <c r="AF63" s="1">
        <f t="shared" si="54"/>
        <v>21911861.2738968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6</v>
      </c>
      <c r="D64" s="37">
        <v>24.9541046503333</v>
      </c>
      <c r="E64" s="20">
        <f t="shared" si="55"/>
        <v>20.1201437709677</v>
      </c>
      <c r="F64" s="16" t="s">
        <v>110</v>
      </c>
      <c r="G64" s="13">
        <v>7</v>
      </c>
      <c r="H64" s="18">
        <f t="shared" si="40"/>
        <v>24.9541046503333</v>
      </c>
      <c r="I64" s="18">
        <f t="shared" si="41"/>
        <v>298.104104650333</v>
      </c>
      <c r="J64" s="18">
        <f t="shared" si="42"/>
        <v>0.344438173912586</v>
      </c>
      <c r="K64" s="18">
        <f t="shared" si="43"/>
        <v>9.024625</v>
      </c>
      <c r="L64" s="18">
        <f t="shared" si="44"/>
        <v>2.43664875</v>
      </c>
      <c r="M64" s="13" t="s">
        <v>110</v>
      </c>
      <c r="N64" s="13"/>
      <c r="O64" s="18">
        <f t="shared" si="56"/>
        <v>6.33575524190892</v>
      </c>
      <c r="P64" s="18">
        <f t="shared" si="45"/>
        <v>2.1822759658802</v>
      </c>
      <c r="Q64" s="24">
        <f t="shared" si="46"/>
        <v>0.982024184646092</v>
      </c>
      <c r="R64" s="18">
        <f t="shared" si="47"/>
        <v>1.0964919375</v>
      </c>
      <c r="S64" s="25">
        <f t="shared" si="48"/>
        <v>0.895605476940493</v>
      </c>
      <c r="T64" s="3">
        <v>0.27</v>
      </c>
      <c r="U64" s="26">
        <f t="shared" si="49"/>
        <v>0.241813478773933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0.363306763850341</v>
      </c>
      <c r="AC64" s="29">
        <f t="shared" si="51"/>
        <v>9.024625</v>
      </c>
      <c r="AD64" s="1">
        <f t="shared" si="52"/>
        <v>0.45</v>
      </c>
      <c r="AE64" s="30">
        <f t="shared" si="53"/>
        <v>751.287915075543</v>
      </c>
      <c r="AF64" s="1">
        <f t="shared" si="54"/>
        <v>24632531.743494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7</v>
      </c>
      <c r="D65" s="37">
        <v>27.3312770903226</v>
      </c>
      <c r="E65" s="20">
        <f t="shared" si="55"/>
        <v>24.9541046503333</v>
      </c>
      <c r="F65" s="16" t="s">
        <v>110</v>
      </c>
      <c r="G65" s="13">
        <v>8</v>
      </c>
      <c r="H65" s="18">
        <f t="shared" si="40"/>
        <v>27.3312770903226</v>
      </c>
      <c r="I65" s="18">
        <f t="shared" si="41"/>
        <v>300.481277090323</v>
      </c>
      <c r="J65" s="18">
        <f t="shared" si="42"/>
        <v>0.445997683042853</v>
      </c>
      <c r="K65" s="18">
        <f t="shared" si="43"/>
        <v>9.024625</v>
      </c>
      <c r="L65" s="18">
        <f t="shared" si="44"/>
        <v>2.43664875</v>
      </c>
      <c r="M65" s="13" t="s">
        <v>110</v>
      </c>
      <c r="N65" s="13"/>
      <c r="O65" s="18">
        <f t="shared" si="56"/>
        <v>6.59012802602872</v>
      </c>
      <c r="P65" s="18">
        <f t="shared" si="45"/>
        <v>2.93918183056458</v>
      </c>
      <c r="Q65" s="24">
        <f t="shared" si="46"/>
        <v>1.32263182375406</v>
      </c>
      <c r="R65" s="18">
        <f t="shared" si="47"/>
        <v>1.0964919375</v>
      </c>
      <c r="S65" s="25">
        <f t="shared" si="48"/>
        <v>1.20623944282678</v>
      </c>
      <c r="T65" s="3">
        <v>0.27</v>
      </c>
      <c r="U65" s="26">
        <f t="shared" si="49"/>
        <v>0.325684649563232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0.388593921843314</v>
      </c>
      <c r="AC65" s="29">
        <f t="shared" si="51"/>
        <v>9.024625</v>
      </c>
      <c r="AD65" s="1">
        <f t="shared" si="52"/>
        <v>0.45</v>
      </c>
      <c r="AE65" s="30">
        <f t="shared" si="53"/>
        <v>751.287915075543</v>
      </c>
      <c r="AF65" s="1">
        <f t="shared" si="54"/>
        <v>26347024.2438904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8</v>
      </c>
      <c r="D66" s="37">
        <v>26.6888198074193</v>
      </c>
      <c r="E66" s="20">
        <f t="shared" si="55"/>
        <v>27.3312770903226</v>
      </c>
      <c r="F66" s="16" t="s">
        <v>110</v>
      </c>
      <c r="G66" s="13">
        <v>9</v>
      </c>
      <c r="H66" s="18">
        <f t="shared" si="40"/>
        <v>26.6888198074193</v>
      </c>
      <c r="I66" s="18">
        <f t="shared" si="41"/>
        <v>299.838819807419</v>
      </c>
      <c r="J66" s="18">
        <f t="shared" si="42"/>
        <v>0.416082078656824</v>
      </c>
      <c r="K66" s="18">
        <f t="shared" si="43"/>
        <v>9.024625</v>
      </c>
      <c r="L66" s="18">
        <f t="shared" si="44"/>
        <v>2.43664875</v>
      </c>
      <c r="M66" s="13" t="s">
        <v>110</v>
      </c>
      <c r="N66" s="13"/>
      <c r="O66" s="18">
        <f t="shared" si="56"/>
        <v>6.08759494546414</v>
      </c>
      <c r="P66" s="18">
        <f t="shared" si="45"/>
        <v>2.53293915892949</v>
      </c>
      <c r="Q66" s="24">
        <f t="shared" si="46"/>
        <v>1.13982262151827</v>
      </c>
      <c r="R66" s="18">
        <f t="shared" si="47"/>
        <v>1.0964919375</v>
      </c>
      <c r="S66" s="25">
        <f t="shared" si="48"/>
        <v>1.0395175582568</v>
      </c>
      <c r="T66" s="3">
        <v>0.27</v>
      </c>
      <c r="U66" s="26">
        <f t="shared" si="49"/>
        <v>0.280669740729337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0.359821926829895</v>
      </c>
      <c r="AC66" s="29">
        <f t="shared" si="51"/>
        <v>9.024625</v>
      </c>
      <c r="AD66" s="1">
        <f t="shared" si="52"/>
        <v>0.45</v>
      </c>
      <c r="AE66" s="30">
        <f t="shared" si="53"/>
        <v>751.287915075543</v>
      </c>
      <c r="AF66" s="1">
        <f t="shared" si="54"/>
        <v>24396256.5978918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9</v>
      </c>
      <c r="D67" s="37">
        <v>23.0738877553333</v>
      </c>
      <c r="E67" s="20">
        <f t="shared" si="55"/>
        <v>26.6888198074193</v>
      </c>
      <c r="F67" s="16" t="s">
        <v>110</v>
      </c>
      <c r="G67" s="13">
        <v>10</v>
      </c>
      <c r="H67" s="18">
        <f t="shared" si="40"/>
        <v>23.0738877553333</v>
      </c>
      <c r="I67" s="18">
        <f t="shared" si="41"/>
        <v>296.223887755333</v>
      </c>
      <c r="J67" s="18">
        <f t="shared" si="42"/>
        <v>0.279946144179521</v>
      </c>
      <c r="K67" s="18">
        <f t="shared" si="43"/>
        <v>9.024625</v>
      </c>
      <c r="L67" s="18">
        <f t="shared" si="44"/>
        <v>2.43664875</v>
      </c>
      <c r="M67" s="13" t="s">
        <v>110</v>
      </c>
      <c r="N67" s="13"/>
      <c r="O67" s="18">
        <f t="shared" si="56"/>
        <v>5.99130453653465</v>
      </c>
      <c r="P67" s="18">
        <f t="shared" si="45"/>
        <v>1.67724260360815</v>
      </c>
      <c r="Q67" s="24">
        <f t="shared" si="46"/>
        <v>0.754759171623666</v>
      </c>
      <c r="R67" s="18">
        <f t="shared" si="47"/>
        <v>1.0964919375</v>
      </c>
      <c r="S67" s="25">
        <f t="shared" si="48"/>
        <v>0.688339919164855</v>
      </c>
      <c r="T67" s="3">
        <v>0.27</v>
      </c>
      <c r="U67" s="26">
        <f t="shared" si="49"/>
        <v>0.185851778174511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0.331234311119615</v>
      </c>
      <c r="AC67" s="29">
        <f t="shared" si="51"/>
        <v>9.024625</v>
      </c>
      <c r="AD67" s="1">
        <f t="shared" si="52"/>
        <v>0.45</v>
      </c>
      <c r="AE67" s="30">
        <f t="shared" si="53"/>
        <v>751.287915075543</v>
      </c>
      <c r="AF67" s="1">
        <f t="shared" si="54"/>
        <v>22457990.0377229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10</v>
      </c>
      <c r="D68" s="37">
        <v>15.3553475612903</v>
      </c>
      <c r="E68" s="20">
        <f t="shared" si="55"/>
        <v>23.0738877553333</v>
      </c>
      <c r="F68" s="16" t="s">
        <v>110</v>
      </c>
      <c r="G68" s="13">
        <v>11</v>
      </c>
      <c r="H68" s="18">
        <f t="shared" si="40"/>
        <v>15.3553475612903</v>
      </c>
      <c r="I68" s="18">
        <f t="shared" si="41"/>
        <v>288.50534756129</v>
      </c>
      <c r="J68" s="18">
        <f t="shared" si="42"/>
        <v>0.116188796150131</v>
      </c>
      <c r="K68" s="18">
        <f t="shared" si="43"/>
        <v>9.024625</v>
      </c>
      <c r="L68" s="18">
        <f t="shared" si="44"/>
        <v>2.43664875</v>
      </c>
      <c r="M68" s="13" t="s">
        <v>112</v>
      </c>
      <c r="N68" s="18">
        <f>(O67-P67)*$C$22/100</f>
        <v>4.09835883628017</v>
      </c>
      <c r="O68" s="18">
        <f t="shared" si="56"/>
        <v>2.65235184664632</v>
      </c>
      <c r="P68" s="18">
        <f t="shared" si="45"/>
        <v>0.308173568028413</v>
      </c>
      <c r="Q68" s="24">
        <f t="shared" si="46"/>
        <v>0.138678105612786</v>
      </c>
      <c r="R68" s="18">
        <f t="shared" si="47"/>
        <v>1.0964919375</v>
      </c>
      <c r="S68" s="25">
        <f t="shared" si="48"/>
        <v>0.126474350489956</v>
      </c>
      <c r="T68" s="3">
        <v>0.27</v>
      </c>
      <c r="U68" s="26">
        <f t="shared" si="49"/>
        <v>0.0341480746322882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0.236695644501635</v>
      </c>
      <c r="AC68" s="29">
        <f t="shared" si="51"/>
        <v>9.024625</v>
      </c>
      <c r="AD68" s="1">
        <f t="shared" si="52"/>
        <v>0.45</v>
      </c>
      <c r="AE68" s="30">
        <f t="shared" si="53"/>
        <v>751.287915075543</v>
      </c>
      <c r="AF68" s="1">
        <f t="shared" si="54"/>
        <v>16048181.7485101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="1" customFormat="1" spans="1:78">
      <c r="A69" s="13"/>
      <c r="B69" s="13"/>
      <c r="C69" s="16">
        <v>11</v>
      </c>
      <c r="D69" s="37">
        <v>8.18157985213333</v>
      </c>
      <c r="E69" s="20">
        <f t="shared" si="55"/>
        <v>15.3553475612903</v>
      </c>
      <c r="F69" s="16" t="s">
        <v>112</v>
      </c>
      <c r="G69" s="13">
        <v>12</v>
      </c>
      <c r="H69" s="18">
        <f t="shared" si="40"/>
        <v>8.18157985213333</v>
      </c>
      <c r="I69" s="18">
        <f t="shared" si="41"/>
        <v>281.331579852133</v>
      </c>
      <c r="J69" s="18">
        <f t="shared" si="42"/>
        <v>0.0491382358048661</v>
      </c>
      <c r="K69" s="18">
        <f t="shared" si="43"/>
        <v>9.024625</v>
      </c>
      <c r="L69" s="18">
        <f t="shared" si="44"/>
        <v>2.43664875</v>
      </c>
      <c r="M69" s="13" t="s">
        <v>110</v>
      </c>
      <c r="N69" s="13"/>
      <c r="O69" s="18">
        <f t="shared" si="56"/>
        <v>4.78082702861791</v>
      </c>
      <c r="P69" s="18">
        <f t="shared" si="45"/>
        <v>0.234921405874504</v>
      </c>
      <c r="Q69" s="24">
        <f t="shared" si="46"/>
        <v>0.105714632643527</v>
      </c>
      <c r="R69" s="18">
        <f t="shared" si="47"/>
        <v>1.0964919375</v>
      </c>
      <c r="S69" s="25">
        <f t="shared" si="48"/>
        <v>0.0964116825925379</v>
      </c>
      <c r="T69" s="3">
        <v>0.27</v>
      </c>
      <c r="U69" s="26">
        <f t="shared" si="49"/>
        <v>0.0260311542999852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0.234248393021446</v>
      </c>
      <c r="AC69" s="29">
        <f t="shared" si="51"/>
        <v>9.024625</v>
      </c>
      <c r="AD69" s="1">
        <f t="shared" si="52"/>
        <v>0.45</v>
      </c>
      <c r="AE69" s="30">
        <f t="shared" si="53"/>
        <v>751.287915075543</v>
      </c>
      <c r="AF69" s="1">
        <f t="shared" si="54"/>
        <v>15882255.8540092</v>
      </c>
      <c r="AG69" s="1">
        <f>SUM(AF58:AF69)</f>
        <v>238360012.348979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="1" customFormat="1" spans="1:46">
      <c r="A70" s="13"/>
      <c r="B70" s="13"/>
      <c r="C70" s="16">
        <v>12</v>
      </c>
      <c r="D70" s="37">
        <v>4.55139413951613</v>
      </c>
      <c r="E70" s="20">
        <f t="shared" si="55"/>
        <v>8.18157985213333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2</v>
      </c>
      <c r="E74" s="16"/>
      <c r="F74" s="16"/>
      <c r="G74" s="13">
        <v>1</v>
      </c>
      <c r="H74" s="18">
        <f t="shared" ref="H74:H85" si="57">E75</f>
        <v>2</v>
      </c>
      <c r="I74" s="18">
        <f t="shared" ref="I74:I85" si="58">H74+273.15</f>
        <v>275.15</v>
      </c>
      <c r="J74" s="18">
        <f t="shared" ref="J74:J85" si="59">EXP(($C$16*(I74-$C$14))/($C$17*I74*$C$14))</f>
        <v>0.0225805608773668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0.0117694399405011</v>
      </c>
      <c r="Q74" s="24">
        <f t="shared" ref="Q74:Q85" si="63">P74*$B$76</f>
        <v>0.00306005438453029</v>
      </c>
      <c r="R74" s="18">
        <f t="shared" ref="R74:R85" si="64">L74*$B$76</f>
        <v>0.1355172</v>
      </c>
      <c r="S74" s="25">
        <f t="shared" ref="S74:S85" si="65">Q74/R74</f>
        <v>0.0225805608773668</v>
      </c>
      <c r="T74" s="3">
        <v>0.01</v>
      </c>
      <c r="U74" s="26">
        <f t="shared" ref="U74:U85" si="66">S74*T74</f>
        <v>0.000225805608773668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0.00571580560877367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1.01559510137148</v>
      </c>
      <c r="AX74" s="1">
        <f t="shared" ref="AX74:AX85" si="73">AW74*10000*AV74*0.67*AU74*AT74</f>
        <v>527.068753254967</v>
      </c>
    </row>
    <row r="75" s="1" customFormat="1" spans="1:50">
      <c r="A75" s="13" t="s">
        <v>111</v>
      </c>
      <c r="B75" s="13">
        <v>1</v>
      </c>
      <c r="C75" s="16">
        <v>1</v>
      </c>
      <c r="D75" s="37">
        <v>0.00708303880645174</v>
      </c>
      <c r="E75" s="20">
        <f t="shared" ref="E75:E86" si="74">D74</f>
        <v>2</v>
      </c>
      <c r="F75" s="16" t="s">
        <v>110</v>
      </c>
      <c r="G75" s="13">
        <v>2</v>
      </c>
      <c r="H75" s="18">
        <f t="shared" si="57"/>
        <v>0.00708303880645174</v>
      </c>
      <c r="I75" s="18">
        <f t="shared" si="58"/>
        <v>273.157083038806</v>
      </c>
      <c r="J75" s="18">
        <f t="shared" si="59"/>
        <v>0.0174424897184207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1.0306705600595</v>
      </c>
      <c r="P75" s="18">
        <f t="shared" si="62"/>
        <v>0.0179774606469167</v>
      </c>
      <c r="Q75" s="24">
        <f t="shared" si="63"/>
        <v>0.00467413976819835</v>
      </c>
      <c r="R75" s="18">
        <f t="shared" si="64"/>
        <v>0.1355172</v>
      </c>
      <c r="S75" s="25">
        <f t="shared" si="65"/>
        <v>0.0344911182359018</v>
      </c>
      <c r="T75" s="3">
        <v>0.01</v>
      </c>
      <c r="U75" s="26">
        <f t="shared" si="66"/>
        <v>0.000344911182359018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0.00583491118235902</v>
      </c>
      <c r="AU75" s="29">
        <f t="shared" si="70"/>
        <v>52.122</v>
      </c>
      <c r="AV75" s="1">
        <f t="shared" si="71"/>
        <v>0.26</v>
      </c>
      <c r="AW75" s="2">
        <f t="shared" si="72"/>
        <v>1.01559510137148</v>
      </c>
      <c r="AX75" s="1">
        <f t="shared" si="73"/>
        <v>538.051776554252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37">
        <v>5.05368072068965</v>
      </c>
      <c r="E76" s="20">
        <f t="shared" si="74"/>
        <v>0.00708303880645174</v>
      </c>
      <c r="F76" s="16" t="s">
        <v>110</v>
      </c>
      <c r="G76" s="13">
        <v>3</v>
      </c>
      <c r="H76" s="18">
        <f t="shared" si="57"/>
        <v>5.05368072068965</v>
      </c>
      <c r="I76" s="18">
        <f t="shared" si="58"/>
        <v>278.20368072069</v>
      </c>
      <c r="J76" s="18">
        <f t="shared" si="59"/>
        <v>0.0332985630602816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1.53391309941258</v>
      </c>
      <c r="P76" s="18">
        <f t="shared" si="62"/>
        <v>0.0510771020697819</v>
      </c>
      <c r="Q76" s="24">
        <f t="shared" si="63"/>
        <v>0.0132800465381433</v>
      </c>
      <c r="R76" s="18">
        <f t="shared" si="64"/>
        <v>0.1355172</v>
      </c>
      <c r="S76" s="25">
        <f t="shared" si="65"/>
        <v>0.0979952842749355</v>
      </c>
      <c r="T76" s="3">
        <v>0.01</v>
      </c>
      <c r="U76" s="26">
        <f t="shared" si="66"/>
        <v>0.000979952842749355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0.00646995284274935</v>
      </c>
      <c r="AU76" s="29">
        <f t="shared" si="70"/>
        <v>52.122</v>
      </c>
      <c r="AV76" s="1">
        <f t="shared" si="71"/>
        <v>0.26</v>
      </c>
      <c r="AW76" s="2">
        <f t="shared" si="72"/>
        <v>1.01559510137148</v>
      </c>
      <c r="AX76" s="1">
        <f t="shared" si="73"/>
        <v>596.610558835638</v>
      </c>
    </row>
    <row r="77" s="1" customFormat="1" spans="1:50">
      <c r="A77" s="13"/>
      <c r="B77" s="13"/>
      <c r="C77" s="16">
        <v>3</v>
      </c>
      <c r="D77" s="37">
        <v>11.1084786007097</v>
      </c>
      <c r="E77" s="20">
        <f t="shared" si="74"/>
        <v>5.05368072068965</v>
      </c>
      <c r="F77" s="16" t="s">
        <v>110</v>
      </c>
      <c r="G77" s="13">
        <v>4</v>
      </c>
      <c r="H77" s="18">
        <f t="shared" si="57"/>
        <v>11.1084786007097</v>
      </c>
      <c r="I77" s="18">
        <f t="shared" si="58"/>
        <v>284.25847860071</v>
      </c>
      <c r="J77" s="18">
        <f t="shared" si="59"/>
        <v>0.0701755246987397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2.0040559973428</v>
      </c>
      <c r="P77" s="18">
        <f t="shared" si="62"/>
        <v>0.140635681139187</v>
      </c>
      <c r="Q77" s="24">
        <f t="shared" si="63"/>
        <v>0.0365652770961887</v>
      </c>
      <c r="R77" s="18">
        <f t="shared" si="64"/>
        <v>0.1355172</v>
      </c>
      <c r="S77" s="25">
        <f t="shared" si="65"/>
        <v>0.269820193275751</v>
      </c>
      <c r="T77" s="3">
        <v>0.01</v>
      </c>
      <c r="U77" s="26">
        <f t="shared" si="66"/>
        <v>0.00269820193275751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0.0106882019327575</v>
      </c>
      <c r="AU77" s="29">
        <f t="shared" si="70"/>
        <v>52.122</v>
      </c>
      <c r="AV77" s="1">
        <f t="shared" si="71"/>
        <v>0.26</v>
      </c>
      <c r="AW77" s="2">
        <f t="shared" si="72"/>
        <v>1.01559510137148</v>
      </c>
      <c r="AX77" s="1">
        <f t="shared" si="73"/>
        <v>985.585874122211</v>
      </c>
    </row>
    <row r="78" s="1" customFormat="1" spans="1:50">
      <c r="A78" s="13"/>
      <c r="B78" s="13"/>
      <c r="C78" s="16">
        <v>4</v>
      </c>
      <c r="D78" s="37">
        <v>17.510142679</v>
      </c>
      <c r="E78" s="20">
        <f t="shared" si="74"/>
        <v>11.1084786007097</v>
      </c>
      <c r="F78" s="16" t="s">
        <v>110</v>
      </c>
      <c r="G78" s="13">
        <v>5</v>
      </c>
      <c r="H78" s="18">
        <f t="shared" si="57"/>
        <v>17.510142679</v>
      </c>
      <c r="I78" s="18">
        <f t="shared" si="58"/>
        <v>290.660142679</v>
      </c>
      <c r="J78" s="18">
        <f t="shared" si="59"/>
        <v>0.149218786351805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1.77024930039343</v>
      </c>
      <c r="O78" s="18">
        <f t="shared" si="75"/>
        <v>0.614391015810181</v>
      </c>
      <c r="P78" s="18">
        <f t="shared" si="62"/>
        <v>0.0916786817246478</v>
      </c>
      <c r="Q78" s="24">
        <f t="shared" si="63"/>
        <v>0.0238364572484084</v>
      </c>
      <c r="R78" s="18">
        <f t="shared" si="64"/>
        <v>0.1355172</v>
      </c>
      <c r="S78" s="25">
        <f t="shared" si="65"/>
        <v>0.175892486329473</v>
      </c>
      <c r="T78" s="3">
        <v>0.01</v>
      </c>
      <c r="U78" s="26">
        <f t="shared" si="66"/>
        <v>0.00175892486329473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0.0117089248632947</v>
      </c>
      <c r="AU78" s="29">
        <f t="shared" si="70"/>
        <v>52.122</v>
      </c>
      <c r="AV78" s="1">
        <f t="shared" si="71"/>
        <v>0.26</v>
      </c>
      <c r="AW78" s="2">
        <f t="shared" si="72"/>
        <v>1.01559510137148</v>
      </c>
      <c r="AX78" s="1">
        <f t="shared" si="73"/>
        <v>1079.70929245386</v>
      </c>
    </row>
    <row r="79" s="1" customFormat="1" spans="1:50">
      <c r="A79" s="13"/>
      <c r="B79" s="13"/>
      <c r="C79" s="16">
        <v>5</v>
      </c>
      <c r="D79" s="37">
        <v>20.1201437709677</v>
      </c>
      <c r="E79" s="20">
        <f t="shared" si="74"/>
        <v>17.510142679</v>
      </c>
      <c r="F79" s="16" t="s">
        <v>112</v>
      </c>
      <c r="G79" s="13">
        <v>6</v>
      </c>
      <c r="H79" s="18">
        <f t="shared" si="57"/>
        <v>20.1201437709677</v>
      </c>
      <c r="I79" s="18">
        <f t="shared" si="58"/>
        <v>293.270143770968</v>
      </c>
      <c r="J79" s="18">
        <f t="shared" si="59"/>
        <v>0.20104762809617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1.04393233408553</v>
      </c>
      <c r="P79" s="18">
        <f t="shared" si="62"/>
        <v>0.209880119660795</v>
      </c>
      <c r="Q79" s="24">
        <f t="shared" si="63"/>
        <v>0.0545688311118067</v>
      </c>
      <c r="R79" s="18">
        <f t="shared" si="64"/>
        <v>0.1355172</v>
      </c>
      <c r="S79" s="25">
        <f t="shared" si="65"/>
        <v>0.402670886882305</v>
      </c>
      <c r="T79" s="3">
        <v>0.01</v>
      </c>
      <c r="U79" s="26">
        <f t="shared" si="66"/>
        <v>0.00402670886882305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0.013976708868823</v>
      </c>
      <c r="AU79" s="29">
        <f t="shared" si="70"/>
        <v>52.122</v>
      </c>
      <c r="AV79" s="1">
        <f t="shared" si="71"/>
        <v>0.26</v>
      </c>
      <c r="AW79" s="2">
        <f t="shared" si="72"/>
        <v>1.01559510137148</v>
      </c>
      <c r="AX79" s="1">
        <f t="shared" si="73"/>
        <v>1288.8273363934</v>
      </c>
    </row>
    <row r="80" s="1" customFormat="1" spans="1:50">
      <c r="A80" s="13"/>
      <c r="B80" s="13"/>
      <c r="C80" s="16">
        <v>6</v>
      </c>
      <c r="D80" s="37">
        <v>24.9541046503333</v>
      </c>
      <c r="E80" s="20">
        <f t="shared" si="74"/>
        <v>20.1201437709677</v>
      </c>
      <c r="F80" s="16" t="s">
        <v>110</v>
      </c>
      <c r="G80" s="13">
        <v>7</v>
      </c>
      <c r="H80" s="18">
        <f t="shared" si="57"/>
        <v>24.9541046503333</v>
      </c>
      <c r="I80" s="18">
        <f t="shared" si="58"/>
        <v>298.104104650333</v>
      </c>
      <c r="J80" s="18">
        <f t="shared" si="59"/>
        <v>0.344438173912586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1.35527221442474</v>
      </c>
      <c r="P80" s="18">
        <f t="shared" si="62"/>
        <v>0.466807486690924</v>
      </c>
      <c r="Q80" s="24">
        <f t="shared" si="63"/>
        <v>0.12136994653964</v>
      </c>
      <c r="R80" s="18">
        <f t="shared" si="64"/>
        <v>0.1355172</v>
      </c>
      <c r="S80" s="25">
        <f t="shared" si="65"/>
        <v>0.895605476940493</v>
      </c>
      <c r="T80" s="3">
        <v>0.01</v>
      </c>
      <c r="U80" s="26">
        <f t="shared" si="66"/>
        <v>0.00895605476940492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0.0214060547694049</v>
      </c>
      <c r="AU80" s="29">
        <f t="shared" si="70"/>
        <v>52.122</v>
      </c>
      <c r="AV80" s="1">
        <f t="shared" si="71"/>
        <v>0.26</v>
      </c>
      <c r="AW80" s="2">
        <f t="shared" si="72"/>
        <v>1.01559510137148</v>
      </c>
      <c r="AX80" s="1">
        <f t="shared" si="73"/>
        <v>1973.9059323675</v>
      </c>
    </row>
    <row r="81" s="1" customFormat="1" spans="1:50">
      <c r="A81" s="13"/>
      <c r="B81" s="13"/>
      <c r="C81" s="16">
        <v>7</v>
      </c>
      <c r="D81" s="37">
        <v>27.3312770903226</v>
      </c>
      <c r="E81" s="20">
        <f t="shared" si="74"/>
        <v>24.9541046503333</v>
      </c>
      <c r="F81" s="16" t="s">
        <v>110</v>
      </c>
      <c r="G81" s="13">
        <v>8</v>
      </c>
      <c r="H81" s="18">
        <f t="shared" si="57"/>
        <v>27.3312770903226</v>
      </c>
      <c r="I81" s="18">
        <f t="shared" si="58"/>
        <v>300.481277090323</v>
      </c>
      <c r="J81" s="18">
        <f t="shared" si="59"/>
        <v>0.445997683042853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1.40968472773381</v>
      </c>
      <c r="P81" s="18">
        <f t="shared" si="62"/>
        <v>0.628716122390176</v>
      </c>
      <c r="Q81" s="24">
        <f t="shared" si="63"/>
        <v>0.163466191821446</v>
      </c>
      <c r="R81" s="18">
        <f t="shared" si="64"/>
        <v>0.1355172</v>
      </c>
      <c r="S81" s="25">
        <f t="shared" si="65"/>
        <v>1.20623944282678</v>
      </c>
      <c r="T81" s="3">
        <v>0.01</v>
      </c>
      <c r="U81" s="26">
        <f t="shared" si="66"/>
        <v>0.0120623944282678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0.0245123944282678</v>
      </c>
      <c r="AU81" s="29">
        <f t="shared" si="70"/>
        <v>52.122</v>
      </c>
      <c r="AV81" s="1">
        <f t="shared" si="71"/>
        <v>0.26</v>
      </c>
      <c r="AW81" s="2">
        <f t="shared" si="72"/>
        <v>1.01559510137148</v>
      </c>
      <c r="AX81" s="1">
        <f t="shared" si="73"/>
        <v>2260.34929367954</v>
      </c>
    </row>
    <row r="82" s="1" customFormat="1" spans="1:50">
      <c r="A82" s="13"/>
      <c r="B82" s="13"/>
      <c r="C82" s="16">
        <v>8</v>
      </c>
      <c r="D82" s="37">
        <v>26.6888198074193</v>
      </c>
      <c r="E82" s="20">
        <f t="shared" si="74"/>
        <v>27.3312770903226</v>
      </c>
      <c r="F82" s="16" t="s">
        <v>110</v>
      </c>
      <c r="G82" s="13">
        <v>9</v>
      </c>
      <c r="H82" s="18">
        <f t="shared" si="57"/>
        <v>26.6888198074193</v>
      </c>
      <c r="I82" s="18">
        <f t="shared" si="58"/>
        <v>299.838819807419</v>
      </c>
      <c r="J82" s="18">
        <f t="shared" si="59"/>
        <v>0.416082078656824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1.30218860534364</v>
      </c>
      <c r="P82" s="18">
        <f t="shared" si="62"/>
        <v>0.541817341714612</v>
      </c>
      <c r="Q82" s="24">
        <f t="shared" si="63"/>
        <v>0.140872508845799</v>
      </c>
      <c r="R82" s="18">
        <f t="shared" si="64"/>
        <v>0.1355172</v>
      </c>
      <c r="S82" s="25">
        <f t="shared" si="65"/>
        <v>1.0395175582568</v>
      </c>
      <c r="T82" s="3">
        <v>0.01</v>
      </c>
      <c r="U82" s="26">
        <f t="shared" si="66"/>
        <v>0.010395175582568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0.020345175582568</v>
      </c>
      <c r="AU82" s="29">
        <f t="shared" si="70"/>
        <v>52.122</v>
      </c>
      <c r="AV82" s="1">
        <f t="shared" si="71"/>
        <v>0.26</v>
      </c>
      <c r="AW82" s="2">
        <f t="shared" si="72"/>
        <v>1.01559510137148</v>
      </c>
      <c r="AX82" s="1">
        <f t="shared" si="73"/>
        <v>1876.0796050512</v>
      </c>
    </row>
    <row r="83" s="1" customFormat="1" spans="1:50">
      <c r="A83" s="13"/>
      <c r="B83" s="13"/>
      <c r="C83" s="16">
        <v>9</v>
      </c>
      <c r="D83" s="37">
        <v>23.0738877553333</v>
      </c>
      <c r="E83" s="20">
        <f t="shared" si="74"/>
        <v>26.6888198074193</v>
      </c>
      <c r="F83" s="16" t="s">
        <v>110</v>
      </c>
      <c r="G83" s="13">
        <v>10</v>
      </c>
      <c r="H83" s="18">
        <f t="shared" si="57"/>
        <v>23.0738877553333</v>
      </c>
      <c r="I83" s="18">
        <f t="shared" si="58"/>
        <v>296.223887755333</v>
      </c>
      <c r="J83" s="18">
        <f t="shared" si="59"/>
        <v>0.279946144179521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1.28159126362903</v>
      </c>
      <c r="P83" s="18">
        <f t="shared" si="62"/>
        <v>0.358776532667106</v>
      </c>
      <c r="Q83" s="24">
        <f t="shared" si="63"/>
        <v>0.0932818984934476</v>
      </c>
      <c r="R83" s="18">
        <f t="shared" si="64"/>
        <v>0.1355172</v>
      </c>
      <c r="S83" s="25">
        <f t="shared" si="65"/>
        <v>0.688339919164856</v>
      </c>
      <c r="T83" s="3">
        <v>0.01</v>
      </c>
      <c r="U83" s="26">
        <f t="shared" si="66"/>
        <v>0.00688339919164856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0.0168333991916486</v>
      </c>
      <c r="AU83" s="29">
        <f t="shared" si="70"/>
        <v>52.122</v>
      </c>
      <c r="AV83" s="1">
        <f t="shared" si="71"/>
        <v>0.26</v>
      </c>
      <c r="AW83" s="2">
        <f t="shared" si="72"/>
        <v>1.01559510137148</v>
      </c>
      <c r="AX83" s="1">
        <f t="shared" si="73"/>
        <v>1552.24990705885</v>
      </c>
    </row>
    <row r="84" s="1" customFormat="1" spans="1:50">
      <c r="A84" s="13"/>
      <c r="B84" s="13"/>
      <c r="C84" s="16">
        <v>10</v>
      </c>
      <c r="D84" s="37">
        <v>15.3553475612903</v>
      </c>
      <c r="E84" s="20">
        <f t="shared" si="74"/>
        <v>23.0738877553333</v>
      </c>
      <c r="F84" s="16" t="s">
        <v>110</v>
      </c>
      <c r="G84" s="13">
        <v>11</v>
      </c>
      <c r="H84" s="18">
        <f t="shared" si="57"/>
        <v>15.3553475612903</v>
      </c>
      <c r="I84" s="18">
        <f t="shared" si="58"/>
        <v>288.50534756129</v>
      </c>
      <c r="J84" s="18">
        <f t="shared" si="59"/>
        <v>0.116188796150131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0.876673994413825</v>
      </c>
      <c r="O84" s="18">
        <f t="shared" si="75"/>
        <v>0.567360736548096</v>
      </c>
      <c r="P84" s="18">
        <f t="shared" si="62"/>
        <v>0.0659209609623749</v>
      </c>
      <c r="Q84" s="24">
        <f t="shared" si="63"/>
        <v>0.0171394498502175</v>
      </c>
      <c r="R84" s="18">
        <f t="shared" si="64"/>
        <v>0.1355172</v>
      </c>
      <c r="S84" s="25">
        <f t="shared" si="65"/>
        <v>0.126474350489956</v>
      </c>
      <c r="T84" s="3">
        <v>0.01</v>
      </c>
      <c r="U84" s="26">
        <f t="shared" si="66"/>
        <v>0.00126474350489956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0.00871474350489956</v>
      </c>
      <c r="AU84" s="29">
        <f t="shared" si="70"/>
        <v>52.122</v>
      </c>
      <c r="AV84" s="1">
        <f t="shared" si="71"/>
        <v>0.26</v>
      </c>
      <c r="AW84" s="2">
        <f t="shared" si="72"/>
        <v>1.01559510137148</v>
      </c>
      <c r="AX84" s="1">
        <f t="shared" si="73"/>
        <v>803.608328984044</v>
      </c>
    </row>
    <row r="85" s="1" customFormat="1" spans="1:51">
      <c r="A85" s="13"/>
      <c r="B85" s="13"/>
      <c r="C85" s="16">
        <v>11</v>
      </c>
      <c r="D85" s="37">
        <v>8.18157985213333</v>
      </c>
      <c r="E85" s="20">
        <f t="shared" si="74"/>
        <v>15.3553475612903</v>
      </c>
      <c r="F85" s="16" t="s">
        <v>112</v>
      </c>
      <c r="G85" s="13">
        <v>12</v>
      </c>
      <c r="H85" s="18">
        <f t="shared" si="57"/>
        <v>8.18157985213333</v>
      </c>
      <c r="I85" s="18">
        <f t="shared" si="58"/>
        <v>281.331579852133</v>
      </c>
      <c r="J85" s="18">
        <f t="shared" si="59"/>
        <v>0.0491382358048661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1.02265977558572</v>
      </c>
      <c r="P85" s="18">
        <f t="shared" si="62"/>
        <v>0.0502516972008826</v>
      </c>
      <c r="Q85" s="24">
        <f t="shared" si="63"/>
        <v>0.0130654412722295</v>
      </c>
      <c r="R85" s="18">
        <f t="shared" si="64"/>
        <v>0.1355172</v>
      </c>
      <c r="S85" s="25">
        <f t="shared" si="65"/>
        <v>0.0964116825925379</v>
      </c>
      <c r="T85" s="3">
        <v>0.01</v>
      </c>
      <c r="U85" s="26">
        <f t="shared" si="66"/>
        <v>0.000964116825925379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0.00841411682592538</v>
      </c>
      <c r="AU85" s="29">
        <f t="shared" si="70"/>
        <v>52.122</v>
      </c>
      <c r="AV85" s="1">
        <f t="shared" si="71"/>
        <v>0.26</v>
      </c>
      <c r="AW85" s="2">
        <f t="shared" si="72"/>
        <v>1.01559510137148</v>
      </c>
      <c r="AX85" s="1">
        <f t="shared" si="73"/>
        <v>775.886789847219</v>
      </c>
      <c r="AY85" s="1">
        <f>SUM(AX74:AX85)</f>
        <v>14257.9334486027</v>
      </c>
    </row>
    <row r="86" s="1" customFormat="1" spans="1:46">
      <c r="A86" s="13"/>
      <c r="B86" s="13"/>
      <c r="C86" s="16">
        <v>12</v>
      </c>
      <c r="D86" s="37">
        <v>4.55139413951613</v>
      </c>
      <c r="E86" s="20">
        <f t="shared" si="74"/>
        <v>8.18157985213333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2</v>
      </c>
      <c r="E90" s="16"/>
      <c r="F90" s="16"/>
      <c r="G90" s="13">
        <v>1</v>
      </c>
      <c r="H90" s="18">
        <f t="shared" ref="H90:H101" si="76">E91</f>
        <v>2</v>
      </c>
      <c r="I90" s="18">
        <f t="shared" ref="I90:I101" si="77">H90+273.15</f>
        <v>275.15</v>
      </c>
      <c r="J90" s="18">
        <f t="shared" ref="J90:J101" si="78">EXP(($C$16*(I90-$C$14))/($C$17*I90*$C$14))</f>
        <v>0.0225805608773668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0.00642868568178633</v>
      </c>
      <c r="Q90" s="24">
        <f t="shared" ref="Q90:Q101" si="82">P90*$B$76</f>
        <v>0.00167145827726445</v>
      </c>
      <c r="R90" s="18">
        <f t="shared" ref="R90:R101" si="83">L90*$B$76</f>
        <v>0.074022</v>
      </c>
      <c r="S90" s="25">
        <f t="shared" ref="S90:S101" si="84">Q90/R90</f>
        <v>0.0225805608773668</v>
      </c>
      <c r="T90" s="3">
        <v>0.01</v>
      </c>
      <c r="U90" s="26">
        <f t="shared" ref="U90:U101" si="85">S90*T90</f>
        <v>0.000225805608773668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0.00571580560877367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2.2882</v>
      </c>
      <c r="AX90" s="1">
        <f t="shared" ref="AX90:AX101" si="92">AW90*10000*AV90*0.67*AU90*AT90</f>
        <v>648.644962094565</v>
      </c>
      <c r="AZ90" s="2">
        <f t="shared" ref="AZ90:AZ101" si="93">$E$10</f>
        <v>0.364348886874282</v>
      </c>
      <c r="BA90" s="1">
        <f t="shared" ref="BA90:BA101" si="94">AZ90*10000*AV90*0.67*AU90*AT90</f>
        <v>103.283397393482</v>
      </c>
    </row>
    <row r="91" s="1" customFormat="1" spans="1:53">
      <c r="A91" s="13" t="s">
        <v>111</v>
      </c>
      <c r="B91" s="13">
        <v>1</v>
      </c>
      <c r="C91" s="16">
        <v>1</v>
      </c>
      <c r="D91" s="37">
        <v>0.00708303880645174</v>
      </c>
      <c r="E91" s="20">
        <f t="shared" ref="E91:E102" si="95">D90</f>
        <v>2</v>
      </c>
      <c r="F91" s="16" t="s">
        <v>110</v>
      </c>
      <c r="G91" s="13">
        <v>2</v>
      </c>
      <c r="H91" s="18">
        <f t="shared" si="76"/>
        <v>0.00708303880645174</v>
      </c>
      <c r="I91" s="18">
        <f t="shared" si="77"/>
        <v>273.157083038806</v>
      </c>
      <c r="J91" s="18">
        <f t="shared" si="78"/>
        <v>0.0174424897184207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0.562971314318214</v>
      </c>
      <c r="P91" s="18">
        <f t="shared" si="81"/>
        <v>0.00981962136176123</v>
      </c>
      <c r="Q91" s="24">
        <f t="shared" si="82"/>
        <v>0.00255310155405792</v>
      </c>
      <c r="R91" s="18">
        <f t="shared" si="83"/>
        <v>0.074022</v>
      </c>
      <c r="S91" s="25">
        <f t="shared" si="84"/>
        <v>0.0344911182359018</v>
      </c>
      <c r="T91" s="3">
        <v>0.01</v>
      </c>
      <c r="U91" s="26">
        <f t="shared" si="85"/>
        <v>0.000344911182359018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0.00583491118235902</v>
      </c>
      <c r="AU91" s="29">
        <f t="shared" si="89"/>
        <v>28.47</v>
      </c>
      <c r="AV91" s="1">
        <f t="shared" si="90"/>
        <v>0.26</v>
      </c>
      <c r="AW91" s="2">
        <f t="shared" si="91"/>
        <v>2.2882</v>
      </c>
      <c r="AX91" s="1">
        <f t="shared" si="92"/>
        <v>662.161382272489</v>
      </c>
      <c r="AZ91" s="2">
        <f t="shared" si="93"/>
        <v>0.364348886874282</v>
      </c>
      <c r="BA91" s="1">
        <f t="shared" si="94"/>
        <v>105.435609895165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37">
        <v>5.05368072068965</v>
      </c>
      <c r="E92" s="20">
        <f t="shared" si="95"/>
        <v>0.00708303880645174</v>
      </c>
      <c r="F92" s="16" t="s">
        <v>110</v>
      </c>
      <c r="G92" s="13">
        <v>3</v>
      </c>
      <c r="H92" s="18">
        <f t="shared" si="76"/>
        <v>5.05368072068965</v>
      </c>
      <c r="I92" s="18">
        <f t="shared" si="77"/>
        <v>278.20368072069</v>
      </c>
      <c r="J92" s="18">
        <f t="shared" si="78"/>
        <v>0.0332985630602816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0.837851692956453</v>
      </c>
      <c r="P92" s="18">
        <f t="shared" si="81"/>
        <v>0.0278992574330741</v>
      </c>
      <c r="Q92" s="24">
        <f t="shared" si="82"/>
        <v>0.00725380693259928</v>
      </c>
      <c r="R92" s="18">
        <f t="shared" si="83"/>
        <v>0.074022</v>
      </c>
      <c r="S92" s="25">
        <f t="shared" si="84"/>
        <v>0.0979952842749355</v>
      </c>
      <c r="T92" s="3">
        <v>0.01</v>
      </c>
      <c r="U92" s="26">
        <f t="shared" si="85"/>
        <v>0.000979952842749355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0.00646995284274935</v>
      </c>
      <c r="AU92" s="29">
        <f t="shared" si="89"/>
        <v>28.47</v>
      </c>
      <c r="AV92" s="1">
        <f t="shared" si="90"/>
        <v>0.26</v>
      </c>
      <c r="AW92" s="2">
        <f t="shared" si="91"/>
        <v>2.2882</v>
      </c>
      <c r="AX92" s="1">
        <f t="shared" si="92"/>
        <v>734.227614388584</v>
      </c>
      <c r="AZ92" s="2">
        <f t="shared" si="93"/>
        <v>0.364348886874282</v>
      </c>
      <c r="BA92" s="1">
        <f t="shared" si="94"/>
        <v>116.910678268875</v>
      </c>
    </row>
    <row r="93" s="1" customFormat="1" spans="1:53">
      <c r="A93" s="13"/>
      <c r="B93" s="13"/>
      <c r="C93" s="16">
        <v>3</v>
      </c>
      <c r="D93" s="37">
        <v>11.1084786007097</v>
      </c>
      <c r="E93" s="20">
        <f t="shared" si="95"/>
        <v>5.05368072068965</v>
      </c>
      <c r="F93" s="16" t="s">
        <v>110</v>
      </c>
      <c r="G93" s="13">
        <v>4</v>
      </c>
      <c r="H93" s="18">
        <f t="shared" si="76"/>
        <v>11.1084786007097</v>
      </c>
      <c r="I93" s="18">
        <f t="shared" si="77"/>
        <v>284.25847860071</v>
      </c>
      <c r="J93" s="18">
        <f t="shared" si="78"/>
        <v>0.0701755246987397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1.09465243552338</v>
      </c>
      <c r="P93" s="18">
        <f t="shared" si="81"/>
        <v>0.0768178090256064</v>
      </c>
      <c r="Q93" s="24">
        <f t="shared" si="82"/>
        <v>0.0199726303466577</v>
      </c>
      <c r="R93" s="18">
        <f t="shared" si="83"/>
        <v>0.074022</v>
      </c>
      <c r="S93" s="25">
        <f t="shared" si="84"/>
        <v>0.269820193275751</v>
      </c>
      <c r="T93" s="3">
        <v>0.01</v>
      </c>
      <c r="U93" s="26">
        <f t="shared" si="85"/>
        <v>0.00269820193275751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0.0126482019327575</v>
      </c>
      <c r="AU93" s="29">
        <f t="shared" si="89"/>
        <v>28.47</v>
      </c>
      <c r="AV93" s="1">
        <f t="shared" si="90"/>
        <v>0.26</v>
      </c>
      <c r="AW93" s="2">
        <f t="shared" si="91"/>
        <v>2.2882</v>
      </c>
      <c r="AX93" s="1">
        <f t="shared" si="92"/>
        <v>1435.35190396339</v>
      </c>
      <c r="AZ93" s="2">
        <f t="shared" si="93"/>
        <v>0.364348886874282</v>
      </c>
      <c r="BA93" s="1">
        <f t="shared" si="94"/>
        <v>228.55033147537</v>
      </c>
    </row>
    <row r="94" s="1" customFormat="1" spans="1:53">
      <c r="A94" s="13"/>
      <c r="B94" s="13"/>
      <c r="C94" s="16">
        <v>4</v>
      </c>
      <c r="D94" s="37">
        <v>17.510142679</v>
      </c>
      <c r="E94" s="20">
        <f t="shared" si="95"/>
        <v>11.1084786007097</v>
      </c>
      <c r="F94" s="16" t="s">
        <v>110</v>
      </c>
      <c r="G94" s="13">
        <v>5</v>
      </c>
      <c r="H94" s="18">
        <f t="shared" si="76"/>
        <v>17.510142679</v>
      </c>
      <c r="I94" s="18">
        <f t="shared" si="77"/>
        <v>290.660142679</v>
      </c>
      <c r="J94" s="18">
        <f t="shared" si="78"/>
        <v>0.149218786351805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0.966942895172883</v>
      </c>
      <c r="O94" s="18">
        <f t="shared" si="96"/>
        <v>0.335591731324889</v>
      </c>
      <c r="P94" s="18">
        <f t="shared" si="81"/>
        <v>0.0500765908580009</v>
      </c>
      <c r="Q94" s="24">
        <f t="shared" si="82"/>
        <v>0.0130199136230802</v>
      </c>
      <c r="R94" s="18">
        <f t="shared" si="83"/>
        <v>0.074022</v>
      </c>
      <c r="S94" s="25">
        <f t="shared" si="84"/>
        <v>0.175892486329473</v>
      </c>
      <c r="T94" s="3">
        <v>0.01</v>
      </c>
      <c r="U94" s="26">
        <f t="shared" si="85"/>
        <v>0.00175892486329473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0.0117089248632947</v>
      </c>
      <c r="AU94" s="29">
        <f t="shared" si="89"/>
        <v>28.47</v>
      </c>
      <c r="AV94" s="1">
        <f t="shared" si="90"/>
        <v>0.26</v>
      </c>
      <c r="AW94" s="2">
        <f t="shared" si="91"/>
        <v>2.2882</v>
      </c>
      <c r="AX94" s="1">
        <f t="shared" si="92"/>
        <v>1328.76022103723</v>
      </c>
      <c r="AZ94" s="2">
        <f t="shared" si="93"/>
        <v>0.364348886874282</v>
      </c>
      <c r="BA94" s="1">
        <f t="shared" si="94"/>
        <v>211.577793662153</v>
      </c>
    </row>
    <row r="95" s="1" customFormat="1" spans="1:53">
      <c r="A95" s="13"/>
      <c r="B95" s="13"/>
      <c r="C95" s="16">
        <v>5</v>
      </c>
      <c r="D95" s="37">
        <v>20.1201437709677</v>
      </c>
      <c r="E95" s="20">
        <f t="shared" si="95"/>
        <v>17.510142679</v>
      </c>
      <c r="F95" s="16" t="s">
        <v>112</v>
      </c>
      <c r="G95" s="13">
        <v>6</v>
      </c>
      <c r="H95" s="18">
        <f t="shared" si="76"/>
        <v>20.1201437709677</v>
      </c>
      <c r="I95" s="18">
        <f t="shared" si="77"/>
        <v>293.270143770968</v>
      </c>
      <c r="J95" s="18">
        <f t="shared" si="78"/>
        <v>0.20104762809617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0.570215140466888</v>
      </c>
      <c r="P95" s="18">
        <f t="shared" si="81"/>
        <v>0.114640401495392</v>
      </c>
      <c r="Q95" s="24">
        <f t="shared" si="82"/>
        <v>0.029806504388802</v>
      </c>
      <c r="R95" s="18">
        <f t="shared" si="83"/>
        <v>0.074022</v>
      </c>
      <c r="S95" s="25">
        <f t="shared" si="84"/>
        <v>0.402670886882305</v>
      </c>
      <c r="T95" s="3">
        <v>0.01</v>
      </c>
      <c r="U95" s="26">
        <f t="shared" si="85"/>
        <v>0.00402670886882305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0.013976708868823</v>
      </c>
      <c r="AU95" s="29">
        <f t="shared" si="89"/>
        <v>28.47</v>
      </c>
      <c r="AV95" s="1">
        <f t="shared" si="90"/>
        <v>0.26</v>
      </c>
      <c r="AW95" s="2">
        <f t="shared" si="91"/>
        <v>2.2882</v>
      </c>
      <c r="AX95" s="1">
        <f t="shared" si="92"/>
        <v>1586.11443687106</v>
      </c>
      <c r="AZ95" s="2">
        <f t="shared" si="93"/>
        <v>0.364348886874282</v>
      </c>
      <c r="BA95" s="1">
        <f t="shared" si="94"/>
        <v>252.556170583515</v>
      </c>
    </row>
    <row r="96" s="1" customFormat="1" spans="1:53">
      <c r="A96" s="13"/>
      <c r="B96" s="13"/>
      <c r="C96" s="16">
        <v>6</v>
      </c>
      <c r="D96" s="37">
        <v>24.9541046503333</v>
      </c>
      <c r="E96" s="20">
        <f t="shared" si="95"/>
        <v>20.1201437709677</v>
      </c>
      <c r="F96" s="16" t="s">
        <v>110</v>
      </c>
      <c r="G96" s="13">
        <v>7</v>
      </c>
      <c r="H96" s="18">
        <f t="shared" si="76"/>
        <v>24.9541046503333</v>
      </c>
      <c r="I96" s="18">
        <f t="shared" si="77"/>
        <v>298.104104650333</v>
      </c>
      <c r="J96" s="18">
        <f t="shared" si="78"/>
        <v>0.344438173912586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0.740274738971496</v>
      </c>
      <c r="P96" s="18">
        <f t="shared" si="81"/>
        <v>0.254978879284958</v>
      </c>
      <c r="Q96" s="24">
        <f t="shared" si="82"/>
        <v>0.0662945086140891</v>
      </c>
      <c r="R96" s="18">
        <f t="shared" si="83"/>
        <v>0.074022</v>
      </c>
      <c r="S96" s="25">
        <f t="shared" si="84"/>
        <v>0.895605476940493</v>
      </c>
      <c r="T96" s="3">
        <v>0.01</v>
      </c>
      <c r="U96" s="26">
        <f t="shared" si="85"/>
        <v>0.00895605476940492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0.0238560547694049</v>
      </c>
      <c r="AU96" s="29">
        <f t="shared" si="89"/>
        <v>28.47</v>
      </c>
      <c r="AV96" s="1">
        <f t="shared" si="90"/>
        <v>0.26</v>
      </c>
      <c r="AW96" s="2">
        <f t="shared" si="91"/>
        <v>2.2882</v>
      </c>
      <c r="AX96" s="1">
        <f t="shared" si="92"/>
        <v>2707.24912650528</v>
      </c>
      <c r="AZ96" s="2">
        <f t="shared" si="93"/>
        <v>0.364348886874282</v>
      </c>
      <c r="BA96" s="1">
        <f t="shared" si="94"/>
        <v>431.073859686029</v>
      </c>
    </row>
    <row r="97" s="1" customFormat="1" spans="1:53">
      <c r="A97" s="13"/>
      <c r="B97" s="13"/>
      <c r="C97" s="16">
        <v>7</v>
      </c>
      <c r="D97" s="37">
        <v>27.3312770903226</v>
      </c>
      <c r="E97" s="20">
        <f t="shared" si="95"/>
        <v>24.9541046503333</v>
      </c>
      <c r="F97" s="16" t="s">
        <v>110</v>
      </c>
      <c r="G97" s="13">
        <v>8</v>
      </c>
      <c r="H97" s="18">
        <f t="shared" si="76"/>
        <v>27.3312770903226</v>
      </c>
      <c r="I97" s="18">
        <f t="shared" si="77"/>
        <v>300.481277090323</v>
      </c>
      <c r="J97" s="18">
        <f t="shared" si="78"/>
        <v>0.445997683042853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0.769995859686537</v>
      </c>
      <c r="P97" s="18">
        <f t="shared" si="81"/>
        <v>0.343416369372785</v>
      </c>
      <c r="Q97" s="24">
        <f t="shared" si="82"/>
        <v>0.0892882560369242</v>
      </c>
      <c r="R97" s="18">
        <f t="shared" si="83"/>
        <v>0.074022</v>
      </c>
      <c r="S97" s="25">
        <f t="shared" si="84"/>
        <v>1.20623944282678</v>
      </c>
      <c r="T97" s="3">
        <v>0.01</v>
      </c>
      <c r="U97" s="26">
        <f t="shared" si="85"/>
        <v>0.0120623944282678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0.0269623944282678</v>
      </c>
      <c r="AU97" s="29">
        <f t="shared" si="89"/>
        <v>28.47</v>
      </c>
      <c r="AV97" s="1">
        <f t="shared" si="90"/>
        <v>0.26</v>
      </c>
      <c r="AW97" s="2">
        <f t="shared" si="91"/>
        <v>2.2882</v>
      </c>
      <c r="AX97" s="1">
        <f t="shared" si="92"/>
        <v>3059.76488861992</v>
      </c>
      <c r="AZ97" s="2">
        <f t="shared" si="93"/>
        <v>0.364348886874282</v>
      </c>
      <c r="BA97" s="1">
        <f t="shared" si="94"/>
        <v>487.204759752504</v>
      </c>
    </row>
    <row r="98" s="1" customFormat="1" spans="1:53">
      <c r="A98" s="13"/>
      <c r="B98" s="13"/>
      <c r="C98" s="16">
        <v>8</v>
      </c>
      <c r="D98" s="37">
        <v>26.6888198074193</v>
      </c>
      <c r="E98" s="20">
        <f t="shared" si="95"/>
        <v>27.3312770903226</v>
      </c>
      <c r="F98" s="16" t="s">
        <v>110</v>
      </c>
      <c r="G98" s="13">
        <v>9</v>
      </c>
      <c r="H98" s="18">
        <f t="shared" si="76"/>
        <v>26.6888198074193</v>
      </c>
      <c r="I98" s="18">
        <f t="shared" si="77"/>
        <v>299.838819807419</v>
      </c>
      <c r="J98" s="18">
        <f t="shared" si="78"/>
        <v>0.416082078656824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0.711279490313752</v>
      </c>
      <c r="P98" s="18">
        <f t="shared" si="81"/>
        <v>0.295950648835712</v>
      </c>
      <c r="Q98" s="24">
        <f t="shared" si="82"/>
        <v>0.0769471686972852</v>
      </c>
      <c r="R98" s="18">
        <f t="shared" si="83"/>
        <v>0.074022</v>
      </c>
      <c r="S98" s="25">
        <f t="shared" si="84"/>
        <v>1.0395175582568</v>
      </c>
      <c r="T98" s="3">
        <v>0.01</v>
      </c>
      <c r="U98" s="26">
        <f t="shared" si="85"/>
        <v>0.010395175582568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0.020345175582568</v>
      </c>
      <c r="AU98" s="29">
        <f t="shared" si="89"/>
        <v>28.47</v>
      </c>
      <c r="AV98" s="1">
        <f t="shared" si="90"/>
        <v>0.26</v>
      </c>
      <c r="AW98" s="2">
        <f t="shared" si="91"/>
        <v>2.2882</v>
      </c>
      <c r="AX98" s="1">
        <f t="shared" si="92"/>
        <v>2308.82513294456</v>
      </c>
      <c r="AZ98" s="2">
        <f t="shared" si="93"/>
        <v>0.364348886874282</v>
      </c>
      <c r="BA98" s="1">
        <f t="shared" si="94"/>
        <v>367.633015984492</v>
      </c>
    </row>
    <row r="99" s="1" customFormat="1" spans="1:53">
      <c r="A99" s="13"/>
      <c r="B99" s="13"/>
      <c r="C99" s="16">
        <v>9</v>
      </c>
      <c r="D99" s="37">
        <v>23.0738877553333</v>
      </c>
      <c r="E99" s="20">
        <f t="shared" si="95"/>
        <v>26.6888198074193</v>
      </c>
      <c r="F99" s="16" t="s">
        <v>110</v>
      </c>
      <c r="G99" s="13">
        <v>10</v>
      </c>
      <c r="H99" s="18">
        <f t="shared" si="76"/>
        <v>23.0738877553333</v>
      </c>
      <c r="I99" s="18">
        <f t="shared" si="77"/>
        <v>296.223887755333</v>
      </c>
      <c r="J99" s="18">
        <f t="shared" si="78"/>
        <v>0.279946144179521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0.70002884147804</v>
      </c>
      <c r="P99" s="18">
        <f t="shared" si="81"/>
        <v>0.195970374986234</v>
      </c>
      <c r="Q99" s="24">
        <f t="shared" si="82"/>
        <v>0.0509522974964209</v>
      </c>
      <c r="R99" s="18">
        <f t="shared" si="83"/>
        <v>0.074022</v>
      </c>
      <c r="S99" s="25">
        <f t="shared" si="84"/>
        <v>0.688339919164856</v>
      </c>
      <c r="T99" s="3">
        <v>0.01</v>
      </c>
      <c r="U99" s="26">
        <f t="shared" si="85"/>
        <v>0.00688339919164856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0.0168333991916486</v>
      </c>
      <c r="AU99" s="29">
        <f t="shared" si="89"/>
        <v>28.47</v>
      </c>
      <c r="AV99" s="1">
        <f t="shared" si="90"/>
        <v>0.26</v>
      </c>
      <c r="AW99" s="2">
        <f t="shared" si="91"/>
        <v>2.2882</v>
      </c>
      <c r="AX99" s="1">
        <f t="shared" si="92"/>
        <v>1910.29932225638</v>
      </c>
      <c r="AZ99" s="2">
        <f t="shared" si="93"/>
        <v>0.364348886874282</v>
      </c>
      <c r="BA99" s="1">
        <f t="shared" si="94"/>
        <v>304.175959995109</v>
      </c>
    </row>
    <row r="100" s="1" customFormat="1" spans="1:53">
      <c r="A100" s="13"/>
      <c r="B100" s="13"/>
      <c r="C100" s="16">
        <v>10</v>
      </c>
      <c r="D100" s="37">
        <v>15.3553475612903</v>
      </c>
      <c r="E100" s="20">
        <f t="shared" si="95"/>
        <v>23.0738877553333</v>
      </c>
      <c r="F100" s="16" t="s">
        <v>110</v>
      </c>
      <c r="G100" s="13">
        <v>11</v>
      </c>
      <c r="H100" s="18">
        <f t="shared" si="76"/>
        <v>15.3553475612903</v>
      </c>
      <c r="I100" s="18">
        <f t="shared" si="77"/>
        <v>288.50534756129</v>
      </c>
      <c r="J100" s="18">
        <f t="shared" si="78"/>
        <v>0.116188796150131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0.478855543167215</v>
      </c>
      <c r="O100" s="18">
        <f t="shared" si="96"/>
        <v>0.30990292332459</v>
      </c>
      <c r="P100" s="18">
        <f t="shared" si="81"/>
        <v>0.0360072475844905</v>
      </c>
      <c r="Q100" s="24">
        <f t="shared" si="82"/>
        <v>0.00936188437196753</v>
      </c>
      <c r="R100" s="18">
        <f t="shared" si="83"/>
        <v>0.074022</v>
      </c>
      <c r="S100" s="25">
        <f t="shared" si="84"/>
        <v>0.126474350489956</v>
      </c>
      <c r="T100" s="3">
        <v>0.01</v>
      </c>
      <c r="U100" s="26">
        <f t="shared" si="85"/>
        <v>0.00126474350489956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0.00675474350489956</v>
      </c>
      <c r="AU100" s="29">
        <f t="shared" si="89"/>
        <v>28.47</v>
      </c>
      <c r="AV100" s="1">
        <f t="shared" si="90"/>
        <v>0.26</v>
      </c>
      <c r="AW100" s="2">
        <f t="shared" si="91"/>
        <v>2.2882</v>
      </c>
      <c r="AX100" s="1">
        <f t="shared" si="92"/>
        <v>766.546423126892</v>
      </c>
      <c r="AZ100" s="2">
        <f t="shared" si="93"/>
        <v>0.364348886874282</v>
      </c>
      <c r="BA100" s="1">
        <f t="shared" si="94"/>
        <v>122.056785247682</v>
      </c>
    </row>
    <row r="101" s="1" customFormat="1" spans="1:54">
      <c r="A101" s="13"/>
      <c r="B101" s="13"/>
      <c r="C101" s="16">
        <v>11</v>
      </c>
      <c r="D101" s="37">
        <v>8.18157985213333</v>
      </c>
      <c r="E101" s="20">
        <f t="shared" si="95"/>
        <v>15.3553475612903</v>
      </c>
      <c r="F101" s="16" t="s">
        <v>112</v>
      </c>
      <c r="G101" s="13">
        <v>12</v>
      </c>
      <c r="H101" s="18">
        <f t="shared" si="76"/>
        <v>8.18157985213333</v>
      </c>
      <c r="I101" s="18">
        <f t="shared" si="77"/>
        <v>281.331579852133</v>
      </c>
      <c r="J101" s="18">
        <f t="shared" si="78"/>
        <v>0.0491382358048661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0.5585956757401</v>
      </c>
      <c r="P101" s="18">
        <f t="shared" si="81"/>
        <v>0.0274484060340955</v>
      </c>
      <c r="Q101" s="24">
        <f t="shared" si="82"/>
        <v>0.00713658556886484</v>
      </c>
      <c r="R101" s="18">
        <f t="shared" si="83"/>
        <v>0.074022</v>
      </c>
      <c r="S101" s="25">
        <f t="shared" si="84"/>
        <v>0.0964116825925379</v>
      </c>
      <c r="T101" s="3">
        <v>0.01</v>
      </c>
      <c r="U101" s="26">
        <f t="shared" si="85"/>
        <v>0.000964116825925379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0.00645411682592538</v>
      </c>
      <c r="AU101" s="29">
        <f t="shared" si="89"/>
        <v>28.47</v>
      </c>
      <c r="AV101" s="1">
        <f t="shared" si="90"/>
        <v>0.26</v>
      </c>
      <c r="AW101" s="2">
        <f t="shared" si="91"/>
        <v>2.2882</v>
      </c>
      <c r="AX101" s="1">
        <f t="shared" si="92"/>
        <v>732.430500694453</v>
      </c>
      <c r="AY101" s="1">
        <f>SUM(AX90:AX101)</f>
        <v>17880.3759147748</v>
      </c>
      <c r="AZ101" s="2">
        <f t="shared" si="93"/>
        <v>0.364348886874282</v>
      </c>
      <c r="BA101" s="1">
        <f t="shared" si="94"/>
        <v>116.624524797132</v>
      </c>
      <c r="BB101" s="1">
        <f>SUM(BA90:BA101)</f>
        <v>2847.08288674151</v>
      </c>
    </row>
    <row r="102" s="1" customFormat="1" spans="1:46">
      <c r="A102" s="13"/>
      <c r="B102" s="13"/>
      <c r="C102" s="16">
        <v>12</v>
      </c>
      <c r="D102" s="37">
        <v>4.55139413951613</v>
      </c>
      <c r="E102" s="20">
        <f t="shared" si="95"/>
        <v>8.18157985213333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I9" sqref="I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/>
      <c r="B2" s="5" t="s">
        <v>42</v>
      </c>
      <c r="C2" s="3"/>
      <c r="D2" s="3"/>
      <c r="E2" s="6">
        <v>339.8546</v>
      </c>
      <c r="F2" s="3">
        <v>1069.523</v>
      </c>
      <c r="G2" s="7">
        <f>(F2+F3+F4)/3</f>
        <v>1305.751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/>
      <c r="B5" s="5" t="s">
        <v>46</v>
      </c>
      <c r="C5" s="3"/>
      <c r="D5" s="3"/>
      <c r="E5" s="6">
        <v>937.310465753425</v>
      </c>
      <c r="F5" s="3">
        <v>91.104</v>
      </c>
      <c r="G5" s="7">
        <f>(F5+F6)/2</f>
        <v>92.50925</v>
      </c>
      <c r="H5" s="3">
        <v>0.18</v>
      </c>
      <c r="I5" s="21">
        <f>(H5+H6)/2</f>
        <v>0.155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5970.10338977234</v>
      </c>
      <c r="F7" s="3">
        <v>108.2955</v>
      </c>
      <c r="G7" s="3"/>
      <c r="H7" s="3">
        <v>0.45</v>
      </c>
      <c r="M7" s="2"/>
    </row>
    <row r="8" s="1" customFormat="1" spans="1:13">
      <c r="A8" s="4" t="s">
        <v>49</v>
      </c>
      <c r="B8" s="5"/>
      <c r="C8" s="3"/>
      <c r="D8" s="3"/>
      <c r="E8" s="3">
        <v>0.434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0.1812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0.06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0.02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AV38+AV53+AG69+AY85+AY101+BB101</f>
        <v>159266503.516365</v>
      </c>
      <c r="J14" s="14" t="s">
        <v>35</v>
      </c>
      <c r="K14" s="14">
        <f>I14/(10000*1000)</f>
        <v>15.9266503516365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93766644.6575343</v>
      </c>
      <c r="J15" s="14" t="s">
        <v>35</v>
      </c>
      <c r="K15" s="14">
        <f>I15/(10000*1000)</f>
        <v>9.37666446575343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1305.751</v>
      </c>
      <c r="C27" s="16" t="s">
        <v>109</v>
      </c>
      <c r="D27" s="17">
        <v>5</v>
      </c>
      <c r="E27" s="16"/>
      <c r="F27" s="16"/>
      <c r="G27" s="13">
        <v>1</v>
      </c>
      <c r="H27" s="18">
        <f t="shared" ref="H27:H38" si="0">E28</f>
        <v>5</v>
      </c>
      <c r="I27" s="18">
        <f t="shared" ref="I27:I38" si="1">H27+273.15</f>
        <v>278.15</v>
      </c>
      <c r="J27" s="18">
        <f t="shared" ref="J27:J38" si="2">EXP(($C$16*(I27-$C$14))/($C$17*I27*$C$14))</f>
        <v>0.0330744063381255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110</v>
      </c>
      <c r="N27" s="13"/>
      <c r="O27" s="18">
        <f>L27</f>
        <v>1.08812583333333</v>
      </c>
      <c r="P27" s="18">
        <f t="shared" ref="P27:P38" si="5">O27*J27</f>
        <v>0.0359891159586781</v>
      </c>
      <c r="Q27" s="24">
        <f t="shared" ref="Q27:Q38" si="6">P27*$B$29</f>
        <v>0.00431869391504137</v>
      </c>
      <c r="R27" s="18">
        <f t="shared" ref="R27:R38" si="7">L27*$B$29</f>
        <v>0.1305751</v>
      </c>
      <c r="S27" s="25">
        <f t="shared" ref="S27:S38" si="8">Q27/R27</f>
        <v>0.0330744063381255</v>
      </c>
      <c r="T27" s="3">
        <v>0.01</v>
      </c>
      <c r="U27" s="26">
        <f t="shared" ref="U27:U38" si="9">S27*T27</f>
        <v>0.000330744063381255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0.0222307440633813</v>
      </c>
      <c r="AR27" s="29">
        <f t="shared" ref="AR27:AR38" si="15">$B$27/12</f>
        <v>108.812583333333</v>
      </c>
      <c r="AS27" s="1">
        <f t="shared" ref="AS27:AS38" si="16">$B$29</f>
        <v>0.12</v>
      </c>
      <c r="AT27" s="2">
        <f>$E$2/12</f>
        <v>28.3212166666667</v>
      </c>
      <c r="AU27" s="1">
        <f t="shared" ref="AU27:AU38" si="17">AT27*10000*AS27*0.67*AR27*AQ27</f>
        <v>55080.9059949763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2.59638681848387</v>
      </c>
      <c r="E28" s="20">
        <f t="shared" ref="E28:E39" si="18">D27</f>
        <v>5</v>
      </c>
      <c r="F28" s="16" t="s">
        <v>110</v>
      </c>
      <c r="G28" s="13">
        <v>2</v>
      </c>
      <c r="H28" s="18">
        <f t="shared" si="0"/>
        <v>2.59638681848387</v>
      </c>
      <c r="I28" s="18">
        <f t="shared" si="1"/>
        <v>275.746386818484</v>
      </c>
      <c r="J28" s="18">
        <f t="shared" si="2"/>
        <v>0.0243766368502788</v>
      </c>
      <c r="K28" s="18">
        <f t="shared" si="3"/>
        <v>108.812583333333</v>
      </c>
      <c r="L28" s="18">
        <f t="shared" si="4"/>
        <v>1.08812583333333</v>
      </c>
      <c r="M28" s="13" t="s">
        <v>110</v>
      </c>
      <c r="N28" s="13"/>
      <c r="O28" s="18">
        <f t="shared" ref="O28:O38" si="19">L28+O27-P27-N28</f>
        <v>2.14026255070799</v>
      </c>
      <c r="P28" s="18">
        <f t="shared" si="5"/>
        <v>0.0521724029628601</v>
      </c>
      <c r="Q28" s="24">
        <f t="shared" si="6"/>
        <v>0.00626068835554321</v>
      </c>
      <c r="R28" s="18">
        <f t="shared" si="7"/>
        <v>0.1305751</v>
      </c>
      <c r="S28" s="25">
        <f t="shared" si="8"/>
        <v>0.0479470309082146</v>
      </c>
      <c r="T28" s="3">
        <v>0.01</v>
      </c>
      <c r="U28" s="26">
        <f t="shared" si="9"/>
        <v>0.000479470309082146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0.0223794703090821</v>
      </c>
      <c r="AR28" s="29">
        <f t="shared" si="15"/>
        <v>108.812583333333</v>
      </c>
      <c r="AS28" s="1">
        <f t="shared" si="16"/>
        <v>0.12</v>
      </c>
      <c r="AT28" s="2">
        <f t="shared" ref="AT28:AT38" si="20">$E$2/12</f>
        <v>28.3212166666667</v>
      </c>
      <c r="AU28" s="1">
        <f t="shared" si="17"/>
        <v>55449.4036185862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6.8372081352069</v>
      </c>
      <c r="E29" s="20">
        <f t="shared" si="18"/>
        <v>2.59638681848387</v>
      </c>
      <c r="F29" s="16" t="s">
        <v>110</v>
      </c>
      <c r="G29" s="13">
        <v>3</v>
      </c>
      <c r="H29" s="18">
        <f t="shared" si="0"/>
        <v>6.8372081352069</v>
      </c>
      <c r="I29" s="18">
        <f t="shared" si="1"/>
        <v>279.987208135207</v>
      </c>
      <c r="J29" s="18">
        <f t="shared" si="2"/>
        <v>0.0416148709888309</v>
      </c>
      <c r="K29" s="18">
        <f t="shared" si="3"/>
        <v>108.812583333333</v>
      </c>
      <c r="L29" s="18">
        <f t="shared" si="4"/>
        <v>1.08812583333333</v>
      </c>
      <c r="M29" s="13" t="s">
        <v>110</v>
      </c>
      <c r="N29" s="13"/>
      <c r="O29" s="18">
        <f t="shared" si="19"/>
        <v>3.17621598107846</v>
      </c>
      <c r="P29" s="18">
        <f t="shared" si="5"/>
        <v>0.132177818285243</v>
      </c>
      <c r="Q29" s="24">
        <f t="shared" si="6"/>
        <v>0.0158613381942292</v>
      </c>
      <c r="R29" s="18">
        <f t="shared" si="7"/>
        <v>0.1305751</v>
      </c>
      <c r="S29" s="25">
        <f t="shared" si="8"/>
        <v>0.121472916308157</v>
      </c>
      <c r="T29" s="3">
        <v>0.01</v>
      </c>
      <c r="U29" s="26">
        <f t="shared" si="9"/>
        <v>0.00121472916308157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0.0231147291630816</v>
      </c>
      <c r="AR29" s="29">
        <f t="shared" si="15"/>
        <v>108.812583333333</v>
      </c>
      <c r="AS29" s="1">
        <f t="shared" si="16"/>
        <v>0.12</v>
      </c>
      <c r="AT29" s="2">
        <f t="shared" si="20"/>
        <v>28.3212166666667</v>
      </c>
      <c r="AU29" s="1">
        <f t="shared" si="17"/>
        <v>57271.1475828751</v>
      </c>
    </row>
    <row r="30" s="1" customFormat="1" spans="1:47">
      <c r="A30" s="13"/>
      <c r="B30" s="13"/>
      <c r="C30" s="16">
        <v>3</v>
      </c>
      <c r="D30" s="19">
        <v>11.2522837389355</v>
      </c>
      <c r="E30" s="20">
        <f t="shared" si="18"/>
        <v>6.8372081352069</v>
      </c>
      <c r="F30" s="16" t="s">
        <v>110</v>
      </c>
      <c r="G30" s="13">
        <v>4</v>
      </c>
      <c r="H30" s="18">
        <f t="shared" si="0"/>
        <v>11.2522837389355</v>
      </c>
      <c r="I30" s="18">
        <f t="shared" si="1"/>
        <v>284.402283738935</v>
      </c>
      <c r="J30" s="18">
        <f t="shared" si="2"/>
        <v>0.0714015394965053</v>
      </c>
      <c r="K30" s="18">
        <f t="shared" si="3"/>
        <v>108.812583333333</v>
      </c>
      <c r="L30" s="18">
        <f t="shared" si="4"/>
        <v>1.08812583333333</v>
      </c>
      <c r="M30" s="13" t="s">
        <v>110</v>
      </c>
      <c r="N30" s="13"/>
      <c r="O30" s="18">
        <f t="shared" si="19"/>
        <v>4.13216399612655</v>
      </c>
      <c r="P30" s="18">
        <f t="shared" si="5"/>
        <v>0.295042870775467</v>
      </c>
      <c r="Q30" s="24">
        <f t="shared" si="6"/>
        <v>0.0354051444930561</v>
      </c>
      <c r="R30" s="18">
        <f t="shared" si="7"/>
        <v>0.1305751</v>
      </c>
      <c r="S30" s="25">
        <f t="shared" si="8"/>
        <v>0.27114774940288</v>
      </c>
      <c r="T30" s="3">
        <v>0.01</v>
      </c>
      <c r="U30" s="26">
        <f t="shared" si="9"/>
        <v>0.0027114774940288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0.0321614774940288</v>
      </c>
      <c r="AR30" s="29">
        <f t="shared" si="15"/>
        <v>108.812583333333</v>
      </c>
      <c r="AS30" s="1">
        <f t="shared" si="16"/>
        <v>0.12</v>
      </c>
      <c r="AT30" s="2">
        <f t="shared" si="20"/>
        <v>28.3212166666667</v>
      </c>
      <c r="AU30" s="1">
        <f t="shared" si="17"/>
        <v>79686.1910450471</v>
      </c>
    </row>
    <row r="31" s="1" customFormat="1" spans="1:47">
      <c r="A31" s="13"/>
      <c r="B31" s="13"/>
      <c r="C31" s="16">
        <v>4</v>
      </c>
      <c r="D31" s="19">
        <v>17.276157513</v>
      </c>
      <c r="E31" s="20">
        <f t="shared" si="18"/>
        <v>11.2522837389355</v>
      </c>
      <c r="F31" s="16" t="s">
        <v>110</v>
      </c>
      <c r="G31" s="13">
        <v>5</v>
      </c>
      <c r="H31" s="18">
        <f t="shared" si="0"/>
        <v>17.276157513</v>
      </c>
      <c r="I31" s="18">
        <f t="shared" si="1"/>
        <v>290.426157513</v>
      </c>
      <c r="J31" s="18">
        <f t="shared" si="2"/>
        <v>0.145245416168861</v>
      </c>
      <c r="K31" s="18">
        <f t="shared" si="3"/>
        <v>108.812583333333</v>
      </c>
      <c r="L31" s="18">
        <f t="shared" si="4"/>
        <v>1.08812583333333</v>
      </c>
      <c r="M31" s="13" t="s">
        <v>112</v>
      </c>
      <c r="N31" s="18">
        <f>(O30-P30)*C22/100</f>
        <v>3.64526506908353</v>
      </c>
      <c r="O31" s="18">
        <f t="shared" si="19"/>
        <v>1.27998188960089</v>
      </c>
      <c r="P31" s="18">
        <f t="shared" si="5"/>
        <v>0.185911502243686</v>
      </c>
      <c r="Q31" s="24">
        <f t="shared" si="6"/>
        <v>0.0223093802692423</v>
      </c>
      <c r="R31" s="18">
        <f t="shared" si="7"/>
        <v>0.1305751</v>
      </c>
      <c r="S31" s="25">
        <f t="shared" si="8"/>
        <v>0.170854782184676</v>
      </c>
      <c r="T31" s="3">
        <v>0.01</v>
      </c>
      <c r="U31" s="26">
        <f t="shared" si="9"/>
        <v>0.00170854782184676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0.0311585478218468</v>
      </c>
      <c r="AR31" s="29">
        <f t="shared" si="15"/>
        <v>108.812583333333</v>
      </c>
      <c r="AS31" s="1">
        <f t="shared" si="16"/>
        <v>0.12</v>
      </c>
      <c r="AT31" s="2">
        <f t="shared" si="20"/>
        <v>28.3212166666667</v>
      </c>
      <c r="AU31" s="1">
        <f t="shared" si="17"/>
        <v>77201.2416058591</v>
      </c>
    </row>
    <row r="32" s="1" customFormat="1" spans="1:47">
      <c r="A32" s="13"/>
      <c r="B32" s="13"/>
      <c r="C32" s="16">
        <v>5</v>
      </c>
      <c r="D32" s="19">
        <v>19.5454304312903</v>
      </c>
      <c r="E32" s="20">
        <f t="shared" si="18"/>
        <v>17.276157513</v>
      </c>
      <c r="F32" s="16" t="s">
        <v>112</v>
      </c>
      <c r="G32" s="13">
        <v>6</v>
      </c>
      <c r="H32" s="18">
        <f t="shared" si="0"/>
        <v>19.5454304312903</v>
      </c>
      <c r="I32" s="18">
        <f t="shared" si="1"/>
        <v>292.69543043129</v>
      </c>
      <c r="J32" s="18">
        <f t="shared" si="2"/>
        <v>0.188359335100543</v>
      </c>
      <c r="K32" s="18">
        <f t="shared" si="3"/>
        <v>108.812583333333</v>
      </c>
      <c r="L32" s="18">
        <f t="shared" si="4"/>
        <v>1.08812583333333</v>
      </c>
      <c r="M32" s="13" t="s">
        <v>110</v>
      </c>
      <c r="N32" s="13"/>
      <c r="O32" s="18">
        <f t="shared" si="19"/>
        <v>2.18219622069054</v>
      </c>
      <c r="P32" s="18">
        <f t="shared" si="5"/>
        <v>0.411037029188187</v>
      </c>
      <c r="Q32" s="24">
        <f t="shared" si="6"/>
        <v>0.0493244435025825</v>
      </c>
      <c r="R32" s="18">
        <f t="shared" si="7"/>
        <v>0.1305751</v>
      </c>
      <c r="S32" s="25">
        <f t="shared" si="8"/>
        <v>0.377747698470707</v>
      </c>
      <c r="T32" s="3">
        <v>0.01</v>
      </c>
      <c r="U32" s="26">
        <f t="shared" si="9"/>
        <v>0.00377747698470707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0.0332274769847071</v>
      </c>
      <c r="AR32" s="29">
        <f t="shared" si="15"/>
        <v>108.812583333333</v>
      </c>
      <c r="AS32" s="1">
        <f t="shared" si="16"/>
        <v>0.12</v>
      </c>
      <c r="AT32" s="2">
        <f t="shared" si="20"/>
        <v>28.3212166666667</v>
      </c>
      <c r="AU32" s="1">
        <f t="shared" si="17"/>
        <v>82327.4079817965</v>
      </c>
    </row>
    <row r="33" s="1" customFormat="1" spans="1:47">
      <c r="A33" s="13"/>
      <c r="B33" s="13"/>
      <c r="C33" s="16">
        <v>6</v>
      </c>
      <c r="D33" s="19">
        <v>23.595891762</v>
      </c>
      <c r="E33" s="20">
        <f t="shared" si="18"/>
        <v>19.5454304312903</v>
      </c>
      <c r="F33" s="16" t="s">
        <v>110</v>
      </c>
      <c r="G33" s="13">
        <v>7</v>
      </c>
      <c r="H33" s="18">
        <f t="shared" si="0"/>
        <v>23.595891762</v>
      </c>
      <c r="I33" s="18">
        <f t="shared" si="1"/>
        <v>296.745891762</v>
      </c>
      <c r="J33" s="18">
        <f t="shared" si="2"/>
        <v>0.296609997831567</v>
      </c>
      <c r="K33" s="18">
        <f t="shared" si="3"/>
        <v>108.812583333333</v>
      </c>
      <c r="L33" s="18">
        <f t="shared" si="4"/>
        <v>1.08812583333333</v>
      </c>
      <c r="M33" s="13" t="s">
        <v>110</v>
      </c>
      <c r="N33" s="13"/>
      <c r="O33" s="18">
        <f t="shared" si="19"/>
        <v>2.85928502483568</v>
      </c>
      <c r="P33" s="18">
        <f t="shared" si="5"/>
        <v>0.848092525016344</v>
      </c>
      <c r="Q33" s="24">
        <f t="shared" si="6"/>
        <v>0.101771103001961</v>
      </c>
      <c r="R33" s="18">
        <f t="shared" si="7"/>
        <v>0.1305751</v>
      </c>
      <c r="S33" s="25">
        <f t="shared" si="8"/>
        <v>0.779406663306873</v>
      </c>
      <c r="T33" s="3">
        <v>0.01</v>
      </c>
      <c r="U33" s="26">
        <f t="shared" si="9"/>
        <v>0.00779406663306873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0.0426940666330687</v>
      </c>
      <c r="AR33" s="29">
        <f t="shared" si="15"/>
        <v>108.812583333333</v>
      </c>
      <c r="AS33" s="1">
        <f t="shared" si="16"/>
        <v>0.12</v>
      </c>
      <c r="AT33" s="2">
        <f t="shared" si="20"/>
        <v>28.3212166666667</v>
      </c>
      <c r="AU33" s="1">
        <f t="shared" si="17"/>
        <v>105782.688337137</v>
      </c>
    </row>
    <row r="34" s="1" customFormat="1" spans="1:47">
      <c r="A34" s="13"/>
      <c r="B34" s="13"/>
      <c r="C34" s="16">
        <v>7</v>
      </c>
      <c r="D34" s="19">
        <v>27.1127269090323</v>
      </c>
      <c r="E34" s="20">
        <f t="shared" si="18"/>
        <v>23.595891762</v>
      </c>
      <c r="F34" s="16" t="s">
        <v>110</v>
      </c>
      <c r="G34" s="13">
        <v>8</v>
      </c>
      <c r="H34" s="18">
        <f t="shared" si="0"/>
        <v>27.1127269090323</v>
      </c>
      <c r="I34" s="18">
        <f t="shared" si="1"/>
        <v>300.262726909032</v>
      </c>
      <c r="J34" s="18">
        <f t="shared" si="2"/>
        <v>0.435601612880311</v>
      </c>
      <c r="K34" s="18">
        <f t="shared" si="3"/>
        <v>108.812583333333</v>
      </c>
      <c r="L34" s="18">
        <f t="shared" si="4"/>
        <v>1.08812583333333</v>
      </c>
      <c r="M34" s="13" t="s">
        <v>110</v>
      </c>
      <c r="N34" s="13"/>
      <c r="O34" s="18">
        <f t="shared" si="19"/>
        <v>3.09931833315267</v>
      </c>
      <c r="P34" s="18">
        <f t="shared" si="5"/>
        <v>1.35006806475082</v>
      </c>
      <c r="Q34" s="24">
        <f t="shared" si="6"/>
        <v>0.162008167770099</v>
      </c>
      <c r="R34" s="18">
        <f t="shared" si="7"/>
        <v>0.1305751</v>
      </c>
      <c r="S34" s="25">
        <f t="shared" si="8"/>
        <v>1.24072788586873</v>
      </c>
      <c r="T34" s="3">
        <v>0.01</v>
      </c>
      <c r="U34" s="26">
        <f t="shared" si="9"/>
        <v>0.0124072788586873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0.0473072788586873</v>
      </c>
      <c r="AR34" s="29">
        <f t="shared" si="15"/>
        <v>108.812583333333</v>
      </c>
      <c r="AS34" s="1">
        <f t="shared" si="16"/>
        <v>0.12</v>
      </c>
      <c r="AT34" s="2">
        <f t="shared" si="20"/>
        <v>28.3212166666667</v>
      </c>
      <c r="AU34" s="1">
        <f t="shared" si="17"/>
        <v>117212.800986975</v>
      </c>
    </row>
    <row r="35" s="1" customFormat="1" spans="1:47">
      <c r="A35" s="13"/>
      <c r="B35" s="13"/>
      <c r="C35" s="16">
        <v>8</v>
      </c>
      <c r="D35" s="19">
        <v>26.9255934603226</v>
      </c>
      <c r="E35" s="20">
        <f t="shared" si="18"/>
        <v>27.1127269090323</v>
      </c>
      <c r="F35" s="16" t="s">
        <v>110</v>
      </c>
      <c r="G35" s="13">
        <v>9</v>
      </c>
      <c r="H35" s="18">
        <f t="shared" si="0"/>
        <v>26.9255934603226</v>
      </c>
      <c r="I35" s="18">
        <f t="shared" si="1"/>
        <v>300.075593460323</v>
      </c>
      <c r="J35" s="18">
        <f t="shared" si="2"/>
        <v>0.426881126572472</v>
      </c>
      <c r="K35" s="18">
        <f t="shared" si="3"/>
        <v>108.812583333333</v>
      </c>
      <c r="L35" s="18">
        <f t="shared" si="4"/>
        <v>1.08812583333333</v>
      </c>
      <c r="M35" s="13" t="s">
        <v>110</v>
      </c>
      <c r="N35" s="13"/>
      <c r="O35" s="18">
        <f t="shared" si="19"/>
        <v>2.83737610173518</v>
      </c>
      <c r="P35" s="18">
        <f t="shared" si="5"/>
        <v>1.21122230681852</v>
      </c>
      <c r="Q35" s="24">
        <f t="shared" si="6"/>
        <v>0.145346676818223</v>
      </c>
      <c r="R35" s="18">
        <f t="shared" si="7"/>
        <v>0.1305751</v>
      </c>
      <c r="S35" s="25">
        <f t="shared" si="8"/>
        <v>1.11312705728905</v>
      </c>
      <c r="T35" s="3">
        <v>0.01</v>
      </c>
      <c r="U35" s="26">
        <f t="shared" si="9"/>
        <v>0.0111312705728905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0.0405812705728905</v>
      </c>
      <c r="AR35" s="29">
        <f t="shared" si="15"/>
        <v>108.812583333333</v>
      </c>
      <c r="AS35" s="1">
        <f t="shared" si="16"/>
        <v>0.12</v>
      </c>
      <c r="AT35" s="2">
        <f t="shared" si="20"/>
        <v>28.3212166666667</v>
      </c>
      <c r="AU35" s="1">
        <f t="shared" si="17"/>
        <v>100547.833361278</v>
      </c>
    </row>
    <row r="36" s="1" customFormat="1" spans="1:47">
      <c r="A36" s="13"/>
      <c r="B36" s="13"/>
      <c r="C36" s="16">
        <v>9</v>
      </c>
      <c r="D36" s="19">
        <v>23.295058619</v>
      </c>
      <c r="E36" s="20">
        <f t="shared" si="18"/>
        <v>26.9255934603226</v>
      </c>
      <c r="F36" s="16" t="s">
        <v>110</v>
      </c>
      <c r="G36" s="13">
        <v>10</v>
      </c>
      <c r="H36" s="18">
        <f t="shared" si="0"/>
        <v>23.295058619</v>
      </c>
      <c r="I36" s="18">
        <f t="shared" si="1"/>
        <v>296.445058619</v>
      </c>
      <c r="J36" s="18">
        <f t="shared" si="2"/>
        <v>0.286896226213847</v>
      </c>
      <c r="K36" s="18">
        <f t="shared" si="3"/>
        <v>108.812583333333</v>
      </c>
      <c r="L36" s="18">
        <f t="shared" si="4"/>
        <v>1.08812583333333</v>
      </c>
      <c r="M36" s="13" t="s">
        <v>110</v>
      </c>
      <c r="N36" s="13"/>
      <c r="O36" s="18">
        <f t="shared" si="19"/>
        <v>2.71427962824999</v>
      </c>
      <c r="P36" s="18">
        <f t="shared" si="5"/>
        <v>0.778716582234047</v>
      </c>
      <c r="Q36" s="24">
        <f t="shared" si="6"/>
        <v>0.0934459898680856</v>
      </c>
      <c r="R36" s="18">
        <f t="shared" si="7"/>
        <v>0.1305751</v>
      </c>
      <c r="S36" s="25">
        <f t="shared" si="8"/>
        <v>0.7156493839031</v>
      </c>
      <c r="T36" s="3">
        <v>0.01</v>
      </c>
      <c r="U36" s="26">
        <f t="shared" si="9"/>
        <v>0.007156493839031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0.036606493839031</v>
      </c>
      <c r="AR36" s="29">
        <f t="shared" si="15"/>
        <v>108.812583333333</v>
      </c>
      <c r="AS36" s="1">
        <f t="shared" si="16"/>
        <v>0.12</v>
      </c>
      <c r="AT36" s="2">
        <f t="shared" si="20"/>
        <v>28.3212166666667</v>
      </c>
      <c r="AU36" s="1">
        <f t="shared" si="17"/>
        <v>90699.5663395113</v>
      </c>
    </row>
    <row r="37" s="1" customFormat="1" spans="1:47">
      <c r="A37" s="13"/>
      <c r="B37" s="13"/>
      <c r="C37" s="16">
        <v>10</v>
      </c>
      <c r="D37" s="19">
        <v>16.2872644515806</v>
      </c>
      <c r="E37" s="20">
        <f t="shared" si="18"/>
        <v>23.295058619</v>
      </c>
      <c r="F37" s="16" t="s">
        <v>110</v>
      </c>
      <c r="G37" s="13">
        <v>11</v>
      </c>
      <c r="H37" s="18">
        <f t="shared" si="0"/>
        <v>16.2872644515806</v>
      </c>
      <c r="I37" s="18">
        <f t="shared" si="1"/>
        <v>289.437264451581</v>
      </c>
      <c r="J37" s="18">
        <f t="shared" si="2"/>
        <v>0.129525808897231</v>
      </c>
      <c r="K37" s="18">
        <f t="shared" si="3"/>
        <v>108.812583333333</v>
      </c>
      <c r="L37" s="18">
        <f t="shared" si="4"/>
        <v>1.08812583333333</v>
      </c>
      <c r="M37" s="13" t="s">
        <v>112</v>
      </c>
      <c r="N37" s="18">
        <f>(O36-P36)*C22/100</f>
        <v>1.83878489371515</v>
      </c>
      <c r="O37" s="18">
        <f t="shared" si="19"/>
        <v>1.18490398563413</v>
      </c>
      <c r="P37" s="18">
        <f t="shared" si="5"/>
        <v>0.153475647204814</v>
      </c>
      <c r="Q37" s="24">
        <f t="shared" si="6"/>
        <v>0.0184170776645777</v>
      </c>
      <c r="R37" s="18">
        <f t="shared" si="7"/>
        <v>0.1305751</v>
      </c>
      <c r="S37" s="25">
        <f t="shared" si="8"/>
        <v>0.141045862990552</v>
      </c>
      <c r="T37" s="3">
        <v>0.01</v>
      </c>
      <c r="U37" s="26">
        <f t="shared" si="9"/>
        <v>0.00141045862990552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0.0233104586299055</v>
      </c>
      <c r="AR37" s="29">
        <f t="shared" si="15"/>
        <v>108.812583333333</v>
      </c>
      <c r="AS37" s="1">
        <f t="shared" si="16"/>
        <v>0.12</v>
      </c>
      <c r="AT37" s="2">
        <f t="shared" si="20"/>
        <v>28.3212166666667</v>
      </c>
      <c r="AU37" s="1">
        <f t="shared" si="17"/>
        <v>57756.1046464732</v>
      </c>
    </row>
    <row r="38" s="1" customFormat="1" spans="1:48">
      <c r="A38" s="13"/>
      <c r="B38" s="13"/>
      <c r="C38" s="16">
        <v>11</v>
      </c>
      <c r="D38" s="19">
        <v>9.9152368304</v>
      </c>
      <c r="E38" s="20">
        <f t="shared" si="18"/>
        <v>16.2872644515806</v>
      </c>
      <c r="F38" s="16" t="s">
        <v>112</v>
      </c>
      <c r="G38" s="13">
        <v>12</v>
      </c>
      <c r="H38" s="18">
        <f t="shared" si="0"/>
        <v>9.9152368304</v>
      </c>
      <c r="I38" s="18">
        <f t="shared" si="1"/>
        <v>283.0652368304</v>
      </c>
      <c r="J38" s="18">
        <f t="shared" si="2"/>
        <v>0.0607402896425136</v>
      </c>
      <c r="K38" s="18">
        <f t="shared" si="3"/>
        <v>108.812583333333</v>
      </c>
      <c r="L38" s="18">
        <f t="shared" si="4"/>
        <v>1.08812583333333</v>
      </c>
      <c r="M38" s="13" t="s">
        <v>110</v>
      </c>
      <c r="N38" s="13"/>
      <c r="O38" s="18">
        <f t="shared" si="19"/>
        <v>2.11955417176265</v>
      </c>
      <c r="P38" s="18">
        <f t="shared" si="5"/>
        <v>0.128742334305861</v>
      </c>
      <c r="Q38" s="24">
        <f t="shared" si="6"/>
        <v>0.0154490801167034</v>
      </c>
      <c r="R38" s="18">
        <f t="shared" si="7"/>
        <v>0.1305751</v>
      </c>
      <c r="S38" s="25">
        <f t="shared" si="8"/>
        <v>0.118315667510141</v>
      </c>
      <c r="T38" s="3">
        <v>0.01</v>
      </c>
      <c r="U38" s="26">
        <f t="shared" si="9"/>
        <v>0.00118315667510141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0.0230831566751014</v>
      </c>
      <c r="AR38" s="29">
        <f t="shared" si="15"/>
        <v>108.812583333333</v>
      </c>
      <c r="AS38" s="1">
        <f t="shared" si="16"/>
        <v>0.12</v>
      </c>
      <c r="AT38" s="2">
        <f t="shared" si="20"/>
        <v>28.3212166666667</v>
      </c>
      <c r="AU38" s="1">
        <f t="shared" si="17"/>
        <v>57192.9207256226</v>
      </c>
      <c r="AV38" s="1">
        <f>SUM(AU27:AU38)</f>
        <v>936208.212226138</v>
      </c>
    </row>
    <row r="39" s="1" customFormat="1" spans="1:46">
      <c r="A39" s="13"/>
      <c r="B39" s="13"/>
      <c r="C39" s="16">
        <v>12</v>
      </c>
      <c r="D39" s="19">
        <v>6.58395502812903</v>
      </c>
      <c r="E39" s="20">
        <f t="shared" si="18"/>
        <v>9.9152368304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5</v>
      </c>
      <c r="E42" s="16"/>
      <c r="F42" s="16"/>
      <c r="G42" s="13">
        <v>1</v>
      </c>
      <c r="H42" s="18">
        <f t="shared" ref="H42:H53" si="21">E43</f>
        <v>5</v>
      </c>
      <c r="I42" s="18">
        <f t="shared" ref="I42:I53" si="22">H42+273.15</f>
        <v>278.15</v>
      </c>
      <c r="J42" s="18">
        <f t="shared" ref="J42:J53" si="23">EXP(($C$16*(I42-$C$14))/($C$17*I42*$C$14))</f>
        <v>0.0330744063381255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0.0025497404371127</v>
      </c>
      <c r="Q42" s="24">
        <f t="shared" ref="Q42:Q53" si="27">P42*$B$44</f>
        <v>0.000395209767752468</v>
      </c>
      <c r="R42" s="18">
        <f t="shared" ref="R42:R53" si="28">L42*$B$44</f>
        <v>0.0119491114583333</v>
      </c>
      <c r="S42" s="25">
        <f t="shared" ref="S42:S53" si="29">Q42/R42</f>
        <v>0.0330744063381255</v>
      </c>
      <c r="T42" s="3">
        <v>0.01</v>
      </c>
      <c r="U42" s="26">
        <f t="shared" ref="U42:U53" si="30">S42*T42</f>
        <v>0.000330744063381255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0.0151307440633813</v>
      </c>
      <c r="AR42" s="29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78.1092054794521</v>
      </c>
      <c r="AU42" s="1">
        <f t="shared" ref="AU42:AU53" si="37">AT42*10000*AS42*0.67*AR42*AQ42</f>
        <v>9461.78162178488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2.59638681848387</v>
      </c>
      <c r="E43" s="20">
        <f t="shared" ref="E43:E54" si="38">D42</f>
        <v>5</v>
      </c>
      <c r="F43" s="16" t="s">
        <v>110</v>
      </c>
      <c r="G43" s="13">
        <v>2</v>
      </c>
      <c r="H43" s="18">
        <f t="shared" si="21"/>
        <v>2.59638681848387</v>
      </c>
      <c r="I43" s="18">
        <f t="shared" si="22"/>
        <v>275.746386818484</v>
      </c>
      <c r="J43" s="18">
        <f t="shared" si="23"/>
        <v>0.0243766368502788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0.151632342896221</v>
      </c>
      <c r="P43" s="18">
        <f t="shared" si="26"/>
        <v>0.00369628655753812</v>
      </c>
      <c r="Q43" s="24">
        <f t="shared" si="27"/>
        <v>0.000572924416418409</v>
      </c>
      <c r="R43" s="18">
        <f t="shared" si="28"/>
        <v>0.0119491114583333</v>
      </c>
      <c r="S43" s="25">
        <f t="shared" si="29"/>
        <v>0.0479470309082146</v>
      </c>
      <c r="T43" s="3">
        <v>0.01</v>
      </c>
      <c r="U43" s="26">
        <f t="shared" si="30"/>
        <v>0.000479470309082146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0.0152794703090821</v>
      </c>
      <c r="AR43" s="29">
        <f t="shared" si="34"/>
        <v>7.70910416666667</v>
      </c>
      <c r="AS43" s="1">
        <f t="shared" si="35"/>
        <v>0.155</v>
      </c>
      <c r="AT43" s="2">
        <f t="shared" si="36"/>
        <v>78.1092054794521</v>
      </c>
      <c r="AU43" s="1">
        <f t="shared" si="37"/>
        <v>9554.78532684757</v>
      </c>
    </row>
    <row r="44" s="1" customFormat="1" spans="1:47">
      <c r="A44" s="13" t="s">
        <v>73</v>
      </c>
      <c r="B44" s="13">
        <f>I5</f>
        <v>0.155</v>
      </c>
      <c r="C44" s="16">
        <v>2</v>
      </c>
      <c r="D44" s="19">
        <v>6.8372081352069</v>
      </c>
      <c r="E44" s="20">
        <f t="shared" si="38"/>
        <v>2.59638681848387</v>
      </c>
      <c r="F44" s="16" t="s">
        <v>110</v>
      </c>
      <c r="G44" s="13">
        <v>3</v>
      </c>
      <c r="H44" s="18">
        <f t="shared" si="21"/>
        <v>6.8372081352069</v>
      </c>
      <c r="I44" s="18">
        <f t="shared" si="22"/>
        <v>279.987208135207</v>
      </c>
      <c r="J44" s="18">
        <f t="shared" si="23"/>
        <v>0.0416148709888309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0.225027098005349</v>
      </c>
      <c r="P44" s="18">
        <f t="shared" si="26"/>
        <v>0.00936447365248361</v>
      </c>
      <c r="Q44" s="24">
        <f t="shared" si="27"/>
        <v>0.00145149341613496</v>
      </c>
      <c r="R44" s="18">
        <f t="shared" si="28"/>
        <v>0.0119491114583333</v>
      </c>
      <c r="S44" s="25">
        <f t="shared" si="29"/>
        <v>0.121472916308157</v>
      </c>
      <c r="T44" s="3">
        <v>0.01</v>
      </c>
      <c r="U44" s="26">
        <f t="shared" si="30"/>
        <v>0.00121472916308157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0.0160147291630816</v>
      </c>
      <c r="AR44" s="29">
        <f t="shared" si="34"/>
        <v>7.70910416666667</v>
      </c>
      <c r="AS44" s="1">
        <f t="shared" si="35"/>
        <v>0.155</v>
      </c>
      <c r="AT44" s="2">
        <f t="shared" si="36"/>
        <v>78.1092054794521</v>
      </c>
      <c r="AU44" s="1">
        <f t="shared" si="37"/>
        <v>10014.5683145767</v>
      </c>
    </row>
    <row r="45" s="1" customFormat="1" spans="1:47">
      <c r="A45" s="13"/>
      <c r="B45" s="13"/>
      <c r="C45" s="16">
        <v>3</v>
      </c>
      <c r="D45" s="19">
        <v>11.2522837389355</v>
      </c>
      <c r="E45" s="20">
        <f t="shared" si="38"/>
        <v>6.8372081352069</v>
      </c>
      <c r="F45" s="16" t="s">
        <v>110</v>
      </c>
      <c r="G45" s="13">
        <v>4</v>
      </c>
      <c r="H45" s="18">
        <f t="shared" si="21"/>
        <v>11.2522837389355</v>
      </c>
      <c r="I45" s="18">
        <f t="shared" si="22"/>
        <v>284.402283738935</v>
      </c>
      <c r="J45" s="18">
        <f t="shared" si="23"/>
        <v>0.0714015394965053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0.292753666019532</v>
      </c>
      <c r="P45" s="18">
        <f t="shared" si="26"/>
        <v>0.0209030624470403</v>
      </c>
      <c r="Q45" s="24">
        <f t="shared" si="27"/>
        <v>0.00323997467929125</v>
      </c>
      <c r="R45" s="18">
        <f t="shared" si="28"/>
        <v>0.0119491114583333</v>
      </c>
      <c r="S45" s="25">
        <f t="shared" si="29"/>
        <v>0.27114774940288</v>
      </c>
      <c r="T45" s="3">
        <v>0.01</v>
      </c>
      <c r="U45" s="26">
        <f t="shared" si="30"/>
        <v>0.0027114774940288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0.0298114774940288</v>
      </c>
      <c r="AR45" s="29">
        <f t="shared" si="34"/>
        <v>7.70910416666667</v>
      </c>
      <c r="AS45" s="1">
        <f t="shared" si="35"/>
        <v>0.155</v>
      </c>
      <c r="AT45" s="2">
        <f t="shared" si="36"/>
        <v>78.1092054794521</v>
      </c>
      <c r="AU45" s="1">
        <f t="shared" si="37"/>
        <v>18642.1559104887</v>
      </c>
    </row>
    <row r="46" s="1" customFormat="1" spans="1:47">
      <c r="A46" s="13"/>
      <c r="B46" s="13"/>
      <c r="C46" s="16">
        <v>4</v>
      </c>
      <c r="D46" s="19">
        <v>17.276157513</v>
      </c>
      <c r="E46" s="20">
        <f t="shared" si="38"/>
        <v>11.2522837389355</v>
      </c>
      <c r="F46" s="16" t="s">
        <v>110</v>
      </c>
      <c r="G46" s="13">
        <v>5</v>
      </c>
      <c r="H46" s="18">
        <f t="shared" si="21"/>
        <v>17.276157513</v>
      </c>
      <c r="I46" s="18">
        <f t="shared" si="22"/>
        <v>290.426157513</v>
      </c>
      <c r="J46" s="18">
        <f t="shared" si="23"/>
        <v>0.145245416168861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0.258258073393867</v>
      </c>
      <c r="O46" s="18">
        <f t="shared" si="39"/>
        <v>0.0906835718452913</v>
      </c>
      <c r="P46" s="18">
        <f t="shared" si="26"/>
        <v>0.0131713731323481</v>
      </c>
      <c r="Q46" s="24">
        <f t="shared" si="27"/>
        <v>0.00204156283551396</v>
      </c>
      <c r="R46" s="18">
        <f t="shared" si="28"/>
        <v>0.0119491114583333</v>
      </c>
      <c r="S46" s="25">
        <f t="shared" si="29"/>
        <v>0.170854782184676</v>
      </c>
      <c r="T46" s="3">
        <v>0.01</v>
      </c>
      <c r="U46" s="26">
        <f t="shared" si="30"/>
        <v>0.00170854782184676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0.0288085478218468</v>
      </c>
      <c r="AR46" s="29">
        <f t="shared" si="34"/>
        <v>7.70910416666667</v>
      </c>
      <c r="AS46" s="1">
        <f t="shared" si="35"/>
        <v>0.155</v>
      </c>
      <c r="AT46" s="2">
        <f t="shared" si="36"/>
        <v>78.1092054794521</v>
      </c>
      <c r="AU46" s="1">
        <f t="shared" si="37"/>
        <v>18014.9890308929</v>
      </c>
    </row>
    <row r="47" s="1" customFormat="1" spans="1:47">
      <c r="A47" s="13"/>
      <c r="B47" s="13"/>
      <c r="C47" s="16">
        <v>5</v>
      </c>
      <c r="D47" s="19">
        <v>19.5454304312903</v>
      </c>
      <c r="E47" s="20">
        <f t="shared" si="38"/>
        <v>17.276157513</v>
      </c>
      <c r="F47" s="16" t="s">
        <v>112</v>
      </c>
      <c r="G47" s="13">
        <v>6</v>
      </c>
      <c r="H47" s="18">
        <f t="shared" si="21"/>
        <v>19.5454304312903</v>
      </c>
      <c r="I47" s="18">
        <f t="shared" si="22"/>
        <v>292.69543043129</v>
      </c>
      <c r="J47" s="18">
        <f t="shared" si="23"/>
        <v>0.188359335100543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0.15460324037961</v>
      </c>
      <c r="P47" s="18">
        <f t="shared" si="26"/>
        <v>0.0291209635622927</v>
      </c>
      <c r="Q47" s="24">
        <f t="shared" si="27"/>
        <v>0.00451374935215537</v>
      </c>
      <c r="R47" s="18">
        <f t="shared" si="28"/>
        <v>0.0119491114583333</v>
      </c>
      <c r="S47" s="25">
        <f t="shared" si="29"/>
        <v>0.377747698470707</v>
      </c>
      <c r="T47" s="3">
        <v>0.01</v>
      </c>
      <c r="U47" s="26">
        <f t="shared" si="30"/>
        <v>0.00377747698470707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0.0308774769847071</v>
      </c>
      <c r="AR47" s="29">
        <f t="shared" si="34"/>
        <v>7.70910416666667</v>
      </c>
      <c r="AS47" s="1">
        <f t="shared" si="35"/>
        <v>0.155</v>
      </c>
      <c r="AT47" s="2">
        <f t="shared" si="36"/>
        <v>78.1092054794521</v>
      </c>
      <c r="AU47" s="1">
        <f t="shared" si="37"/>
        <v>19308.7625457924</v>
      </c>
    </row>
    <row r="48" s="1" customFormat="1" spans="1:47">
      <c r="A48" s="13"/>
      <c r="B48" s="13"/>
      <c r="C48" s="16">
        <v>6</v>
      </c>
      <c r="D48" s="19">
        <v>23.595891762</v>
      </c>
      <c r="E48" s="20">
        <f t="shared" si="38"/>
        <v>19.5454304312903</v>
      </c>
      <c r="F48" s="16" t="s">
        <v>110</v>
      </c>
      <c r="G48" s="13">
        <v>7</v>
      </c>
      <c r="H48" s="18">
        <f t="shared" si="21"/>
        <v>23.595891762</v>
      </c>
      <c r="I48" s="18">
        <f t="shared" si="22"/>
        <v>296.745891762</v>
      </c>
      <c r="J48" s="18">
        <f t="shared" si="23"/>
        <v>0.296609997831567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0.202573318483984</v>
      </c>
      <c r="P48" s="18">
        <f t="shared" si="26"/>
        <v>0.0600852715562677</v>
      </c>
      <c r="Q48" s="24">
        <f t="shared" si="27"/>
        <v>0.0093132170912215</v>
      </c>
      <c r="R48" s="18">
        <f t="shared" si="28"/>
        <v>0.0119491114583333</v>
      </c>
      <c r="S48" s="25">
        <f t="shared" si="29"/>
        <v>0.779406663306873</v>
      </c>
      <c r="T48" s="3">
        <v>0.01</v>
      </c>
      <c r="U48" s="26">
        <f t="shared" si="30"/>
        <v>0.00779406663306873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0.0422940666330687</v>
      </c>
      <c r="AR48" s="29">
        <f t="shared" si="34"/>
        <v>7.70910416666667</v>
      </c>
      <c r="AS48" s="1">
        <f t="shared" si="35"/>
        <v>0.155</v>
      </c>
      <c r="AT48" s="2">
        <f t="shared" si="36"/>
        <v>78.1092054794521</v>
      </c>
      <c r="AU48" s="1">
        <f t="shared" si="37"/>
        <v>26447.9539606916</v>
      </c>
    </row>
    <row r="49" s="1" customFormat="1" spans="1:47">
      <c r="A49" s="13"/>
      <c r="B49" s="13"/>
      <c r="C49" s="16">
        <v>7</v>
      </c>
      <c r="D49" s="19">
        <v>27.1127269090323</v>
      </c>
      <c r="E49" s="20">
        <f t="shared" si="38"/>
        <v>23.595891762</v>
      </c>
      <c r="F49" s="16" t="s">
        <v>110</v>
      </c>
      <c r="G49" s="13">
        <v>8</v>
      </c>
      <c r="H49" s="18">
        <f t="shared" si="21"/>
        <v>27.1127269090323</v>
      </c>
      <c r="I49" s="18">
        <f t="shared" si="22"/>
        <v>300.262726909032</v>
      </c>
      <c r="J49" s="18">
        <f t="shared" si="23"/>
        <v>0.435601612880311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0.219579088594383</v>
      </c>
      <c r="P49" s="18">
        <f t="shared" si="26"/>
        <v>0.0956490051465018</v>
      </c>
      <c r="Q49" s="24">
        <f t="shared" si="27"/>
        <v>0.0148255957977078</v>
      </c>
      <c r="R49" s="18">
        <f t="shared" si="28"/>
        <v>0.0119491114583333</v>
      </c>
      <c r="S49" s="25">
        <f t="shared" si="29"/>
        <v>1.24072788586873</v>
      </c>
      <c r="T49" s="3">
        <v>0.01</v>
      </c>
      <c r="U49" s="26">
        <f t="shared" si="30"/>
        <v>0.0124072788586873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0.0469072788586873</v>
      </c>
      <c r="AR49" s="29">
        <f t="shared" si="34"/>
        <v>7.70910416666667</v>
      </c>
      <c r="AS49" s="1">
        <f t="shared" si="35"/>
        <v>0.155</v>
      </c>
      <c r="AT49" s="2">
        <f t="shared" si="36"/>
        <v>78.1092054794521</v>
      </c>
      <c r="AU49" s="1">
        <f t="shared" si="37"/>
        <v>29332.7563518304</v>
      </c>
    </row>
    <row r="50" s="1" customFormat="1" spans="1:47">
      <c r="A50" s="13"/>
      <c r="B50" s="13"/>
      <c r="C50" s="16">
        <v>8</v>
      </c>
      <c r="D50" s="19">
        <v>26.9255934603226</v>
      </c>
      <c r="E50" s="20">
        <f t="shared" si="38"/>
        <v>27.1127269090323</v>
      </c>
      <c r="F50" s="16" t="s">
        <v>110</v>
      </c>
      <c r="G50" s="13">
        <v>9</v>
      </c>
      <c r="H50" s="18">
        <f t="shared" si="21"/>
        <v>26.9255934603226</v>
      </c>
      <c r="I50" s="18">
        <f t="shared" si="22"/>
        <v>300.075593460323</v>
      </c>
      <c r="J50" s="18">
        <f t="shared" si="23"/>
        <v>0.426881126572472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0.201021125114548</v>
      </c>
      <c r="P50" s="18">
        <f t="shared" si="26"/>
        <v>0.0858121243537639</v>
      </c>
      <c r="Q50" s="24">
        <f t="shared" si="27"/>
        <v>0.0133008792748334</v>
      </c>
      <c r="R50" s="18">
        <f t="shared" si="28"/>
        <v>0.0119491114583333</v>
      </c>
      <c r="S50" s="25">
        <f t="shared" si="29"/>
        <v>1.11312705728905</v>
      </c>
      <c r="T50" s="3">
        <v>0.01</v>
      </c>
      <c r="U50" s="26">
        <f t="shared" si="30"/>
        <v>0.0111312705728905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0.0382312705728905</v>
      </c>
      <c r="AR50" s="29">
        <f t="shared" si="34"/>
        <v>7.70910416666667</v>
      </c>
      <c r="AS50" s="1">
        <f t="shared" si="35"/>
        <v>0.155</v>
      </c>
      <c r="AT50" s="2">
        <f t="shared" si="36"/>
        <v>78.1092054794521</v>
      </c>
      <c r="AU50" s="1">
        <f t="shared" si="37"/>
        <v>23907.3459817166</v>
      </c>
    </row>
    <row r="51" s="1" customFormat="1" spans="1:47">
      <c r="A51" s="13"/>
      <c r="B51" s="13"/>
      <c r="C51" s="16">
        <v>9</v>
      </c>
      <c r="D51" s="19">
        <v>23.295058619</v>
      </c>
      <c r="E51" s="20">
        <f t="shared" si="38"/>
        <v>26.9255934603226</v>
      </c>
      <c r="F51" s="16" t="s">
        <v>110</v>
      </c>
      <c r="G51" s="13">
        <v>10</v>
      </c>
      <c r="H51" s="18">
        <f t="shared" si="21"/>
        <v>23.295058619</v>
      </c>
      <c r="I51" s="18">
        <f t="shared" si="22"/>
        <v>296.445058619</v>
      </c>
      <c r="J51" s="18">
        <f t="shared" si="23"/>
        <v>0.286896226213847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0.19230004242745</v>
      </c>
      <c r="P51" s="18">
        <f t="shared" si="26"/>
        <v>0.0551701564731982</v>
      </c>
      <c r="Q51" s="24">
        <f t="shared" si="27"/>
        <v>0.00855137425334572</v>
      </c>
      <c r="R51" s="18">
        <f t="shared" si="28"/>
        <v>0.0119491114583333</v>
      </c>
      <c r="S51" s="25">
        <f t="shared" si="29"/>
        <v>0.7156493839031</v>
      </c>
      <c r="T51" s="3">
        <v>0.01</v>
      </c>
      <c r="U51" s="26">
        <f t="shared" si="30"/>
        <v>0.007156493839031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0.034256493839031</v>
      </c>
      <c r="AR51" s="29">
        <f t="shared" si="34"/>
        <v>7.70910416666667</v>
      </c>
      <c r="AS51" s="1">
        <f t="shared" si="35"/>
        <v>0.155</v>
      </c>
      <c r="AT51" s="2">
        <f t="shared" si="36"/>
        <v>78.1092054794521</v>
      </c>
      <c r="AU51" s="1">
        <f t="shared" si="37"/>
        <v>21421.7795552678</v>
      </c>
    </row>
    <row r="52" s="1" customFormat="1" spans="1:47">
      <c r="A52" s="13"/>
      <c r="B52" s="13"/>
      <c r="C52" s="16">
        <v>10</v>
      </c>
      <c r="D52" s="19">
        <v>16.2872644515806</v>
      </c>
      <c r="E52" s="20">
        <f t="shared" si="38"/>
        <v>23.295058619</v>
      </c>
      <c r="F52" s="16" t="s">
        <v>110</v>
      </c>
      <c r="G52" s="13">
        <v>11</v>
      </c>
      <c r="H52" s="18">
        <f t="shared" si="21"/>
        <v>16.2872644515806</v>
      </c>
      <c r="I52" s="18">
        <f t="shared" si="22"/>
        <v>289.437264451581</v>
      </c>
      <c r="J52" s="18">
        <f t="shared" si="23"/>
        <v>0.129525808897231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0.13027339165654</v>
      </c>
      <c r="O52" s="18">
        <f t="shared" si="39"/>
        <v>0.0839475359643792</v>
      </c>
      <c r="P52" s="18">
        <f t="shared" si="26"/>
        <v>0.0108733725007156</v>
      </c>
      <c r="Q52" s="24">
        <f t="shared" si="27"/>
        <v>0.00168537273761092</v>
      </c>
      <c r="R52" s="18">
        <f t="shared" si="28"/>
        <v>0.0119491114583333</v>
      </c>
      <c r="S52" s="25">
        <f t="shared" si="29"/>
        <v>0.141045862990552</v>
      </c>
      <c r="T52" s="3">
        <v>0.01</v>
      </c>
      <c r="U52" s="26">
        <f t="shared" si="30"/>
        <v>0.00141045862990552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0.0162104586299055</v>
      </c>
      <c r="AR52" s="29">
        <f t="shared" si="34"/>
        <v>7.70910416666667</v>
      </c>
      <c r="AS52" s="1">
        <f t="shared" si="35"/>
        <v>0.155</v>
      </c>
      <c r="AT52" s="2">
        <f t="shared" si="36"/>
        <v>78.1092054794521</v>
      </c>
      <c r="AU52" s="1">
        <f t="shared" si="37"/>
        <v>10136.9647720331</v>
      </c>
    </row>
    <row r="53" s="1" customFormat="1" spans="1:48">
      <c r="A53" s="13"/>
      <c r="B53" s="13"/>
      <c r="C53" s="16">
        <v>11</v>
      </c>
      <c r="D53" s="19">
        <v>9.9152368304</v>
      </c>
      <c r="E53" s="20">
        <f t="shared" si="38"/>
        <v>16.2872644515806</v>
      </c>
      <c r="F53" s="16" t="s">
        <v>112</v>
      </c>
      <c r="G53" s="13">
        <v>12</v>
      </c>
      <c r="H53" s="18">
        <f t="shared" si="21"/>
        <v>9.9152368304</v>
      </c>
      <c r="I53" s="18">
        <f t="shared" si="22"/>
        <v>283.0652368304</v>
      </c>
      <c r="J53" s="18">
        <f t="shared" si="23"/>
        <v>0.0607402896425136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0.15016520513033</v>
      </c>
      <c r="P53" s="18">
        <f t="shared" si="26"/>
        <v>0.00912107805384373</v>
      </c>
      <c r="Q53" s="24">
        <f t="shared" si="27"/>
        <v>0.00141376709834578</v>
      </c>
      <c r="R53" s="18">
        <f t="shared" si="28"/>
        <v>0.0119491114583333</v>
      </c>
      <c r="S53" s="25">
        <f t="shared" si="29"/>
        <v>0.118315667510141</v>
      </c>
      <c r="T53" s="3">
        <v>0.01</v>
      </c>
      <c r="U53" s="26">
        <f t="shared" si="30"/>
        <v>0.00118315667510141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0.0159831566751014</v>
      </c>
      <c r="AR53" s="29">
        <f t="shared" si="34"/>
        <v>7.70910416666667</v>
      </c>
      <c r="AS53" s="1">
        <f t="shared" si="35"/>
        <v>0.155</v>
      </c>
      <c r="AT53" s="2">
        <f t="shared" si="36"/>
        <v>78.1092054794521</v>
      </c>
      <c r="AU53" s="1">
        <f t="shared" si="37"/>
        <v>9994.82493743191</v>
      </c>
      <c r="AV53" s="1">
        <f>SUM(AU42:AU53)</f>
        <v>206238.668309354</v>
      </c>
    </row>
    <row r="54" s="1" customFormat="1" spans="1:46">
      <c r="A54" s="13"/>
      <c r="B54" s="13"/>
      <c r="C54" s="16">
        <v>12</v>
      </c>
      <c r="D54" s="19">
        <v>6.58395502812903</v>
      </c>
      <c r="E54" s="20">
        <f t="shared" si="38"/>
        <v>9.9152368304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108.2955</v>
      </c>
      <c r="C58" s="16" t="s">
        <v>109</v>
      </c>
      <c r="D58" s="17">
        <v>5</v>
      </c>
      <c r="E58" s="16"/>
      <c r="F58" s="16"/>
      <c r="G58" s="13">
        <v>1</v>
      </c>
      <c r="H58" s="18">
        <f t="shared" ref="H58:H69" si="40">E59</f>
        <v>5</v>
      </c>
      <c r="I58" s="18">
        <f t="shared" ref="I58:I69" si="41">H58+273.15</f>
        <v>278.15</v>
      </c>
      <c r="J58" s="18">
        <f t="shared" ref="J58:J69" si="42">EXP(($C$16*(I58-$C$14))/($C$17*I58*$C$14))</f>
        <v>0.0330744063381255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110</v>
      </c>
      <c r="N58" s="13"/>
      <c r="O58" s="18">
        <f>L58</f>
        <v>2.43664875</v>
      </c>
      <c r="P58" s="18">
        <f t="shared" ref="P58:P69" si="45">O58*J58</f>
        <v>0.0805907108607856</v>
      </c>
      <c r="Q58" s="24">
        <f t="shared" ref="Q58:Q69" si="46">P58*$B$60</f>
        <v>0.0362658198873535</v>
      </c>
      <c r="R58" s="18">
        <f t="shared" ref="R58:R69" si="47">L58*$B$60</f>
        <v>1.0964919375</v>
      </c>
      <c r="S58" s="25">
        <f t="shared" ref="S58:S69" si="48">Q58/R58</f>
        <v>0.0330744063381255</v>
      </c>
      <c r="T58" s="3">
        <v>0.27</v>
      </c>
      <c r="U58" s="26">
        <f t="shared" ref="U58:U69" si="49">S58*T58</f>
        <v>0.00893008971129389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0.229092422047955</v>
      </c>
      <c r="AC58" s="29">
        <f t="shared" ref="AC58:AC69" si="51">$B$58/12</f>
        <v>9.024625</v>
      </c>
      <c r="AD58" s="1">
        <f t="shared" ref="AD58:AD69" si="52">$B$60</f>
        <v>0.45</v>
      </c>
      <c r="AE58" s="30">
        <f t="shared" ref="AE58:AE69" si="53">$E$7/12</f>
        <v>497.508615814362</v>
      </c>
      <c r="AF58" s="1">
        <f t="shared" ref="AF58:AF69" si="54">AE58*10000*AC58*AB58</f>
        <v>10285857.2962924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2.59638681848387</v>
      </c>
      <c r="E59" s="20">
        <f t="shared" ref="E59:E70" si="55">D58</f>
        <v>5</v>
      </c>
      <c r="F59" s="16" t="s">
        <v>110</v>
      </c>
      <c r="G59" s="13">
        <v>2</v>
      </c>
      <c r="H59" s="18">
        <f t="shared" si="40"/>
        <v>2.59638681848387</v>
      </c>
      <c r="I59" s="18">
        <f t="shared" si="41"/>
        <v>275.746386818484</v>
      </c>
      <c r="J59" s="18">
        <f t="shared" si="42"/>
        <v>0.0243766368502788</v>
      </c>
      <c r="K59" s="18">
        <f t="shared" si="43"/>
        <v>9.024625</v>
      </c>
      <c r="L59" s="18">
        <f t="shared" si="44"/>
        <v>2.43664875</v>
      </c>
      <c r="M59" s="13" t="s">
        <v>110</v>
      </c>
      <c r="N59" s="13"/>
      <c r="O59" s="18">
        <f t="shared" ref="O59:O69" si="56">L59+O58-P58-N59</f>
        <v>4.79270678913921</v>
      </c>
      <c r="P59" s="18">
        <f t="shared" si="45"/>
        <v>0.116830072928712</v>
      </c>
      <c r="Q59" s="24">
        <f t="shared" si="46"/>
        <v>0.0525735328179206</v>
      </c>
      <c r="R59" s="18">
        <f t="shared" si="47"/>
        <v>1.0964919375</v>
      </c>
      <c r="S59" s="25">
        <f t="shared" si="48"/>
        <v>0.0479470309082146</v>
      </c>
      <c r="T59" s="3">
        <v>0.27</v>
      </c>
      <c r="U59" s="26">
        <f t="shared" si="49"/>
        <v>0.0129456983452179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0.230303128051083</v>
      </c>
      <c r="AC59" s="29">
        <f t="shared" si="51"/>
        <v>9.024625</v>
      </c>
      <c r="AD59" s="1">
        <f t="shared" si="52"/>
        <v>0.45</v>
      </c>
      <c r="AE59" s="30">
        <f t="shared" si="53"/>
        <v>497.508615814362</v>
      </c>
      <c r="AF59" s="1">
        <f t="shared" si="54"/>
        <v>10340215.9217965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0.45</v>
      </c>
      <c r="C60" s="16">
        <v>2</v>
      </c>
      <c r="D60" s="19">
        <v>6.8372081352069</v>
      </c>
      <c r="E60" s="20">
        <f t="shared" si="55"/>
        <v>2.59638681848387</v>
      </c>
      <c r="F60" s="16" t="s">
        <v>110</v>
      </c>
      <c r="G60" s="13">
        <v>3</v>
      </c>
      <c r="H60" s="18">
        <f t="shared" si="40"/>
        <v>6.8372081352069</v>
      </c>
      <c r="I60" s="18">
        <f t="shared" si="41"/>
        <v>279.987208135207</v>
      </c>
      <c r="J60" s="18">
        <f t="shared" si="42"/>
        <v>0.0416148709888309</v>
      </c>
      <c r="K60" s="18">
        <f t="shared" si="43"/>
        <v>9.024625</v>
      </c>
      <c r="L60" s="18">
        <f t="shared" si="44"/>
        <v>2.43664875</v>
      </c>
      <c r="M60" s="13" t="s">
        <v>110</v>
      </c>
      <c r="N60" s="13"/>
      <c r="O60" s="18">
        <f t="shared" si="56"/>
        <v>7.1125254662105</v>
      </c>
      <c r="P60" s="18">
        <f t="shared" si="45"/>
        <v>0.295986829681124</v>
      </c>
      <c r="Q60" s="24">
        <f t="shared" si="46"/>
        <v>0.133194073356506</v>
      </c>
      <c r="R60" s="18">
        <f t="shared" si="47"/>
        <v>1.0964919375</v>
      </c>
      <c r="S60" s="25">
        <f t="shared" si="48"/>
        <v>0.121472916308157</v>
      </c>
      <c r="T60" s="3">
        <v>0.27</v>
      </c>
      <c r="U60" s="26">
        <f t="shared" si="49"/>
        <v>0.0327976874032023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0.236288502752066</v>
      </c>
      <c r="AC60" s="29">
        <f t="shared" si="51"/>
        <v>9.024625</v>
      </c>
      <c r="AD60" s="1">
        <f t="shared" si="52"/>
        <v>0.45</v>
      </c>
      <c r="AE60" s="30">
        <f t="shared" si="53"/>
        <v>497.508615814362</v>
      </c>
      <c r="AF60" s="1">
        <f t="shared" si="54"/>
        <v>10608948.9924445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11.2522837389355</v>
      </c>
      <c r="E61" s="20">
        <f t="shared" si="55"/>
        <v>6.8372081352069</v>
      </c>
      <c r="F61" s="16" t="s">
        <v>110</v>
      </c>
      <c r="G61" s="13">
        <v>4</v>
      </c>
      <c r="H61" s="18">
        <f t="shared" si="40"/>
        <v>11.2522837389355</v>
      </c>
      <c r="I61" s="18">
        <f t="shared" si="41"/>
        <v>284.402283738935</v>
      </c>
      <c r="J61" s="18">
        <f t="shared" si="42"/>
        <v>0.0714015394965053</v>
      </c>
      <c r="K61" s="18">
        <f t="shared" si="43"/>
        <v>9.024625</v>
      </c>
      <c r="L61" s="18">
        <f t="shared" si="44"/>
        <v>2.43664875</v>
      </c>
      <c r="M61" s="13" t="s">
        <v>110</v>
      </c>
      <c r="N61" s="13"/>
      <c r="O61" s="18">
        <f t="shared" si="56"/>
        <v>9.25318738652938</v>
      </c>
      <c r="P61" s="18">
        <f t="shared" si="45"/>
        <v>0.660691824647842</v>
      </c>
      <c r="Q61" s="24">
        <f t="shared" si="46"/>
        <v>0.297311321091529</v>
      </c>
      <c r="R61" s="18">
        <f t="shared" si="47"/>
        <v>1.0964919375</v>
      </c>
      <c r="S61" s="25">
        <f t="shared" si="48"/>
        <v>0.27114774940288</v>
      </c>
      <c r="T61" s="3">
        <v>0.27</v>
      </c>
      <c r="U61" s="26">
        <f t="shared" si="49"/>
        <v>0.0732098923387777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0.297272782540142</v>
      </c>
      <c r="AC61" s="29">
        <f t="shared" si="51"/>
        <v>9.024625</v>
      </c>
      <c r="AD61" s="1">
        <f t="shared" si="52"/>
        <v>0.45</v>
      </c>
      <c r="AE61" s="30">
        <f t="shared" si="53"/>
        <v>497.508615814362</v>
      </c>
      <c r="AF61" s="1">
        <f t="shared" si="54"/>
        <v>13347038.6839753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17.276157513</v>
      </c>
      <c r="E62" s="20">
        <f t="shared" si="55"/>
        <v>11.2522837389355</v>
      </c>
      <c r="F62" s="16" t="s">
        <v>110</v>
      </c>
      <c r="G62" s="13">
        <v>5</v>
      </c>
      <c r="H62" s="18">
        <f t="shared" si="40"/>
        <v>17.276157513</v>
      </c>
      <c r="I62" s="18">
        <f t="shared" si="41"/>
        <v>290.426157513</v>
      </c>
      <c r="J62" s="18">
        <f t="shared" si="42"/>
        <v>0.145245416168861</v>
      </c>
      <c r="K62" s="18">
        <f t="shared" si="43"/>
        <v>9.024625</v>
      </c>
      <c r="L62" s="18">
        <f t="shared" si="44"/>
        <v>2.43664875</v>
      </c>
      <c r="M62" s="13" t="s">
        <v>112</v>
      </c>
      <c r="N62" s="18">
        <f>(O61-P61)*$C$22/100</f>
        <v>8.16287078378746</v>
      </c>
      <c r="O62" s="18">
        <f t="shared" si="56"/>
        <v>2.86627352809408</v>
      </c>
      <c r="P62" s="18">
        <f t="shared" si="45"/>
        <v>0.416313091441814</v>
      </c>
      <c r="Q62" s="24">
        <f t="shared" si="46"/>
        <v>0.187340891148816</v>
      </c>
      <c r="R62" s="18">
        <f t="shared" si="47"/>
        <v>1.0964919375</v>
      </c>
      <c r="S62" s="25">
        <f t="shared" si="48"/>
        <v>0.170854782184676</v>
      </c>
      <c r="T62" s="3">
        <v>0.27</v>
      </c>
      <c r="U62" s="26">
        <f t="shared" si="49"/>
        <v>0.0461307911898626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0.289108433543744</v>
      </c>
      <c r="AC62" s="29">
        <f t="shared" si="51"/>
        <v>9.024625</v>
      </c>
      <c r="AD62" s="1">
        <f t="shared" si="52"/>
        <v>0.45</v>
      </c>
      <c r="AE62" s="30">
        <f t="shared" si="53"/>
        <v>497.508615814362</v>
      </c>
      <c r="AF62" s="1">
        <f t="shared" si="54"/>
        <v>12980473.4002205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19.5454304312903</v>
      </c>
      <c r="E63" s="20">
        <f t="shared" si="55"/>
        <v>17.276157513</v>
      </c>
      <c r="F63" s="16" t="s">
        <v>112</v>
      </c>
      <c r="G63" s="13">
        <v>6</v>
      </c>
      <c r="H63" s="18">
        <f t="shared" si="40"/>
        <v>19.5454304312903</v>
      </c>
      <c r="I63" s="18">
        <f t="shared" si="41"/>
        <v>292.69543043129</v>
      </c>
      <c r="J63" s="18">
        <f t="shared" si="42"/>
        <v>0.188359335100543</v>
      </c>
      <c r="K63" s="18">
        <f t="shared" si="43"/>
        <v>9.024625</v>
      </c>
      <c r="L63" s="18">
        <f t="shared" si="44"/>
        <v>2.43664875</v>
      </c>
      <c r="M63" s="13" t="s">
        <v>110</v>
      </c>
      <c r="N63" s="13"/>
      <c r="O63" s="18">
        <f t="shared" si="56"/>
        <v>4.88660918665226</v>
      </c>
      <c r="P63" s="18">
        <f t="shared" si="45"/>
        <v>0.920438457294025</v>
      </c>
      <c r="Q63" s="24">
        <f t="shared" si="46"/>
        <v>0.414197305782311</v>
      </c>
      <c r="R63" s="18">
        <f t="shared" si="47"/>
        <v>1.0964919375</v>
      </c>
      <c r="S63" s="25">
        <f t="shared" si="48"/>
        <v>0.377747698470707</v>
      </c>
      <c r="T63" s="3">
        <v>0.27</v>
      </c>
      <c r="U63" s="26">
        <f t="shared" si="49"/>
        <v>0.101991878587091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0.321150551394008</v>
      </c>
      <c r="AC63" s="29">
        <f t="shared" si="51"/>
        <v>9.024625</v>
      </c>
      <c r="AD63" s="1">
        <f t="shared" si="52"/>
        <v>0.45</v>
      </c>
      <c r="AE63" s="30">
        <f t="shared" si="53"/>
        <v>497.508615814362</v>
      </c>
      <c r="AF63" s="1">
        <f t="shared" si="54"/>
        <v>14419109.6009841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23.595891762</v>
      </c>
      <c r="E64" s="20">
        <f t="shared" si="55"/>
        <v>19.5454304312903</v>
      </c>
      <c r="F64" s="16" t="s">
        <v>110</v>
      </c>
      <c r="G64" s="13">
        <v>7</v>
      </c>
      <c r="H64" s="18">
        <f t="shared" si="40"/>
        <v>23.595891762</v>
      </c>
      <c r="I64" s="18">
        <f t="shared" si="41"/>
        <v>296.745891762</v>
      </c>
      <c r="J64" s="18">
        <f t="shared" si="42"/>
        <v>0.296609997831567</v>
      </c>
      <c r="K64" s="18">
        <f t="shared" si="43"/>
        <v>9.024625</v>
      </c>
      <c r="L64" s="18">
        <f t="shared" si="44"/>
        <v>2.43664875</v>
      </c>
      <c r="M64" s="13" t="s">
        <v>110</v>
      </c>
      <c r="N64" s="13"/>
      <c r="O64" s="18">
        <f t="shared" si="56"/>
        <v>6.40281947935824</v>
      </c>
      <c r="P64" s="18">
        <f t="shared" si="45"/>
        <v>1.89914027188836</v>
      </c>
      <c r="Q64" s="24">
        <f t="shared" si="46"/>
        <v>0.854613122349763</v>
      </c>
      <c r="R64" s="18">
        <f t="shared" si="47"/>
        <v>1.0964919375</v>
      </c>
      <c r="S64" s="25">
        <f t="shared" si="48"/>
        <v>0.779406663306872</v>
      </c>
      <c r="T64" s="3">
        <v>0.27</v>
      </c>
      <c r="U64" s="26">
        <f t="shared" si="49"/>
        <v>0.210439799092856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0.353847599426496</v>
      </c>
      <c r="AC64" s="29">
        <f t="shared" si="51"/>
        <v>9.024625</v>
      </c>
      <c r="AD64" s="1">
        <f t="shared" si="52"/>
        <v>0.45</v>
      </c>
      <c r="AE64" s="30">
        <f t="shared" si="53"/>
        <v>497.508615814362</v>
      </c>
      <c r="AF64" s="1">
        <f t="shared" si="54"/>
        <v>15887151.0449817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27.1127269090323</v>
      </c>
      <c r="E65" s="20">
        <f t="shared" si="55"/>
        <v>23.595891762</v>
      </c>
      <c r="F65" s="16" t="s">
        <v>110</v>
      </c>
      <c r="G65" s="13">
        <v>8</v>
      </c>
      <c r="H65" s="18">
        <f t="shared" si="40"/>
        <v>27.1127269090323</v>
      </c>
      <c r="I65" s="18">
        <f t="shared" si="41"/>
        <v>300.262726909032</v>
      </c>
      <c r="J65" s="18">
        <f t="shared" si="42"/>
        <v>0.435601612880311</v>
      </c>
      <c r="K65" s="18">
        <f t="shared" si="43"/>
        <v>9.024625</v>
      </c>
      <c r="L65" s="18">
        <f t="shared" si="44"/>
        <v>2.43664875</v>
      </c>
      <c r="M65" s="13" t="s">
        <v>110</v>
      </c>
      <c r="N65" s="13"/>
      <c r="O65" s="18">
        <f t="shared" si="56"/>
        <v>6.94032795746987</v>
      </c>
      <c r="P65" s="18">
        <f t="shared" si="45"/>
        <v>3.02321805219219</v>
      </c>
      <c r="Q65" s="24">
        <f t="shared" si="46"/>
        <v>1.36044812348649</v>
      </c>
      <c r="R65" s="18">
        <f t="shared" si="47"/>
        <v>1.0964919375</v>
      </c>
      <c r="S65" s="25">
        <f t="shared" si="48"/>
        <v>1.24072788586873</v>
      </c>
      <c r="T65" s="3">
        <v>0.27</v>
      </c>
      <c r="U65" s="26">
        <f t="shared" si="49"/>
        <v>0.334996529184558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0.391401453549144</v>
      </c>
      <c r="AC65" s="29">
        <f t="shared" si="51"/>
        <v>9.024625</v>
      </c>
      <c r="AD65" s="1">
        <f t="shared" si="52"/>
        <v>0.45</v>
      </c>
      <c r="AE65" s="30">
        <f t="shared" si="53"/>
        <v>497.508615814362</v>
      </c>
      <c r="AF65" s="1">
        <f t="shared" si="54"/>
        <v>17573254.7623298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26.9255934603226</v>
      </c>
      <c r="E66" s="20">
        <f t="shared" si="55"/>
        <v>27.1127269090323</v>
      </c>
      <c r="F66" s="16" t="s">
        <v>110</v>
      </c>
      <c r="G66" s="13">
        <v>9</v>
      </c>
      <c r="H66" s="18">
        <f t="shared" si="40"/>
        <v>26.9255934603226</v>
      </c>
      <c r="I66" s="18">
        <f t="shared" si="41"/>
        <v>300.075593460323</v>
      </c>
      <c r="J66" s="18">
        <f t="shared" si="42"/>
        <v>0.426881126572472</v>
      </c>
      <c r="K66" s="18">
        <f t="shared" si="43"/>
        <v>9.024625</v>
      </c>
      <c r="L66" s="18">
        <f t="shared" si="44"/>
        <v>2.43664875</v>
      </c>
      <c r="M66" s="13" t="s">
        <v>110</v>
      </c>
      <c r="N66" s="13"/>
      <c r="O66" s="18">
        <f t="shared" si="56"/>
        <v>6.35375865527768</v>
      </c>
      <c r="P66" s="18">
        <f t="shared" si="45"/>
        <v>2.71229965273453</v>
      </c>
      <c r="Q66" s="24">
        <f t="shared" si="46"/>
        <v>1.22053484373054</v>
      </c>
      <c r="R66" s="18">
        <f t="shared" si="47"/>
        <v>1.0964919375</v>
      </c>
      <c r="S66" s="25">
        <f t="shared" si="48"/>
        <v>1.11312705728905</v>
      </c>
      <c r="T66" s="3">
        <v>0.27</v>
      </c>
      <c r="U66" s="26">
        <f t="shared" si="49"/>
        <v>0.300544305468042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0.365814108098615</v>
      </c>
      <c r="AC66" s="29">
        <f t="shared" si="51"/>
        <v>9.024625</v>
      </c>
      <c r="AD66" s="1">
        <f t="shared" si="52"/>
        <v>0.45</v>
      </c>
      <c r="AE66" s="30">
        <f t="shared" si="53"/>
        <v>497.508615814362</v>
      </c>
      <c r="AF66" s="1">
        <f t="shared" si="54"/>
        <v>16424426.7847724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23.295058619</v>
      </c>
      <c r="E67" s="20">
        <f t="shared" si="55"/>
        <v>26.9255934603226</v>
      </c>
      <c r="F67" s="16" t="s">
        <v>110</v>
      </c>
      <c r="G67" s="13">
        <v>10</v>
      </c>
      <c r="H67" s="18">
        <f t="shared" si="40"/>
        <v>23.295058619</v>
      </c>
      <c r="I67" s="18">
        <f t="shared" si="41"/>
        <v>296.445058619</v>
      </c>
      <c r="J67" s="18">
        <f t="shared" si="42"/>
        <v>0.286896226213847</v>
      </c>
      <c r="K67" s="18">
        <f t="shared" si="43"/>
        <v>9.024625</v>
      </c>
      <c r="L67" s="18">
        <f t="shared" si="44"/>
        <v>2.43664875</v>
      </c>
      <c r="M67" s="13" t="s">
        <v>110</v>
      </c>
      <c r="N67" s="13"/>
      <c r="O67" s="18">
        <f t="shared" si="56"/>
        <v>6.07810775254315</v>
      </c>
      <c r="P67" s="18">
        <f t="shared" si="45"/>
        <v>1.74378617672576</v>
      </c>
      <c r="Q67" s="24">
        <f t="shared" si="46"/>
        <v>0.784703779526591</v>
      </c>
      <c r="R67" s="18">
        <f t="shared" si="47"/>
        <v>1.0964919375</v>
      </c>
      <c r="S67" s="25">
        <f t="shared" si="48"/>
        <v>0.715649383903099</v>
      </c>
      <c r="T67" s="3">
        <v>0.27</v>
      </c>
      <c r="U67" s="26">
        <f t="shared" si="49"/>
        <v>0.193225333653837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0.333457438096632</v>
      </c>
      <c r="AC67" s="29">
        <f t="shared" si="51"/>
        <v>9.024625</v>
      </c>
      <c r="AD67" s="1">
        <f t="shared" si="52"/>
        <v>0.45</v>
      </c>
      <c r="AE67" s="30">
        <f t="shared" si="53"/>
        <v>497.508615814362</v>
      </c>
      <c r="AF67" s="1">
        <f t="shared" si="54"/>
        <v>14971667.7312497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16.2872644515806</v>
      </c>
      <c r="E68" s="20">
        <f t="shared" si="55"/>
        <v>23.295058619</v>
      </c>
      <c r="F68" s="16" t="s">
        <v>110</v>
      </c>
      <c r="G68" s="13">
        <v>11</v>
      </c>
      <c r="H68" s="18">
        <f t="shared" si="40"/>
        <v>16.2872644515806</v>
      </c>
      <c r="I68" s="18">
        <f t="shared" si="41"/>
        <v>289.437264451581</v>
      </c>
      <c r="J68" s="18">
        <f t="shared" si="42"/>
        <v>0.129525808897231</v>
      </c>
      <c r="K68" s="18">
        <f t="shared" si="43"/>
        <v>9.024625</v>
      </c>
      <c r="L68" s="18">
        <f t="shared" si="44"/>
        <v>2.43664875</v>
      </c>
      <c r="M68" s="13" t="s">
        <v>112</v>
      </c>
      <c r="N68" s="18">
        <f>(O67-P67)*$C$22/100</f>
        <v>4.11760549702652</v>
      </c>
      <c r="O68" s="18">
        <f t="shared" si="56"/>
        <v>2.65336482879087</v>
      </c>
      <c r="P68" s="18">
        <f t="shared" si="45"/>
        <v>0.3436792257486</v>
      </c>
      <c r="Q68" s="24">
        <f t="shared" si="46"/>
        <v>0.15465565158687</v>
      </c>
      <c r="R68" s="18">
        <f t="shared" si="47"/>
        <v>1.0964919375</v>
      </c>
      <c r="S68" s="25">
        <f t="shared" si="48"/>
        <v>0.141045862990552</v>
      </c>
      <c r="T68" s="3">
        <v>0.27</v>
      </c>
      <c r="U68" s="26">
        <f t="shared" si="49"/>
        <v>0.0380823830074491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0.237881838476746</v>
      </c>
      <c r="AC68" s="29">
        <f t="shared" si="51"/>
        <v>9.024625</v>
      </c>
      <c r="AD68" s="1">
        <f t="shared" si="52"/>
        <v>0.45</v>
      </c>
      <c r="AE68" s="30">
        <f t="shared" si="53"/>
        <v>497.508615814362</v>
      </c>
      <c r="AF68" s="1">
        <f t="shared" si="54"/>
        <v>10680487.036971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9.9152368304</v>
      </c>
      <c r="E69" s="20">
        <f t="shared" si="55"/>
        <v>16.2872644515806</v>
      </c>
      <c r="F69" s="16" t="s">
        <v>112</v>
      </c>
      <c r="G69" s="13">
        <v>12</v>
      </c>
      <c r="H69" s="18">
        <f t="shared" si="40"/>
        <v>9.9152368304</v>
      </c>
      <c r="I69" s="18">
        <f t="shared" si="41"/>
        <v>283.0652368304</v>
      </c>
      <c r="J69" s="18">
        <f t="shared" si="42"/>
        <v>0.0607402896425136</v>
      </c>
      <c r="K69" s="18">
        <f t="shared" si="43"/>
        <v>9.024625</v>
      </c>
      <c r="L69" s="18">
        <f t="shared" si="44"/>
        <v>2.43664875</v>
      </c>
      <c r="M69" s="13" t="s">
        <v>110</v>
      </c>
      <c r="N69" s="13"/>
      <c r="O69" s="18">
        <f t="shared" si="56"/>
        <v>4.74633435304227</v>
      </c>
      <c r="P69" s="18">
        <f t="shared" si="45"/>
        <v>0.288293723344</v>
      </c>
      <c r="Q69" s="24">
        <f t="shared" si="46"/>
        <v>0.1297321755048</v>
      </c>
      <c r="R69" s="18">
        <f t="shared" si="47"/>
        <v>1.0964919375</v>
      </c>
      <c r="S69" s="25">
        <f t="shared" si="48"/>
        <v>0.118315667510141</v>
      </c>
      <c r="T69" s="3">
        <v>0.27</v>
      </c>
      <c r="U69" s="26">
        <f t="shared" si="49"/>
        <v>0.031945230227738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0.236031486913663</v>
      </c>
      <c r="AC69" s="29">
        <f t="shared" si="51"/>
        <v>9.024625</v>
      </c>
      <c r="AD69" s="1">
        <f t="shared" si="52"/>
        <v>0.45</v>
      </c>
      <c r="AE69" s="30">
        <f t="shared" si="53"/>
        <v>497.508615814362</v>
      </c>
      <c r="AF69" s="1">
        <f t="shared" si="54"/>
        <v>10597409.421589</v>
      </c>
      <c r="AG69" s="1">
        <f>SUM(AF58:AF69)</f>
        <v>158116040.677607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46">
      <c r="A70" s="13"/>
      <c r="B70" s="13"/>
      <c r="C70" s="16">
        <v>12</v>
      </c>
      <c r="D70" s="19">
        <v>6.58395502812903</v>
      </c>
      <c r="E70" s="20">
        <f t="shared" si="55"/>
        <v>9.9152368304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5</v>
      </c>
      <c r="E74" s="16"/>
      <c r="F74" s="16"/>
      <c r="G74" s="13">
        <v>1</v>
      </c>
      <c r="H74" s="18">
        <f t="shared" ref="H74:H85" si="57">E75</f>
        <v>5</v>
      </c>
      <c r="I74" s="18">
        <f t="shared" ref="I74:I85" si="58">H74+273.15</f>
        <v>278.15</v>
      </c>
      <c r="J74" s="18">
        <f t="shared" ref="J74:J85" si="59">EXP(($C$16*(I74-$C$14))/($C$17*I74*$C$14))</f>
        <v>0.0330744063381255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0.0172390420715578</v>
      </c>
      <c r="Q74" s="24">
        <f t="shared" ref="Q74:Q85" si="63">P74*$B$76</f>
        <v>0.00448215093860502</v>
      </c>
      <c r="R74" s="18">
        <f t="shared" ref="R74:R85" si="64">L74*$B$76</f>
        <v>0.1355172</v>
      </c>
      <c r="S74" s="25">
        <f t="shared" ref="S74:S85" si="65">Q74/R74</f>
        <v>0.0330744063381255</v>
      </c>
      <c r="T74" s="3">
        <v>0.01</v>
      </c>
      <c r="U74" s="26">
        <f t="shared" ref="U74:U85" si="66">S74*T74</f>
        <v>0.000330744063381255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0.00582074406338126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0.434</v>
      </c>
      <c r="AX74" s="1">
        <f t="shared" ref="AX74:AX85" si="73">AW74*10000*AV74*0.67*AU74*AT74</f>
        <v>229.370444373116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2.59638681848387</v>
      </c>
      <c r="E75" s="20">
        <f t="shared" ref="E75:E86" si="74">D74</f>
        <v>5</v>
      </c>
      <c r="F75" s="16" t="s">
        <v>110</v>
      </c>
      <c r="G75" s="13">
        <v>2</v>
      </c>
      <c r="H75" s="18">
        <f t="shared" si="57"/>
        <v>2.59638681848387</v>
      </c>
      <c r="I75" s="18">
        <f t="shared" si="58"/>
        <v>275.746386818484</v>
      </c>
      <c r="J75" s="18">
        <f t="shared" si="59"/>
        <v>0.0243766368502788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1.02520095792844</v>
      </c>
      <c r="P75" s="18">
        <f t="shared" si="62"/>
        <v>0.0249909514499796</v>
      </c>
      <c r="Q75" s="24">
        <f t="shared" si="63"/>
        <v>0.00649764737699469</v>
      </c>
      <c r="R75" s="18">
        <f t="shared" si="64"/>
        <v>0.1355172</v>
      </c>
      <c r="S75" s="25">
        <f t="shared" si="65"/>
        <v>0.0479470309082146</v>
      </c>
      <c r="T75" s="3">
        <v>0.01</v>
      </c>
      <c r="U75" s="26">
        <f t="shared" si="66"/>
        <v>0.000479470309082146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0.00596947030908215</v>
      </c>
      <c r="AU75" s="29">
        <f t="shared" si="70"/>
        <v>52.122</v>
      </c>
      <c r="AV75" s="1">
        <f t="shared" si="71"/>
        <v>0.26</v>
      </c>
      <c r="AW75" s="2">
        <f t="shared" si="72"/>
        <v>0.434</v>
      </c>
      <c r="AX75" s="1">
        <f t="shared" si="73"/>
        <v>235.231104916665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6.8372081352069</v>
      </c>
      <c r="E76" s="20">
        <f t="shared" si="74"/>
        <v>2.59638681848387</v>
      </c>
      <c r="F76" s="16" t="s">
        <v>110</v>
      </c>
      <c r="G76" s="13">
        <v>3</v>
      </c>
      <c r="H76" s="18">
        <f t="shared" si="57"/>
        <v>6.8372081352069</v>
      </c>
      <c r="I76" s="18">
        <f t="shared" si="58"/>
        <v>279.987208135207</v>
      </c>
      <c r="J76" s="18">
        <f t="shared" si="59"/>
        <v>0.0416148709888309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1.52143000647846</v>
      </c>
      <c r="P76" s="18">
        <f t="shared" si="62"/>
        <v>0.0633141134381374</v>
      </c>
      <c r="Q76" s="24">
        <f t="shared" si="63"/>
        <v>0.0164616694939157</v>
      </c>
      <c r="R76" s="18">
        <f t="shared" si="64"/>
        <v>0.1355172</v>
      </c>
      <c r="S76" s="25">
        <f t="shared" si="65"/>
        <v>0.121472916308157</v>
      </c>
      <c r="T76" s="3">
        <v>0.01</v>
      </c>
      <c r="U76" s="26">
        <f t="shared" si="66"/>
        <v>0.00121472916308157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0.00670472916308157</v>
      </c>
      <c r="AU76" s="29">
        <f t="shared" si="70"/>
        <v>52.122</v>
      </c>
      <c r="AV76" s="1">
        <f t="shared" si="71"/>
        <v>0.26</v>
      </c>
      <c r="AW76" s="2">
        <f t="shared" si="72"/>
        <v>0.434</v>
      </c>
      <c r="AX76" s="1">
        <f t="shared" si="73"/>
        <v>264.204488428248</v>
      </c>
    </row>
    <row r="77" s="1" customFormat="1" spans="1:50">
      <c r="A77" s="13"/>
      <c r="B77" s="13"/>
      <c r="C77" s="16">
        <v>3</v>
      </c>
      <c r="D77" s="19">
        <v>11.2522837389355</v>
      </c>
      <c r="E77" s="20">
        <f t="shared" si="74"/>
        <v>6.8372081352069</v>
      </c>
      <c r="F77" s="16" t="s">
        <v>110</v>
      </c>
      <c r="G77" s="13">
        <v>4</v>
      </c>
      <c r="H77" s="18">
        <f t="shared" si="57"/>
        <v>11.2522837389355</v>
      </c>
      <c r="I77" s="18">
        <f t="shared" si="58"/>
        <v>284.402283738935</v>
      </c>
      <c r="J77" s="18">
        <f t="shared" si="59"/>
        <v>0.0714015394965053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1.97933589304033</v>
      </c>
      <c r="P77" s="18">
        <f t="shared" si="62"/>
        <v>0.141327629943769</v>
      </c>
      <c r="Q77" s="24">
        <f t="shared" si="63"/>
        <v>0.03674518378538</v>
      </c>
      <c r="R77" s="18">
        <f t="shared" si="64"/>
        <v>0.1355172</v>
      </c>
      <c r="S77" s="25">
        <f t="shared" si="65"/>
        <v>0.271147749402881</v>
      </c>
      <c r="T77" s="3">
        <v>0.01</v>
      </c>
      <c r="U77" s="26">
        <f t="shared" si="66"/>
        <v>0.00271147749402881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0.0107014774940288</v>
      </c>
      <c r="AU77" s="29">
        <f t="shared" si="70"/>
        <v>52.122</v>
      </c>
      <c r="AV77" s="1">
        <f t="shared" si="71"/>
        <v>0.26</v>
      </c>
      <c r="AW77" s="2">
        <f t="shared" si="72"/>
        <v>0.434</v>
      </c>
      <c r="AX77" s="1">
        <f t="shared" si="73"/>
        <v>421.699119824968</v>
      </c>
    </row>
    <row r="78" s="1" customFormat="1" spans="1:50">
      <c r="A78" s="13"/>
      <c r="B78" s="13"/>
      <c r="C78" s="16">
        <v>4</v>
      </c>
      <c r="D78" s="19">
        <v>17.276157513</v>
      </c>
      <c r="E78" s="20">
        <f t="shared" si="74"/>
        <v>11.2522837389355</v>
      </c>
      <c r="F78" s="16" t="s">
        <v>110</v>
      </c>
      <c r="G78" s="13">
        <v>5</v>
      </c>
      <c r="H78" s="18">
        <f t="shared" si="57"/>
        <v>17.276157513</v>
      </c>
      <c r="I78" s="18">
        <f t="shared" si="58"/>
        <v>290.426157513</v>
      </c>
      <c r="J78" s="18">
        <f t="shared" si="59"/>
        <v>0.145245416168861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1.74610784994173</v>
      </c>
      <c r="O78" s="18">
        <f t="shared" si="75"/>
        <v>0.613120413154828</v>
      </c>
      <c r="P78" s="18">
        <f t="shared" si="62"/>
        <v>0.089052929570297</v>
      </c>
      <c r="Q78" s="24">
        <f t="shared" si="63"/>
        <v>0.0231537616882772</v>
      </c>
      <c r="R78" s="18">
        <f t="shared" si="64"/>
        <v>0.1355172</v>
      </c>
      <c r="S78" s="25">
        <f t="shared" si="65"/>
        <v>0.170854782184676</v>
      </c>
      <c r="T78" s="3">
        <v>0.01</v>
      </c>
      <c r="U78" s="26">
        <f t="shared" si="66"/>
        <v>0.00170854782184676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0.0116585478218468</v>
      </c>
      <c r="AU78" s="29">
        <f t="shared" si="70"/>
        <v>52.122</v>
      </c>
      <c r="AV78" s="1">
        <f t="shared" si="71"/>
        <v>0.26</v>
      </c>
      <c r="AW78" s="2">
        <f t="shared" si="72"/>
        <v>0.434</v>
      </c>
      <c r="AX78" s="1">
        <f t="shared" si="73"/>
        <v>459.413137826373</v>
      </c>
    </row>
    <row r="79" s="1" customFormat="1" spans="1:50">
      <c r="A79" s="13"/>
      <c r="B79" s="13"/>
      <c r="C79" s="16">
        <v>5</v>
      </c>
      <c r="D79" s="19">
        <v>19.5454304312903</v>
      </c>
      <c r="E79" s="20">
        <f t="shared" si="74"/>
        <v>17.276157513</v>
      </c>
      <c r="F79" s="16" t="s">
        <v>112</v>
      </c>
      <c r="G79" s="13">
        <v>6</v>
      </c>
      <c r="H79" s="18">
        <f t="shared" si="57"/>
        <v>19.5454304312903</v>
      </c>
      <c r="I79" s="18">
        <f t="shared" si="58"/>
        <v>292.69543043129</v>
      </c>
      <c r="J79" s="18">
        <f t="shared" si="59"/>
        <v>0.188359335100543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1.04528748358453</v>
      </c>
      <c r="P79" s="18">
        <f t="shared" si="62"/>
        <v>0.196889655396902</v>
      </c>
      <c r="Q79" s="24">
        <f t="shared" si="63"/>
        <v>0.0511913104031945</v>
      </c>
      <c r="R79" s="18">
        <f t="shared" si="64"/>
        <v>0.1355172</v>
      </c>
      <c r="S79" s="25">
        <f t="shared" si="65"/>
        <v>0.377747698470707</v>
      </c>
      <c r="T79" s="3">
        <v>0.01</v>
      </c>
      <c r="U79" s="26">
        <f t="shared" si="66"/>
        <v>0.00377747698470707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0.0137274769847071</v>
      </c>
      <c r="AU79" s="29">
        <f t="shared" si="70"/>
        <v>52.122</v>
      </c>
      <c r="AV79" s="1">
        <f t="shared" si="71"/>
        <v>0.26</v>
      </c>
      <c r="AW79" s="2">
        <f t="shared" si="72"/>
        <v>0.434</v>
      </c>
      <c r="AX79" s="1">
        <f t="shared" si="73"/>
        <v>540.940721979609</v>
      </c>
    </row>
    <row r="80" s="1" customFormat="1" spans="1:50">
      <c r="A80" s="13"/>
      <c r="B80" s="13"/>
      <c r="C80" s="16">
        <v>6</v>
      </c>
      <c r="D80" s="19">
        <v>23.595891762</v>
      </c>
      <c r="E80" s="20">
        <f t="shared" si="74"/>
        <v>19.5454304312903</v>
      </c>
      <c r="F80" s="16" t="s">
        <v>110</v>
      </c>
      <c r="G80" s="13">
        <v>7</v>
      </c>
      <c r="H80" s="18">
        <f t="shared" si="57"/>
        <v>23.595891762</v>
      </c>
      <c r="I80" s="18">
        <f t="shared" si="58"/>
        <v>296.745891762</v>
      </c>
      <c r="J80" s="18">
        <f t="shared" si="59"/>
        <v>0.296609997831567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1.36961782818763</v>
      </c>
      <c r="P80" s="18">
        <f t="shared" si="62"/>
        <v>0.406242341048808</v>
      </c>
      <c r="Q80" s="24">
        <f t="shared" si="63"/>
        <v>0.10562300867269</v>
      </c>
      <c r="R80" s="18">
        <f t="shared" si="64"/>
        <v>0.1355172</v>
      </c>
      <c r="S80" s="25">
        <f t="shared" si="65"/>
        <v>0.779406663306873</v>
      </c>
      <c r="T80" s="3">
        <v>0.01</v>
      </c>
      <c r="U80" s="26">
        <f t="shared" si="66"/>
        <v>0.00779406663306873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0.0202440666330687</v>
      </c>
      <c r="AU80" s="29">
        <f t="shared" si="70"/>
        <v>52.122</v>
      </c>
      <c r="AV80" s="1">
        <f t="shared" si="71"/>
        <v>0.26</v>
      </c>
      <c r="AW80" s="2">
        <f t="shared" si="72"/>
        <v>0.434</v>
      </c>
      <c r="AX80" s="1">
        <f t="shared" si="73"/>
        <v>797.731442747649</v>
      </c>
    </row>
    <row r="81" s="1" customFormat="1" spans="1:50">
      <c r="A81" s="13"/>
      <c r="B81" s="13"/>
      <c r="C81" s="16">
        <v>7</v>
      </c>
      <c r="D81" s="19">
        <v>27.1127269090323</v>
      </c>
      <c r="E81" s="20">
        <f t="shared" si="74"/>
        <v>23.595891762</v>
      </c>
      <c r="F81" s="16" t="s">
        <v>110</v>
      </c>
      <c r="G81" s="13">
        <v>8</v>
      </c>
      <c r="H81" s="18">
        <f t="shared" si="57"/>
        <v>27.1127269090323</v>
      </c>
      <c r="I81" s="18">
        <f t="shared" si="58"/>
        <v>300.262726909032</v>
      </c>
      <c r="J81" s="18">
        <f t="shared" si="59"/>
        <v>0.435601612880311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1.48459548713882</v>
      </c>
      <c r="P81" s="18">
        <f t="shared" si="62"/>
        <v>0.646692188672501</v>
      </c>
      <c r="Q81" s="24">
        <f t="shared" si="63"/>
        <v>0.16813996905485</v>
      </c>
      <c r="R81" s="18">
        <f t="shared" si="64"/>
        <v>0.1355172</v>
      </c>
      <c r="S81" s="25">
        <f t="shared" si="65"/>
        <v>1.24072788586873</v>
      </c>
      <c r="T81" s="3">
        <v>0.01</v>
      </c>
      <c r="U81" s="26">
        <f t="shared" si="66"/>
        <v>0.0124072788586873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0.0248572788586873</v>
      </c>
      <c r="AU81" s="29">
        <f t="shared" si="70"/>
        <v>52.122</v>
      </c>
      <c r="AV81" s="1">
        <f t="shared" si="71"/>
        <v>0.26</v>
      </c>
      <c r="AW81" s="2">
        <f t="shared" si="72"/>
        <v>0.434</v>
      </c>
      <c r="AX81" s="1">
        <f t="shared" si="73"/>
        <v>979.518260146894</v>
      </c>
    </row>
    <row r="82" s="1" customFormat="1" spans="1:50">
      <c r="A82" s="13"/>
      <c r="B82" s="13"/>
      <c r="C82" s="16">
        <v>8</v>
      </c>
      <c r="D82" s="19">
        <v>26.9255934603226</v>
      </c>
      <c r="E82" s="20">
        <f t="shared" si="74"/>
        <v>27.1127269090323</v>
      </c>
      <c r="F82" s="16" t="s">
        <v>110</v>
      </c>
      <c r="G82" s="13">
        <v>9</v>
      </c>
      <c r="H82" s="18">
        <f t="shared" si="57"/>
        <v>26.9255934603226</v>
      </c>
      <c r="I82" s="18">
        <f t="shared" si="58"/>
        <v>300.075593460323</v>
      </c>
      <c r="J82" s="18">
        <f t="shared" si="59"/>
        <v>0.426881126572472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1.35912329846632</v>
      </c>
      <c r="P82" s="18">
        <f t="shared" si="62"/>
        <v>0.580184084800197</v>
      </c>
      <c r="Q82" s="24">
        <f t="shared" si="63"/>
        <v>0.150847862048051</v>
      </c>
      <c r="R82" s="18">
        <f t="shared" si="64"/>
        <v>0.1355172</v>
      </c>
      <c r="S82" s="25">
        <f t="shared" si="65"/>
        <v>1.11312705728905</v>
      </c>
      <c r="T82" s="3">
        <v>0.01</v>
      </c>
      <c r="U82" s="26">
        <f t="shared" si="66"/>
        <v>0.0111312705728905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0.0210812705728905</v>
      </c>
      <c r="AU82" s="29">
        <f t="shared" si="70"/>
        <v>52.122</v>
      </c>
      <c r="AV82" s="1">
        <f t="shared" si="71"/>
        <v>0.26</v>
      </c>
      <c r="AW82" s="2">
        <f t="shared" si="72"/>
        <v>0.434</v>
      </c>
      <c r="AX82" s="1">
        <f t="shared" si="73"/>
        <v>830.722042852523</v>
      </c>
    </row>
    <row r="83" s="1" customFormat="1" spans="1:50">
      <c r="A83" s="13"/>
      <c r="B83" s="13"/>
      <c r="C83" s="16">
        <v>9</v>
      </c>
      <c r="D83" s="19">
        <v>23.295058619</v>
      </c>
      <c r="E83" s="20">
        <f t="shared" si="74"/>
        <v>26.9255934603226</v>
      </c>
      <c r="F83" s="16" t="s">
        <v>110</v>
      </c>
      <c r="G83" s="13">
        <v>10</v>
      </c>
      <c r="H83" s="18">
        <f t="shared" si="57"/>
        <v>23.295058619</v>
      </c>
      <c r="I83" s="18">
        <f t="shared" si="58"/>
        <v>296.445058619</v>
      </c>
      <c r="J83" s="18">
        <f t="shared" si="59"/>
        <v>0.286896226213847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1.30015921366612</v>
      </c>
      <c r="P83" s="18">
        <f t="shared" si="62"/>
        <v>0.373010771877973</v>
      </c>
      <c r="Q83" s="24">
        <f t="shared" si="63"/>
        <v>0.0969828006882731</v>
      </c>
      <c r="R83" s="18">
        <f t="shared" si="64"/>
        <v>0.1355172</v>
      </c>
      <c r="S83" s="25">
        <f t="shared" si="65"/>
        <v>0.715649383903099</v>
      </c>
      <c r="T83" s="3">
        <v>0.01</v>
      </c>
      <c r="U83" s="26">
        <f t="shared" si="66"/>
        <v>0.00715649383903099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0.017106493839031</v>
      </c>
      <c r="AU83" s="29">
        <f t="shared" si="70"/>
        <v>52.122</v>
      </c>
      <c r="AV83" s="1">
        <f t="shared" si="71"/>
        <v>0.26</v>
      </c>
      <c r="AW83" s="2">
        <f t="shared" si="72"/>
        <v>0.434</v>
      </c>
      <c r="AX83" s="1">
        <f t="shared" si="73"/>
        <v>674.093217430561</v>
      </c>
    </row>
    <row r="84" s="1" customFormat="1" spans="1:50">
      <c r="A84" s="13"/>
      <c r="B84" s="13"/>
      <c r="C84" s="16">
        <v>10</v>
      </c>
      <c r="D84" s="19">
        <v>16.2872644515806</v>
      </c>
      <c r="E84" s="20">
        <f t="shared" si="74"/>
        <v>23.295058619</v>
      </c>
      <c r="F84" s="16" t="s">
        <v>110</v>
      </c>
      <c r="G84" s="13">
        <v>11</v>
      </c>
      <c r="H84" s="18">
        <f t="shared" si="57"/>
        <v>16.2872644515806</v>
      </c>
      <c r="I84" s="18">
        <f t="shared" si="58"/>
        <v>289.437264451581</v>
      </c>
      <c r="J84" s="18">
        <f t="shared" si="59"/>
        <v>0.129525808897231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0.880791019698742</v>
      </c>
      <c r="O84" s="18">
        <f t="shared" si="75"/>
        <v>0.567577422089407</v>
      </c>
      <c r="P84" s="18">
        <f t="shared" si="62"/>
        <v>0.0735159247079356</v>
      </c>
      <c r="Q84" s="24">
        <f t="shared" si="63"/>
        <v>0.0191141404240633</v>
      </c>
      <c r="R84" s="18">
        <f t="shared" si="64"/>
        <v>0.1355172</v>
      </c>
      <c r="S84" s="25">
        <f t="shared" si="65"/>
        <v>0.141045862990552</v>
      </c>
      <c r="T84" s="3">
        <v>0.01</v>
      </c>
      <c r="U84" s="26">
        <f t="shared" si="66"/>
        <v>0.00141045862990552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0.00886045862990552</v>
      </c>
      <c r="AU84" s="29">
        <f t="shared" si="70"/>
        <v>52.122</v>
      </c>
      <c r="AV84" s="1">
        <f t="shared" si="71"/>
        <v>0.26</v>
      </c>
      <c r="AW84" s="2">
        <f t="shared" si="72"/>
        <v>0.434</v>
      </c>
      <c r="AX84" s="1">
        <f t="shared" si="73"/>
        <v>349.152498574291</v>
      </c>
    </row>
    <row r="85" s="1" customFormat="1" spans="1:51">
      <c r="A85" s="13"/>
      <c r="B85" s="13"/>
      <c r="C85" s="16">
        <v>11</v>
      </c>
      <c r="D85" s="19">
        <v>9.9152368304</v>
      </c>
      <c r="E85" s="20">
        <f t="shared" si="74"/>
        <v>16.2872644515806</v>
      </c>
      <c r="F85" s="16" t="s">
        <v>112</v>
      </c>
      <c r="G85" s="13">
        <v>12</v>
      </c>
      <c r="H85" s="18">
        <f t="shared" si="57"/>
        <v>9.9152368304</v>
      </c>
      <c r="I85" s="18">
        <f t="shared" si="58"/>
        <v>283.0652368304</v>
      </c>
      <c r="J85" s="18">
        <f t="shared" si="59"/>
        <v>0.0607402896425136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1.01528149738147</v>
      </c>
      <c r="P85" s="18">
        <f t="shared" si="62"/>
        <v>0.0616684922196355</v>
      </c>
      <c r="Q85" s="24">
        <f t="shared" si="63"/>
        <v>0.0160338079771052</v>
      </c>
      <c r="R85" s="18">
        <f t="shared" si="64"/>
        <v>0.1355172</v>
      </c>
      <c r="S85" s="25">
        <f t="shared" si="65"/>
        <v>0.118315667510141</v>
      </c>
      <c r="T85" s="3">
        <v>0.01</v>
      </c>
      <c r="U85" s="26">
        <f t="shared" si="66"/>
        <v>0.00118315667510141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0.00863315667510141</v>
      </c>
      <c r="AU85" s="29">
        <f t="shared" si="70"/>
        <v>52.122</v>
      </c>
      <c r="AV85" s="1">
        <f t="shared" si="71"/>
        <v>0.26</v>
      </c>
      <c r="AW85" s="2">
        <f t="shared" si="72"/>
        <v>0.434</v>
      </c>
      <c r="AX85" s="1">
        <f t="shared" si="73"/>
        <v>340.195507885027</v>
      </c>
      <c r="AY85" s="1">
        <f>SUM(AX74:AX85)</f>
        <v>6122.27198698592</v>
      </c>
    </row>
    <row r="86" s="1" customFormat="1" spans="1:46">
      <c r="A86" s="13"/>
      <c r="B86" s="13"/>
      <c r="C86" s="16">
        <v>12</v>
      </c>
      <c r="D86" s="19">
        <v>6.58395502812903</v>
      </c>
      <c r="E86" s="20">
        <f t="shared" si="74"/>
        <v>9.9152368304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5</v>
      </c>
      <c r="E90" s="16"/>
      <c r="F90" s="16"/>
      <c r="G90" s="13">
        <v>1</v>
      </c>
      <c r="H90" s="18">
        <f t="shared" ref="H90:H101" si="76">E91</f>
        <v>5</v>
      </c>
      <c r="I90" s="18">
        <f t="shared" ref="I90:I101" si="77">H90+273.15</f>
        <v>278.15</v>
      </c>
      <c r="J90" s="18">
        <f t="shared" ref="J90:J101" si="78">EXP(($C$16*(I90-$C$14))/($C$17*I90*$C$14))</f>
        <v>0.0330744063381255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0.00941628348446433</v>
      </c>
      <c r="Q90" s="24">
        <f t="shared" ref="Q90:Q101" si="82">P90*$B$76</f>
        <v>0.00244823370596073</v>
      </c>
      <c r="R90" s="18">
        <f t="shared" ref="R90:R101" si="83">L90*$B$76</f>
        <v>0.074022</v>
      </c>
      <c r="S90" s="25">
        <f t="shared" ref="S90:S101" si="84">Q90/R90</f>
        <v>0.0330744063381255</v>
      </c>
      <c r="T90" s="3">
        <v>0.01</v>
      </c>
      <c r="U90" s="26">
        <f t="shared" ref="U90:U101" si="85">S90*T90</f>
        <v>0.000330744063381255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0.00582074406338126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0.1812</v>
      </c>
      <c r="AX90" s="1">
        <f t="shared" ref="AX90:AX101" si="92">AW90*10000*AV90*0.67*AU90*AT90</f>
        <v>52.3085058635046</v>
      </c>
      <c r="AZ90" s="2">
        <f t="shared" ref="AZ90:AZ101" si="93">$E$10</f>
        <v>0.06</v>
      </c>
      <c r="BA90" s="1">
        <f t="shared" ref="BA90:BA101" si="94">AZ90*10000*AV90*0.67*AU90*AT90</f>
        <v>17.3206973057962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2.59638681848387</v>
      </c>
      <c r="E91" s="20">
        <f t="shared" ref="E91:E102" si="95">D90</f>
        <v>5</v>
      </c>
      <c r="F91" s="16" t="s">
        <v>110</v>
      </c>
      <c r="G91" s="13">
        <v>2</v>
      </c>
      <c r="H91" s="18">
        <f t="shared" si="76"/>
        <v>2.59638681848387</v>
      </c>
      <c r="I91" s="18">
        <f t="shared" si="77"/>
        <v>275.746386818484</v>
      </c>
      <c r="J91" s="18">
        <f t="shared" si="78"/>
        <v>0.0243766368502788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0.559983716515536</v>
      </c>
      <c r="P91" s="18">
        <f t="shared" si="81"/>
        <v>0.0136505196995687</v>
      </c>
      <c r="Q91" s="24">
        <f t="shared" si="82"/>
        <v>0.00354913512188786</v>
      </c>
      <c r="R91" s="18">
        <f t="shared" si="83"/>
        <v>0.074022</v>
      </c>
      <c r="S91" s="25">
        <f t="shared" si="84"/>
        <v>0.0479470309082146</v>
      </c>
      <c r="T91" s="3">
        <v>0.01</v>
      </c>
      <c r="U91" s="26">
        <f t="shared" si="85"/>
        <v>0.000479470309082146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0.00596947030908215</v>
      </c>
      <c r="AU91" s="29">
        <f t="shared" si="89"/>
        <v>28.47</v>
      </c>
      <c r="AV91" s="1">
        <f t="shared" si="90"/>
        <v>0.26</v>
      </c>
      <c r="AW91" s="2">
        <f t="shared" si="91"/>
        <v>0.1812</v>
      </c>
      <c r="AX91" s="1">
        <f t="shared" si="92"/>
        <v>53.6450442184967</v>
      </c>
      <c r="AZ91" s="2">
        <f t="shared" si="93"/>
        <v>0.06</v>
      </c>
      <c r="BA91" s="1">
        <f t="shared" si="94"/>
        <v>17.7632596749989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6.8372081352069</v>
      </c>
      <c r="E92" s="20">
        <f t="shared" si="95"/>
        <v>2.59638681848387</v>
      </c>
      <c r="F92" s="16" t="s">
        <v>110</v>
      </c>
      <c r="G92" s="13">
        <v>3</v>
      </c>
      <c r="H92" s="18">
        <f t="shared" si="76"/>
        <v>6.8372081352069</v>
      </c>
      <c r="I92" s="18">
        <f t="shared" si="77"/>
        <v>279.987208135207</v>
      </c>
      <c r="J92" s="18">
        <f t="shared" si="78"/>
        <v>0.0416148709888309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0.831033196815967</v>
      </c>
      <c r="P92" s="18">
        <f t="shared" si="81"/>
        <v>0.0345833392729322</v>
      </c>
      <c r="Q92" s="24">
        <f t="shared" si="82"/>
        <v>0.00899166821096237</v>
      </c>
      <c r="R92" s="18">
        <f t="shared" si="83"/>
        <v>0.074022</v>
      </c>
      <c r="S92" s="25">
        <f t="shared" si="84"/>
        <v>0.121472916308157</v>
      </c>
      <c r="T92" s="3">
        <v>0.01</v>
      </c>
      <c r="U92" s="26">
        <f t="shared" si="85"/>
        <v>0.00121472916308157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0.00670472916308157</v>
      </c>
      <c r="AU92" s="29">
        <f t="shared" si="89"/>
        <v>28.47</v>
      </c>
      <c r="AV92" s="1">
        <f t="shared" si="90"/>
        <v>0.26</v>
      </c>
      <c r="AW92" s="2">
        <f t="shared" si="91"/>
        <v>0.1812</v>
      </c>
      <c r="AX92" s="1">
        <f t="shared" si="92"/>
        <v>60.2524970899568</v>
      </c>
      <c r="AZ92" s="2">
        <f t="shared" si="93"/>
        <v>0.06</v>
      </c>
      <c r="BA92" s="1">
        <f t="shared" si="94"/>
        <v>19.9511579768069</v>
      </c>
    </row>
    <row r="93" s="1" customFormat="1" spans="1:53">
      <c r="A93" s="13"/>
      <c r="B93" s="13"/>
      <c r="C93" s="16">
        <v>3</v>
      </c>
      <c r="D93" s="19">
        <v>11.2522837389355</v>
      </c>
      <c r="E93" s="20">
        <f t="shared" si="95"/>
        <v>6.8372081352069</v>
      </c>
      <c r="F93" s="16" t="s">
        <v>110</v>
      </c>
      <c r="G93" s="13">
        <v>4</v>
      </c>
      <c r="H93" s="18">
        <f t="shared" si="76"/>
        <v>11.2522837389355</v>
      </c>
      <c r="I93" s="18">
        <f t="shared" si="77"/>
        <v>284.402283738935</v>
      </c>
      <c r="J93" s="18">
        <f t="shared" si="78"/>
        <v>0.0714015394965053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1.08114985754303</v>
      </c>
      <c r="P93" s="18">
        <f t="shared" si="81"/>
        <v>0.0771957642550001</v>
      </c>
      <c r="Q93" s="24">
        <f t="shared" si="82"/>
        <v>0.0200708987063</v>
      </c>
      <c r="R93" s="18">
        <f t="shared" si="83"/>
        <v>0.074022</v>
      </c>
      <c r="S93" s="25">
        <f t="shared" si="84"/>
        <v>0.27114774940288</v>
      </c>
      <c r="T93" s="3">
        <v>0.01</v>
      </c>
      <c r="U93" s="26">
        <f t="shared" si="85"/>
        <v>0.0027114774940288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0.0126614774940288</v>
      </c>
      <c r="AU93" s="29">
        <f t="shared" si="89"/>
        <v>28.47</v>
      </c>
      <c r="AV93" s="1">
        <f t="shared" si="90"/>
        <v>0.26</v>
      </c>
      <c r="AW93" s="2">
        <f t="shared" si="91"/>
        <v>0.1812</v>
      </c>
      <c r="AX93" s="1">
        <f t="shared" si="92"/>
        <v>113.783214400996</v>
      </c>
      <c r="AZ93" s="2">
        <f t="shared" si="93"/>
        <v>0.06</v>
      </c>
      <c r="BA93" s="1">
        <f t="shared" si="94"/>
        <v>37.6765610599326</v>
      </c>
    </row>
    <row r="94" s="1" customFormat="1" spans="1:53">
      <c r="A94" s="13"/>
      <c r="B94" s="13"/>
      <c r="C94" s="16">
        <v>4</v>
      </c>
      <c r="D94" s="19">
        <v>17.276157513</v>
      </c>
      <c r="E94" s="20">
        <f t="shared" si="95"/>
        <v>11.2522837389355</v>
      </c>
      <c r="F94" s="16" t="s">
        <v>110</v>
      </c>
      <c r="G94" s="13">
        <v>5</v>
      </c>
      <c r="H94" s="18">
        <f t="shared" si="76"/>
        <v>17.276157513</v>
      </c>
      <c r="I94" s="18">
        <f t="shared" si="77"/>
        <v>290.426157513</v>
      </c>
      <c r="J94" s="18">
        <f t="shared" si="78"/>
        <v>0.145245416168861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0.953756388623633</v>
      </c>
      <c r="O94" s="18">
        <f t="shared" si="96"/>
        <v>0.334897704664402</v>
      </c>
      <c r="P94" s="18">
        <f t="shared" si="81"/>
        <v>0.0486423564879773</v>
      </c>
      <c r="Q94" s="24">
        <f t="shared" si="82"/>
        <v>0.0126470126868741</v>
      </c>
      <c r="R94" s="18">
        <f t="shared" si="83"/>
        <v>0.074022</v>
      </c>
      <c r="S94" s="25">
        <f t="shared" si="84"/>
        <v>0.170854782184676</v>
      </c>
      <c r="T94" s="3">
        <v>0.01</v>
      </c>
      <c r="U94" s="26">
        <f t="shared" si="85"/>
        <v>0.00170854782184676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0.0116585478218468</v>
      </c>
      <c r="AU94" s="29">
        <f t="shared" si="89"/>
        <v>28.47</v>
      </c>
      <c r="AV94" s="1">
        <f t="shared" si="90"/>
        <v>0.26</v>
      </c>
      <c r="AW94" s="2">
        <f t="shared" si="91"/>
        <v>0.1812</v>
      </c>
      <c r="AX94" s="1">
        <f t="shared" si="92"/>
        <v>104.770319817973</v>
      </c>
      <c r="AZ94" s="2">
        <f t="shared" si="93"/>
        <v>0.06</v>
      </c>
      <c r="BA94" s="1">
        <f t="shared" si="94"/>
        <v>34.6921588801234</v>
      </c>
    </row>
    <row r="95" s="1" customFormat="1" spans="1:53">
      <c r="A95" s="13"/>
      <c r="B95" s="13"/>
      <c r="C95" s="16">
        <v>5</v>
      </c>
      <c r="D95" s="19">
        <v>19.5454304312903</v>
      </c>
      <c r="E95" s="20">
        <f t="shared" si="95"/>
        <v>17.276157513</v>
      </c>
      <c r="F95" s="16" t="s">
        <v>112</v>
      </c>
      <c r="G95" s="13">
        <v>6</v>
      </c>
      <c r="H95" s="18">
        <f t="shared" si="76"/>
        <v>19.5454304312903</v>
      </c>
      <c r="I95" s="18">
        <f t="shared" si="77"/>
        <v>292.69543043129</v>
      </c>
      <c r="J95" s="18">
        <f t="shared" si="78"/>
        <v>0.188359335100543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0.570955348176424</v>
      </c>
      <c r="P95" s="18">
        <f t="shared" si="81"/>
        <v>0.10754476975461</v>
      </c>
      <c r="Q95" s="24">
        <f t="shared" si="82"/>
        <v>0.0279616401361987</v>
      </c>
      <c r="R95" s="18">
        <f t="shared" si="83"/>
        <v>0.074022</v>
      </c>
      <c r="S95" s="25">
        <f t="shared" si="84"/>
        <v>0.377747698470707</v>
      </c>
      <c r="T95" s="3">
        <v>0.01</v>
      </c>
      <c r="U95" s="26">
        <f t="shared" si="85"/>
        <v>0.00377747698470707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0.0137274769847071</v>
      </c>
      <c r="AU95" s="29">
        <f t="shared" si="89"/>
        <v>28.47</v>
      </c>
      <c r="AV95" s="1">
        <f t="shared" si="90"/>
        <v>0.26</v>
      </c>
      <c r="AW95" s="2">
        <f t="shared" si="91"/>
        <v>0.1812</v>
      </c>
      <c r="AX95" s="1">
        <f t="shared" si="92"/>
        <v>123.362890126551</v>
      </c>
      <c r="AZ95" s="2">
        <f t="shared" si="93"/>
        <v>0.06</v>
      </c>
      <c r="BA95" s="1">
        <f t="shared" si="94"/>
        <v>40.8486391147519</v>
      </c>
    </row>
    <row r="96" s="1" customFormat="1" spans="1:53">
      <c r="A96" s="13"/>
      <c r="B96" s="13"/>
      <c r="C96" s="16">
        <v>6</v>
      </c>
      <c r="D96" s="19">
        <v>23.595891762</v>
      </c>
      <c r="E96" s="20">
        <f t="shared" si="95"/>
        <v>19.5454304312903</v>
      </c>
      <c r="F96" s="16" t="s">
        <v>110</v>
      </c>
      <c r="G96" s="13">
        <v>7</v>
      </c>
      <c r="H96" s="18">
        <f t="shared" si="76"/>
        <v>23.595891762</v>
      </c>
      <c r="I96" s="18">
        <f t="shared" si="77"/>
        <v>296.745891762</v>
      </c>
      <c r="J96" s="18">
        <f t="shared" si="78"/>
        <v>0.296609997831567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0.748110578421814</v>
      </c>
      <c r="P96" s="18">
        <f t="shared" si="81"/>
        <v>0.221897077043467</v>
      </c>
      <c r="Q96" s="24">
        <f t="shared" si="82"/>
        <v>0.0576932400313013</v>
      </c>
      <c r="R96" s="18">
        <f t="shared" si="83"/>
        <v>0.074022</v>
      </c>
      <c r="S96" s="25">
        <f t="shared" si="84"/>
        <v>0.779406663306872</v>
      </c>
      <c r="T96" s="3">
        <v>0.01</v>
      </c>
      <c r="U96" s="26">
        <f t="shared" si="85"/>
        <v>0.00779406663306872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0.0226940666330687</v>
      </c>
      <c r="AU96" s="29">
        <f t="shared" si="89"/>
        <v>28.47</v>
      </c>
      <c r="AV96" s="1">
        <f t="shared" si="90"/>
        <v>0.26</v>
      </c>
      <c r="AW96" s="2">
        <f t="shared" si="91"/>
        <v>0.1812</v>
      </c>
      <c r="AX96" s="1">
        <f t="shared" si="92"/>
        <v>203.941747758801</v>
      </c>
      <c r="AZ96" s="2">
        <f t="shared" si="93"/>
        <v>0.06</v>
      </c>
      <c r="BA96" s="1">
        <f t="shared" si="94"/>
        <v>67.5303800525831</v>
      </c>
    </row>
    <row r="97" s="1" customFormat="1" spans="1:53">
      <c r="A97" s="13"/>
      <c r="B97" s="13"/>
      <c r="C97" s="16">
        <v>7</v>
      </c>
      <c r="D97" s="19">
        <v>27.1127269090323</v>
      </c>
      <c r="E97" s="20">
        <f t="shared" si="95"/>
        <v>23.595891762</v>
      </c>
      <c r="F97" s="16" t="s">
        <v>110</v>
      </c>
      <c r="G97" s="13">
        <v>8</v>
      </c>
      <c r="H97" s="18">
        <f t="shared" si="76"/>
        <v>27.1127269090323</v>
      </c>
      <c r="I97" s="18">
        <f t="shared" si="77"/>
        <v>300.262726909032</v>
      </c>
      <c r="J97" s="18">
        <f t="shared" si="78"/>
        <v>0.435601612880311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0.810913501378347</v>
      </c>
      <c r="P97" s="18">
        <f t="shared" si="81"/>
        <v>0.353235229106828</v>
      </c>
      <c r="Q97" s="24">
        <f t="shared" si="82"/>
        <v>0.0918411595677754</v>
      </c>
      <c r="R97" s="18">
        <f t="shared" si="83"/>
        <v>0.074022</v>
      </c>
      <c r="S97" s="25">
        <f t="shared" si="84"/>
        <v>1.24072788586873</v>
      </c>
      <c r="T97" s="3">
        <v>0.01</v>
      </c>
      <c r="U97" s="26">
        <f t="shared" si="85"/>
        <v>0.0124072788586873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0.0273072788586873</v>
      </c>
      <c r="AU97" s="29">
        <f t="shared" si="89"/>
        <v>28.47</v>
      </c>
      <c r="AV97" s="1">
        <f t="shared" si="90"/>
        <v>0.26</v>
      </c>
      <c r="AW97" s="2">
        <f t="shared" si="91"/>
        <v>0.1812</v>
      </c>
      <c r="AX97" s="1">
        <f t="shared" si="92"/>
        <v>245.398687992862</v>
      </c>
      <c r="AZ97" s="2">
        <f t="shared" si="93"/>
        <v>0.06</v>
      </c>
      <c r="BA97" s="1">
        <f t="shared" si="94"/>
        <v>81.2578437062457</v>
      </c>
    </row>
    <row r="98" s="1" customFormat="1" spans="1:53">
      <c r="A98" s="13"/>
      <c r="B98" s="13"/>
      <c r="C98" s="16">
        <v>8</v>
      </c>
      <c r="D98" s="19">
        <v>26.9255934603226</v>
      </c>
      <c r="E98" s="20">
        <f t="shared" si="95"/>
        <v>27.1127269090323</v>
      </c>
      <c r="F98" s="16" t="s">
        <v>110</v>
      </c>
      <c r="G98" s="13">
        <v>9</v>
      </c>
      <c r="H98" s="18">
        <f t="shared" si="76"/>
        <v>26.9255934603226</v>
      </c>
      <c r="I98" s="18">
        <f t="shared" si="77"/>
        <v>300.075593460323</v>
      </c>
      <c r="J98" s="18">
        <f t="shared" si="78"/>
        <v>0.426881126572472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0.742378272271519</v>
      </c>
      <c r="P98" s="18">
        <f t="shared" si="81"/>
        <v>0.316907273210191</v>
      </c>
      <c r="Q98" s="24">
        <f t="shared" si="82"/>
        <v>0.0823958910346498</v>
      </c>
      <c r="R98" s="18">
        <f t="shared" si="83"/>
        <v>0.074022</v>
      </c>
      <c r="S98" s="25">
        <f t="shared" si="84"/>
        <v>1.11312705728905</v>
      </c>
      <c r="T98" s="3">
        <v>0.01</v>
      </c>
      <c r="U98" s="26">
        <f t="shared" si="85"/>
        <v>0.0111312705728905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0.0210812705728905</v>
      </c>
      <c r="AU98" s="29">
        <f t="shared" si="89"/>
        <v>28.47</v>
      </c>
      <c r="AV98" s="1">
        <f t="shared" si="90"/>
        <v>0.26</v>
      </c>
      <c r="AW98" s="2">
        <f t="shared" si="91"/>
        <v>0.1812</v>
      </c>
      <c r="AX98" s="1">
        <f t="shared" si="92"/>
        <v>189.448248087306</v>
      </c>
      <c r="AZ98" s="2">
        <f t="shared" si="93"/>
        <v>0.06</v>
      </c>
      <c r="BA98" s="1">
        <f t="shared" si="94"/>
        <v>62.7312079759292</v>
      </c>
    </row>
    <row r="99" s="1" customFormat="1" spans="1:53">
      <c r="A99" s="13"/>
      <c r="B99" s="13"/>
      <c r="C99" s="16">
        <v>9</v>
      </c>
      <c r="D99" s="19">
        <v>23.295058619</v>
      </c>
      <c r="E99" s="20">
        <f t="shared" si="95"/>
        <v>26.9255934603226</v>
      </c>
      <c r="F99" s="16" t="s">
        <v>110</v>
      </c>
      <c r="G99" s="13">
        <v>10</v>
      </c>
      <c r="H99" s="18">
        <f t="shared" si="76"/>
        <v>23.295058619</v>
      </c>
      <c r="I99" s="18">
        <f t="shared" si="77"/>
        <v>296.445058619</v>
      </c>
      <c r="J99" s="18">
        <f t="shared" si="78"/>
        <v>0.286896226213847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0.710170999061328</v>
      </c>
      <c r="P99" s="18">
        <f t="shared" si="81"/>
        <v>0.203745379597212</v>
      </c>
      <c r="Q99" s="24">
        <f t="shared" si="82"/>
        <v>0.0529737986952752</v>
      </c>
      <c r="R99" s="18">
        <f t="shared" si="83"/>
        <v>0.074022</v>
      </c>
      <c r="S99" s="25">
        <f t="shared" si="84"/>
        <v>0.715649383903099</v>
      </c>
      <c r="T99" s="3">
        <v>0.01</v>
      </c>
      <c r="U99" s="26">
        <f t="shared" si="85"/>
        <v>0.00715649383903099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0.017106493839031</v>
      </c>
      <c r="AU99" s="29">
        <f t="shared" si="89"/>
        <v>28.47</v>
      </c>
      <c r="AV99" s="1">
        <f t="shared" si="90"/>
        <v>0.26</v>
      </c>
      <c r="AW99" s="2">
        <f t="shared" si="91"/>
        <v>0.1812</v>
      </c>
      <c r="AX99" s="1">
        <f t="shared" si="92"/>
        <v>153.728651103612</v>
      </c>
      <c r="AZ99" s="2">
        <f t="shared" si="93"/>
        <v>0.06</v>
      </c>
      <c r="BA99" s="1">
        <f t="shared" si="94"/>
        <v>50.9035268555006</v>
      </c>
    </row>
    <row r="100" s="1" customFormat="1" spans="1:53">
      <c r="A100" s="13"/>
      <c r="B100" s="13"/>
      <c r="C100" s="16">
        <v>10</v>
      </c>
      <c r="D100" s="19">
        <v>16.2872644515806</v>
      </c>
      <c r="E100" s="20">
        <f t="shared" si="95"/>
        <v>23.295058619</v>
      </c>
      <c r="F100" s="16" t="s">
        <v>110</v>
      </c>
      <c r="G100" s="13">
        <v>11</v>
      </c>
      <c r="H100" s="18">
        <f t="shared" si="76"/>
        <v>16.2872644515806</v>
      </c>
      <c r="I100" s="18">
        <f t="shared" si="77"/>
        <v>289.437264451581</v>
      </c>
      <c r="J100" s="18">
        <f t="shared" si="78"/>
        <v>0.129525808897231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0.481104338490909</v>
      </c>
      <c r="O100" s="18">
        <f t="shared" si="96"/>
        <v>0.310021280973206</v>
      </c>
      <c r="P100" s="18">
        <f t="shared" si="81"/>
        <v>0.0401557571934102</v>
      </c>
      <c r="Q100" s="24">
        <f t="shared" si="82"/>
        <v>0.0104404968702867</v>
      </c>
      <c r="R100" s="18">
        <f t="shared" si="83"/>
        <v>0.074022</v>
      </c>
      <c r="S100" s="25">
        <f t="shared" si="84"/>
        <v>0.141045862990552</v>
      </c>
      <c r="T100" s="3">
        <v>0.01</v>
      </c>
      <c r="U100" s="26">
        <f t="shared" si="85"/>
        <v>0.00141045862990552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0.00690045862990552</v>
      </c>
      <c r="AU100" s="29">
        <f t="shared" si="89"/>
        <v>28.47</v>
      </c>
      <c r="AV100" s="1">
        <f t="shared" si="90"/>
        <v>0.26</v>
      </c>
      <c r="AW100" s="2">
        <f t="shared" si="91"/>
        <v>0.1812</v>
      </c>
      <c r="AX100" s="1">
        <f t="shared" si="92"/>
        <v>62.0114330355228</v>
      </c>
      <c r="AZ100" s="2">
        <f t="shared" si="93"/>
        <v>0.06</v>
      </c>
      <c r="BA100" s="1">
        <f t="shared" si="94"/>
        <v>20.5335870978552</v>
      </c>
    </row>
    <row r="101" s="1" customFormat="1" spans="1:54">
      <c r="A101" s="13"/>
      <c r="B101" s="13"/>
      <c r="C101" s="16">
        <v>11</v>
      </c>
      <c r="D101" s="19">
        <v>9.9152368304</v>
      </c>
      <c r="E101" s="20">
        <f t="shared" si="95"/>
        <v>16.2872644515806</v>
      </c>
      <c r="F101" s="16" t="s">
        <v>112</v>
      </c>
      <c r="G101" s="13">
        <v>12</v>
      </c>
      <c r="H101" s="18">
        <f t="shared" si="76"/>
        <v>9.9152368304</v>
      </c>
      <c r="I101" s="18">
        <f t="shared" si="77"/>
        <v>283.0652368304</v>
      </c>
      <c r="J101" s="18">
        <f t="shared" si="78"/>
        <v>0.0607402896425136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0.554565523779796</v>
      </c>
      <c r="P101" s="18">
        <f t="shared" si="81"/>
        <v>0.033684470540137</v>
      </c>
      <c r="Q101" s="24">
        <f t="shared" si="82"/>
        <v>0.00875796234043563</v>
      </c>
      <c r="R101" s="18">
        <f t="shared" si="83"/>
        <v>0.074022</v>
      </c>
      <c r="S101" s="25">
        <f t="shared" si="84"/>
        <v>0.118315667510141</v>
      </c>
      <c r="T101" s="3">
        <v>0.01</v>
      </c>
      <c r="U101" s="26">
        <f t="shared" si="85"/>
        <v>0.00118315667510141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0.00667315667510141</v>
      </c>
      <c r="AU101" s="29">
        <f t="shared" si="89"/>
        <v>28.47</v>
      </c>
      <c r="AV101" s="1">
        <f t="shared" si="90"/>
        <v>0.26</v>
      </c>
      <c r="AW101" s="2">
        <f t="shared" si="91"/>
        <v>0.1812</v>
      </c>
      <c r="AX101" s="1">
        <f t="shared" si="92"/>
        <v>59.9687688149025</v>
      </c>
      <c r="AY101" s="1">
        <f>SUM(AX90:AX101)</f>
        <v>1422.62000831048</v>
      </c>
      <c r="AZ101" s="2">
        <f t="shared" si="93"/>
        <v>0.06</v>
      </c>
      <c r="BA101" s="1">
        <f t="shared" si="94"/>
        <v>19.8572082168551</v>
      </c>
      <c r="BB101" s="1">
        <f>SUM(BA90:BA101)</f>
        <v>471.066227917379</v>
      </c>
    </row>
    <row r="102" s="1" customFormat="1" spans="1:46">
      <c r="A102" s="13"/>
      <c r="B102" s="13"/>
      <c r="C102" s="16">
        <v>12</v>
      </c>
      <c r="D102" s="19">
        <v>6.58395502812903</v>
      </c>
      <c r="E102" s="20">
        <f t="shared" si="95"/>
        <v>9.9152368304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03"/>
  <sheetViews>
    <sheetView workbookViewId="0">
      <selection activeCell="E21" sqref="E2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506.307961374719</v>
      </c>
      <c r="F2" s="3">
        <v>1069.523</v>
      </c>
      <c r="G2" s="7">
        <f>(F2+F3+F4)/3</f>
        <v>1305.751</v>
      </c>
      <c r="H2" s="3">
        <v>0.18</v>
      </c>
      <c r="I2" s="21">
        <f>(H2+H3+H4)/3</f>
        <v>0.136666666666667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1212.90723287671</v>
      </c>
      <c r="F5" s="3">
        <v>91.104</v>
      </c>
      <c r="G5" s="7">
        <f>(F5+F6)/2</f>
        <v>92.50925</v>
      </c>
      <c r="H5" s="3">
        <v>0.18</v>
      </c>
      <c r="I5" s="21">
        <f>(H5+H6)/2</f>
        <v>0.155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8099.09744879509</v>
      </c>
      <c r="F7" s="3">
        <v>108.2955</v>
      </c>
      <c r="G7" s="3"/>
      <c r="H7" s="3">
        <v>0.45</v>
      </c>
      <c r="M7" s="2"/>
    </row>
    <row r="8" s="1" customFormat="1" spans="1:13">
      <c r="A8" s="4" t="s">
        <v>49</v>
      </c>
      <c r="B8" s="5"/>
      <c r="C8" s="3"/>
      <c r="D8" s="3"/>
      <c r="E8" s="12">
        <v>1.388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12">
        <v>0.105823758523778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12">
        <v>0.114175684626403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AV38+AV54+AG70+AY86+AY102+BB102</f>
        <v>218393063.422389</v>
      </c>
      <c r="J14" s="14" t="s">
        <v>35</v>
      </c>
      <c r="K14" s="14">
        <f>I14/(10000*1000)</f>
        <v>21.8393063422389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137062365.753424</v>
      </c>
      <c r="J15" s="14" t="s">
        <v>35</v>
      </c>
      <c r="K15" s="14">
        <f>I15/(10000*1000)</f>
        <v>13.7062365753424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1305.751</v>
      </c>
      <c r="C27" s="16" t="s">
        <v>109</v>
      </c>
      <c r="D27" s="17">
        <v>6</v>
      </c>
      <c r="E27" s="16"/>
      <c r="F27" s="16"/>
      <c r="G27" s="13">
        <v>1</v>
      </c>
      <c r="H27" s="18">
        <f t="shared" ref="H27:H38" si="0">E28</f>
        <v>6</v>
      </c>
      <c r="I27" s="18">
        <f t="shared" ref="I27:I38" si="1">H27+273.15</f>
        <v>279.15</v>
      </c>
      <c r="J27" s="18">
        <f t="shared" ref="J27:J38" si="2">EXP(($C$16*(I27-$C$14))/($C$17*I27*$C$14))</f>
        <v>0.0374932232426917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110</v>
      </c>
      <c r="N27" s="13"/>
      <c r="O27" s="18">
        <f>L27</f>
        <v>1.08812583333333</v>
      </c>
      <c r="P27" s="18">
        <f t="shared" ref="P27:P38" si="5">O27*J27</f>
        <v>0.0407973447853066</v>
      </c>
      <c r="Q27" s="24">
        <f t="shared" ref="Q27:Q38" si="6">P27*$B$29</f>
        <v>0.00557563712065857</v>
      </c>
      <c r="R27" s="18">
        <f t="shared" ref="R27:R38" si="7">L27*$B$29</f>
        <v>0.148710530555556</v>
      </c>
      <c r="S27" s="25">
        <f t="shared" ref="S27:S38" si="8">Q27/R27</f>
        <v>0.0374932232426917</v>
      </c>
      <c r="T27" s="3">
        <v>0.01</v>
      </c>
      <c r="U27" s="26">
        <f t="shared" ref="U27:U38" si="9">S27*T27</f>
        <v>0.000374932232426917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0.0222749322324269</v>
      </c>
      <c r="AR27" s="29">
        <f t="shared" ref="AR27:AR38" si="15">$B$27/12</f>
        <v>108.812583333333</v>
      </c>
      <c r="AS27" s="1">
        <f t="shared" ref="AS27:AS38" si="16">$B$29</f>
        <v>0.136666666666667</v>
      </c>
      <c r="AT27" s="2">
        <f>$E$2/12</f>
        <v>42.1923301145599</v>
      </c>
      <c r="AU27" s="1">
        <f t="shared" ref="AU27:AU38" si="17">AT27*10000*AS27*0.67*AR27*AQ27</f>
        <v>93641.0829465042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5.17466241306451</v>
      </c>
      <c r="E28" s="20">
        <f t="shared" ref="E28:E39" si="18">D27</f>
        <v>6</v>
      </c>
      <c r="F28" s="16" t="s">
        <v>110</v>
      </c>
      <c r="G28" s="13">
        <v>2</v>
      </c>
      <c r="H28" s="18">
        <f t="shared" si="0"/>
        <v>5.17466241306451</v>
      </c>
      <c r="I28" s="18">
        <f t="shared" si="1"/>
        <v>278.324662413065</v>
      </c>
      <c r="J28" s="18">
        <f t="shared" si="2"/>
        <v>0.0338090140436294</v>
      </c>
      <c r="K28" s="18">
        <f t="shared" si="3"/>
        <v>108.812583333333</v>
      </c>
      <c r="L28" s="18">
        <f t="shared" si="4"/>
        <v>1.08812583333333</v>
      </c>
      <c r="M28" s="13" t="s">
        <v>110</v>
      </c>
      <c r="N28" s="13"/>
      <c r="O28" s="18">
        <f t="shared" ref="O28:O38" si="19">L28+O27-P27-N28</f>
        <v>2.13545432188136</v>
      </c>
      <c r="P28" s="18">
        <f t="shared" si="5"/>
        <v>0.072197605158016</v>
      </c>
      <c r="Q28" s="24">
        <f t="shared" si="6"/>
        <v>0.00986700603826219</v>
      </c>
      <c r="R28" s="18">
        <f t="shared" si="7"/>
        <v>0.148710530555556</v>
      </c>
      <c r="S28" s="25">
        <f t="shared" si="8"/>
        <v>0.0663504191761057</v>
      </c>
      <c r="T28" s="3">
        <v>0.01</v>
      </c>
      <c r="U28" s="26">
        <f t="shared" si="9"/>
        <v>0.000663504191761057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0.0225635041917611</v>
      </c>
      <c r="AR28" s="29">
        <f t="shared" si="15"/>
        <v>108.812583333333</v>
      </c>
      <c r="AS28" s="1">
        <f t="shared" si="16"/>
        <v>0.136666666666667</v>
      </c>
      <c r="AT28" s="2">
        <f t="shared" ref="AT28:AT38" si="20">$E$2/12</f>
        <v>42.1923301145599</v>
      </c>
      <c r="AU28" s="1">
        <f t="shared" si="17"/>
        <v>94854.204068404</v>
      </c>
    </row>
    <row r="29" s="1" customFormat="1" spans="1:47">
      <c r="A29" s="13" t="s">
        <v>73</v>
      </c>
      <c r="B29" s="13">
        <f>I2</f>
        <v>0.136666666666667</v>
      </c>
      <c r="C29" s="16">
        <v>2</v>
      </c>
      <c r="D29" s="19">
        <v>8.55040523172414</v>
      </c>
      <c r="E29" s="20">
        <f t="shared" si="18"/>
        <v>5.17466241306451</v>
      </c>
      <c r="F29" s="16" t="s">
        <v>110</v>
      </c>
      <c r="G29" s="13">
        <v>3</v>
      </c>
      <c r="H29" s="18">
        <f t="shared" si="0"/>
        <v>8.55040523172414</v>
      </c>
      <c r="I29" s="18">
        <f t="shared" si="1"/>
        <v>281.700405231724</v>
      </c>
      <c r="J29" s="18">
        <f t="shared" si="2"/>
        <v>0.0514160961344809</v>
      </c>
      <c r="K29" s="18">
        <f t="shared" si="3"/>
        <v>108.812583333333</v>
      </c>
      <c r="L29" s="18">
        <f t="shared" si="4"/>
        <v>1.08812583333333</v>
      </c>
      <c r="M29" s="13" t="s">
        <v>110</v>
      </c>
      <c r="N29" s="13"/>
      <c r="O29" s="18">
        <f t="shared" si="19"/>
        <v>3.15138255005668</v>
      </c>
      <c r="P29" s="18">
        <f t="shared" si="5"/>
        <v>0.16203178815024</v>
      </c>
      <c r="Q29" s="24">
        <f t="shared" si="6"/>
        <v>0.0221443443805328</v>
      </c>
      <c r="R29" s="18">
        <f t="shared" si="7"/>
        <v>0.148710530555556</v>
      </c>
      <c r="S29" s="25">
        <f t="shared" si="8"/>
        <v>0.148909053701883</v>
      </c>
      <c r="T29" s="3">
        <v>0.01</v>
      </c>
      <c r="U29" s="26">
        <f t="shared" si="9"/>
        <v>0.00148909053701883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0.0233890905370188</v>
      </c>
      <c r="AR29" s="29">
        <f t="shared" si="15"/>
        <v>108.812583333333</v>
      </c>
      <c r="AS29" s="1">
        <f t="shared" si="16"/>
        <v>0.136666666666667</v>
      </c>
      <c r="AT29" s="2">
        <f t="shared" si="20"/>
        <v>42.1923301145599</v>
      </c>
      <c r="AU29" s="1">
        <f t="shared" si="17"/>
        <v>98324.867800581</v>
      </c>
    </row>
    <row r="30" s="1" customFormat="1" spans="1:47">
      <c r="A30" s="13"/>
      <c r="B30" s="13"/>
      <c r="C30" s="16">
        <v>3</v>
      </c>
      <c r="D30" s="19">
        <v>12.6942155086129</v>
      </c>
      <c r="E30" s="20">
        <f t="shared" si="18"/>
        <v>8.55040523172414</v>
      </c>
      <c r="F30" s="16" t="s">
        <v>110</v>
      </c>
      <c r="G30" s="13">
        <v>4</v>
      </c>
      <c r="H30" s="18">
        <f t="shared" si="0"/>
        <v>12.6942155086129</v>
      </c>
      <c r="I30" s="18">
        <f t="shared" si="1"/>
        <v>285.844215508613</v>
      </c>
      <c r="J30" s="18">
        <f t="shared" si="2"/>
        <v>0.0848615985857563</v>
      </c>
      <c r="K30" s="18">
        <f t="shared" si="3"/>
        <v>108.812583333333</v>
      </c>
      <c r="L30" s="18">
        <f t="shared" si="4"/>
        <v>1.08812583333333</v>
      </c>
      <c r="M30" s="13" t="s">
        <v>110</v>
      </c>
      <c r="N30" s="13"/>
      <c r="O30" s="18">
        <f t="shared" si="19"/>
        <v>4.07747659523977</v>
      </c>
      <c r="P30" s="18">
        <f t="shared" si="5"/>
        <v>0.346021182068054</v>
      </c>
      <c r="Q30" s="24">
        <f t="shared" si="6"/>
        <v>0.0472895615493007</v>
      </c>
      <c r="R30" s="18">
        <f t="shared" si="7"/>
        <v>0.148710530555556</v>
      </c>
      <c r="S30" s="25">
        <f t="shared" si="8"/>
        <v>0.317997396503364</v>
      </c>
      <c r="T30" s="3">
        <v>0.01</v>
      </c>
      <c r="U30" s="26">
        <f t="shared" si="9"/>
        <v>0.00317997396503364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0.0326299739650336</v>
      </c>
      <c r="AR30" s="29">
        <f t="shared" si="15"/>
        <v>108.812583333333</v>
      </c>
      <c r="AS30" s="1">
        <f t="shared" si="16"/>
        <v>0.136666666666667</v>
      </c>
      <c r="AT30" s="2">
        <f t="shared" si="20"/>
        <v>42.1923301145599</v>
      </c>
      <c r="AU30" s="1">
        <f t="shared" si="17"/>
        <v>137172.408280278</v>
      </c>
    </row>
    <row r="31" s="1" customFormat="1" spans="1:47">
      <c r="A31" s="13"/>
      <c r="B31" s="13"/>
      <c r="C31" s="16">
        <v>4</v>
      </c>
      <c r="D31" s="19">
        <v>18.483660124</v>
      </c>
      <c r="E31" s="20">
        <f t="shared" si="18"/>
        <v>12.6942155086129</v>
      </c>
      <c r="F31" s="16" t="s">
        <v>110</v>
      </c>
      <c r="G31" s="13">
        <v>5</v>
      </c>
      <c r="H31" s="18">
        <f t="shared" si="0"/>
        <v>18.483660124</v>
      </c>
      <c r="I31" s="18">
        <f t="shared" si="1"/>
        <v>291.633660124</v>
      </c>
      <c r="J31" s="18">
        <f t="shared" si="2"/>
        <v>0.16687381717441</v>
      </c>
      <c r="K31" s="18">
        <f t="shared" si="3"/>
        <v>108.812583333333</v>
      </c>
      <c r="L31" s="18">
        <f t="shared" si="4"/>
        <v>1.08812583333333</v>
      </c>
      <c r="M31" s="13" t="s">
        <v>112</v>
      </c>
      <c r="N31" s="18">
        <f>(O30-P30)*C22/100</f>
        <v>3.54488264251313</v>
      </c>
      <c r="O31" s="18">
        <f t="shared" si="19"/>
        <v>1.27469860399192</v>
      </c>
      <c r="P31" s="18">
        <f t="shared" si="5"/>
        <v>0.212713821795023</v>
      </c>
      <c r="Q31" s="24">
        <f t="shared" si="6"/>
        <v>0.0290708889786532</v>
      </c>
      <c r="R31" s="18">
        <f t="shared" si="7"/>
        <v>0.148710530555556</v>
      </c>
      <c r="S31" s="25">
        <f t="shared" si="8"/>
        <v>0.195486418278851</v>
      </c>
      <c r="T31" s="3">
        <v>0.01</v>
      </c>
      <c r="U31" s="26">
        <f t="shared" si="9"/>
        <v>0.00195486418278851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0.0314048641827885</v>
      </c>
      <c r="AR31" s="29">
        <f t="shared" si="15"/>
        <v>108.812583333333</v>
      </c>
      <c r="AS31" s="1">
        <f t="shared" si="16"/>
        <v>0.136666666666667</v>
      </c>
      <c r="AT31" s="2">
        <f t="shared" si="20"/>
        <v>42.1923301145599</v>
      </c>
      <c r="AU31" s="1">
        <f t="shared" si="17"/>
        <v>132022.197023034</v>
      </c>
    </row>
    <row r="32" s="1" customFormat="1" spans="1:47">
      <c r="A32" s="13"/>
      <c r="B32" s="13"/>
      <c r="C32" s="16">
        <v>5</v>
      </c>
      <c r="D32" s="19">
        <v>20.7969155254839</v>
      </c>
      <c r="E32" s="20">
        <f t="shared" si="18"/>
        <v>18.483660124</v>
      </c>
      <c r="F32" s="16" t="s">
        <v>112</v>
      </c>
      <c r="G32" s="13">
        <v>6</v>
      </c>
      <c r="H32" s="18">
        <f t="shared" si="0"/>
        <v>20.7969155254839</v>
      </c>
      <c r="I32" s="18">
        <f t="shared" si="1"/>
        <v>293.946915525484</v>
      </c>
      <c r="J32" s="18">
        <f t="shared" si="2"/>
        <v>0.21701835447003</v>
      </c>
      <c r="K32" s="18">
        <f t="shared" si="3"/>
        <v>108.812583333333</v>
      </c>
      <c r="L32" s="18">
        <f t="shared" si="4"/>
        <v>1.08812583333333</v>
      </c>
      <c r="M32" s="13" t="s">
        <v>110</v>
      </c>
      <c r="N32" s="13"/>
      <c r="O32" s="18">
        <f t="shared" si="19"/>
        <v>2.15011061553023</v>
      </c>
      <c r="P32" s="18">
        <f t="shared" si="5"/>
        <v>0.466613467710914</v>
      </c>
      <c r="Q32" s="24">
        <f t="shared" si="6"/>
        <v>0.0637705072538249</v>
      </c>
      <c r="R32" s="18">
        <f t="shared" si="7"/>
        <v>0.148710530555556</v>
      </c>
      <c r="S32" s="25">
        <f t="shared" si="8"/>
        <v>0.428823076722206</v>
      </c>
      <c r="T32" s="3">
        <v>0.01</v>
      </c>
      <c r="U32" s="26">
        <f t="shared" si="9"/>
        <v>0.00428823076722206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0.0337382307672221</v>
      </c>
      <c r="AR32" s="29">
        <f t="shared" si="15"/>
        <v>108.812583333333</v>
      </c>
      <c r="AS32" s="1">
        <f t="shared" si="16"/>
        <v>0.136666666666667</v>
      </c>
      <c r="AT32" s="2">
        <f t="shared" si="20"/>
        <v>42.1923301145599</v>
      </c>
      <c r="AU32" s="1">
        <f t="shared" si="17"/>
        <v>141831.383942106</v>
      </c>
    </row>
    <row r="33" s="1" customFormat="1" spans="1:47">
      <c r="A33" s="13"/>
      <c r="B33" s="13"/>
      <c r="C33" s="16">
        <v>6</v>
      </c>
      <c r="D33" s="19">
        <v>25.5609335346667</v>
      </c>
      <c r="E33" s="20">
        <f t="shared" si="18"/>
        <v>20.7969155254839</v>
      </c>
      <c r="F33" s="16" t="s">
        <v>110</v>
      </c>
      <c r="G33" s="13">
        <v>7</v>
      </c>
      <c r="H33" s="18">
        <f t="shared" si="0"/>
        <v>25.5609335346667</v>
      </c>
      <c r="I33" s="18">
        <f t="shared" si="1"/>
        <v>298.710933534667</v>
      </c>
      <c r="J33" s="18">
        <f t="shared" si="2"/>
        <v>0.368068098163624</v>
      </c>
      <c r="K33" s="18">
        <f t="shared" si="3"/>
        <v>108.812583333333</v>
      </c>
      <c r="L33" s="18">
        <f t="shared" si="4"/>
        <v>1.08812583333333</v>
      </c>
      <c r="M33" s="13" t="s">
        <v>110</v>
      </c>
      <c r="N33" s="13"/>
      <c r="O33" s="18">
        <f t="shared" si="19"/>
        <v>2.77162298115265</v>
      </c>
      <c r="P33" s="18">
        <f t="shared" si="5"/>
        <v>1.02014599949945</v>
      </c>
      <c r="Q33" s="24">
        <f t="shared" si="6"/>
        <v>0.139419953264925</v>
      </c>
      <c r="R33" s="18">
        <f t="shared" si="7"/>
        <v>0.148710530555556</v>
      </c>
      <c r="S33" s="25">
        <f t="shared" si="8"/>
        <v>0.937525760577124</v>
      </c>
      <c r="T33" s="3">
        <v>0.01</v>
      </c>
      <c r="U33" s="26">
        <f t="shared" si="9"/>
        <v>0.00937525760577123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0.0442752576057712</v>
      </c>
      <c r="AR33" s="29">
        <f t="shared" si="15"/>
        <v>108.812583333333</v>
      </c>
      <c r="AS33" s="1">
        <f t="shared" si="16"/>
        <v>0.136666666666667</v>
      </c>
      <c r="AT33" s="2">
        <f t="shared" si="20"/>
        <v>42.1923301145599</v>
      </c>
      <c r="AU33" s="1">
        <f t="shared" si="17"/>
        <v>186127.75233966</v>
      </c>
    </row>
    <row r="34" s="1" customFormat="1" spans="1:47">
      <c r="A34" s="13"/>
      <c r="B34" s="13"/>
      <c r="C34" s="16">
        <v>7</v>
      </c>
      <c r="D34" s="19">
        <v>28.4794855348387</v>
      </c>
      <c r="E34" s="20">
        <f t="shared" si="18"/>
        <v>25.5609335346667</v>
      </c>
      <c r="F34" s="16" t="s">
        <v>110</v>
      </c>
      <c r="G34" s="13">
        <v>8</v>
      </c>
      <c r="H34" s="18">
        <f t="shared" si="0"/>
        <v>28.4794855348387</v>
      </c>
      <c r="I34" s="18">
        <f t="shared" si="1"/>
        <v>301.629485534839</v>
      </c>
      <c r="J34" s="18">
        <f t="shared" si="2"/>
        <v>0.504549272106322</v>
      </c>
      <c r="K34" s="18">
        <f t="shared" si="3"/>
        <v>108.812583333333</v>
      </c>
      <c r="L34" s="18">
        <f t="shared" si="4"/>
        <v>1.08812583333333</v>
      </c>
      <c r="M34" s="13" t="s">
        <v>110</v>
      </c>
      <c r="N34" s="13"/>
      <c r="O34" s="18">
        <f t="shared" si="19"/>
        <v>2.83960281498653</v>
      </c>
      <c r="P34" s="18">
        <f t="shared" si="5"/>
        <v>1.43271953337252</v>
      </c>
      <c r="Q34" s="24">
        <f t="shared" si="6"/>
        <v>0.195805002894244</v>
      </c>
      <c r="R34" s="18">
        <f t="shared" si="7"/>
        <v>0.148710530555556</v>
      </c>
      <c r="S34" s="25">
        <f t="shared" si="8"/>
        <v>1.31668552430519</v>
      </c>
      <c r="T34" s="3">
        <v>0.01</v>
      </c>
      <c r="U34" s="26">
        <f t="shared" si="9"/>
        <v>0.0131668552430519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0.0480668552430519</v>
      </c>
      <c r="AR34" s="29">
        <f t="shared" si="15"/>
        <v>108.812583333333</v>
      </c>
      <c r="AS34" s="1">
        <f t="shared" si="16"/>
        <v>0.136666666666667</v>
      </c>
      <c r="AT34" s="2">
        <f t="shared" si="20"/>
        <v>42.1923301145599</v>
      </c>
      <c r="AU34" s="1">
        <f t="shared" si="17"/>
        <v>202067.163743817</v>
      </c>
    </row>
    <row r="35" s="1" customFormat="1" spans="1:47">
      <c r="A35" s="13"/>
      <c r="B35" s="13"/>
      <c r="C35" s="16">
        <v>8</v>
      </c>
      <c r="D35" s="19">
        <v>27.5043551645161</v>
      </c>
      <c r="E35" s="20">
        <f t="shared" si="18"/>
        <v>28.4794855348387</v>
      </c>
      <c r="F35" s="16" t="s">
        <v>110</v>
      </c>
      <c r="G35" s="13">
        <v>9</v>
      </c>
      <c r="H35" s="18">
        <f t="shared" si="0"/>
        <v>27.5043551645161</v>
      </c>
      <c r="I35" s="18">
        <f t="shared" si="1"/>
        <v>300.654355164516</v>
      </c>
      <c r="J35" s="18">
        <f t="shared" si="2"/>
        <v>0.454395424035328</v>
      </c>
      <c r="K35" s="18">
        <f t="shared" si="3"/>
        <v>108.812583333333</v>
      </c>
      <c r="L35" s="18">
        <f t="shared" si="4"/>
        <v>1.08812583333333</v>
      </c>
      <c r="M35" s="13" t="s">
        <v>110</v>
      </c>
      <c r="N35" s="13"/>
      <c r="O35" s="18">
        <f t="shared" si="19"/>
        <v>2.49500911494735</v>
      </c>
      <c r="P35" s="18">
        <f t="shared" si="5"/>
        <v>1.13372072475851</v>
      </c>
      <c r="Q35" s="24">
        <f t="shared" si="6"/>
        <v>0.154941832383663</v>
      </c>
      <c r="R35" s="18">
        <f t="shared" si="7"/>
        <v>0.148710530555556</v>
      </c>
      <c r="S35" s="25">
        <f t="shared" si="8"/>
        <v>1.0419022230963</v>
      </c>
      <c r="T35" s="3">
        <v>0.01</v>
      </c>
      <c r="U35" s="26">
        <f t="shared" si="9"/>
        <v>0.010419022230963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0.0398690222309629</v>
      </c>
      <c r="AR35" s="29">
        <f t="shared" si="15"/>
        <v>108.812583333333</v>
      </c>
      <c r="AS35" s="1">
        <f t="shared" si="16"/>
        <v>0.136666666666667</v>
      </c>
      <c r="AT35" s="2">
        <f t="shared" si="20"/>
        <v>42.1923301145599</v>
      </c>
      <c r="AU35" s="1">
        <f t="shared" si="17"/>
        <v>167604.479276068</v>
      </c>
    </row>
    <row r="36" s="1" customFormat="1" spans="1:47">
      <c r="A36" s="13"/>
      <c r="B36" s="13"/>
      <c r="C36" s="16">
        <v>9</v>
      </c>
      <c r="D36" s="19">
        <v>24.1237315376667</v>
      </c>
      <c r="E36" s="20">
        <f t="shared" si="18"/>
        <v>27.5043551645161</v>
      </c>
      <c r="F36" s="16" t="s">
        <v>110</v>
      </c>
      <c r="G36" s="13">
        <v>10</v>
      </c>
      <c r="H36" s="18">
        <f t="shared" si="0"/>
        <v>24.1237315376667</v>
      </c>
      <c r="I36" s="18">
        <f t="shared" si="1"/>
        <v>297.273731537667</v>
      </c>
      <c r="J36" s="18">
        <f t="shared" si="2"/>
        <v>0.31440405624836</v>
      </c>
      <c r="K36" s="18">
        <f t="shared" si="3"/>
        <v>108.812583333333</v>
      </c>
      <c r="L36" s="18">
        <f t="shared" si="4"/>
        <v>1.08812583333333</v>
      </c>
      <c r="M36" s="13" t="s">
        <v>110</v>
      </c>
      <c r="N36" s="13"/>
      <c r="O36" s="18">
        <f t="shared" si="19"/>
        <v>2.44941422352217</v>
      </c>
      <c r="P36" s="18">
        <f t="shared" si="5"/>
        <v>0.770105767307798</v>
      </c>
      <c r="Q36" s="24">
        <f t="shared" si="6"/>
        <v>0.105247788198732</v>
      </c>
      <c r="R36" s="18">
        <f t="shared" si="7"/>
        <v>0.148710530555556</v>
      </c>
      <c r="S36" s="25">
        <f t="shared" si="8"/>
        <v>0.707735947182394</v>
      </c>
      <c r="T36" s="3">
        <v>0.01</v>
      </c>
      <c r="U36" s="26">
        <f t="shared" si="9"/>
        <v>0.00707735947182394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0.0365273594718239</v>
      </c>
      <c r="AR36" s="29">
        <f t="shared" si="15"/>
        <v>108.812583333333</v>
      </c>
      <c r="AS36" s="1">
        <f t="shared" si="16"/>
        <v>0.136666666666667</v>
      </c>
      <c r="AT36" s="2">
        <f t="shared" si="20"/>
        <v>42.1923301145599</v>
      </c>
      <c r="AU36" s="1">
        <f t="shared" si="17"/>
        <v>153556.538912315</v>
      </c>
    </row>
    <row r="37" s="1" customFormat="1" spans="1:47">
      <c r="A37" s="13"/>
      <c r="B37" s="13"/>
      <c r="C37" s="16">
        <v>10</v>
      </c>
      <c r="D37" s="19">
        <v>18.6061433790323</v>
      </c>
      <c r="E37" s="20">
        <f t="shared" si="18"/>
        <v>24.1237315376667</v>
      </c>
      <c r="F37" s="16" t="s">
        <v>110</v>
      </c>
      <c r="G37" s="13">
        <v>11</v>
      </c>
      <c r="H37" s="18">
        <f t="shared" si="0"/>
        <v>18.6061433790323</v>
      </c>
      <c r="I37" s="18">
        <f t="shared" si="1"/>
        <v>291.756143379032</v>
      </c>
      <c r="J37" s="18">
        <f t="shared" si="2"/>
        <v>0.169229247120736</v>
      </c>
      <c r="K37" s="18">
        <f t="shared" si="3"/>
        <v>108.812583333333</v>
      </c>
      <c r="L37" s="18">
        <f t="shared" si="4"/>
        <v>1.08812583333333</v>
      </c>
      <c r="M37" s="13" t="s">
        <v>112</v>
      </c>
      <c r="N37" s="18">
        <f>(O36-P36)*C22/100</f>
        <v>1.59534303340366</v>
      </c>
      <c r="O37" s="18">
        <f t="shared" si="19"/>
        <v>1.17209125614405</v>
      </c>
      <c r="P37" s="18">
        <f t="shared" si="5"/>
        <v>0.198352120834056</v>
      </c>
      <c r="Q37" s="24">
        <f t="shared" si="6"/>
        <v>0.0271081231806543</v>
      </c>
      <c r="R37" s="18">
        <f t="shared" si="7"/>
        <v>0.148710530555556</v>
      </c>
      <c r="S37" s="25">
        <f t="shared" si="8"/>
        <v>0.182287851972441</v>
      </c>
      <c r="T37" s="3">
        <v>0.01</v>
      </c>
      <c r="U37" s="26">
        <f t="shared" si="9"/>
        <v>0.00182287851972441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0.0237228785197244</v>
      </c>
      <c r="AR37" s="29">
        <f t="shared" si="15"/>
        <v>108.812583333333</v>
      </c>
      <c r="AS37" s="1">
        <f t="shared" si="16"/>
        <v>0.136666666666667</v>
      </c>
      <c r="AT37" s="2">
        <f t="shared" si="20"/>
        <v>42.1923301145599</v>
      </c>
      <c r="AU37" s="1">
        <f t="shared" si="17"/>
        <v>99728.0715387086</v>
      </c>
    </row>
    <row r="38" s="1" customFormat="1" spans="1:48">
      <c r="A38" s="13"/>
      <c r="B38" s="13"/>
      <c r="C38" s="16">
        <v>11</v>
      </c>
      <c r="D38" s="19">
        <v>12.1937636391667</v>
      </c>
      <c r="E38" s="20">
        <f t="shared" si="18"/>
        <v>18.6061433790323</v>
      </c>
      <c r="F38" s="16" t="s">
        <v>112</v>
      </c>
      <c r="G38" s="13">
        <v>12</v>
      </c>
      <c r="H38" s="18">
        <f t="shared" si="0"/>
        <v>12.1937636391667</v>
      </c>
      <c r="I38" s="18">
        <f t="shared" si="1"/>
        <v>285.343763639167</v>
      </c>
      <c r="J38" s="18">
        <f t="shared" si="2"/>
        <v>0.0799402599147488</v>
      </c>
      <c r="K38" s="18">
        <f t="shared" si="3"/>
        <v>108.812583333333</v>
      </c>
      <c r="L38" s="18">
        <f t="shared" si="4"/>
        <v>1.08812583333333</v>
      </c>
      <c r="M38" s="13" t="s">
        <v>110</v>
      </c>
      <c r="N38" s="13"/>
      <c r="O38" s="18">
        <f t="shared" si="19"/>
        <v>2.06186496864333</v>
      </c>
      <c r="P38" s="18">
        <f t="shared" si="5"/>
        <v>0.164826021502463</v>
      </c>
      <c r="Q38" s="24">
        <f t="shared" si="6"/>
        <v>0.02252622293867</v>
      </c>
      <c r="R38" s="18">
        <f t="shared" si="7"/>
        <v>0.148710530555556</v>
      </c>
      <c r="S38" s="25">
        <f t="shared" si="8"/>
        <v>0.151476985890078</v>
      </c>
      <c r="T38" s="3">
        <v>0.01</v>
      </c>
      <c r="U38" s="26">
        <f t="shared" si="9"/>
        <v>0.00151476985890078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0.0234147698589008</v>
      </c>
      <c r="AR38" s="29">
        <f t="shared" si="15"/>
        <v>108.812583333333</v>
      </c>
      <c r="AS38" s="1">
        <f t="shared" si="16"/>
        <v>0.136666666666667</v>
      </c>
      <c r="AT38" s="2">
        <f t="shared" si="20"/>
        <v>42.1923301145599</v>
      </c>
      <c r="AU38" s="1">
        <f t="shared" si="17"/>
        <v>98432.8205200447</v>
      </c>
      <c r="AV38" s="1">
        <f>SUM(AU27:AU38)</f>
        <v>1605362.97039152</v>
      </c>
    </row>
    <row r="39" s="1" customFormat="1" spans="1:46">
      <c r="A39" s="13"/>
      <c r="B39" s="13"/>
      <c r="C39" s="16">
        <v>12</v>
      </c>
      <c r="D39" s="19">
        <v>8.83461067145161</v>
      </c>
      <c r="E39" s="20">
        <f t="shared" si="18"/>
        <v>12.1937636391667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9:46">
      <c r="S41" s="23" t="s">
        <v>80</v>
      </c>
      <c r="T41" s="23"/>
      <c r="U41" s="23"/>
      <c r="V41" s="23" t="s">
        <v>81</v>
      </c>
      <c r="W41" s="23"/>
      <c r="X41" s="23"/>
      <c r="Y41" s="23" t="s">
        <v>82</v>
      </c>
      <c r="Z41" s="23"/>
      <c r="AA41" s="23"/>
      <c r="AB41" s="23" t="s">
        <v>83</v>
      </c>
      <c r="AC41" s="23"/>
      <c r="AD41" s="23"/>
      <c r="AE41" s="23" t="s">
        <v>84</v>
      </c>
      <c r="AF41" s="23"/>
      <c r="AG41" s="23"/>
      <c r="AH41" s="23" t="s">
        <v>85</v>
      </c>
      <c r="AI41" s="23"/>
      <c r="AJ41" s="23"/>
      <c r="AK41" s="31" t="s">
        <v>86</v>
      </c>
      <c r="AL41" s="32"/>
      <c r="AM41" s="33"/>
      <c r="AN41" s="23" t="s">
        <v>87</v>
      </c>
      <c r="AO41" s="23"/>
      <c r="AP41" s="23"/>
      <c r="AT41" s="2"/>
    </row>
    <row r="42" s="1" customFormat="1" spans="1:47">
      <c r="A42" s="15" t="s">
        <v>45</v>
      </c>
      <c r="B42" s="15"/>
      <c r="C42" s="16" t="s">
        <v>88</v>
      </c>
      <c r="D42" s="16" t="s">
        <v>89</v>
      </c>
      <c r="E42" s="16" t="s">
        <v>90</v>
      </c>
      <c r="F42" s="16" t="s">
        <v>91</v>
      </c>
      <c r="G42" s="13" t="s">
        <v>88</v>
      </c>
      <c r="H42" s="13" t="s">
        <v>90</v>
      </c>
      <c r="I42" s="13" t="s">
        <v>92</v>
      </c>
      <c r="J42" s="13" t="s">
        <v>93</v>
      </c>
      <c r="K42" s="22" t="s">
        <v>94</v>
      </c>
      <c r="L42" s="22" t="s">
        <v>95</v>
      </c>
      <c r="M42" s="13" t="s">
        <v>96</v>
      </c>
      <c r="N42" s="22" t="s">
        <v>97</v>
      </c>
      <c r="O42" s="13" t="s">
        <v>98</v>
      </c>
      <c r="P42" s="13" t="s">
        <v>99</v>
      </c>
      <c r="Q42" s="22" t="s">
        <v>100</v>
      </c>
      <c r="R42" s="22" t="s">
        <v>101</v>
      </c>
      <c r="S42" s="4" t="s">
        <v>102</v>
      </c>
      <c r="T42" s="3" t="s">
        <v>103</v>
      </c>
      <c r="U42" s="3"/>
      <c r="V42" s="4" t="s">
        <v>102</v>
      </c>
      <c r="W42" s="3" t="s">
        <v>103</v>
      </c>
      <c r="X42" s="3"/>
      <c r="Y42" s="4" t="s">
        <v>102</v>
      </c>
      <c r="Z42" s="3" t="s">
        <v>103</v>
      </c>
      <c r="AA42" s="3"/>
      <c r="AB42" s="4" t="s">
        <v>102</v>
      </c>
      <c r="AC42" s="3" t="s">
        <v>103</v>
      </c>
      <c r="AD42" s="3"/>
      <c r="AE42" s="4" t="s">
        <v>102</v>
      </c>
      <c r="AF42" s="3" t="s">
        <v>103</v>
      </c>
      <c r="AG42" s="3"/>
      <c r="AH42" s="4" t="s">
        <v>102</v>
      </c>
      <c r="AI42" s="3" t="s">
        <v>103</v>
      </c>
      <c r="AJ42" s="3"/>
      <c r="AK42" s="4" t="s">
        <v>102</v>
      </c>
      <c r="AL42" s="3" t="s">
        <v>103</v>
      </c>
      <c r="AM42" s="3"/>
      <c r="AN42" s="34" t="s">
        <v>102</v>
      </c>
      <c r="AO42" s="34" t="s">
        <v>103</v>
      </c>
      <c r="AP42" s="34"/>
      <c r="AQ42" s="1" t="s">
        <v>104</v>
      </c>
      <c r="AR42" s="1" t="s">
        <v>105</v>
      </c>
      <c r="AS42" s="1" t="s">
        <v>73</v>
      </c>
      <c r="AT42" s="2" t="s">
        <v>106</v>
      </c>
      <c r="AU42" s="1" t="s">
        <v>107</v>
      </c>
    </row>
    <row r="43" s="1" customFormat="1" spans="1:47">
      <c r="A43" s="13" t="s">
        <v>108</v>
      </c>
      <c r="B43" s="13">
        <f>G5</f>
        <v>92.50925</v>
      </c>
      <c r="C43" s="16" t="s">
        <v>109</v>
      </c>
      <c r="D43" s="17">
        <v>6</v>
      </c>
      <c r="E43" s="16"/>
      <c r="F43" s="16"/>
      <c r="G43" s="13">
        <v>1</v>
      </c>
      <c r="H43" s="18">
        <f t="shared" ref="H43:H54" si="21">E44</f>
        <v>6</v>
      </c>
      <c r="I43" s="18">
        <f t="shared" ref="I43:I54" si="22">H43+273.15</f>
        <v>279.15</v>
      </c>
      <c r="J43" s="18">
        <f t="shared" ref="J43:J54" si="23">EXP(($C$16*(I43-$C$14))/($C$17*I43*$C$14))</f>
        <v>0.0374932232426917</v>
      </c>
      <c r="K43" s="18">
        <f t="shared" ref="K43:K54" si="24">$B$43/12</f>
        <v>7.70910416666667</v>
      </c>
      <c r="L43" s="18">
        <f t="shared" ref="L43:L54" si="25">K43*$B$44/100</f>
        <v>0.0770910416666667</v>
      </c>
      <c r="M43" s="13" t="s">
        <v>110</v>
      </c>
      <c r="N43" s="13"/>
      <c r="O43" s="18">
        <f>L43</f>
        <v>0.0770910416666667</v>
      </c>
      <c r="P43" s="18">
        <f t="shared" ref="P43:P54" si="26">O43*J43</f>
        <v>0.00289039163521998</v>
      </c>
      <c r="Q43" s="24">
        <f t="shared" ref="Q43:Q54" si="27">P43*$B$45</f>
        <v>0.000448010703459097</v>
      </c>
      <c r="R43" s="18">
        <f t="shared" ref="R43:R54" si="28">L43*$B$45</f>
        <v>0.0119491114583333</v>
      </c>
      <c r="S43" s="25">
        <f t="shared" ref="S43:S54" si="29">Q43/R43</f>
        <v>0.0374932232426917</v>
      </c>
      <c r="T43" s="3">
        <v>0.01</v>
      </c>
      <c r="U43" s="26">
        <f t="shared" ref="U43:U54" si="30">S43*T43</f>
        <v>0.000374932232426917</v>
      </c>
      <c r="V43" s="25"/>
      <c r="W43" s="3"/>
      <c r="X43" s="26"/>
      <c r="Y43" s="28">
        <v>0.02</v>
      </c>
      <c r="Z43" s="3">
        <v>0.49</v>
      </c>
      <c r="AA43" s="27">
        <f t="shared" ref="AA43:AA54" si="31">Y43*Z43</f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L43" s="27"/>
      <c r="AM43" s="27"/>
      <c r="AN43" s="3">
        <v>0.01</v>
      </c>
      <c r="AO43" s="3">
        <v>0.5</v>
      </c>
      <c r="AP43" s="3">
        <f t="shared" ref="AP43:AP54" si="32">AO43*AN43</f>
        <v>0.005</v>
      </c>
      <c r="AQ43" s="1">
        <f t="shared" ref="AQ43:AQ54" si="33">(AP43+AM43+AD43+AA43+U43+X43+AG43+AJ43)</f>
        <v>0.0151749322324269</v>
      </c>
      <c r="AR43" s="29">
        <f t="shared" ref="AR43:AR54" si="34">$B$43/12</f>
        <v>7.70910416666667</v>
      </c>
      <c r="AS43" s="1">
        <f t="shared" ref="AS43:AS54" si="35">$B$45</f>
        <v>0.155</v>
      </c>
      <c r="AT43" s="2">
        <f t="shared" ref="AT43:AT54" si="36">$E$5/12</f>
        <v>101.075602739726</v>
      </c>
      <c r="AU43" s="1">
        <f t="shared" ref="AU43:AU54" si="37">AT43*10000*AS43*0.67*AR43*AQ43</f>
        <v>12279.5800601883</v>
      </c>
    </row>
    <row r="44" s="1" customFormat="1" spans="1:47">
      <c r="A44" s="13" t="s">
        <v>111</v>
      </c>
      <c r="B44" s="13">
        <v>1</v>
      </c>
      <c r="C44" s="16">
        <v>1</v>
      </c>
      <c r="D44" s="19">
        <v>5.17466241306451</v>
      </c>
      <c r="E44" s="20">
        <f t="shared" ref="E44:E55" si="38">D43</f>
        <v>6</v>
      </c>
      <c r="F44" s="16" t="s">
        <v>110</v>
      </c>
      <c r="G44" s="13">
        <v>2</v>
      </c>
      <c r="H44" s="18">
        <f t="shared" si="21"/>
        <v>5.17466241306451</v>
      </c>
      <c r="I44" s="18">
        <f t="shared" si="22"/>
        <v>278.324662413065</v>
      </c>
      <c r="J44" s="18">
        <f t="shared" si="23"/>
        <v>0.0338090140436294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ref="O44:O54" si="39">L44+O43-P43-N44</f>
        <v>0.151291691698113</v>
      </c>
      <c r="P44" s="18">
        <f t="shared" si="26"/>
        <v>0.00511502292930596</v>
      </c>
      <c r="Q44" s="24">
        <f t="shared" si="27"/>
        <v>0.000792828554042424</v>
      </c>
      <c r="R44" s="18">
        <f t="shared" si="28"/>
        <v>0.0119491114583333</v>
      </c>
      <c r="S44" s="25">
        <f t="shared" si="29"/>
        <v>0.0663504191761057</v>
      </c>
      <c r="T44" s="3">
        <v>0.01</v>
      </c>
      <c r="U44" s="26">
        <f t="shared" si="30"/>
        <v>0.000663504191761057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K44" s="27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0.0154635041917611</v>
      </c>
      <c r="AR44" s="29">
        <f t="shared" si="34"/>
        <v>7.70910416666667</v>
      </c>
      <c r="AS44" s="1">
        <f t="shared" si="35"/>
        <v>0.155</v>
      </c>
      <c r="AT44" s="2">
        <f t="shared" si="36"/>
        <v>101.075602739726</v>
      </c>
      <c r="AU44" s="1">
        <f t="shared" si="37"/>
        <v>12513.0929631452</v>
      </c>
    </row>
    <row r="45" s="1" customFormat="1" spans="1:47">
      <c r="A45" s="13" t="s">
        <v>73</v>
      </c>
      <c r="B45" s="13">
        <f>I5</f>
        <v>0.155</v>
      </c>
      <c r="C45" s="16">
        <v>2</v>
      </c>
      <c r="D45" s="19">
        <v>8.55040523172414</v>
      </c>
      <c r="E45" s="20">
        <f t="shared" si="38"/>
        <v>5.17466241306451</v>
      </c>
      <c r="F45" s="16" t="s">
        <v>110</v>
      </c>
      <c r="G45" s="13">
        <v>3</v>
      </c>
      <c r="H45" s="18">
        <f t="shared" si="21"/>
        <v>8.55040523172414</v>
      </c>
      <c r="I45" s="18">
        <f t="shared" si="22"/>
        <v>281.700405231724</v>
      </c>
      <c r="J45" s="18">
        <f t="shared" si="23"/>
        <v>0.0514160961344809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0.223267710435474</v>
      </c>
      <c r="P45" s="18">
        <f t="shared" si="26"/>
        <v>0.0114795540634758</v>
      </c>
      <c r="Q45" s="24">
        <f t="shared" si="27"/>
        <v>0.00177933087983875</v>
      </c>
      <c r="R45" s="18">
        <f t="shared" si="28"/>
        <v>0.0119491114583333</v>
      </c>
      <c r="S45" s="25">
        <f t="shared" si="29"/>
        <v>0.148909053701883</v>
      </c>
      <c r="T45" s="3">
        <v>0.01</v>
      </c>
      <c r="U45" s="26">
        <f t="shared" si="30"/>
        <v>0.00148909053701883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0.0162890905370188</v>
      </c>
      <c r="AR45" s="29">
        <f t="shared" si="34"/>
        <v>7.70910416666667</v>
      </c>
      <c r="AS45" s="1">
        <f t="shared" si="35"/>
        <v>0.155</v>
      </c>
      <c r="AT45" s="2">
        <f t="shared" si="36"/>
        <v>101.075602739726</v>
      </c>
      <c r="AU45" s="1">
        <f t="shared" si="37"/>
        <v>13181.158788278</v>
      </c>
    </row>
    <row r="46" s="1" customFormat="1" spans="1:47">
      <c r="A46" s="13"/>
      <c r="B46" s="13"/>
      <c r="C46" s="16">
        <v>3</v>
      </c>
      <c r="D46" s="19">
        <v>12.6942155086129</v>
      </c>
      <c r="E46" s="20">
        <f t="shared" si="38"/>
        <v>8.55040523172414</v>
      </c>
      <c r="F46" s="16" t="s">
        <v>110</v>
      </c>
      <c r="G46" s="13">
        <v>4</v>
      </c>
      <c r="H46" s="18">
        <f t="shared" si="21"/>
        <v>12.6942155086129</v>
      </c>
      <c r="I46" s="18">
        <f t="shared" si="22"/>
        <v>285.844215508613</v>
      </c>
      <c r="J46" s="18">
        <f t="shared" si="23"/>
        <v>0.0848615985857563</v>
      </c>
      <c r="K46" s="18">
        <f t="shared" si="24"/>
        <v>7.70910416666667</v>
      </c>
      <c r="L46" s="18">
        <f t="shared" si="25"/>
        <v>0.0770910416666667</v>
      </c>
      <c r="M46" s="13" t="s">
        <v>110</v>
      </c>
      <c r="N46" s="13"/>
      <c r="O46" s="18">
        <f t="shared" si="39"/>
        <v>0.288879198038665</v>
      </c>
      <c r="P46" s="18">
        <f t="shared" si="26"/>
        <v>0.0245147505437324</v>
      </c>
      <c r="Q46" s="24">
        <f t="shared" si="27"/>
        <v>0.00379978633427852</v>
      </c>
      <c r="R46" s="18">
        <f t="shared" si="28"/>
        <v>0.0119491114583333</v>
      </c>
      <c r="S46" s="25">
        <f t="shared" si="29"/>
        <v>0.317997396503364</v>
      </c>
      <c r="T46" s="3">
        <v>0.01</v>
      </c>
      <c r="U46" s="26">
        <f t="shared" si="30"/>
        <v>0.00317997396503364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K46" s="27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0.0302799739650336</v>
      </c>
      <c r="AR46" s="29">
        <f t="shared" si="34"/>
        <v>7.70910416666667</v>
      </c>
      <c r="AS46" s="1">
        <f t="shared" si="35"/>
        <v>0.155</v>
      </c>
      <c r="AT46" s="2">
        <f t="shared" si="36"/>
        <v>101.075602739726</v>
      </c>
      <c r="AU46" s="1">
        <f t="shared" si="37"/>
        <v>24502.6046132518</v>
      </c>
    </row>
    <row r="47" s="1" customFormat="1" spans="1:47">
      <c r="A47" s="13"/>
      <c r="B47" s="13"/>
      <c r="C47" s="16">
        <v>4</v>
      </c>
      <c r="D47" s="19">
        <v>18.483660124</v>
      </c>
      <c r="E47" s="20">
        <f t="shared" si="38"/>
        <v>12.6942155086129</v>
      </c>
      <c r="F47" s="16" t="s">
        <v>110</v>
      </c>
      <c r="G47" s="13">
        <v>5</v>
      </c>
      <c r="H47" s="18">
        <f t="shared" si="21"/>
        <v>18.483660124</v>
      </c>
      <c r="I47" s="18">
        <f t="shared" si="22"/>
        <v>291.633660124</v>
      </c>
      <c r="J47" s="18">
        <f t="shared" si="23"/>
        <v>0.16687381717441</v>
      </c>
      <c r="K47" s="18">
        <f t="shared" si="24"/>
        <v>7.70910416666667</v>
      </c>
      <c r="L47" s="18">
        <f t="shared" si="25"/>
        <v>0.0770910416666667</v>
      </c>
      <c r="M47" s="13" t="s">
        <v>112</v>
      </c>
      <c r="N47" s="18">
        <f>(O46-P46)*$C$22/100</f>
        <v>0.251146225120186</v>
      </c>
      <c r="O47" s="18">
        <f t="shared" si="39"/>
        <v>0.0903092640414133</v>
      </c>
      <c r="P47" s="18">
        <f t="shared" si="26"/>
        <v>0.0150702516168023</v>
      </c>
      <c r="Q47" s="24">
        <f t="shared" si="27"/>
        <v>0.00233588900060436</v>
      </c>
      <c r="R47" s="18">
        <f t="shared" si="28"/>
        <v>0.0119491114583333</v>
      </c>
      <c r="S47" s="25">
        <f t="shared" si="29"/>
        <v>0.195486418278851</v>
      </c>
      <c r="T47" s="3">
        <v>0.01</v>
      </c>
      <c r="U47" s="26">
        <f t="shared" si="30"/>
        <v>0.00195486418278851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0.0290548641827885</v>
      </c>
      <c r="AR47" s="29">
        <f t="shared" si="34"/>
        <v>7.70910416666667</v>
      </c>
      <c r="AS47" s="1">
        <f t="shared" si="35"/>
        <v>0.155</v>
      </c>
      <c r="AT47" s="2">
        <f t="shared" si="36"/>
        <v>101.075602739726</v>
      </c>
      <c r="AU47" s="1">
        <f t="shared" si="37"/>
        <v>23511.2437674055</v>
      </c>
    </row>
    <row r="48" s="1" customFormat="1" spans="1:47">
      <c r="A48" s="13"/>
      <c r="B48" s="13"/>
      <c r="C48" s="16">
        <v>5</v>
      </c>
      <c r="D48" s="19">
        <v>20.7969155254839</v>
      </c>
      <c r="E48" s="20">
        <f t="shared" si="38"/>
        <v>18.483660124</v>
      </c>
      <c r="F48" s="16" t="s">
        <v>112</v>
      </c>
      <c r="G48" s="13">
        <v>6</v>
      </c>
      <c r="H48" s="18">
        <f t="shared" si="21"/>
        <v>20.7969155254839</v>
      </c>
      <c r="I48" s="18">
        <f t="shared" si="22"/>
        <v>293.946915525484</v>
      </c>
      <c r="J48" s="18">
        <f t="shared" si="23"/>
        <v>0.21701835447003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0.152330054091278</v>
      </c>
      <c r="P48" s="18">
        <f t="shared" si="26"/>
        <v>0.0330584176752197</v>
      </c>
      <c r="Q48" s="24">
        <f t="shared" si="27"/>
        <v>0.00512405473965906</v>
      </c>
      <c r="R48" s="18">
        <f t="shared" si="28"/>
        <v>0.0119491114583333</v>
      </c>
      <c r="S48" s="25">
        <f t="shared" si="29"/>
        <v>0.428823076722205</v>
      </c>
      <c r="T48" s="3">
        <v>0.01</v>
      </c>
      <c r="U48" s="26">
        <f t="shared" si="30"/>
        <v>0.00428823076722205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K48" s="27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0.0313882307672221</v>
      </c>
      <c r="AR48" s="29">
        <f t="shared" si="34"/>
        <v>7.70910416666667</v>
      </c>
      <c r="AS48" s="1">
        <f t="shared" si="35"/>
        <v>0.155</v>
      </c>
      <c r="AT48" s="2">
        <f t="shared" si="36"/>
        <v>101.075602739726</v>
      </c>
      <c r="AU48" s="1">
        <f t="shared" si="37"/>
        <v>25399.407835914</v>
      </c>
    </row>
    <row r="49" s="1" customFormat="1" spans="1:47">
      <c r="A49" s="13"/>
      <c r="B49" s="13"/>
      <c r="C49" s="16">
        <v>6</v>
      </c>
      <c r="D49" s="19">
        <v>25.5609335346667</v>
      </c>
      <c r="E49" s="20">
        <f t="shared" si="38"/>
        <v>20.7969155254839</v>
      </c>
      <c r="F49" s="16" t="s">
        <v>110</v>
      </c>
      <c r="G49" s="13">
        <v>7</v>
      </c>
      <c r="H49" s="18">
        <f t="shared" si="21"/>
        <v>25.5609335346667</v>
      </c>
      <c r="I49" s="18">
        <f t="shared" si="22"/>
        <v>298.710933534667</v>
      </c>
      <c r="J49" s="18">
        <f t="shared" si="23"/>
        <v>0.368068098163624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0.196362678082725</v>
      </c>
      <c r="P49" s="18">
        <f t="shared" si="26"/>
        <v>0.0722748374722244</v>
      </c>
      <c r="Q49" s="24">
        <f t="shared" si="27"/>
        <v>0.0112025998081948</v>
      </c>
      <c r="R49" s="18">
        <f t="shared" si="28"/>
        <v>0.0119491114583333</v>
      </c>
      <c r="S49" s="25">
        <f t="shared" si="29"/>
        <v>0.937525760577123</v>
      </c>
      <c r="T49" s="3">
        <v>0.01</v>
      </c>
      <c r="U49" s="26">
        <f t="shared" si="30"/>
        <v>0.00937525760577123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0.0438752576057712</v>
      </c>
      <c r="AR49" s="29">
        <f t="shared" si="34"/>
        <v>7.70910416666667</v>
      </c>
      <c r="AS49" s="1">
        <f t="shared" si="35"/>
        <v>0.155</v>
      </c>
      <c r="AT49" s="2">
        <f t="shared" si="36"/>
        <v>101.075602739726</v>
      </c>
      <c r="AU49" s="1">
        <f t="shared" si="37"/>
        <v>35503.9304412951</v>
      </c>
    </row>
    <row r="50" s="1" customFormat="1" spans="1:47">
      <c r="A50" s="13"/>
      <c r="B50" s="13"/>
      <c r="C50" s="16">
        <v>7</v>
      </c>
      <c r="D50" s="19">
        <v>28.4794855348387</v>
      </c>
      <c r="E50" s="20">
        <f t="shared" si="38"/>
        <v>25.5609335346667</v>
      </c>
      <c r="F50" s="16" t="s">
        <v>110</v>
      </c>
      <c r="G50" s="13">
        <v>8</v>
      </c>
      <c r="H50" s="18">
        <f t="shared" si="21"/>
        <v>28.4794855348387</v>
      </c>
      <c r="I50" s="18">
        <f t="shared" si="22"/>
        <v>301.629485534839</v>
      </c>
      <c r="J50" s="18">
        <f t="shared" si="23"/>
        <v>0.504549272106322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0.201178882277167</v>
      </c>
      <c r="P50" s="18">
        <f t="shared" si="26"/>
        <v>0.101504658616108</v>
      </c>
      <c r="Q50" s="24">
        <f t="shared" si="27"/>
        <v>0.0157332220854967</v>
      </c>
      <c r="R50" s="18">
        <f t="shared" si="28"/>
        <v>0.0119491114583333</v>
      </c>
      <c r="S50" s="25">
        <f t="shared" si="29"/>
        <v>1.31668552430519</v>
      </c>
      <c r="T50" s="3">
        <v>0.01</v>
      </c>
      <c r="U50" s="26">
        <f t="shared" si="30"/>
        <v>0.0131668552430519</v>
      </c>
      <c r="V50" s="25"/>
      <c r="W50" s="3"/>
      <c r="X50" s="26"/>
      <c r="Y50" s="28">
        <v>0.05</v>
      </c>
      <c r="Z50" s="3">
        <v>0.49</v>
      </c>
      <c r="AA50" s="27">
        <f t="shared" si="31"/>
        <v>0.0245</v>
      </c>
      <c r="AB50" s="3"/>
      <c r="AC50" s="3"/>
      <c r="AD50" s="27"/>
      <c r="AE50" s="25"/>
      <c r="AF50" s="3"/>
      <c r="AG50" s="26"/>
      <c r="AH50" s="25"/>
      <c r="AI50" s="3"/>
      <c r="AJ50" s="26"/>
      <c r="AK50" s="27"/>
      <c r="AL50" s="27"/>
      <c r="AM50" s="27"/>
      <c r="AN50" s="3">
        <v>0.02</v>
      </c>
      <c r="AO50" s="3">
        <v>0.5</v>
      </c>
      <c r="AP50" s="3">
        <f t="shared" si="32"/>
        <v>0.01</v>
      </c>
      <c r="AQ50" s="1">
        <f t="shared" si="33"/>
        <v>0.0476668552430519</v>
      </c>
      <c r="AR50" s="29">
        <f t="shared" si="34"/>
        <v>7.70910416666667</v>
      </c>
      <c r="AS50" s="1">
        <f t="shared" si="35"/>
        <v>0.155</v>
      </c>
      <c r="AT50" s="2">
        <f t="shared" si="36"/>
        <v>101.075602739726</v>
      </c>
      <c r="AU50" s="1">
        <f t="shared" si="37"/>
        <v>38572.0974703061</v>
      </c>
    </row>
    <row r="51" s="1" customFormat="1" spans="1:47">
      <c r="A51" s="13"/>
      <c r="B51" s="13"/>
      <c r="C51" s="16">
        <v>8</v>
      </c>
      <c r="D51" s="19">
        <v>27.5043551645161</v>
      </c>
      <c r="E51" s="20">
        <f t="shared" si="38"/>
        <v>28.4794855348387</v>
      </c>
      <c r="F51" s="16" t="s">
        <v>110</v>
      </c>
      <c r="G51" s="13">
        <v>9</v>
      </c>
      <c r="H51" s="18">
        <f t="shared" si="21"/>
        <v>27.5043551645161</v>
      </c>
      <c r="I51" s="18">
        <f t="shared" si="22"/>
        <v>300.654355164516</v>
      </c>
      <c r="J51" s="18">
        <f t="shared" si="23"/>
        <v>0.454395424035328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0.176765265327726</v>
      </c>
      <c r="P51" s="18">
        <f t="shared" si="26"/>
        <v>0.0803213276933091</v>
      </c>
      <c r="Q51" s="24">
        <f t="shared" si="27"/>
        <v>0.0124498057924629</v>
      </c>
      <c r="R51" s="18">
        <f t="shared" si="28"/>
        <v>0.0119491114583333</v>
      </c>
      <c r="S51" s="25">
        <f t="shared" si="29"/>
        <v>1.04190222309629</v>
      </c>
      <c r="T51" s="3">
        <v>0.01</v>
      </c>
      <c r="U51" s="26">
        <f t="shared" si="30"/>
        <v>0.0104190222309629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0.0375190222309629</v>
      </c>
      <c r="AR51" s="29">
        <f t="shared" si="34"/>
        <v>7.70910416666667</v>
      </c>
      <c r="AS51" s="1">
        <f t="shared" si="35"/>
        <v>0.155</v>
      </c>
      <c r="AT51" s="2">
        <f t="shared" si="36"/>
        <v>101.075602739726</v>
      </c>
      <c r="AU51" s="1">
        <f t="shared" si="37"/>
        <v>30360.4543472423</v>
      </c>
    </row>
    <row r="52" s="1" customFormat="1" spans="1:47">
      <c r="A52" s="13"/>
      <c r="B52" s="13"/>
      <c r="C52" s="16">
        <v>9</v>
      </c>
      <c r="D52" s="19">
        <v>24.1237315376667</v>
      </c>
      <c r="E52" s="20">
        <f t="shared" si="38"/>
        <v>27.5043551645161</v>
      </c>
      <c r="F52" s="16" t="s">
        <v>110</v>
      </c>
      <c r="G52" s="13">
        <v>10</v>
      </c>
      <c r="H52" s="18">
        <f t="shared" si="21"/>
        <v>24.1237315376667</v>
      </c>
      <c r="I52" s="18">
        <f t="shared" si="22"/>
        <v>297.273731537667</v>
      </c>
      <c r="J52" s="18">
        <f t="shared" si="23"/>
        <v>0.31440405624836</v>
      </c>
      <c r="K52" s="18">
        <f t="shared" si="24"/>
        <v>7.70910416666667</v>
      </c>
      <c r="L52" s="18">
        <f t="shared" si="25"/>
        <v>0.0770910416666667</v>
      </c>
      <c r="M52" s="13" t="s">
        <v>110</v>
      </c>
      <c r="N52" s="13"/>
      <c r="O52" s="18">
        <f t="shared" si="39"/>
        <v>0.173534979301083</v>
      </c>
      <c r="P52" s="18">
        <f t="shared" si="26"/>
        <v>0.0545601013932357</v>
      </c>
      <c r="Q52" s="24">
        <f t="shared" si="27"/>
        <v>0.00845681571595154</v>
      </c>
      <c r="R52" s="18">
        <f t="shared" si="28"/>
        <v>0.0119491114583333</v>
      </c>
      <c r="S52" s="25">
        <f t="shared" si="29"/>
        <v>0.707735947182394</v>
      </c>
      <c r="T52" s="3">
        <v>0.01</v>
      </c>
      <c r="U52" s="26">
        <f t="shared" si="30"/>
        <v>0.00707735947182394</v>
      </c>
      <c r="V52" s="25"/>
      <c r="W52" s="3"/>
      <c r="X52" s="26"/>
      <c r="Y52" s="28">
        <v>0.04</v>
      </c>
      <c r="Z52" s="3">
        <v>0.49</v>
      </c>
      <c r="AA52" s="27">
        <f t="shared" si="31"/>
        <v>0.0196</v>
      </c>
      <c r="AB52" s="3"/>
      <c r="AC52" s="3"/>
      <c r="AD52" s="27"/>
      <c r="AE52" s="25"/>
      <c r="AF52" s="3"/>
      <c r="AG52" s="26"/>
      <c r="AH52" s="25"/>
      <c r="AI52" s="3"/>
      <c r="AJ52" s="26"/>
      <c r="AK52" s="27"/>
      <c r="AL52" s="27"/>
      <c r="AM52" s="27"/>
      <c r="AN52" s="3">
        <v>0.015</v>
      </c>
      <c r="AO52" s="3">
        <v>0.5</v>
      </c>
      <c r="AP52" s="3">
        <f t="shared" si="32"/>
        <v>0.0075</v>
      </c>
      <c r="AQ52" s="1">
        <f t="shared" si="33"/>
        <v>0.0341773594718239</v>
      </c>
      <c r="AR52" s="29">
        <f t="shared" si="34"/>
        <v>7.70910416666667</v>
      </c>
      <c r="AS52" s="1">
        <f t="shared" si="35"/>
        <v>0.155</v>
      </c>
      <c r="AT52" s="2">
        <f t="shared" si="36"/>
        <v>101.075602739726</v>
      </c>
      <c r="AU52" s="1">
        <f t="shared" si="37"/>
        <v>27656.3753598375</v>
      </c>
    </row>
    <row r="53" s="1" customFormat="1" spans="1:47">
      <c r="A53" s="13"/>
      <c r="B53" s="13"/>
      <c r="C53" s="16">
        <v>10</v>
      </c>
      <c r="D53" s="19">
        <v>18.6061433790323</v>
      </c>
      <c r="E53" s="20">
        <f t="shared" si="38"/>
        <v>24.1237315376667</v>
      </c>
      <c r="F53" s="16" t="s">
        <v>110</v>
      </c>
      <c r="G53" s="13">
        <v>11</v>
      </c>
      <c r="H53" s="18">
        <f t="shared" si="21"/>
        <v>18.6061433790323</v>
      </c>
      <c r="I53" s="18">
        <f t="shared" si="22"/>
        <v>291.756143379032</v>
      </c>
      <c r="J53" s="18">
        <f t="shared" si="23"/>
        <v>0.169229247120736</v>
      </c>
      <c r="K53" s="18">
        <f t="shared" si="24"/>
        <v>7.70910416666667</v>
      </c>
      <c r="L53" s="18">
        <f t="shared" si="25"/>
        <v>0.0770910416666667</v>
      </c>
      <c r="M53" s="13" t="s">
        <v>112</v>
      </c>
      <c r="N53" s="18">
        <f>(O52-P52)*$C$22/100</f>
        <v>0.113026134012455</v>
      </c>
      <c r="O53" s="18">
        <f t="shared" si="39"/>
        <v>0.083039785562059</v>
      </c>
      <c r="P53" s="18">
        <f t="shared" si="26"/>
        <v>0.0140527603917346</v>
      </c>
      <c r="Q53" s="24">
        <f t="shared" si="27"/>
        <v>0.00217817786071886</v>
      </c>
      <c r="R53" s="18">
        <f t="shared" si="28"/>
        <v>0.0119491114583333</v>
      </c>
      <c r="S53" s="25">
        <f t="shared" si="29"/>
        <v>0.182287851972441</v>
      </c>
      <c r="T53" s="3">
        <v>0.01</v>
      </c>
      <c r="U53" s="26">
        <f t="shared" si="30"/>
        <v>0.00182287851972441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0.0166228785197244</v>
      </c>
      <c r="AR53" s="29">
        <f t="shared" si="34"/>
        <v>7.70910416666667</v>
      </c>
      <c r="AS53" s="1">
        <f t="shared" si="35"/>
        <v>0.155</v>
      </c>
      <c r="AT53" s="2">
        <f t="shared" si="36"/>
        <v>101.075602739726</v>
      </c>
      <c r="AU53" s="1">
        <f t="shared" si="37"/>
        <v>13451.2605715337</v>
      </c>
    </row>
    <row r="54" s="1" customFormat="1" spans="1:48">
      <c r="A54" s="13"/>
      <c r="B54" s="13"/>
      <c r="C54" s="16">
        <v>11</v>
      </c>
      <c r="D54" s="19">
        <v>12.1937636391667</v>
      </c>
      <c r="E54" s="20">
        <f t="shared" si="38"/>
        <v>18.6061433790323</v>
      </c>
      <c r="F54" s="16" t="s">
        <v>112</v>
      </c>
      <c r="G54" s="13">
        <v>12</v>
      </c>
      <c r="H54" s="18">
        <f t="shared" si="21"/>
        <v>12.1937636391667</v>
      </c>
      <c r="I54" s="18">
        <f t="shared" si="22"/>
        <v>285.343763639167</v>
      </c>
      <c r="J54" s="18">
        <f t="shared" si="23"/>
        <v>0.0799402599147488</v>
      </c>
      <c r="K54" s="18">
        <f t="shared" si="24"/>
        <v>7.70910416666667</v>
      </c>
      <c r="L54" s="18">
        <f t="shared" si="25"/>
        <v>0.0770910416666667</v>
      </c>
      <c r="M54" s="13" t="s">
        <v>110</v>
      </c>
      <c r="N54" s="13"/>
      <c r="O54" s="18">
        <f t="shared" si="39"/>
        <v>0.146078066836991</v>
      </c>
      <c r="P54" s="18">
        <f t="shared" si="26"/>
        <v>0.0116775186307931</v>
      </c>
      <c r="Q54" s="24">
        <f t="shared" si="27"/>
        <v>0.00181001538777293</v>
      </c>
      <c r="R54" s="18">
        <f t="shared" si="28"/>
        <v>0.0119491114583333</v>
      </c>
      <c r="S54" s="25">
        <f t="shared" si="29"/>
        <v>0.151476985890078</v>
      </c>
      <c r="T54" s="3">
        <v>0.01</v>
      </c>
      <c r="U54" s="26">
        <f t="shared" si="30"/>
        <v>0.00151476985890078</v>
      </c>
      <c r="V54" s="25"/>
      <c r="W54" s="3"/>
      <c r="X54" s="26"/>
      <c r="Y54" s="28">
        <v>0.02</v>
      </c>
      <c r="Z54" s="3">
        <v>0.49</v>
      </c>
      <c r="AA54" s="27">
        <f t="shared" si="31"/>
        <v>0.0098</v>
      </c>
      <c r="AB54" s="3"/>
      <c r="AC54" s="3"/>
      <c r="AD54" s="27"/>
      <c r="AE54" s="25"/>
      <c r="AF54" s="3"/>
      <c r="AG54" s="26"/>
      <c r="AH54" s="25"/>
      <c r="AI54" s="3"/>
      <c r="AJ54" s="26"/>
      <c r="AK54" s="27"/>
      <c r="AL54" s="27"/>
      <c r="AM54" s="27"/>
      <c r="AN54" s="3">
        <v>0.01</v>
      </c>
      <c r="AO54" s="3">
        <v>0.5</v>
      </c>
      <c r="AP54" s="3">
        <f t="shared" si="32"/>
        <v>0.005</v>
      </c>
      <c r="AQ54" s="1">
        <f t="shared" si="33"/>
        <v>0.0163147698589008</v>
      </c>
      <c r="AR54" s="29">
        <f t="shared" si="34"/>
        <v>7.70910416666667</v>
      </c>
      <c r="AS54" s="1">
        <f t="shared" si="35"/>
        <v>0.155</v>
      </c>
      <c r="AT54" s="2">
        <f t="shared" si="36"/>
        <v>101.075602739726</v>
      </c>
      <c r="AU54" s="1">
        <f t="shared" si="37"/>
        <v>13201.9385376773</v>
      </c>
      <c r="AV54" s="1">
        <f>SUM(AU43:AU54)</f>
        <v>270133.144756075</v>
      </c>
    </row>
    <row r="55" s="1" customFormat="1" spans="1:46">
      <c r="A55" s="13"/>
      <c r="B55" s="13"/>
      <c r="C55" s="16">
        <v>12</v>
      </c>
      <c r="D55" s="19">
        <v>8.83461067145161</v>
      </c>
      <c r="E55" s="20">
        <f t="shared" si="38"/>
        <v>12.1937636391667</v>
      </c>
      <c r="F55" s="16" t="s">
        <v>110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AT55" s="2"/>
    </row>
    <row r="56" s="1" customFormat="1" spans="46:46">
      <c r="AT56" s="2"/>
    </row>
    <row r="57" s="1" customFormat="1" spans="19:55">
      <c r="S57" s="23" t="s">
        <v>80</v>
      </c>
      <c r="T57" s="23"/>
      <c r="U57" s="23"/>
      <c r="V57" s="23" t="s">
        <v>81</v>
      </c>
      <c r="W57" s="23" t="s">
        <v>82</v>
      </c>
      <c r="X57" s="23" t="s">
        <v>83</v>
      </c>
      <c r="Y57" s="23" t="s">
        <v>84</v>
      </c>
      <c r="Z57" s="23" t="s">
        <v>85</v>
      </c>
      <c r="AA57" s="23" t="s">
        <v>86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 s="1" customFormat="1" spans="1:55">
      <c r="A58" s="15" t="s">
        <v>48</v>
      </c>
      <c r="B58" s="15"/>
      <c r="C58" s="16" t="s">
        <v>88</v>
      </c>
      <c r="D58" s="16" t="s">
        <v>89</v>
      </c>
      <c r="E58" s="16" t="s">
        <v>90</v>
      </c>
      <c r="F58" s="16" t="s">
        <v>91</v>
      </c>
      <c r="G58" s="13" t="s">
        <v>88</v>
      </c>
      <c r="H58" s="13" t="s">
        <v>90</v>
      </c>
      <c r="I58" s="13" t="s">
        <v>92</v>
      </c>
      <c r="J58" s="13" t="s">
        <v>93</v>
      </c>
      <c r="K58" s="22" t="s">
        <v>94</v>
      </c>
      <c r="L58" s="22" t="s">
        <v>95</v>
      </c>
      <c r="M58" s="13" t="s">
        <v>96</v>
      </c>
      <c r="N58" s="22" t="s">
        <v>97</v>
      </c>
      <c r="O58" s="13" t="s">
        <v>98</v>
      </c>
      <c r="P58" s="13" t="s">
        <v>99</v>
      </c>
      <c r="Q58" s="22" t="s">
        <v>100</v>
      </c>
      <c r="R58" s="22" t="s">
        <v>101</v>
      </c>
      <c r="S58" s="4" t="s">
        <v>102</v>
      </c>
      <c r="T58" s="3" t="s">
        <v>103</v>
      </c>
      <c r="U58" s="3"/>
      <c r="V58" s="3" t="s">
        <v>113</v>
      </c>
      <c r="W58" s="3" t="s">
        <v>113</v>
      </c>
      <c r="X58" s="3" t="s">
        <v>113</v>
      </c>
      <c r="Y58" s="3" t="s">
        <v>113</v>
      </c>
      <c r="Z58" s="3" t="s">
        <v>113</v>
      </c>
      <c r="AA58" s="3" t="s">
        <v>113</v>
      </c>
      <c r="AB58" s="2" t="s">
        <v>114</v>
      </c>
      <c r="AC58" s="1" t="s">
        <v>105</v>
      </c>
      <c r="AD58" s="1" t="s">
        <v>73</v>
      </c>
      <c r="AE58" s="1" t="s">
        <v>106</v>
      </c>
      <c r="AF58" s="1" t="s">
        <v>107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</row>
    <row r="59" s="1" customFormat="1" spans="1:55">
      <c r="A59" s="13" t="s">
        <v>108</v>
      </c>
      <c r="B59" s="13">
        <f>F7</f>
        <v>108.2955</v>
      </c>
      <c r="C59" s="16" t="s">
        <v>109</v>
      </c>
      <c r="D59" s="17">
        <v>6</v>
      </c>
      <c r="E59" s="16"/>
      <c r="F59" s="16"/>
      <c r="G59" s="13">
        <v>1</v>
      </c>
      <c r="H59" s="18">
        <f t="shared" ref="H59:H70" si="40">E60</f>
        <v>6</v>
      </c>
      <c r="I59" s="18">
        <f t="shared" ref="I59:I70" si="41">H59+273.15</f>
        <v>279.15</v>
      </c>
      <c r="J59" s="18">
        <f t="shared" ref="J59:J70" si="42">EXP(($C$16*(I59-$C$14))/($C$17*I59*$C$14))</f>
        <v>0.0374932232426917</v>
      </c>
      <c r="K59" s="18">
        <f t="shared" ref="K59:K70" si="43">$B$59/12</f>
        <v>9.024625</v>
      </c>
      <c r="L59" s="18">
        <f t="shared" ref="L59:L70" si="44">K59*$B$60/100</f>
        <v>2.43664875</v>
      </c>
      <c r="M59" s="13" t="s">
        <v>110</v>
      </c>
      <c r="N59" s="13"/>
      <c r="O59" s="18">
        <f>L59</f>
        <v>2.43664875</v>
      </c>
      <c r="P59" s="18">
        <f t="shared" ref="P59:P70" si="45">O59*J59</f>
        <v>0.0913578155477757</v>
      </c>
      <c r="Q59" s="24">
        <f t="shared" ref="Q59:Q70" si="46">P59*$B$61</f>
        <v>0.0411110169964991</v>
      </c>
      <c r="R59" s="18">
        <f t="shared" ref="R59:R70" si="47">L59*$B$61</f>
        <v>1.0964919375</v>
      </c>
      <c r="S59" s="25">
        <f t="shared" ref="S59:S70" si="48">Q59/R59</f>
        <v>0.0374932232426917</v>
      </c>
      <c r="T59" s="3">
        <v>0.27</v>
      </c>
      <c r="U59" s="26">
        <f t="shared" ref="U59:U70" si="49">S59*T59</f>
        <v>0.0101231702755268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ref="AB59:AB70" si="50">U59*0.67*AD59+(V59+W59+X59+Y59+Z59+AA59)/1000</f>
        <v>0.229452135838071</v>
      </c>
      <c r="AC59" s="29">
        <f t="shared" ref="AC59:AC70" si="51">$B$59/12</f>
        <v>9.024625</v>
      </c>
      <c r="AD59" s="1">
        <f t="shared" ref="AD59:AD70" si="52">$B$61</f>
        <v>0.45</v>
      </c>
      <c r="AE59" s="30">
        <f t="shared" ref="AE59:AE70" si="53">$E$7/12</f>
        <v>674.924787399591</v>
      </c>
      <c r="AF59" s="1">
        <f t="shared" ref="AF59:AF70" si="54">AE59*10000*AC59*AB59</f>
        <v>13975799.0573975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</row>
    <row r="60" s="1" customFormat="1" spans="1:55">
      <c r="A60" s="13" t="s">
        <v>111</v>
      </c>
      <c r="B60" s="13">
        <v>27</v>
      </c>
      <c r="C60" s="16">
        <v>1</v>
      </c>
      <c r="D60" s="19">
        <v>5.17466241306451</v>
      </c>
      <c r="E60" s="20">
        <f t="shared" ref="E60:E71" si="55">D59</f>
        <v>6</v>
      </c>
      <c r="F60" s="16" t="s">
        <v>110</v>
      </c>
      <c r="G60" s="13">
        <v>2</v>
      </c>
      <c r="H60" s="18">
        <f t="shared" si="40"/>
        <v>5.17466241306451</v>
      </c>
      <c r="I60" s="18">
        <f t="shared" si="41"/>
        <v>278.324662413065</v>
      </c>
      <c r="J60" s="18">
        <f t="shared" si="42"/>
        <v>0.0338090140436294</v>
      </c>
      <c r="K60" s="18">
        <f t="shared" si="43"/>
        <v>9.024625</v>
      </c>
      <c r="L60" s="18">
        <f t="shared" si="44"/>
        <v>2.43664875</v>
      </c>
      <c r="M60" s="13" t="s">
        <v>110</v>
      </c>
      <c r="N60" s="13"/>
      <c r="O60" s="18">
        <f t="shared" ref="O60:O70" si="56">L60+O59-P59-N60</f>
        <v>4.78193968445222</v>
      </c>
      <c r="P60" s="18">
        <f t="shared" si="45"/>
        <v>0.161672665947434</v>
      </c>
      <c r="Q60" s="24">
        <f t="shared" si="46"/>
        <v>0.0727526996763453</v>
      </c>
      <c r="R60" s="18">
        <f t="shared" si="47"/>
        <v>1.0964919375</v>
      </c>
      <c r="S60" s="25">
        <f t="shared" si="48"/>
        <v>0.0663504191761057</v>
      </c>
      <c r="T60" s="3">
        <v>0.27</v>
      </c>
      <c r="U60" s="26">
        <f t="shared" si="49"/>
        <v>0.0179146131775485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0.231801255873031</v>
      </c>
      <c r="AC60" s="29">
        <f t="shared" si="51"/>
        <v>9.024625</v>
      </c>
      <c r="AD60" s="1">
        <f t="shared" si="52"/>
        <v>0.45</v>
      </c>
      <c r="AE60" s="30">
        <f t="shared" si="53"/>
        <v>674.924787399591</v>
      </c>
      <c r="AF60" s="1">
        <f t="shared" si="54"/>
        <v>14118882.6223005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</row>
    <row r="61" s="1" customFormat="1" spans="1:55">
      <c r="A61" s="13" t="s">
        <v>73</v>
      </c>
      <c r="B61" s="13">
        <f>H7</f>
        <v>0.45</v>
      </c>
      <c r="C61" s="16">
        <v>2</v>
      </c>
      <c r="D61" s="19">
        <v>8.55040523172414</v>
      </c>
      <c r="E61" s="20">
        <f t="shared" si="55"/>
        <v>5.17466241306451</v>
      </c>
      <c r="F61" s="16" t="s">
        <v>110</v>
      </c>
      <c r="G61" s="13">
        <v>3</v>
      </c>
      <c r="H61" s="18">
        <f t="shared" si="40"/>
        <v>8.55040523172414</v>
      </c>
      <c r="I61" s="18">
        <f t="shared" si="41"/>
        <v>281.700405231724</v>
      </c>
      <c r="J61" s="18">
        <f t="shared" si="42"/>
        <v>0.0514160961344809</v>
      </c>
      <c r="K61" s="18">
        <f t="shared" si="43"/>
        <v>9.024625</v>
      </c>
      <c r="L61" s="18">
        <f t="shared" si="44"/>
        <v>2.43664875</v>
      </c>
      <c r="M61" s="13" t="s">
        <v>110</v>
      </c>
      <c r="N61" s="13"/>
      <c r="O61" s="18">
        <f t="shared" si="56"/>
        <v>7.05691576850479</v>
      </c>
      <c r="P61" s="18">
        <f t="shared" si="45"/>
        <v>0.362839059566376</v>
      </c>
      <c r="Q61" s="24">
        <f t="shared" si="46"/>
        <v>0.163277576804869</v>
      </c>
      <c r="R61" s="18">
        <f t="shared" si="47"/>
        <v>1.0964919375</v>
      </c>
      <c r="S61" s="25">
        <f t="shared" si="48"/>
        <v>0.148909053701883</v>
      </c>
      <c r="T61" s="3">
        <v>0.27</v>
      </c>
      <c r="U61" s="26">
        <f t="shared" si="49"/>
        <v>0.0402054444995085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0.238521941516602</v>
      </c>
      <c r="AC61" s="29">
        <f t="shared" si="51"/>
        <v>9.024625</v>
      </c>
      <c r="AD61" s="1">
        <f t="shared" si="52"/>
        <v>0.45</v>
      </c>
      <c r="AE61" s="30">
        <f t="shared" si="53"/>
        <v>674.924787399591</v>
      </c>
      <c r="AF61" s="1">
        <f t="shared" si="54"/>
        <v>14528235.7614178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</row>
    <row r="62" s="1" customFormat="1" spans="1:55">
      <c r="A62" s="13"/>
      <c r="B62" s="13"/>
      <c r="C62" s="16">
        <v>3</v>
      </c>
      <c r="D62" s="19">
        <v>12.6942155086129</v>
      </c>
      <c r="E62" s="20">
        <f t="shared" si="55"/>
        <v>8.55040523172414</v>
      </c>
      <c r="F62" s="16" t="s">
        <v>110</v>
      </c>
      <c r="G62" s="13">
        <v>4</v>
      </c>
      <c r="H62" s="18">
        <f t="shared" si="40"/>
        <v>12.6942155086129</v>
      </c>
      <c r="I62" s="18">
        <f t="shared" si="41"/>
        <v>285.844215508613</v>
      </c>
      <c r="J62" s="18">
        <f t="shared" si="42"/>
        <v>0.0848615985857563</v>
      </c>
      <c r="K62" s="18">
        <f t="shared" si="43"/>
        <v>9.024625</v>
      </c>
      <c r="L62" s="18">
        <f t="shared" si="44"/>
        <v>2.43664875</v>
      </c>
      <c r="M62" s="13" t="s">
        <v>110</v>
      </c>
      <c r="N62" s="13"/>
      <c r="O62" s="18">
        <f t="shared" si="56"/>
        <v>9.13072545893841</v>
      </c>
      <c r="P62" s="18">
        <f t="shared" si="45"/>
        <v>0.774847958693177</v>
      </c>
      <c r="Q62" s="24">
        <f t="shared" si="46"/>
        <v>0.34868158141193</v>
      </c>
      <c r="R62" s="18">
        <f t="shared" si="47"/>
        <v>1.0964919375</v>
      </c>
      <c r="S62" s="25">
        <f t="shared" si="48"/>
        <v>0.317997396503364</v>
      </c>
      <c r="T62" s="3">
        <v>0.27</v>
      </c>
      <c r="U62" s="26">
        <f t="shared" si="49"/>
        <v>0.0858592970559084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0.301086578062356</v>
      </c>
      <c r="AC62" s="29">
        <f t="shared" si="51"/>
        <v>9.024625</v>
      </c>
      <c r="AD62" s="1">
        <f t="shared" si="52"/>
        <v>0.45</v>
      </c>
      <c r="AE62" s="30">
        <f t="shared" si="53"/>
        <v>674.924787399591</v>
      </c>
      <c r="AF62" s="1">
        <f t="shared" si="54"/>
        <v>18339012.1800764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</row>
    <row r="63" s="1" customFormat="1" spans="1:55">
      <c r="A63" s="13"/>
      <c r="B63" s="13"/>
      <c r="C63" s="16">
        <v>4</v>
      </c>
      <c r="D63" s="19">
        <v>18.483660124</v>
      </c>
      <c r="E63" s="20">
        <f t="shared" si="55"/>
        <v>12.6942155086129</v>
      </c>
      <c r="F63" s="16" t="s">
        <v>110</v>
      </c>
      <c r="G63" s="13">
        <v>5</v>
      </c>
      <c r="H63" s="18">
        <f t="shared" si="40"/>
        <v>18.483660124</v>
      </c>
      <c r="I63" s="18">
        <f t="shared" si="41"/>
        <v>291.633660124</v>
      </c>
      <c r="J63" s="18">
        <f t="shared" si="42"/>
        <v>0.16687381717441</v>
      </c>
      <c r="K63" s="18">
        <f t="shared" si="43"/>
        <v>9.024625</v>
      </c>
      <c r="L63" s="18">
        <f t="shared" si="44"/>
        <v>2.43664875</v>
      </c>
      <c r="M63" s="13" t="s">
        <v>112</v>
      </c>
      <c r="N63" s="18">
        <f>(O62-P62)*$C$22/100</f>
        <v>7.93808362523298</v>
      </c>
      <c r="O63" s="18">
        <f t="shared" si="56"/>
        <v>2.85444262501226</v>
      </c>
      <c r="P63" s="18">
        <f t="shared" si="45"/>
        <v>0.476331736741139</v>
      </c>
      <c r="Q63" s="24">
        <f t="shared" si="46"/>
        <v>0.214349281533513</v>
      </c>
      <c r="R63" s="18">
        <f t="shared" si="47"/>
        <v>1.0964919375</v>
      </c>
      <c r="S63" s="25">
        <f t="shared" si="48"/>
        <v>0.195486418278851</v>
      </c>
      <c r="T63" s="3">
        <v>0.27</v>
      </c>
      <c r="U63" s="26">
        <f t="shared" si="49"/>
        <v>0.0527813329352897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0.29111357187999</v>
      </c>
      <c r="AC63" s="29">
        <f t="shared" si="51"/>
        <v>9.024625</v>
      </c>
      <c r="AD63" s="1">
        <f t="shared" si="52"/>
        <v>0.45</v>
      </c>
      <c r="AE63" s="30">
        <f t="shared" si="53"/>
        <v>674.924787399591</v>
      </c>
      <c r="AF63" s="1">
        <f t="shared" si="54"/>
        <v>17731562.0472029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</row>
    <row r="64" s="1" customFormat="1" spans="1:55">
      <c r="A64" s="13"/>
      <c r="B64" s="13"/>
      <c r="C64" s="16">
        <v>5</v>
      </c>
      <c r="D64" s="19">
        <v>20.7969155254839</v>
      </c>
      <c r="E64" s="20">
        <f t="shared" si="55"/>
        <v>18.483660124</v>
      </c>
      <c r="F64" s="16" t="s">
        <v>112</v>
      </c>
      <c r="G64" s="13">
        <v>6</v>
      </c>
      <c r="H64" s="18">
        <f t="shared" si="40"/>
        <v>20.7969155254839</v>
      </c>
      <c r="I64" s="18">
        <f t="shared" si="41"/>
        <v>293.946915525484</v>
      </c>
      <c r="J64" s="18">
        <f t="shared" si="42"/>
        <v>0.21701835447003</v>
      </c>
      <c r="K64" s="18">
        <f t="shared" si="43"/>
        <v>9.024625</v>
      </c>
      <c r="L64" s="18">
        <f t="shared" si="44"/>
        <v>2.43664875</v>
      </c>
      <c r="M64" s="13" t="s">
        <v>110</v>
      </c>
      <c r="N64" s="13"/>
      <c r="O64" s="18">
        <f t="shared" si="56"/>
        <v>4.81475963827112</v>
      </c>
      <c r="P64" s="18">
        <f t="shared" si="45"/>
        <v>1.04489121386632</v>
      </c>
      <c r="Q64" s="24">
        <f t="shared" si="46"/>
        <v>0.470201046239842</v>
      </c>
      <c r="R64" s="18">
        <f t="shared" si="47"/>
        <v>1.0964919375</v>
      </c>
      <c r="S64" s="25">
        <f t="shared" si="48"/>
        <v>0.428823076722205</v>
      </c>
      <c r="T64" s="3">
        <v>0.27</v>
      </c>
      <c r="U64" s="26">
        <f t="shared" si="49"/>
        <v>0.115782230714995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0.325308342560571</v>
      </c>
      <c r="AC64" s="29">
        <f t="shared" si="51"/>
        <v>9.024625</v>
      </c>
      <c r="AD64" s="1">
        <f t="shared" si="52"/>
        <v>0.45</v>
      </c>
      <c r="AE64" s="30">
        <f t="shared" si="53"/>
        <v>674.924787399591</v>
      </c>
      <c r="AF64" s="1">
        <f t="shared" si="54"/>
        <v>19814346.0757763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</row>
    <row r="65" s="1" customFormat="1" spans="1:55">
      <c r="A65" s="13"/>
      <c r="B65" s="13"/>
      <c r="C65" s="16">
        <v>6</v>
      </c>
      <c r="D65" s="19">
        <v>25.5609335346667</v>
      </c>
      <c r="E65" s="20">
        <f t="shared" si="55"/>
        <v>20.7969155254839</v>
      </c>
      <c r="F65" s="16" t="s">
        <v>110</v>
      </c>
      <c r="G65" s="13">
        <v>7</v>
      </c>
      <c r="H65" s="18">
        <f t="shared" si="40"/>
        <v>25.5609335346667</v>
      </c>
      <c r="I65" s="18">
        <f t="shared" si="41"/>
        <v>298.710933534667</v>
      </c>
      <c r="J65" s="18">
        <f t="shared" si="42"/>
        <v>0.368068098163624</v>
      </c>
      <c r="K65" s="18">
        <f t="shared" si="43"/>
        <v>9.024625</v>
      </c>
      <c r="L65" s="18">
        <f t="shared" si="44"/>
        <v>2.43664875</v>
      </c>
      <c r="M65" s="13" t="s">
        <v>110</v>
      </c>
      <c r="N65" s="13"/>
      <c r="O65" s="18">
        <f t="shared" si="56"/>
        <v>6.20651717440481</v>
      </c>
      <c r="P65" s="18">
        <f t="shared" si="45"/>
        <v>2.28442097260305</v>
      </c>
      <c r="Q65" s="24">
        <f t="shared" si="46"/>
        <v>1.02798943767137</v>
      </c>
      <c r="R65" s="18">
        <f t="shared" si="47"/>
        <v>1.0964919375</v>
      </c>
      <c r="S65" s="25">
        <f t="shared" si="48"/>
        <v>0.937525760577123</v>
      </c>
      <c r="T65" s="3">
        <v>0.27</v>
      </c>
      <c r="U65" s="26">
        <f t="shared" si="49"/>
        <v>0.253131955355823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0.366719284539781</v>
      </c>
      <c r="AC65" s="29">
        <f t="shared" si="51"/>
        <v>9.024625</v>
      </c>
      <c r="AD65" s="1">
        <f t="shared" si="52"/>
        <v>0.45</v>
      </c>
      <c r="AE65" s="30">
        <f t="shared" si="53"/>
        <v>674.924787399591</v>
      </c>
      <c r="AF65" s="1">
        <f t="shared" si="54"/>
        <v>22336662.9928323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</row>
    <row r="66" s="1" customFormat="1" spans="1:55">
      <c r="A66" s="13"/>
      <c r="B66" s="13"/>
      <c r="C66" s="16">
        <v>7</v>
      </c>
      <c r="D66" s="19">
        <v>28.4794855348387</v>
      </c>
      <c r="E66" s="20">
        <f t="shared" si="55"/>
        <v>25.5609335346667</v>
      </c>
      <c r="F66" s="16" t="s">
        <v>110</v>
      </c>
      <c r="G66" s="13">
        <v>8</v>
      </c>
      <c r="H66" s="18">
        <f t="shared" si="40"/>
        <v>28.4794855348387</v>
      </c>
      <c r="I66" s="18">
        <f t="shared" si="41"/>
        <v>301.629485534839</v>
      </c>
      <c r="J66" s="18">
        <f t="shared" si="42"/>
        <v>0.504549272106322</v>
      </c>
      <c r="K66" s="18">
        <f t="shared" si="43"/>
        <v>9.024625</v>
      </c>
      <c r="L66" s="18">
        <f t="shared" si="44"/>
        <v>2.43664875</v>
      </c>
      <c r="M66" s="13" t="s">
        <v>110</v>
      </c>
      <c r="N66" s="13"/>
      <c r="O66" s="18">
        <f t="shared" si="56"/>
        <v>6.35874495180176</v>
      </c>
      <c r="P66" s="18">
        <f t="shared" si="45"/>
        <v>3.20830013694133</v>
      </c>
      <c r="Q66" s="24">
        <f t="shared" si="46"/>
        <v>1.4437350616236</v>
      </c>
      <c r="R66" s="18">
        <f t="shared" si="47"/>
        <v>1.0964919375</v>
      </c>
      <c r="S66" s="25">
        <f t="shared" si="48"/>
        <v>1.31668552430519</v>
      </c>
      <c r="T66" s="3">
        <v>0.27</v>
      </c>
      <c r="U66" s="26">
        <f t="shared" si="49"/>
        <v>0.3555050915624</v>
      </c>
      <c r="V66" s="3">
        <v>229.1</v>
      </c>
      <c r="W66" s="27">
        <v>15.1</v>
      </c>
      <c r="X66" s="27">
        <v>6</v>
      </c>
      <c r="Y66" s="27">
        <v>3</v>
      </c>
      <c r="Z66" s="27">
        <v>7</v>
      </c>
      <c r="AA66" s="3">
        <v>30.2</v>
      </c>
      <c r="AB66" s="2">
        <f t="shared" si="50"/>
        <v>0.397584785106064</v>
      </c>
      <c r="AC66" s="29">
        <f t="shared" si="51"/>
        <v>9.024625</v>
      </c>
      <c r="AD66" s="1">
        <f t="shared" si="52"/>
        <v>0.45</v>
      </c>
      <c r="AE66" s="30">
        <f t="shared" si="53"/>
        <v>674.924787399591</v>
      </c>
      <c r="AF66" s="1">
        <f t="shared" si="54"/>
        <v>24216663.0727826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</row>
    <row r="67" s="1" customFormat="1" spans="1:55">
      <c r="A67" s="13"/>
      <c r="B67" s="13"/>
      <c r="C67" s="16">
        <v>8</v>
      </c>
      <c r="D67" s="19">
        <v>27.5043551645161</v>
      </c>
      <c r="E67" s="20">
        <f t="shared" si="55"/>
        <v>28.4794855348387</v>
      </c>
      <c r="F67" s="16" t="s">
        <v>110</v>
      </c>
      <c r="G67" s="13">
        <v>9</v>
      </c>
      <c r="H67" s="18">
        <f t="shared" si="40"/>
        <v>27.5043551645161</v>
      </c>
      <c r="I67" s="18">
        <f t="shared" si="41"/>
        <v>300.654355164516</v>
      </c>
      <c r="J67" s="18">
        <f t="shared" si="42"/>
        <v>0.454395424035328</v>
      </c>
      <c r="K67" s="18">
        <f t="shared" si="43"/>
        <v>9.024625</v>
      </c>
      <c r="L67" s="18">
        <f t="shared" si="44"/>
        <v>2.43664875</v>
      </c>
      <c r="M67" s="13" t="s">
        <v>110</v>
      </c>
      <c r="N67" s="13"/>
      <c r="O67" s="18">
        <f t="shared" si="56"/>
        <v>5.58709356486043</v>
      </c>
      <c r="P67" s="18">
        <f t="shared" si="45"/>
        <v>2.53874974952981</v>
      </c>
      <c r="Q67" s="24">
        <f t="shared" si="46"/>
        <v>1.14243738728841</v>
      </c>
      <c r="R67" s="18">
        <f t="shared" si="47"/>
        <v>1.0964919375</v>
      </c>
      <c r="S67" s="25">
        <f t="shared" si="48"/>
        <v>1.0419022230963</v>
      </c>
      <c r="T67" s="3">
        <v>0.27</v>
      </c>
      <c r="U67" s="26">
        <f t="shared" si="49"/>
        <v>0.281313600236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0.360016050471154</v>
      </c>
      <c r="AC67" s="29">
        <f t="shared" si="51"/>
        <v>9.024625</v>
      </c>
      <c r="AD67" s="1">
        <f t="shared" si="52"/>
        <v>0.45</v>
      </c>
      <c r="AE67" s="30">
        <f t="shared" si="53"/>
        <v>674.924787399591</v>
      </c>
      <c r="AF67" s="1">
        <f t="shared" si="54"/>
        <v>21928372.8192165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</row>
    <row r="68" s="1" customFormat="1" spans="1:55">
      <c r="A68" s="13"/>
      <c r="B68" s="13"/>
      <c r="C68" s="16">
        <v>9</v>
      </c>
      <c r="D68" s="19">
        <v>24.1237315376667</v>
      </c>
      <c r="E68" s="20">
        <f t="shared" si="55"/>
        <v>27.5043551645161</v>
      </c>
      <c r="F68" s="16" t="s">
        <v>110</v>
      </c>
      <c r="G68" s="13">
        <v>10</v>
      </c>
      <c r="H68" s="18">
        <f t="shared" si="40"/>
        <v>24.1237315376667</v>
      </c>
      <c r="I68" s="18">
        <f t="shared" si="41"/>
        <v>297.273731537667</v>
      </c>
      <c r="J68" s="18">
        <f t="shared" si="42"/>
        <v>0.31440405624836</v>
      </c>
      <c r="K68" s="18">
        <f t="shared" si="43"/>
        <v>9.024625</v>
      </c>
      <c r="L68" s="18">
        <f t="shared" si="44"/>
        <v>2.43664875</v>
      </c>
      <c r="M68" s="13" t="s">
        <v>110</v>
      </c>
      <c r="N68" s="13"/>
      <c r="O68" s="18">
        <f t="shared" si="56"/>
        <v>5.48499256533062</v>
      </c>
      <c r="P68" s="18">
        <f t="shared" si="45"/>
        <v>1.72450391103205</v>
      </c>
      <c r="Q68" s="24">
        <f t="shared" si="46"/>
        <v>0.776026759964421</v>
      </c>
      <c r="R68" s="18">
        <f t="shared" si="47"/>
        <v>1.0964919375</v>
      </c>
      <c r="S68" s="25">
        <f t="shared" si="48"/>
        <v>0.707735947182394</v>
      </c>
      <c r="T68" s="3">
        <v>0.27</v>
      </c>
      <c r="U68" s="26">
        <f t="shared" si="49"/>
        <v>0.191088705739246</v>
      </c>
      <c r="V68" s="3">
        <v>220.1</v>
      </c>
      <c r="W68" s="27">
        <v>12.1</v>
      </c>
      <c r="X68" s="27">
        <v>4.5</v>
      </c>
      <c r="Y68" s="27">
        <v>1.5</v>
      </c>
      <c r="Z68" s="27">
        <v>6.8</v>
      </c>
      <c r="AA68" s="3">
        <v>30.2</v>
      </c>
      <c r="AB68" s="2">
        <f t="shared" si="50"/>
        <v>0.332813244780383</v>
      </c>
      <c r="AC68" s="29">
        <f t="shared" si="51"/>
        <v>9.024625</v>
      </c>
      <c r="AD68" s="1">
        <f t="shared" si="52"/>
        <v>0.45</v>
      </c>
      <c r="AE68" s="30">
        <f t="shared" si="53"/>
        <v>674.924787399591</v>
      </c>
      <c r="AF68" s="1">
        <f t="shared" si="54"/>
        <v>20271465.4004076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</row>
    <row r="69" s="1" customFormat="1" spans="1:55">
      <c r="A69" s="13"/>
      <c r="B69" s="13"/>
      <c r="C69" s="16">
        <v>10</v>
      </c>
      <c r="D69" s="19">
        <v>18.6061433790323</v>
      </c>
      <c r="E69" s="20">
        <f t="shared" si="55"/>
        <v>24.1237315376667</v>
      </c>
      <c r="F69" s="16" t="s">
        <v>110</v>
      </c>
      <c r="G69" s="13">
        <v>11</v>
      </c>
      <c r="H69" s="18">
        <f t="shared" si="40"/>
        <v>18.6061433790323</v>
      </c>
      <c r="I69" s="18">
        <f t="shared" si="41"/>
        <v>291.756143379032</v>
      </c>
      <c r="J69" s="18">
        <f t="shared" si="42"/>
        <v>0.169229247120736</v>
      </c>
      <c r="K69" s="18">
        <f t="shared" si="43"/>
        <v>9.024625</v>
      </c>
      <c r="L69" s="18">
        <f t="shared" si="44"/>
        <v>2.43664875</v>
      </c>
      <c r="M69" s="13" t="s">
        <v>112</v>
      </c>
      <c r="N69" s="18">
        <f>(O68-P68)*$C$22/100</f>
        <v>3.57246422158365</v>
      </c>
      <c r="O69" s="18">
        <f t="shared" si="56"/>
        <v>2.62467318271493</v>
      </c>
      <c r="P69" s="18">
        <f t="shared" si="45"/>
        <v>0.444171466648833</v>
      </c>
      <c r="Q69" s="24">
        <f t="shared" si="46"/>
        <v>0.199877159991975</v>
      </c>
      <c r="R69" s="18">
        <f t="shared" si="47"/>
        <v>1.0964919375</v>
      </c>
      <c r="S69" s="25">
        <f t="shared" si="48"/>
        <v>0.182287851972441</v>
      </c>
      <c r="T69" s="3">
        <v>0.27</v>
      </c>
      <c r="U69" s="26">
        <f t="shared" si="49"/>
        <v>0.0492177200325591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0.241239142589817</v>
      </c>
      <c r="AC69" s="29">
        <f t="shared" si="51"/>
        <v>9.024625</v>
      </c>
      <c r="AD69" s="1">
        <f t="shared" si="52"/>
        <v>0.45</v>
      </c>
      <c r="AE69" s="30">
        <f t="shared" si="53"/>
        <v>674.924787399591</v>
      </c>
      <c r="AF69" s="1">
        <f t="shared" si="54"/>
        <v>14693738.9329576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</row>
    <row r="70" s="1" customFormat="1" spans="1:55">
      <c r="A70" s="13"/>
      <c r="B70" s="13"/>
      <c r="C70" s="16">
        <v>11</v>
      </c>
      <c r="D70" s="19">
        <v>12.1937636391667</v>
      </c>
      <c r="E70" s="20">
        <f t="shared" si="55"/>
        <v>18.6061433790323</v>
      </c>
      <c r="F70" s="16" t="s">
        <v>112</v>
      </c>
      <c r="G70" s="13">
        <v>12</v>
      </c>
      <c r="H70" s="18">
        <f t="shared" si="40"/>
        <v>12.1937636391667</v>
      </c>
      <c r="I70" s="18">
        <f t="shared" si="41"/>
        <v>285.343763639167</v>
      </c>
      <c r="J70" s="18">
        <f t="shared" si="42"/>
        <v>0.0799402599147488</v>
      </c>
      <c r="K70" s="18">
        <f t="shared" si="43"/>
        <v>9.024625</v>
      </c>
      <c r="L70" s="18">
        <f t="shared" si="44"/>
        <v>2.43664875</v>
      </c>
      <c r="M70" s="13" t="s">
        <v>110</v>
      </c>
      <c r="N70" s="13"/>
      <c r="O70" s="18">
        <f t="shared" si="56"/>
        <v>4.6171504660661</v>
      </c>
      <c r="P70" s="18">
        <f t="shared" si="45"/>
        <v>0.369096208322827</v>
      </c>
      <c r="Q70" s="24">
        <f t="shared" si="46"/>
        <v>0.166093293745272</v>
      </c>
      <c r="R70" s="18">
        <f t="shared" si="47"/>
        <v>1.0964919375</v>
      </c>
      <c r="S70" s="25">
        <f t="shared" si="48"/>
        <v>0.151476985890078</v>
      </c>
      <c r="T70" s="3">
        <v>0.27</v>
      </c>
      <c r="U70" s="26">
        <f t="shared" si="49"/>
        <v>0.0408987861903212</v>
      </c>
      <c r="V70" s="3">
        <v>180.9</v>
      </c>
      <c r="W70" s="27">
        <v>6</v>
      </c>
      <c r="X70" s="27">
        <v>3</v>
      </c>
      <c r="Y70" s="27">
        <v>0.3</v>
      </c>
      <c r="Z70" s="27">
        <v>6</v>
      </c>
      <c r="AA70" s="3">
        <v>30.2</v>
      </c>
      <c r="AB70" s="2">
        <f t="shared" si="50"/>
        <v>0.238730984036382</v>
      </c>
      <c r="AC70" s="29">
        <f t="shared" si="51"/>
        <v>9.024625</v>
      </c>
      <c r="AD70" s="1">
        <f t="shared" si="52"/>
        <v>0.45</v>
      </c>
      <c r="AE70" s="30">
        <f t="shared" si="53"/>
        <v>674.924787399591</v>
      </c>
      <c r="AF70" s="1">
        <f t="shared" si="54"/>
        <v>14540968.4223722</v>
      </c>
      <c r="AG70" s="1">
        <f>SUM(AF59:AF70)</f>
        <v>216495709.38474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</row>
    <row r="71" s="1" customFormat="1" spans="1:46">
      <c r="A71" s="13"/>
      <c r="B71" s="13"/>
      <c r="C71" s="16">
        <v>12</v>
      </c>
      <c r="D71" s="19">
        <v>8.83461067145161</v>
      </c>
      <c r="E71" s="20">
        <f t="shared" si="55"/>
        <v>12.1937636391667</v>
      </c>
      <c r="F71" s="16" t="s">
        <v>110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AT71" s="2"/>
    </row>
    <row r="72" s="1" customFormat="1" spans="46:46">
      <c r="AT72" s="2"/>
    </row>
    <row r="73" s="1" customFormat="1" spans="19:46">
      <c r="S73" s="23" t="s">
        <v>80</v>
      </c>
      <c r="T73" s="23"/>
      <c r="U73" s="23"/>
      <c r="V73" s="23" t="s">
        <v>81</v>
      </c>
      <c r="W73" s="23"/>
      <c r="X73" s="23"/>
      <c r="Y73" s="23" t="s">
        <v>82</v>
      </c>
      <c r="Z73" s="23"/>
      <c r="AA73" s="23"/>
      <c r="AB73" s="23" t="s">
        <v>83</v>
      </c>
      <c r="AC73" s="23"/>
      <c r="AD73" s="23"/>
      <c r="AE73" s="23" t="s">
        <v>84</v>
      </c>
      <c r="AF73" s="23"/>
      <c r="AG73" s="23"/>
      <c r="AH73" s="23" t="s">
        <v>85</v>
      </c>
      <c r="AI73" s="23"/>
      <c r="AJ73" s="23"/>
      <c r="AK73" s="31" t="s">
        <v>115</v>
      </c>
      <c r="AL73" s="32"/>
      <c r="AM73" s="33"/>
      <c r="AN73" s="32" t="s">
        <v>116</v>
      </c>
      <c r="AO73" s="32"/>
      <c r="AP73" s="33"/>
      <c r="AQ73" s="23" t="s">
        <v>87</v>
      </c>
      <c r="AR73" s="23"/>
      <c r="AS73" s="23"/>
      <c r="AT73" s="2"/>
    </row>
    <row r="74" s="1" customFormat="1" spans="1:50">
      <c r="A74" s="15" t="s">
        <v>49</v>
      </c>
      <c r="B74" s="15"/>
      <c r="C74" s="16" t="s">
        <v>88</v>
      </c>
      <c r="D74" s="16" t="s">
        <v>89</v>
      </c>
      <c r="E74" s="16" t="s">
        <v>90</v>
      </c>
      <c r="F74" s="16" t="s">
        <v>91</v>
      </c>
      <c r="G74" s="13" t="s">
        <v>88</v>
      </c>
      <c r="H74" s="13" t="s">
        <v>90</v>
      </c>
      <c r="I74" s="13" t="s">
        <v>92</v>
      </c>
      <c r="J74" s="13" t="s">
        <v>93</v>
      </c>
      <c r="K74" s="22" t="s">
        <v>94</v>
      </c>
      <c r="L74" s="22" t="s">
        <v>95</v>
      </c>
      <c r="M74" s="13" t="s">
        <v>96</v>
      </c>
      <c r="N74" s="22" t="s">
        <v>97</v>
      </c>
      <c r="O74" s="13" t="s">
        <v>98</v>
      </c>
      <c r="P74" s="13" t="s">
        <v>99</v>
      </c>
      <c r="Q74" s="22" t="s">
        <v>100</v>
      </c>
      <c r="R74" s="22" t="s">
        <v>101</v>
      </c>
      <c r="S74" s="4" t="s">
        <v>102</v>
      </c>
      <c r="T74" s="3" t="s">
        <v>103</v>
      </c>
      <c r="U74" s="3"/>
      <c r="V74" s="4" t="s">
        <v>102</v>
      </c>
      <c r="W74" s="3" t="s">
        <v>103</v>
      </c>
      <c r="X74" s="3"/>
      <c r="Y74" s="4" t="s">
        <v>102</v>
      </c>
      <c r="Z74" s="3" t="s">
        <v>103</v>
      </c>
      <c r="AA74" s="3"/>
      <c r="AB74" s="4" t="s">
        <v>102</v>
      </c>
      <c r="AC74" s="3" t="s">
        <v>103</v>
      </c>
      <c r="AD74" s="3"/>
      <c r="AE74" s="4" t="s">
        <v>102</v>
      </c>
      <c r="AF74" s="3" t="s">
        <v>103</v>
      </c>
      <c r="AG74" s="3"/>
      <c r="AH74" s="4" t="s">
        <v>102</v>
      </c>
      <c r="AI74" s="3" t="s">
        <v>103</v>
      </c>
      <c r="AJ74" s="3"/>
      <c r="AK74" s="4" t="s">
        <v>102</v>
      </c>
      <c r="AL74" s="3" t="s">
        <v>103</v>
      </c>
      <c r="AM74" s="3"/>
      <c r="AN74" s="4" t="s">
        <v>102</v>
      </c>
      <c r="AO74" s="3" t="s">
        <v>103</v>
      </c>
      <c r="AP74" s="3"/>
      <c r="AQ74" s="34" t="s">
        <v>102</v>
      </c>
      <c r="AR74" s="34" t="s">
        <v>103</v>
      </c>
      <c r="AS74" s="34"/>
      <c r="AT74" s="2" t="s">
        <v>104</v>
      </c>
      <c r="AU74" s="1" t="s">
        <v>105</v>
      </c>
      <c r="AV74" s="1" t="s">
        <v>73</v>
      </c>
      <c r="AW74" s="1" t="s">
        <v>106</v>
      </c>
      <c r="AX74" s="1" t="s">
        <v>107</v>
      </c>
    </row>
    <row r="75" s="1" customFormat="1" spans="1:50">
      <c r="A75" s="13" t="s">
        <v>108</v>
      </c>
      <c r="B75" s="13">
        <f>F8</f>
        <v>625.464</v>
      </c>
      <c r="C75" s="16" t="s">
        <v>109</v>
      </c>
      <c r="D75" s="17">
        <v>6</v>
      </c>
      <c r="E75" s="16"/>
      <c r="F75" s="16"/>
      <c r="G75" s="13">
        <v>1</v>
      </c>
      <c r="H75" s="18">
        <f t="shared" ref="H75:H86" si="57">E76</f>
        <v>6</v>
      </c>
      <c r="I75" s="18">
        <f t="shared" ref="I75:I86" si="58">H75+273.15</f>
        <v>279.15</v>
      </c>
      <c r="J75" s="18">
        <f t="shared" ref="J75:J86" si="59">EXP(($C$16*(I75-$C$14))/($C$17*I75*$C$14))</f>
        <v>0.0374932232426917</v>
      </c>
      <c r="K75" s="18">
        <f t="shared" ref="K75:K86" si="60">$B$75/12</f>
        <v>52.122</v>
      </c>
      <c r="L75" s="18">
        <f t="shared" ref="L75:L86" si="61">K75*$B$76/100</f>
        <v>0.52122</v>
      </c>
      <c r="M75" s="13" t="s">
        <v>110</v>
      </c>
      <c r="N75" s="13"/>
      <c r="O75" s="18">
        <f>L75</f>
        <v>0.52122</v>
      </c>
      <c r="P75" s="18">
        <f t="shared" ref="P75:P86" si="62">O75*J75</f>
        <v>0.0195422178185558</v>
      </c>
      <c r="Q75" s="24">
        <f t="shared" ref="Q75:Q86" si="63">P75*$B$77</f>
        <v>0.0050809766328245</v>
      </c>
      <c r="R75" s="18">
        <f t="shared" ref="R75:R86" si="64">L75*$B$77</f>
        <v>0.1355172</v>
      </c>
      <c r="S75" s="25">
        <f t="shared" ref="S75:S86" si="65">Q75/R75</f>
        <v>0.0374932232426917</v>
      </c>
      <c r="T75" s="3">
        <v>0.01</v>
      </c>
      <c r="U75" s="26">
        <f t="shared" ref="U75:U86" si="66">S75*T75</f>
        <v>0.000374932232426917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ref="AG75:AG86" si="67">AF75*AE75</f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ref="AS75:AS86" si="68">AR75*AQ75</f>
        <v>0.005</v>
      </c>
      <c r="AT75" s="2">
        <f t="shared" ref="AT75:AT86" si="69">(AS75+AM75+AD75+AA75+U75+X75+AG75+AJ75+AP75)</f>
        <v>0.00586493223242692</v>
      </c>
      <c r="AU75" s="29">
        <f t="shared" ref="AU75:AU86" si="70">$B$75/12</f>
        <v>52.122</v>
      </c>
      <c r="AV75" s="1">
        <f t="shared" ref="AV75:AV86" si="71">$B$77</f>
        <v>0.26</v>
      </c>
      <c r="AW75" s="2">
        <f t="shared" ref="AW75:AW86" si="72">$E$8</f>
        <v>1.388</v>
      </c>
      <c r="AX75" s="1">
        <f t="shared" ref="AX75:AX86" si="73">AW75*10000*AV75*0.67*AU75*AT75</f>
        <v>739.131458757495</v>
      </c>
    </row>
    <row r="76" s="1" customFormat="1" spans="1:50">
      <c r="A76" s="13" t="s">
        <v>111</v>
      </c>
      <c r="B76" s="13">
        <v>1</v>
      </c>
      <c r="C76" s="16">
        <v>1</v>
      </c>
      <c r="D76" s="19">
        <v>5.17466241306451</v>
      </c>
      <c r="E76" s="20">
        <f t="shared" ref="E76:E87" si="74">D75</f>
        <v>6</v>
      </c>
      <c r="F76" s="16" t="s">
        <v>110</v>
      </c>
      <c r="G76" s="13">
        <v>2</v>
      </c>
      <c r="H76" s="18">
        <f t="shared" si="57"/>
        <v>5.17466241306451</v>
      </c>
      <c r="I76" s="18">
        <f t="shared" si="58"/>
        <v>278.324662413065</v>
      </c>
      <c r="J76" s="18">
        <f t="shared" si="59"/>
        <v>0.0338090140436294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ref="O76:O86" si="75">L76+O75-P75-N76</f>
        <v>1.02289778218144</v>
      </c>
      <c r="P76" s="18">
        <f t="shared" si="62"/>
        <v>0.0345831654829698</v>
      </c>
      <c r="Q76" s="24">
        <f t="shared" si="63"/>
        <v>0.00899162302557215</v>
      </c>
      <c r="R76" s="18">
        <f t="shared" si="64"/>
        <v>0.1355172</v>
      </c>
      <c r="S76" s="25">
        <f t="shared" si="65"/>
        <v>0.0663504191761057</v>
      </c>
      <c r="T76" s="3">
        <v>0.01</v>
      </c>
      <c r="U76" s="26">
        <f t="shared" si="66"/>
        <v>0.000663504191761057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0.00615350419176106</v>
      </c>
      <c r="AU76" s="29">
        <f t="shared" si="70"/>
        <v>52.122</v>
      </c>
      <c r="AV76" s="1">
        <f t="shared" si="71"/>
        <v>0.26</v>
      </c>
      <c r="AW76" s="2">
        <f t="shared" si="72"/>
        <v>1.388</v>
      </c>
      <c r="AX76" s="1">
        <f t="shared" si="73"/>
        <v>775.498905951491</v>
      </c>
    </row>
    <row r="77" s="1" customFormat="1" spans="1:50">
      <c r="A77" s="13" t="s">
        <v>73</v>
      </c>
      <c r="B77" s="13">
        <f>H8</f>
        <v>0.26</v>
      </c>
      <c r="C77" s="16">
        <v>2</v>
      </c>
      <c r="D77" s="19">
        <v>8.55040523172414</v>
      </c>
      <c r="E77" s="20">
        <f t="shared" si="74"/>
        <v>5.17466241306451</v>
      </c>
      <c r="F77" s="16" t="s">
        <v>110</v>
      </c>
      <c r="G77" s="13">
        <v>3</v>
      </c>
      <c r="H77" s="18">
        <f t="shared" si="57"/>
        <v>8.55040523172414</v>
      </c>
      <c r="I77" s="18">
        <f t="shared" si="58"/>
        <v>281.700405231724</v>
      </c>
      <c r="J77" s="18">
        <f t="shared" si="59"/>
        <v>0.0514160961344809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1.50953461669847</v>
      </c>
      <c r="P77" s="18">
        <f t="shared" si="62"/>
        <v>0.0776143769704955</v>
      </c>
      <c r="Q77" s="24">
        <f t="shared" si="63"/>
        <v>0.0201797380123288</v>
      </c>
      <c r="R77" s="18">
        <f t="shared" si="64"/>
        <v>0.1355172</v>
      </c>
      <c r="S77" s="25">
        <f t="shared" si="65"/>
        <v>0.148909053701883</v>
      </c>
      <c r="T77" s="3">
        <v>0.01</v>
      </c>
      <c r="U77" s="26">
        <f t="shared" si="66"/>
        <v>0.00148909053701883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0.00697909053701883</v>
      </c>
      <c r="AU77" s="29">
        <f t="shared" si="70"/>
        <v>52.122</v>
      </c>
      <c r="AV77" s="1">
        <f t="shared" si="71"/>
        <v>0.26</v>
      </c>
      <c r="AW77" s="2">
        <f t="shared" si="72"/>
        <v>1.388</v>
      </c>
      <c r="AX77" s="1">
        <f t="shared" si="73"/>
        <v>879.543900082333</v>
      </c>
    </row>
    <row r="78" s="1" customFormat="1" spans="1:50">
      <c r="A78" s="13"/>
      <c r="B78" s="13"/>
      <c r="C78" s="16">
        <v>3</v>
      </c>
      <c r="D78" s="19">
        <v>12.6942155086129</v>
      </c>
      <c r="E78" s="20">
        <f t="shared" si="74"/>
        <v>8.55040523172414</v>
      </c>
      <c r="F78" s="16" t="s">
        <v>110</v>
      </c>
      <c r="G78" s="13">
        <v>4</v>
      </c>
      <c r="H78" s="18">
        <f t="shared" si="57"/>
        <v>12.6942155086129</v>
      </c>
      <c r="I78" s="18">
        <f t="shared" si="58"/>
        <v>285.844215508613</v>
      </c>
      <c r="J78" s="18">
        <f t="shared" si="59"/>
        <v>0.0848615985857563</v>
      </c>
      <c r="K78" s="18">
        <f t="shared" si="60"/>
        <v>52.122</v>
      </c>
      <c r="L78" s="18">
        <f t="shared" si="61"/>
        <v>0.52122</v>
      </c>
      <c r="M78" s="13" t="s">
        <v>110</v>
      </c>
      <c r="N78" s="13"/>
      <c r="O78" s="18">
        <f t="shared" si="75"/>
        <v>1.95314023972798</v>
      </c>
      <c r="P78" s="18">
        <f t="shared" si="62"/>
        <v>0.165746603005484</v>
      </c>
      <c r="Q78" s="24">
        <f t="shared" si="63"/>
        <v>0.0430941167814257</v>
      </c>
      <c r="R78" s="18">
        <f t="shared" si="64"/>
        <v>0.1355172</v>
      </c>
      <c r="S78" s="25">
        <f t="shared" si="65"/>
        <v>0.317997396503364</v>
      </c>
      <c r="T78" s="3">
        <v>0.01</v>
      </c>
      <c r="U78" s="26">
        <f t="shared" si="66"/>
        <v>0.00317997396503364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0.001</v>
      </c>
      <c r="AF78" s="3">
        <v>0.49</v>
      </c>
      <c r="AG78" s="26">
        <f t="shared" si="67"/>
        <v>0.00049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0.0111699739650336</v>
      </c>
      <c r="AU78" s="29">
        <f t="shared" si="70"/>
        <v>52.122</v>
      </c>
      <c r="AV78" s="1">
        <f t="shared" si="71"/>
        <v>0.26</v>
      </c>
      <c r="AW78" s="2">
        <f t="shared" si="72"/>
        <v>1.388</v>
      </c>
      <c r="AX78" s="1">
        <f t="shared" si="73"/>
        <v>1407.70239516343</v>
      </c>
    </row>
    <row r="79" s="1" customFormat="1" spans="1:50">
      <c r="A79" s="13"/>
      <c r="B79" s="13"/>
      <c r="C79" s="16">
        <v>4</v>
      </c>
      <c r="D79" s="19">
        <v>18.483660124</v>
      </c>
      <c r="E79" s="20">
        <f t="shared" si="74"/>
        <v>12.6942155086129</v>
      </c>
      <c r="F79" s="16" t="s">
        <v>110</v>
      </c>
      <c r="G79" s="13">
        <v>5</v>
      </c>
      <c r="H79" s="18">
        <f t="shared" si="57"/>
        <v>18.483660124</v>
      </c>
      <c r="I79" s="18">
        <f t="shared" si="58"/>
        <v>291.633660124</v>
      </c>
      <c r="J79" s="18">
        <f t="shared" si="59"/>
        <v>0.16687381717441</v>
      </c>
      <c r="K79" s="18">
        <f t="shared" si="60"/>
        <v>52.122</v>
      </c>
      <c r="L79" s="18">
        <f t="shared" si="61"/>
        <v>0.52122</v>
      </c>
      <c r="M79" s="13" t="s">
        <v>112</v>
      </c>
      <c r="N79" s="18">
        <f>(O78-P78)*$C$22/100</f>
        <v>1.69802395488637</v>
      </c>
      <c r="O79" s="18">
        <f t="shared" si="75"/>
        <v>0.610589681836124</v>
      </c>
      <c r="P79" s="18">
        <f t="shared" si="62"/>
        <v>0.101891430935303</v>
      </c>
      <c r="Q79" s="24">
        <f t="shared" si="63"/>
        <v>0.0264917720431787</v>
      </c>
      <c r="R79" s="18">
        <f t="shared" si="64"/>
        <v>0.1355172</v>
      </c>
      <c r="S79" s="25">
        <f t="shared" si="65"/>
        <v>0.195486418278851</v>
      </c>
      <c r="T79" s="3">
        <v>0.01</v>
      </c>
      <c r="U79" s="26">
        <f t="shared" si="66"/>
        <v>0.00195486418278851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0.0119048641827885</v>
      </c>
      <c r="AU79" s="29">
        <f t="shared" si="70"/>
        <v>52.122</v>
      </c>
      <c r="AV79" s="1">
        <f t="shared" si="71"/>
        <v>0.26</v>
      </c>
      <c r="AW79" s="2">
        <f t="shared" si="72"/>
        <v>1.388</v>
      </c>
      <c r="AX79" s="1">
        <f t="shared" si="73"/>
        <v>1500.31735764714</v>
      </c>
    </row>
    <row r="80" s="1" customFormat="1" spans="1:50">
      <c r="A80" s="13"/>
      <c r="B80" s="13"/>
      <c r="C80" s="16">
        <v>5</v>
      </c>
      <c r="D80" s="19">
        <v>20.7969155254839</v>
      </c>
      <c r="E80" s="20">
        <f t="shared" si="74"/>
        <v>18.483660124</v>
      </c>
      <c r="F80" s="16" t="s">
        <v>112</v>
      </c>
      <c r="G80" s="13">
        <v>6</v>
      </c>
      <c r="H80" s="18">
        <f t="shared" si="57"/>
        <v>20.7969155254839</v>
      </c>
      <c r="I80" s="18">
        <f t="shared" si="58"/>
        <v>293.946915525484</v>
      </c>
      <c r="J80" s="18">
        <f t="shared" si="59"/>
        <v>0.21701835447003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1.02991825090082</v>
      </c>
      <c r="P80" s="18">
        <f t="shared" si="62"/>
        <v>0.223511164049148</v>
      </c>
      <c r="Q80" s="24">
        <f t="shared" si="63"/>
        <v>0.0581129026527784</v>
      </c>
      <c r="R80" s="18">
        <f t="shared" si="64"/>
        <v>0.1355172</v>
      </c>
      <c r="S80" s="25">
        <f t="shared" si="65"/>
        <v>0.428823076722205</v>
      </c>
      <c r="T80" s="3">
        <v>0.01</v>
      </c>
      <c r="U80" s="26">
        <f t="shared" si="66"/>
        <v>0.00428823076722205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0.0142382307672221</v>
      </c>
      <c r="AU80" s="29">
        <f t="shared" si="70"/>
        <v>52.122</v>
      </c>
      <c r="AV80" s="1">
        <f t="shared" si="71"/>
        <v>0.26</v>
      </c>
      <c r="AW80" s="2">
        <f t="shared" si="72"/>
        <v>1.388</v>
      </c>
      <c r="AX80" s="1">
        <f t="shared" si="73"/>
        <v>1794.38122386418</v>
      </c>
    </row>
    <row r="81" s="1" customFormat="1" spans="1:50">
      <c r="A81" s="13"/>
      <c r="B81" s="13"/>
      <c r="C81" s="16">
        <v>6</v>
      </c>
      <c r="D81" s="19">
        <v>25.5609335346667</v>
      </c>
      <c r="E81" s="20">
        <f t="shared" si="74"/>
        <v>20.7969155254839</v>
      </c>
      <c r="F81" s="16" t="s">
        <v>110</v>
      </c>
      <c r="G81" s="13">
        <v>7</v>
      </c>
      <c r="H81" s="18">
        <f t="shared" si="57"/>
        <v>25.5609335346667</v>
      </c>
      <c r="I81" s="18">
        <f t="shared" si="58"/>
        <v>298.710933534667</v>
      </c>
      <c r="J81" s="18">
        <f t="shared" si="59"/>
        <v>0.368068098163624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1.32762708685167</v>
      </c>
      <c r="P81" s="18">
        <f t="shared" si="62"/>
        <v>0.488657176928008</v>
      </c>
      <c r="Q81" s="24">
        <f t="shared" si="63"/>
        <v>0.127050866001282</v>
      </c>
      <c r="R81" s="18">
        <f t="shared" si="64"/>
        <v>0.1355172</v>
      </c>
      <c r="S81" s="25">
        <f t="shared" si="65"/>
        <v>0.937525760577123</v>
      </c>
      <c r="T81" s="3">
        <v>0.01</v>
      </c>
      <c r="U81" s="26">
        <f t="shared" si="66"/>
        <v>0.00937525760577123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0.0218252576057712</v>
      </c>
      <c r="AU81" s="29">
        <f t="shared" si="70"/>
        <v>52.122</v>
      </c>
      <c r="AV81" s="1">
        <f t="shared" si="71"/>
        <v>0.26</v>
      </c>
      <c r="AW81" s="2">
        <f t="shared" si="72"/>
        <v>1.388</v>
      </c>
      <c r="AX81" s="1">
        <f t="shared" si="73"/>
        <v>2750.54064609992</v>
      </c>
    </row>
    <row r="82" s="1" customFormat="1" spans="1:50">
      <c r="A82" s="13"/>
      <c r="B82" s="13"/>
      <c r="C82" s="16">
        <v>7</v>
      </c>
      <c r="D82" s="19">
        <v>28.4794855348387</v>
      </c>
      <c r="E82" s="20">
        <f t="shared" si="74"/>
        <v>25.5609335346667</v>
      </c>
      <c r="F82" s="16" t="s">
        <v>110</v>
      </c>
      <c r="G82" s="13">
        <v>8</v>
      </c>
      <c r="H82" s="18">
        <f t="shared" si="57"/>
        <v>28.4794855348387</v>
      </c>
      <c r="I82" s="18">
        <f t="shared" si="58"/>
        <v>301.629485534839</v>
      </c>
      <c r="J82" s="18">
        <f t="shared" si="59"/>
        <v>0.504549272106322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1.36018990992367</v>
      </c>
      <c r="P82" s="18">
        <f t="shared" si="62"/>
        <v>0.686282828978349</v>
      </c>
      <c r="Q82" s="24">
        <f t="shared" si="63"/>
        <v>0.178433535534371</v>
      </c>
      <c r="R82" s="18">
        <f t="shared" si="64"/>
        <v>0.1355172</v>
      </c>
      <c r="S82" s="25">
        <f t="shared" si="65"/>
        <v>1.31668552430519</v>
      </c>
      <c r="T82" s="3">
        <v>0.01</v>
      </c>
      <c r="U82" s="26">
        <f t="shared" si="66"/>
        <v>0.0131668552430519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0.02</v>
      </c>
      <c r="AR82" s="3">
        <v>0.5</v>
      </c>
      <c r="AS82" s="3">
        <f t="shared" si="68"/>
        <v>0.01</v>
      </c>
      <c r="AT82" s="2">
        <f t="shared" si="69"/>
        <v>0.0256168552430519</v>
      </c>
      <c r="AU82" s="29">
        <f t="shared" si="70"/>
        <v>52.122</v>
      </c>
      <c r="AV82" s="1">
        <f t="shared" si="71"/>
        <v>0.26</v>
      </c>
      <c r="AW82" s="2">
        <f t="shared" si="72"/>
        <v>1.388</v>
      </c>
      <c r="AX82" s="1">
        <f t="shared" si="73"/>
        <v>3228.37891968984</v>
      </c>
    </row>
    <row r="83" s="1" customFormat="1" spans="1:50">
      <c r="A83" s="13"/>
      <c r="B83" s="13"/>
      <c r="C83" s="16">
        <v>8</v>
      </c>
      <c r="D83" s="19">
        <v>27.5043551645161</v>
      </c>
      <c r="E83" s="20">
        <f t="shared" si="74"/>
        <v>28.4794855348387</v>
      </c>
      <c r="F83" s="16" t="s">
        <v>110</v>
      </c>
      <c r="G83" s="13">
        <v>9</v>
      </c>
      <c r="H83" s="18">
        <f t="shared" si="57"/>
        <v>27.5043551645161</v>
      </c>
      <c r="I83" s="18">
        <f t="shared" si="58"/>
        <v>300.654355164516</v>
      </c>
      <c r="J83" s="18">
        <f t="shared" si="59"/>
        <v>0.454395424035328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1.19512708094532</v>
      </c>
      <c r="P83" s="18">
        <f t="shared" si="62"/>
        <v>0.543060276722251</v>
      </c>
      <c r="Q83" s="24">
        <f t="shared" si="63"/>
        <v>0.141195671947785</v>
      </c>
      <c r="R83" s="18">
        <f t="shared" si="64"/>
        <v>0.1355172</v>
      </c>
      <c r="S83" s="25">
        <f t="shared" si="65"/>
        <v>1.0419022230963</v>
      </c>
      <c r="T83" s="3">
        <v>0.01</v>
      </c>
      <c r="U83" s="26">
        <f t="shared" si="66"/>
        <v>0.010419022230963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0.020369022230963</v>
      </c>
      <c r="AU83" s="29">
        <f t="shared" si="70"/>
        <v>52.122</v>
      </c>
      <c r="AV83" s="1">
        <f t="shared" si="71"/>
        <v>0.26</v>
      </c>
      <c r="AW83" s="2">
        <f t="shared" si="72"/>
        <v>1.388</v>
      </c>
      <c r="AX83" s="1">
        <f t="shared" si="73"/>
        <v>2567.01774520002</v>
      </c>
    </row>
    <row r="84" s="1" customFormat="1" spans="1:50">
      <c r="A84" s="13"/>
      <c r="B84" s="13"/>
      <c r="C84" s="16">
        <v>9</v>
      </c>
      <c r="D84" s="19">
        <v>24.1237315376667</v>
      </c>
      <c r="E84" s="20">
        <f t="shared" si="74"/>
        <v>27.5043551645161</v>
      </c>
      <c r="F84" s="16" t="s">
        <v>110</v>
      </c>
      <c r="G84" s="13">
        <v>10</v>
      </c>
      <c r="H84" s="18">
        <f t="shared" si="57"/>
        <v>24.1237315376667</v>
      </c>
      <c r="I84" s="18">
        <f t="shared" si="58"/>
        <v>297.273731537667</v>
      </c>
      <c r="J84" s="18">
        <f t="shared" si="59"/>
        <v>0.31440405624836</v>
      </c>
      <c r="K84" s="18">
        <f t="shared" si="60"/>
        <v>52.122</v>
      </c>
      <c r="L84" s="18">
        <f t="shared" si="61"/>
        <v>0.52122</v>
      </c>
      <c r="M84" s="13" t="s">
        <v>110</v>
      </c>
      <c r="N84" s="13"/>
      <c r="O84" s="18">
        <f t="shared" si="75"/>
        <v>1.17328680422307</v>
      </c>
      <c r="P84" s="18">
        <f t="shared" si="62"/>
        <v>0.368886130390407</v>
      </c>
      <c r="Q84" s="24">
        <f t="shared" si="63"/>
        <v>0.0959103939015059</v>
      </c>
      <c r="R84" s="18">
        <f t="shared" si="64"/>
        <v>0.1355172</v>
      </c>
      <c r="S84" s="25">
        <f t="shared" si="65"/>
        <v>0.707735947182394</v>
      </c>
      <c r="T84" s="3">
        <v>0.01</v>
      </c>
      <c r="U84" s="26">
        <f t="shared" si="66"/>
        <v>0.00707735947182394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0.015</v>
      </c>
      <c r="AR84" s="3">
        <v>0.5</v>
      </c>
      <c r="AS84" s="3">
        <f t="shared" si="68"/>
        <v>0.0075</v>
      </c>
      <c r="AT84" s="2">
        <f t="shared" si="69"/>
        <v>0.0170273594718239</v>
      </c>
      <c r="AU84" s="29">
        <f t="shared" si="70"/>
        <v>52.122</v>
      </c>
      <c r="AV84" s="1">
        <f t="shared" si="71"/>
        <v>0.26</v>
      </c>
      <c r="AW84" s="2">
        <f t="shared" si="72"/>
        <v>1.388</v>
      </c>
      <c r="AX84" s="1">
        <f t="shared" si="73"/>
        <v>2145.88277348084</v>
      </c>
    </row>
    <row r="85" s="1" customFormat="1" spans="1:50">
      <c r="A85" s="13"/>
      <c r="B85" s="13"/>
      <c r="C85" s="16">
        <v>10</v>
      </c>
      <c r="D85" s="19">
        <v>18.6061433790323</v>
      </c>
      <c r="E85" s="20">
        <f t="shared" si="74"/>
        <v>24.1237315376667</v>
      </c>
      <c r="F85" s="16" t="s">
        <v>110</v>
      </c>
      <c r="G85" s="13">
        <v>11</v>
      </c>
      <c r="H85" s="18">
        <f t="shared" si="57"/>
        <v>18.6061433790323</v>
      </c>
      <c r="I85" s="18">
        <f t="shared" si="58"/>
        <v>291.756143379032</v>
      </c>
      <c r="J85" s="18">
        <f t="shared" si="59"/>
        <v>0.169229247120736</v>
      </c>
      <c r="K85" s="18">
        <f t="shared" si="60"/>
        <v>52.122</v>
      </c>
      <c r="L85" s="18">
        <f t="shared" si="61"/>
        <v>0.52122</v>
      </c>
      <c r="M85" s="13" t="s">
        <v>112</v>
      </c>
      <c r="N85" s="18">
        <f>(O84-P84)*$C$22/100</f>
        <v>0.764180640141025</v>
      </c>
      <c r="O85" s="18">
        <f t="shared" si="75"/>
        <v>0.561440033691633</v>
      </c>
      <c r="P85" s="18">
        <f t="shared" si="62"/>
        <v>0.0950120742050757</v>
      </c>
      <c r="Q85" s="24">
        <f t="shared" si="63"/>
        <v>0.0247031392933197</v>
      </c>
      <c r="R85" s="18">
        <f t="shared" si="64"/>
        <v>0.1355172</v>
      </c>
      <c r="S85" s="25">
        <f t="shared" si="65"/>
        <v>0.182287851972441</v>
      </c>
      <c r="T85" s="3">
        <v>0.01</v>
      </c>
      <c r="U85" s="26">
        <f t="shared" si="66"/>
        <v>0.00182287851972441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0.00927287851972441</v>
      </c>
      <c r="AU85" s="29">
        <f t="shared" si="70"/>
        <v>52.122</v>
      </c>
      <c r="AV85" s="1">
        <f t="shared" si="71"/>
        <v>0.26</v>
      </c>
      <c r="AW85" s="2">
        <f t="shared" si="72"/>
        <v>1.388</v>
      </c>
      <c r="AX85" s="1">
        <f t="shared" si="73"/>
        <v>1168.61985024656</v>
      </c>
    </row>
    <row r="86" s="1" customFormat="1" spans="1:51">
      <c r="A86" s="13"/>
      <c r="B86" s="13"/>
      <c r="C86" s="16">
        <v>11</v>
      </c>
      <c r="D86" s="19">
        <v>12.1937636391667</v>
      </c>
      <c r="E86" s="20">
        <f t="shared" si="74"/>
        <v>18.6061433790323</v>
      </c>
      <c r="F86" s="16" t="s">
        <v>112</v>
      </c>
      <c r="G86" s="13">
        <v>12</v>
      </c>
      <c r="H86" s="18">
        <f t="shared" si="57"/>
        <v>12.1937636391667</v>
      </c>
      <c r="I86" s="18">
        <f t="shared" si="58"/>
        <v>285.343763639167</v>
      </c>
      <c r="J86" s="18">
        <f t="shared" si="59"/>
        <v>0.0799402599147488</v>
      </c>
      <c r="K86" s="18">
        <f t="shared" si="60"/>
        <v>52.122</v>
      </c>
      <c r="L86" s="18">
        <f t="shared" si="61"/>
        <v>0.52122</v>
      </c>
      <c r="M86" s="13" t="s">
        <v>110</v>
      </c>
      <c r="N86" s="13"/>
      <c r="O86" s="18">
        <f t="shared" si="75"/>
        <v>0.987647959486557</v>
      </c>
      <c r="P86" s="18">
        <f t="shared" si="62"/>
        <v>0.0789528345856267</v>
      </c>
      <c r="Q86" s="24">
        <f t="shared" si="63"/>
        <v>0.0205277369922629</v>
      </c>
      <c r="R86" s="18">
        <f t="shared" si="64"/>
        <v>0.1355172</v>
      </c>
      <c r="S86" s="25">
        <f t="shared" si="65"/>
        <v>0.151476985890078</v>
      </c>
      <c r="T86" s="3">
        <v>0.01</v>
      </c>
      <c r="U86" s="26">
        <f t="shared" si="66"/>
        <v>0.00151476985890078</v>
      </c>
      <c r="V86" s="25"/>
      <c r="W86" s="3"/>
      <c r="X86" s="3"/>
      <c r="Y86" s="28"/>
      <c r="Z86" s="3"/>
      <c r="AA86" s="27"/>
      <c r="AB86" s="3"/>
      <c r="AC86" s="3"/>
      <c r="AD86" s="27"/>
      <c r="AE86" s="25">
        <v>0.005</v>
      </c>
      <c r="AF86" s="3">
        <v>0.49</v>
      </c>
      <c r="AG86" s="26">
        <f t="shared" si="67"/>
        <v>0.00245</v>
      </c>
      <c r="AH86" s="35"/>
      <c r="AI86" s="3"/>
      <c r="AJ86" s="26"/>
      <c r="AK86" s="36"/>
      <c r="AL86" s="27"/>
      <c r="AM86" s="27"/>
      <c r="AN86" s="36"/>
      <c r="AO86" s="27"/>
      <c r="AP86" s="26"/>
      <c r="AQ86" s="3">
        <v>0.01</v>
      </c>
      <c r="AR86" s="3">
        <v>0.5</v>
      </c>
      <c r="AS86" s="3">
        <f t="shared" si="68"/>
        <v>0.005</v>
      </c>
      <c r="AT86" s="2">
        <f t="shared" si="69"/>
        <v>0.00896476985890078</v>
      </c>
      <c r="AU86" s="29">
        <f t="shared" si="70"/>
        <v>52.122</v>
      </c>
      <c r="AV86" s="1">
        <f t="shared" si="71"/>
        <v>0.26</v>
      </c>
      <c r="AW86" s="2">
        <f t="shared" si="72"/>
        <v>1.388</v>
      </c>
      <c r="AX86" s="1">
        <f t="shared" si="73"/>
        <v>1129.79027900765</v>
      </c>
      <c r="AY86" s="1">
        <f>SUM(AX75:AX86)</f>
        <v>20086.8054551909</v>
      </c>
    </row>
    <row r="87" s="1" customFormat="1" spans="1:46">
      <c r="A87" s="13"/>
      <c r="B87" s="13"/>
      <c r="C87" s="16">
        <v>12</v>
      </c>
      <c r="D87" s="19">
        <v>8.83461067145161</v>
      </c>
      <c r="E87" s="20">
        <f t="shared" si="74"/>
        <v>12.1937636391667</v>
      </c>
      <c r="F87" s="16" t="s">
        <v>110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AT87" s="2"/>
    </row>
    <row r="88" s="1" customFormat="1" spans="46:46">
      <c r="AT88" s="2"/>
    </row>
    <row r="89" s="1" customFormat="1" spans="19:46">
      <c r="S89" s="23" t="s">
        <v>80</v>
      </c>
      <c r="T89" s="23"/>
      <c r="U89" s="23"/>
      <c r="V89" s="23" t="s">
        <v>81</v>
      </c>
      <c r="W89" s="23"/>
      <c r="X89" s="23"/>
      <c r="Y89" s="23" t="s">
        <v>82</v>
      </c>
      <c r="Z89" s="23"/>
      <c r="AA89" s="23"/>
      <c r="AB89" s="23" t="s">
        <v>83</v>
      </c>
      <c r="AC89" s="23"/>
      <c r="AD89" s="23"/>
      <c r="AE89" s="23" t="s">
        <v>84</v>
      </c>
      <c r="AF89" s="23"/>
      <c r="AG89" s="23"/>
      <c r="AH89" s="23" t="s">
        <v>85</v>
      </c>
      <c r="AI89" s="23"/>
      <c r="AJ89" s="23"/>
      <c r="AK89" s="31" t="s">
        <v>115</v>
      </c>
      <c r="AL89" s="32"/>
      <c r="AM89" s="33"/>
      <c r="AN89" s="32" t="s">
        <v>116</v>
      </c>
      <c r="AO89" s="32"/>
      <c r="AP89" s="33"/>
      <c r="AQ89" s="23" t="s">
        <v>87</v>
      </c>
      <c r="AR89" s="23"/>
      <c r="AS89" s="23"/>
      <c r="AT89" s="2"/>
    </row>
    <row r="90" s="1" customFormat="1" spans="1:53">
      <c r="A90" s="15" t="s">
        <v>117</v>
      </c>
      <c r="B90" s="15"/>
      <c r="C90" s="16" t="s">
        <v>88</v>
      </c>
      <c r="D90" s="16" t="s">
        <v>89</v>
      </c>
      <c r="E90" s="16" t="s">
        <v>90</v>
      </c>
      <c r="F90" s="16" t="s">
        <v>91</v>
      </c>
      <c r="G90" s="13" t="s">
        <v>88</v>
      </c>
      <c r="H90" s="13" t="s">
        <v>90</v>
      </c>
      <c r="I90" s="13" t="s">
        <v>92</v>
      </c>
      <c r="J90" s="13" t="s">
        <v>93</v>
      </c>
      <c r="K90" s="22" t="s">
        <v>94</v>
      </c>
      <c r="L90" s="22" t="s">
        <v>95</v>
      </c>
      <c r="M90" s="13" t="s">
        <v>96</v>
      </c>
      <c r="N90" s="22" t="s">
        <v>97</v>
      </c>
      <c r="O90" s="13" t="s">
        <v>98</v>
      </c>
      <c r="P90" s="13" t="s">
        <v>99</v>
      </c>
      <c r="Q90" s="22" t="s">
        <v>100</v>
      </c>
      <c r="R90" s="22" t="s">
        <v>101</v>
      </c>
      <c r="S90" s="4" t="s">
        <v>102</v>
      </c>
      <c r="T90" s="3" t="s">
        <v>103</v>
      </c>
      <c r="U90" s="3"/>
      <c r="V90" s="4" t="s">
        <v>102</v>
      </c>
      <c r="W90" s="3" t="s">
        <v>103</v>
      </c>
      <c r="X90" s="3"/>
      <c r="Y90" s="4" t="s">
        <v>102</v>
      </c>
      <c r="Z90" s="3" t="s">
        <v>103</v>
      </c>
      <c r="AA90" s="3"/>
      <c r="AB90" s="4" t="s">
        <v>102</v>
      </c>
      <c r="AC90" s="3" t="s">
        <v>103</v>
      </c>
      <c r="AD90" s="3"/>
      <c r="AE90" s="4" t="s">
        <v>102</v>
      </c>
      <c r="AF90" s="3" t="s">
        <v>103</v>
      </c>
      <c r="AG90" s="3"/>
      <c r="AH90" s="4" t="s">
        <v>102</v>
      </c>
      <c r="AI90" s="3" t="s">
        <v>103</v>
      </c>
      <c r="AJ90" s="3"/>
      <c r="AK90" s="4" t="s">
        <v>102</v>
      </c>
      <c r="AL90" s="3" t="s">
        <v>103</v>
      </c>
      <c r="AM90" s="3"/>
      <c r="AN90" s="4" t="s">
        <v>102</v>
      </c>
      <c r="AO90" s="3" t="s">
        <v>103</v>
      </c>
      <c r="AP90" s="3"/>
      <c r="AQ90" s="34" t="s">
        <v>102</v>
      </c>
      <c r="AR90" s="34" t="s">
        <v>103</v>
      </c>
      <c r="AS90" s="34"/>
      <c r="AT90" s="2" t="s">
        <v>104</v>
      </c>
      <c r="AU90" s="1" t="s">
        <v>105</v>
      </c>
      <c r="AV90" s="1" t="s">
        <v>73</v>
      </c>
      <c r="AW90" s="1" t="s">
        <v>118</v>
      </c>
      <c r="AX90" s="1" t="s">
        <v>119</v>
      </c>
      <c r="AZ90" s="1" t="s">
        <v>120</v>
      </c>
      <c r="BA90" s="1" t="s">
        <v>121</v>
      </c>
    </row>
    <row r="91" s="1" customFormat="1" spans="1:53">
      <c r="A91" s="13" t="s">
        <v>108</v>
      </c>
      <c r="B91" s="13">
        <f>F9</f>
        <v>341.64</v>
      </c>
      <c r="C91" s="16" t="s">
        <v>109</v>
      </c>
      <c r="D91" s="17">
        <v>6</v>
      </c>
      <c r="E91" s="16"/>
      <c r="F91" s="16"/>
      <c r="G91" s="13">
        <v>1</v>
      </c>
      <c r="H91" s="18">
        <f t="shared" ref="H91:H102" si="76">E92</f>
        <v>6</v>
      </c>
      <c r="I91" s="18">
        <f t="shared" ref="I91:I102" si="77">H91+273.15</f>
        <v>279.15</v>
      </c>
      <c r="J91" s="18">
        <f t="shared" ref="J91:J102" si="78">EXP(($C$16*(I91-$C$14))/($C$17*I91*$C$14))</f>
        <v>0.0374932232426917</v>
      </c>
      <c r="K91" s="18">
        <f t="shared" ref="K91:K102" si="79">$B$91/12</f>
        <v>28.47</v>
      </c>
      <c r="L91" s="18">
        <f t="shared" ref="L91:L102" si="80">K91*$B$76/100</f>
        <v>0.2847</v>
      </c>
      <c r="M91" s="13" t="s">
        <v>110</v>
      </c>
      <c r="N91" s="13"/>
      <c r="O91" s="18">
        <f>L91</f>
        <v>0.2847</v>
      </c>
      <c r="P91" s="18">
        <f t="shared" ref="P91:P102" si="81">O91*J91</f>
        <v>0.0106743206571943</v>
      </c>
      <c r="Q91" s="24">
        <f t="shared" ref="Q91:Q102" si="82">P91*$B$77</f>
        <v>0.00277532337087053</v>
      </c>
      <c r="R91" s="18">
        <f t="shared" ref="R91:R102" si="83">L91*$B$77</f>
        <v>0.074022</v>
      </c>
      <c r="S91" s="25">
        <f t="shared" ref="S91:S102" si="84">Q91/R91</f>
        <v>0.0374932232426917</v>
      </c>
      <c r="T91" s="3">
        <v>0.01</v>
      </c>
      <c r="U91" s="26">
        <f t="shared" ref="U91:U102" si="85">S91*T91</f>
        <v>0.000374932232426917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ref="AG91:AG102" si="86">AF91*AE91</f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ref="AS91:AS102" si="87">AR91*AQ91</f>
        <v>0.005</v>
      </c>
      <c r="AT91" s="2">
        <f t="shared" ref="AT91:AT102" si="88">(AS91+AM91+AD91+AA91+U91+X91+AG91+AJ91+AP91)</f>
        <v>0.00586493223242692</v>
      </c>
      <c r="AU91" s="29">
        <f t="shared" ref="AU91:AU102" si="89">$B$91/12</f>
        <v>28.47</v>
      </c>
      <c r="AV91" s="1">
        <f t="shared" ref="AV91:AV102" si="90">$B$77</f>
        <v>0.26</v>
      </c>
      <c r="AW91" s="2">
        <f t="shared" ref="AW91:AW102" si="91">$E$9</f>
        <v>0.105823758523778</v>
      </c>
      <c r="AX91" s="1">
        <f t="shared" ref="AX91:AX102" si="92">AW91*10000*AV91*0.67*AU91*AT91</f>
        <v>30.7809343325579</v>
      </c>
      <c r="AZ91" s="2">
        <f t="shared" ref="AZ91:AZ102" si="93">$E$10</f>
        <v>0.114175684626403</v>
      </c>
      <c r="BA91" s="1">
        <f t="shared" ref="BA91:BA102" si="94">AZ91*10000*AV91*0.67*AU91*AT91</f>
        <v>33.2102573173158</v>
      </c>
    </row>
    <row r="92" s="1" customFormat="1" spans="1:53">
      <c r="A92" s="13" t="s">
        <v>111</v>
      </c>
      <c r="B92" s="13">
        <v>1</v>
      </c>
      <c r="C92" s="16">
        <v>1</v>
      </c>
      <c r="D92" s="19">
        <v>5.17466241306451</v>
      </c>
      <c r="E92" s="20">
        <f t="shared" ref="E92:E103" si="95">D91</f>
        <v>6</v>
      </c>
      <c r="F92" s="16" t="s">
        <v>110</v>
      </c>
      <c r="G92" s="13">
        <v>2</v>
      </c>
      <c r="H92" s="18">
        <f t="shared" si="76"/>
        <v>5.17466241306451</v>
      </c>
      <c r="I92" s="18">
        <f t="shared" si="77"/>
        <v>278.324662413065</v>
      </c>
      <c r="J92" s="18">
        <f t="shared" si="78"/>
        <v>0.0338090140436294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ref="O92:O102" si="96">L92+O91-P91-N92</f>
        <v>0.558725679342806</v>
      </c>
      <c r="P92" s="18">
        <f t="shared" si="81"/>
        <v>0.0188899643394373</v>
      </c>
      <c r="Q92" s="24">
        <f t="shared" si="82"/>
        <v>0.0049113907282537</v>
      </c>
      <c r="R92" s="18">
        <f t="shared" si="83"/>
        <v>0.074022</v>
      </c>
      <c r="S92" s="25">
        <f t="shared" si="84"/>
        <v>0.0663504191761057</v>
      </c>
      <c r="T92" s="3">
        <v>0.01</v>
      </c>
      <c r="U92" s="26">
        <f t="shared" si="85"/>
        <v>0.000663504191761057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0.00615350419176106</v>
      </c>
      <c r="AU92" s="29">
        <f t="shared" si="89"/>
        <v>28.47</v>
      </c>
      <c r="AV92" s="1">
        <f t="shared" si="90"/>
        <v>0.26</v>
      </c>
      <c r="AW92" s="2">
        <f t="shared" si="91"/>
        <v>0.105823758523778</v>
      </c>
      <c r="AX92" s="1">
        <f t="shared" si="92"/>
        <v>32.2954470632202</v>
      </c>
      <c r="AZ92" s="2">
        <f t="shared" si="93"/>
        <v>0.114175684626403</v>
      </c>
      <c r="BA92" s="1">
        <f t="shared" si="94"/>
        <v>34.8442999019959</v>
      </c>
    </row>
    <row r="93" s="1" customFormat="1" spans="1:53">
      <c r="A93" s="13" t="s">
        <v>73</v>
      </c>
      <c r="B93" s="13">
        <f>H9</f>
        <v>0.26</v>
      </c>
      <c r="C93" s="16">
        <v>2</v>
      </c>
      <c r="D93" s="19">
        <v>8.55040523172414</v>
      </c>
      <c r="E93" s="20">
        <f t="shared" si="95"/>
        <v>5.17466241306451</v>
      </c>
      <c r="F93" s="16" t="s">
        <v>110</v>
      </c>
      <c r="G93" s="13">
        <v>3</v>
      </c>
      <c r="H93" s="18">
        <f t="shared" si="76"/>
        <v>8.55040523172414</v>
      </c>
      <c r="I93" s="18">
        <f t="shared" si="77"/>
        <v>281.700405231724</v>
      </c>
      <c r="J93" s="18">
        <f t="shared" si="78"/>
        <v>0.0514160961344809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0.824535715003368</v>
      </c>
      <c r="P93" s="18">
        <f t="shared" si="81"/>
        <v>0.0423944075889261</v>
      </c>
      <c r="Q93" s="24">
        <f t="shared" si="82"/>
        <v>0.0110225459731208</v>
      </c>
      <c r="R93" s="18">
        <f t="shared" si="83"/>
        <v>0.074022</v>
      </c>
      <c r="S93" s="25">
        <f t="shared" si="84"/>
        <v>0.148909053701883</v>
      </c>
      <c r="T93" s="3">
        <v>0.01</v>
      </c>
      <c r="U93" s="26">
        <f t="shared" si="85"/>
        <v>0.00148909053701883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0.00697909053701883</v>
      </c>
      <c r="AU93" s="29">
        <f t="shared" si="89"/>
        <v>28.47</v>
      </c>
      <c r="AV93" s="1">
        <f t="shared" si="90"/>
        <v>0.26</v>
      </c>
      <c r="AW93" s="2">
        <f t="shared" si="91"/>
        <v>0.105823758523778</v>
      </c>
      <c r="AX93" s="1">
        <f t="shared" si="92"/>
        <v>36.6283733566789</v>
      </c>
      <c r="AZ93" s="2">
        <f t="shared" si="93"/>
        <v>0.114175684626403</v>
      </c>
      <c r="BA93" s="1">
        <f t="shared" si="94"/>
        <v>39.5191936394002</v>
      </c>
    </row>
    <row r="94" s="1" customFormat="1" spans="1:53">
      <c r="A94" s="13"/>
      <c r="B94" s="13"/>
      <c r="C94" s="16">
        <v>3</v>
      </c>
      <c r="D94" s="19">
        <v>12.6942155086129</v>
      </c>
      <c r="E94" s="20">
        <f t="shared" si="95"/>
        <v>8.55040523172414</v>
      </c>
      <c r="F94" s="16" t="s">
        <v>110</v>
      </c>
      <c r="G94" s="13">
        <v>4</v>
      </c>
      <c r="H94" s="18">
        <f t="shared" si="76"/>
        <v>12.6942155086129</v>
      </c>
      <c r="I94" s="18">
        <f t="shared" si="77"/>
        <v>285.844215508613</v>
      </c>
      <c r="J94" s="18">
        <f t="shared" si="78"/>
        <v>0.0848615985857563</v>
      </c>
      <c r="K94" s="18">
        <f t="shared" si="79"/>
        <v>28.47</v>
      </c>
      <c r="L94" s="18">
        <f t="shared" si="80"/>
        <v>0.2847</v>
      </c>
      <c r="M94" s="13" t="s">
        <v>110</v>
      </c>
      <c r="N94" s="13"/>
      <c r="O94" s="18">
        <f t="shared" si="96"/>
        <v>1.06684130741444</v>
      </c>
      <c r="P94" s="18">
        <f t="shared" si="81"/>
        <v>0.0905338587845078</v>
      </c>
      <c r="Q94" s="24">
        <f t="shared" si="82"/>
        <v>0.023538803283972</v>
      </c>
      <c r="R94" s="18">
        <f t="shared" si="83"/>
        <v>0.074022</v>
      </c>
      <c r="S94" s="25">
        <f t="shared" si="84"/>
        <v>0.317997396503364</v>
      </c>
      <c r="T94" s="3">
        <v>0.01</v>
      </c>
      <c r="U94" s="26">
        <f t="shared" si="85"/>
        <v>0.00317997396503364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0.0131299739650336</v>
      </c>
      <c r="AU94" s="29">
        <f t="shared" si="89"/>
        <v>28.47</v>
      </c>
      <c r="AV94" s="1">
        <f t="shared" si="90"/>
        <v>0.26</v>
      </c>
      <c r="AW94" s="2">
        <f t="shared" si="91"/>
        <v>0.105823758523778</v>
      </c>
      <c r="AX94" s="1">
        <f t="shared" si="92"/>
        <v>68.9100658608389</v>
      </c>
      <c r="AZ94" s="2">
        <f t="shared" si="93"/>
        <v>0.114175684626403</v>
      </c>
      <c r="BA94" s="1">
        <f t="shared" si="94"/>
        <v>74.3486534315821</v>
      </c>
    </row>
    <row r="95" s="1" customFormat="1" spans="1:53">
      <c r="A95" s="13"/>
      <c r="B95" s="13"/>
      <c r="C95" s="16">
        <v>4</v>
      </c>
      <c r="D95" s="19">
        <v>18.483660124</v>
      </c>
      <c r="E95" s="20">
        <f t="shared" si="95"/>
        <v>12.6942155086129</v>
      </c>
      <c r="F95" s="16" t="s">
        <v>110</v>
      </c>
      <c r="G95" s="13">
        <v>5</v>
      </c>
      <c r="H95" s="18">
        <f t="shared" si="76"/>
        <v>18.483660124</v>
      </c>
      <c r="I95" s="18">
        <f t="shared" si="77"/>
        <v>291.633660124</v>
      </c>
      <c r="J95" s="18">
        <f t="shared" si="78"/>
        <v>0.16687381717441</v>
      </c>
      <c r="K95" s="18">
        <f t="shared" si="79"/>
        <v>28.47</v>
      </c>
      <c r="L95" s="18">
        <f t="shared" si="80"/>
        <v>0.2847</v>
      </c>
      <c r="M95" s="13" t="s">
        <v>112</v>
      </c>
      <c r="N95" s="18">
        <f>(O94-P94)*$C$22/100</f>
        <v>0.927492076198438</v>
      </c>
      <c r="O95" s="18">
        <f t="shared" si="96"/>
        <v>0.333515372431497</v>
      </c>
      <c r="P95" s="18">
        <f t="shared" si="81"/>
        <v>0.0556549832839889</v>
      </c>
      <c r="Q95" s="24">
        <f t="shared" si="82"/>
        <v>0.0144702956538371</v>
      </c>
      <c r="R95" s="18">
        <f t="shared" si="83"/>
        <v>0.074022</v>
      </c>
      <c r="S95" s="25">
        <f t="shared" si="84"/>
        <v>0.195486418278851</v>
      </c>
      <c r="T95" s="3">
        <v>0.01</v>
      </c>
      <c r="U95" s="26">
        <f t="shared" si="85"/>
        <v>0.00195486418278851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0.0119048641827885</v>
      </c>
      <c r="AU95" s="29">
        <f t="shared" si="89"/>
        <v>28.47</v>
      </c>
      <c r="AV95" s="1">
        <f t="shared" si="90"/>
        <v>0.26</v>
      </c>
      <c r="AW95" s="2">
        <f t="shared" si="91"/>
        <v>0.105823758523778</v>
      </c>
      <c r="AX95" s="1">
        <f t="shared" si="92"/>
        <v>62.4803199979686</v>
      </c>
      <c r="AZ95" s="2">
        <f t="shared" si="93"/>
        <v>0.114175684626403</v>
      </c>
      <c r="BA95" s="1">
        <f t="shared" si="94"/>
        <v>67.4114528812723</v>
      </c>
    </row>
    <row r="96" s="1" customFormat="1" spans="1:53">
      <c r="A96" s="13"/>
      <c r="B96" s="13"/>
      <c r="C96" s="16">
        <v>5</v>
      </c>
      <c r="D96" s="19">
        <v>20.7969155254839</v>
      </c>
      <c r="E96" s="20">
        <f t="shared" si="95"/>
        <v>18.483660124</v>
      </c>
      <c r="F96" s="16" t="s">
        <v>112</v>
      </c>
      <c r="G96" s="13">
        <v>6</v>
      </c>
      <c r="H96" s="18">
        <f t="shared" si="76"/>
        <v>20.7969155254839</v>
      </c>
      <c r="I96" s="18">
        <f t="shared" si="77"/>
        <v>293.946915525484</v>
      </c>
      <c r="J96" s="18">
        <f t="shared" si="78"/>
        <v>0.21701835447003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0.562560389147508</v>
      </c>
      <c r="P96" s="18">
        <f t="shared" si="81"/>
        <v>0.122085929942812</v>
      </c>
      <c r="Q96" s="24">
        <f t="shared" si="82"/>
        <v>0.0317423417851311</v>
      </c>
      <c r="R96" s="18">
        <f t="shared" si="83"/>
        <v>0.074022</v>
      </c>
      <c r="S96" s="25">
        <f t="shared" si="84"/>
        <v>0.428823076722205</v>
      </c>
      <c r="T96" s="3">
        <v>0.01</v>
      </c>
      <c r="U96" s="26">
        <f t="shared" si="85"/>
        <v>0.00428823076722205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0.0142382307672221</v>
      </c>
      <c r="AU96" s="29">
        <f t="shared" si="89"/>
        <v>28.47</v>
      </c>
      <c r="AV96" s="1">
        <f t="shared" si="90"/>
        <v>0.26</v>
      </c>
      <c r="AW96" s="2">
        <f t="shared" si="91"/>
        <v>0.105823758523778</v>
      </c>
      <c r="AX96" s="1">
        <f t="shared" si="92"/>
        <v>74.726532019333</v>
      </c>
      <c r="AZ96" s="2">
        <f t="shared" si="93"/>
        <v>0.114175684626403</v>
      </c>
      <c r="BA96" s="1">
        <f t="shared" si="94"/>
        <v>80.6241724172657</v>
      </c>
    </row>
    <row r="97" s="1" customFormat="1" spans="1:53">
      <c r="A97" s="13"/>
      <c r="B97" s="13"/>
      <c r="C97" s="16">
        <v>6</v>
      </c>
      <c r="D97" s="19">
        <v>25.5609335346667</v>
      </c>
      <c r="E97" s="20">
        <f t="shared" si="95"/>
        <v>20.7969155254839</v>
      </c>
      <c r="F97" s="16" t="s">
        <v>110</v>
      </c>
      <c r="G97" s="13">
        <v>7</v>
      </c>
      <c r="H97" s="18">
        <f t="shared" si="76"/>
        <v>25.5609335346667</v>
      </c>
      <c r="I97" s="18">
        <f t="shared" si="77"/>
        <v>298.710933534667</v>
      </c>
      <c r="J97" s="18">
        <f t="shared" si="78"/>
        <v>0.368068098163624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0.725174459204696</v>
      </c>
      <c r="P97" s="18">
        <f t="shared" si="81"/>
        <v>0.266913584036307</v>
      </c>
      <c r="Q97" s="24">
        <f t="shared" si="82"/>
        <v>0.0693975318494398</v>
      </c>
      <c r="R97" s="18">
        <f t="shared" si="83"/>
        <v>0.074022</v>
      </c>
      <c r="S97" s="25">
        <f t="shared" si="84"/>
        <v>0.937525760577123</v>
      </c>
      <c r="T97" s="3">
        <v>0.01</v>
      </c>
      <c r="U97" s="26">
        <f t="shared" si="85"/>
        <v>0.00937525760577123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0.0242752576057712</v>
      </c>
      <c r="AU97" s="29">
        <f t="shared" si="89"/>
        <v>28.47</v>
      </c>
      <c r="AV97" s="1">
        <f t="shared" si="90"/>
        <v>0.26</v>
      </c>
      <c r="AW97" s="2">
        <f t="shared" si="91"/>
        <v>0.105823758523778</v>
      </c>
      <c r="AX97" s="1">
        <f t="shared" si="92"/>
        <v>127.403877940457</v>
      </c>
      <c r="AZ97" s="2">
        <f t="shared" si="93"/>
        <v>0.114175684626403</v>
      </c>
      <c r="BA97" s="1">
        <f t="shared" si="94"/>
        <v>137.458971320149</v>
      </c>
    </row>
    <row r="98" s="1" customFormat="1" spans="1:53">
      <c r="A98" s="13"/>
      <c r="B98" s="13"/>
      <c r="C98" s="16">
        <v>7</v>
      </c>
      <c r="D98" s="19">
        <v>28.4794855348387</v>
      </c>
      <c r="E98" s="20">
        <f t="shared" si="95"/>
        <v>25.5609335346667</v>
      </c>
      <c r="F98" s="16" t="s">
        <v>110</v>
      </c>
      <c r="G98" s="13">
        <v>8</v>
      </c>
      <c r="H98" s="18">
        <f t="shared" si="76"/>
        <v>28.4794855348387</v>
      </c>
      <c r="I98" s="18">
        <f t="shared" si="77"/>
        <v>301.629485534839</v>
      </c>
      <c r="J98" s="18">
        <f t="shared" si="78"/>
        <v>0.504549272106322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0.742960875168389</v>
      </c>
      <c r="P98" s="18">
        <f t="shared" si="81"/>
        <v>0.374860368769687</v>
      </c>
      <c r="Q98" s="24">
        <f t="shared" si="82"/>
        <v>0.0974636958801185</v>
      </c>
      <c r="R98" s="18">
        <f t="shared" si="83"/>
        <v>0.074022</v>
      </c>
      <c r="S98" s="25">
        <f t="shared" si="84"/>
        <v>1.31668552430519</v>
      </c>
      <c r="T98" s="3">
        <v>0.01</v>
      </c>
      <c r="U98" s="26">
        <f t="shared" si="85"/>
        <v>0.0131668552430519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0.01</v>
      </c>
      <c r="AF98" s="3">
        <v>0.49</v>
      </c>
      <c r="AG98" s="26">
        <f t="shared" si="86"/>
        <v>0.0049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0.02</v>
      </c>
      <c r="AR98" s="3">
        <v>0.5</v>
      </c>
      <c r="AS98" s="3">
        <f t="shared" si="87"/>
        <v>0.01</v>
      </c>
      <c r="AT98" s="2">
        <f t="shared" si="88"/>
        <v>0.0280668552430519</v>
      </c>
      <c r="AU98" s="29">
        <f t="shared" si="89"/>
        <v>28.47</v>
      </c>
      <c r="AV98" s="1">
        <f t="shared" si="90"/>
        <v>0.26</v>
      </c>
      <c r="AW98" s="2">
        <f t="shared" si="91"/>
        <v>0.105823758523778</v>
      </c>
      <c r="AX98" s="1">
        <f t="shared" si="92"/>
        <v>147.303326606435</v>
      </c>
      <c r="AZ98" s="2">
        <f t="shared" si="93"/>
        <v>0.114175684626403</v>
      </c>
      <c r="BA98" s="1">
        <f t="shared" si="94"/>
        <v>158.928943723515</v>
      </c>
    </row>
    <row r="99" s="1" customFormat="1" spans="1:53">
      <c r="A99" s="13"/>
      <c r="B99" s="13"/>
      <c r="C99" s="16">
        <v>8</v>
      </c>
      <c r="D99" s="19">
        <v>27.5043551645161</v>
      </c>
      <c r="E99" s="20">
        <f t="shared" si="95"/>
        <v>28.4794855348387</v>
      </c>
      <c r="F99" s="16" t="s">
        <v>110</v>
      </c>
      <c r="G99" s="13">
        <v>9</v>
      </c>
      <c r="H99" s="18">
        <f t="shared" si="76"/>
        <v>27.5043551645161</v>
      </c>
      <c r="I99" s="18">
        <f t="shared" si="77"/>
        <v>300.654355164516</v>
      </c>
      <c r="J99" s="18">
        <f t="shared" si="78"/>
        <v>0.454395424035328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0.652800506398702</v>
      </c>
      <c r="P99" s="18">
        <f t="shared" si="81"/>
        <v>0.296629562915515</v>
      </c>
      <c r="Q99" s="24">
        <f t="shared" si="82"/>
        <v>0.0771236863580339</v>
      </c>
      <c r="R99" s="18">
        <f t="shared" si="83"/>
        <v>0.074022</v>
      </c>
      <c r="S99" s="25">
        <f t="shared" si="84"/>
        <v>1.04190222309629</v>
      </c>
      <c r="T99" s="3">
        <v>0.01</v>
      </c>
      <c r="U99" s="26">
        <f t="shared" si="85"/>
        <v>0.0104190222309629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0.020369022230963</v>
      </c>
      <c r="AU99" s="29">
        <f t="shared" si="89"/>
        <v>28.47</v>
      </c>
      <c r="AV99" s="1">
        <f t="shared" si="90"/>
        <v>0.26</v>
      </c>
      <c r="AW99" s="2">
        <f t="shared" si="91"/>
        <v>0.105823758523778</v>
      </c>
      <c r="AX99" s="1">
        <f t="shared" si="92"/>
        <v>106.902775831433</v>
      </c>
      <c r="AZ99" s="2">
        <f t="shared" si="93"/>
        <v>0.114175684626403</v>
      </c>
      <c r="BA99" s="1">
        <f t="shared" si="94"/>
        <v>115.339861192647</v>
      </c>
    </row>
    <row r="100" s="1" customFormat="1" spans="1:53">
      <c r="A100" s="13"/>
      <c r="B100" s="13"/>
      <c r="C100" s="16">
        <v>9</v>
      </c>
      <c r="D100" s="19">
        <v>24.1237315376667</v>
      </c>
      <c r="E100" s="20">
        <f t="shared" si="95"/>
        <v>27.5043551645161</v>
      </c>
      <c r="F100" s="16" t="s">
        <v>110</v>
      </c>
      <c r="G100" s="13">
        <v>10</v>
      </c>
      <c r="H100" s="18">
        <f t="shared" si="76"/>
        <v>24.1237315376667</v>
      </c>
      <c r="I100" s="18">
        <f t="shared" si="77"/>
        <v>297.273731537667</v>
      </c>
      <c r="J100" s="18">
        <f t="shared" si="78"/>
        <v>0.31440405624836</v>
      </c>
      <c r="K100" s="18">
        <f t="shared" si="79"/>
        <v>28.47</v>
      </c>
      <c r="L100" s="18">
        <f t="shared" si="80"/>
        <v>0.2847</v>
      </c>
      <c r="M100" s="13" t="s">
        <v>110</v>
      </c>
      <c r="N100" s="13"/>
      <c r="O100" s="18">
        <f t="shared" si="96"/>
        <v>0.640870943483187</v>
      </c>
      <c r="P100" s="18">
        <f t="shared" si="81"/>
        <v>0.201492424162828</v>
      </c>
      <c r="Q100" s="24">
        <f t="shared" si="82"/>
        <v>0.0523880302823352</v>
      </c>
      <c r="R100" s="18">
        <f t="shared" si="83"/>
        <v>0.074022</v>
      </c>
      <c r="S100" s="25">
        <f t="shared" si="84"/>
        <v>0.707735947182394</v>
      </c>
      <c r="T100" s="3">
        <v>0.01</v>
      </c>
      <c r="U100" s="26">
        <f t="shared" si="85"/>
        <v>0.00707735947182394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0.005</v>
      </c>
      <c r="AF100" s="3">
        <v>0.49</v>
      </c>
      <c r="AG100" s="26">
        <f t="shared" si="86"/>
        <v>0.00245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0.0170273594718239</v>
      </c>
      <c r="AU100" s="29">
        <f t="shared" si="89"/>
        <v>28.47</v>
      </c>
      <c r="AV100" s="1">
        <f t="shared" si="90"/>
        <v>0.26</v>
      </c>
      <c r="AW100" s="2">
        <f t="shared" si="91"/>
        <v>0.105823758523778</v>
      </c>
      <c r="AX100" s="1">
        <f t="shared" si="92"/>
        <v>89.3647211917042</v>
      </c>
      <c r="AZ100" s="2">
        <f t="shared" si="93"/>
        <v>0.114175684626403</v>
      </c>
      <c r="BA100" s="1">
        <f t="shared" si="94"/>
        <v>96.4176510629022</v>
      </c>
    </row>
    <row r="101" s="1" customFormat="1" spans="1:53">
      <c r="A101" s="13"/>
      <c r="B101" s="13"/>
      <c r="C101" s="16">
        <v>10</v>
      </c>
      <c r="D101" s="19">
        <v>18.6061433790323</v>
      </c>
      <c r="E101" s="20">
        <f t="shared" si="95"/>
        <v>24.1237315376667</v>
      </c>
      <c r="F101" s="16" t="s">
        <v>110</v>
      </c>
      <c r="G101" s="13">
        <v>11</v>
      </c>
      <c r="H101" s="18">
        <f t="shared" si="76"/>
        <v>18.6061433790323</v>
      </c>
      <c r="I101" s="18">
        <f t="shared" si="77"/>
        <v>291.756143379032</v>
      </c>
      <c r="J101" s="18">
        <f t="shared" si="78"/>
        <v>0.169229247120736</v>
      </c>
      <c r="K101" s="18">
        <f t="shared" si="79"/>
        <v>28.47</v>
      </c>
      <c r="L101" s="18">
        <f t="shared" si="80"/>
        <v>0.2847</v>
      </c>
      <c r="M101" s="13" t="s">
        <v>112</v>
      </c>
      <c r="N101" s="18">
        <f>(O100-P100)*$C$22/100</f>
        <v>0.417409593354342</v>
      </c>
      <c r="O101" s="18">
        <f t="shared" si="96"/>
        <v>0.306668925966018</v>
      </c>
      <c r="P101" s="18">
        <f t="shared" si="81"/>
        <v>0.0518973514565539</v>
      </c>
      <c r="Q101" s="24">
        <f t="shared" si="82"/>
        <v>0.013493311378704</v>
      </c>
      <c r="R101" s="18">
        <f t="shared" si="83"/>
        <v>0.074022</v>
      </c>
      <c r="S101" s="25">
        <f t="shared" si="84"/>
        <v>0.182287851972441</v>
      </c>
      <c r="T101" s="3">
        <v>0.01</v>
      </c>
      <c r="U101" s="26">
        <f t="shared" si="85"/>
        <v>0.00182287851972441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0.00731287851972441</v>
      </c>
      <c r="AU101" s="29">
        <f t="shared" si="89"/>
        <v>28.47</v>
      </c>
      <c r="AV101" s="1">
        <f t="shared" si="90"/>
        <v>0.26</v>
      </c>
      <c r="AW101" s="2">
        <f t="shared" si="91"/>
        <v>0.105823758523778</v>
      </c>
      <c r="AX101" s="1">
        <f t="shared" si="92"/>
        <v>38.3801934237295</v>
      </c>
      <c r="AZ101" s="2">
        <f t="shared" si="93"/>
        <v>0.114175684626403</v>
      </c>
      <c r="BA101" s="1">
        <f t="shared" si="94"/>
        <v>41.4092725620159</v>
      </c>
    </row>
    <row r="102" s="1" customFormat="1" spans="1:54">
      <c r="A102" s="13"/>
      <c r="B102" s="13"/>
      <c r="C102" s="16">
        <v>11</v>
      </c>
      <c r="D102" s="19">
        <v>12.1937636391667</v>
      </c>
      <c r="E102" s="20">
        <f t="shared" si="95"/>
        <v>18.6061433790323</v>
      </c>
      <c r="F102" s="16" t="s">
        <v>112</v>
      </c>
      <c r="G102" s="13">
        <v>12</v>
      </c>
      <c r="H102" s="18">
        <f t="shared" si="76"/>
        <v>12.1937636391667</v>
      </c>
      <c r="I102" s="18">
        <f t="shared" si="77"/>
        <v>285.343763639167</v>
      </c>
      <c r="J102" s="18">
        <f t="shared" si="78"/>
        <v>0.0799402599147488</v>
      </c>
      <c r="K102" s="18">
        <f t="shared" si="79"/>
        <v>28.47</v>
      </c>
      <c r="L102" s="18">
        <f t="shared" si="80"/>
        <v>0.2847</v>
      </c>
      <c r="M102" s="13" t="s">
        <v>110</v>
      </c>
      <c r="N102" s="13"/>
      <c r="O102" s="18">
        <f t="shared" si="96"/>
        <v>0.539471574509464</v>
      </c>
      <c r="P102" s="18">
        <f t="shared" si="81"/>
        <v>0.0431254978829053</v>
      </c>
      <c r="Q102" s="24">
        <f t="shared" si="82"/>
        <v>0.0112126294495554</v>
      </c>
      <c r="R102" s="18">
        <f t="shared" si="83"/>
        <v>0.074022</v>
      </c>
      <c r="S102" s="25">
        <f t="shared" si="84"/>
        <v>0.151476985890078</v>
      </c>
      <c r="T102" s="3">
        <v>0.01</v>
      </c>
      <c r="U102" s="26">
        <f t="shared" si="85"/>
        <v>0.00151476985890078</v>
      </c>
      <c r="V102" s="25"/>
      <c r="W102" s="3"/>
      <c r="X102" s="3"/>
      <c r="Y102" s="28"/>
      <c r="Z102" s="3"/>
      <c r="AA102" s="27"/>
      <c r="AB102" s="3"/>
      <c r="AC102" s="3"/>
      <c r="AD102" s="3"/>
      <c r="AE102" s="25">
        <v>0.001</v>
      </c>
      <c r="AF102" s="3">
        <v>0.49</v>
      </c>
      <c r="AG102" s="26">
        <f t="shared" si="86"/>
        <v>0.00049</v>
      </c>
      <c r="AH102" s="35"/>
      <c r="AI102" s="3"/>
      <c r="AJ102" s="26"/>
      <c r="AK102" s="36"/>
      <c r="AL102" s="27"/>
      <c r="AM102" s="27"/>
      <c r="AN102" s="36"/>
      <c r="AO102" s="27"/>
      <c r="AP102" s="26"/>
      <c r="AQ102" s="3">
        <v>0.01</v>
      </c>
      <c r="AR102" s="3">
        <v>0.5</v>
      </c>
      <c r="AS102" s="3">
        <f t="shared" si="87"/>
        <v>0.005</v>
      </c>
      <c r="AT102" s="2">
        <f t="shared" si="88"/>
        <v>0.00700476985890078</v>
      </c>
      <c r="AU102" s="29">
        <f t="shared" si="89"/>
        <v>28.47</v>
      </c>
      <c r="AV102" s="1">
        <f t="shared" si="90"/>
        <v>0.26</v>
      </c>
      <c r="AW102" s="2">
        <f t="shared" si="91"/>
        <v>0.105823758523778</v>
      </c>
      <c r="AX102" s="1">
        <f t="shared" si="92"/>
        <v>36.763146187673</v>
      </c>
      <c r="AY102" s="1">
        <f>SUM(AX91:AX102)</f>
        <v>851.93971381203</v>
      </c>
      <c r="AZ102" s="2">
        <f t="shared" si="93"/>
        <v>0.114175684626403</v>
      </c>
      <c r="BA102" s="1">
        <f t="shared" si="94"/>
        <v>39.6646031434893</v>
      </c>
      <c r="BB102" s="1">
        <f>SUM(BA91:BA102)</f>
        <v>919.177332593551</v>
      </c>
    </row>
    <row r="103" s="1" customFormat="1" spans="1:46">
      <c r="A103" s="13"/>
      <c r="B103" s="13"/>
      <c r="C103" s="16">
        <v>12</v>
      </c>
      <c r="D103" s="19">
        <v>8.83461067145161</v>
      </c>
      <c r="E103" s="20">
        <f t="shared" si="95"/>
        <v>12.1937636391667</v>
      </c>
      <c r="F103" s="16" t="s">
        <v>110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AT103" s="2"/>
    </row>
  </sheetData>
  <mergeCells count="6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41:U41"/>
    <mergeCell ref="V41:X41"/>
    <mergeCell ref="Y41:AA41"/>
    <mergeCell ref="AB41:AD41"/>
    <mergeCell ref="AE41:AG41"/>
    <mergeCell ref="AH41:AJ41"/>
    <mergeCell ref="AK41:AM41"/>
    <mergeCell ref="AN41:AP41"/>
    <mergeCell ref="A42:B42"/>
    <mergeCell ref="S57:U57"/>
    <mergeCell ref="A58:B58"/>
    <mergeCell ref="S73:U73"/>
    <mergeCell ref="V73:X73"/>
    <mergeCell ref="Y73:AA73"/>
    <mergeCell ref="AB73:AD73"/>
    <mergeCell ref="AE73:AG73"/>
    <mergeCell ref="AH73:AJ73"/>
    <mergeCell ref="AK73:AM73"/>
    <mergeCell ref="AN73:AP73"/>
    <mergeCell ref="AQ73:AS73"/>
    <mergeCell ref="A74:B74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Q89:AS89"/>
    <mergeCell ref="A90:B90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M8" sqref="M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164.1804</v>
      </c>
      <c r="F2" s="3">
        <v>1166.832</v>
      </c>
      <c r="G2" s="7">
        <f>(F2+F3+F4)/3</f>
        <v>1338.18733333333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171.462904109589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4946.77347727646</v>
      </c>
      <c r="F7" s="3">
        <v>122.786</v>
      </c>
      <c r="G7" s="3"/>
      <c r="H7" s="3">
        <v>0.45</v>
      </c>
      <c r="M7" s="2"/>
    </row>
    <row r="8" s="1" customFormat="1" spans="1:13">
      <c r="A8" s="4" t="s">
        <v>49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159040267.510914</v>
      </c>
      <c r="J14" s="14" t="s">
        <v>35</v>
      </c>
      <c r="K14" s="14">
        <f>I14/(10000*1000)</f>
        <v>15.9040267510914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77504021.7808219</v>
      </c>
      <c r="J15" s="14" t="s">
        <v>35</v>
      </c>
      <c r="K15" s="14">
        <f>I15/(10000*1000)</f>
        <v>7.75040217808219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13</v>
      </c>
      <c r="E27" s="16"/>
      <c r="F27" s="16"/>
      <c r="G27" s="13">
        <v>1</v>
      </c>
      <c r="H27" s="18">
        <f t="shared" ref="H27:H38" si="0">E28</f>
        <v>13</v>
      </c>
      <c r="I27" s="18">
        <f t="shared" ref="I27:I38" si="1">H27+273.15</f>
        <v>286.15</v>
      </c>
      <c r="J27" s="18">
        <f t="shared" ref="J27:J38" si="2">EXP(($C$16*(I27-$C$14))/($C$17*I27*$C$14))</f>
        <v>0.088007517522823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0.0981421209892943</v>
      </c>
      <c r="Q27" s="24">
        <f t="shared" ref="Q27:Q38" si="6">P27*$B$29</f>
        <v>0.0117770545187153</v>
      </c>
      <c r="R27" s="18">
        <f t="shared" ref="R27:R38" si="7">L27*$B$29</f>
        <v>0.133818733333333</v>
      </c>
      <c r="S27" s="25">
        <f t="shared" ref="S27:S38" si="8">Q27/R27</f>
        <v>0.088007517522823</v>
      </c>
      <c r="T27" s="3">
        <v>0.01</v>
      </c>
      <c r="U27" s="26">
        <f t="shared" ref="U27:U38" si="9">S27*T27</f>
        <v>0.00088007517522823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0.0227800751752282</v>
      </c>
      <c r="AR27" s="29">
        <f t="shared" ref="AR27:AR38" si="15">$B$27/12</f>
        <v>111.515611111111</v>
      </c>
      <c r="AS27" s="1">
        <f t="shared" ref="AS27:AS38" si="16">$B$29</f>
        <v>0.12</v>
      </c>
      <c r="AT27" s="2">
        <f>$E$2/12</f>
        <v>13.6817</v>
      </c>
      <c r="AU27" s="1">
        <f t="shared" ref="AU27:AU38" si="17">AT27*10000*AS27*0.67*AR27*AQ27</f>
        <v>27943.8945485405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12.3585236938387</v>
      </c>
      <c r="E28" s="20">
        <f t="shared" ref="E28:E39" si="18">D27</f>
        <v>13</v>
      </c>
      <c r="F28" s="16" t="s">
        <v>110</v>
      </c>
      <c r="G28" s="13">
        <v>2</v>
      </c>
      <c r="H28" s="18">
        <f t="shared" si="0"/>
        <v>12.3585236938387</v>
      </c>
      <c r="I28" s="18">
        <f t="shared" si="1"/>
        <v>285.508523693839</v>
      </c>
      <c r="J28" s="18">
        <f t="shared" si="2"/>
        <v>0.081530009681577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2.13217010123293</v>
      </c>
      <c r="P28" s="18">
        <f t="shared" si="5"/>
        <v>0.17383584899629</v>
      </c>
      <c r="Q28" s="24">
        <f t="shared" si="6"/>
        <v>0.0208603018795548</v>
      </c>
      <c r="R28" s="18">
        <f t="shared" si="7"/>
        <v>0.133818733333333</v>
      </c>
      <c r="S28" s="25">
        <f t="shared" si="8"/>
        <v>0.155884765607467</v>
      </c>
      <c r="T28" s="3">
        <v>0.01</v>
      </c>
      <c r="U28" s="26">
        <f t="shared" si="9"/>
        <v>0.00155884765607467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0.0234588476560747</v>
      </c>
      <c r="AR28" s="29">
        <f t="shared" si="15"/>
        <v>111.515611111111</v>
      </c>
      <c r="AS28" s="1">
        <f t="shared" si="16"/>
        <v>0.12</v>
      </c>
      <c r="AT28" s="2">
        <f t="shared" ref="AT28:AT38" si="20">$E$2/12</f>
        <v>13.6817</v>
      </c>
      <c r="AU28" s="1">
        <f t="shared" si="17"/>
        <v>28776.532126833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12.2228666587241</v>
      </c>
      <c r="E29" s="20">
        <f t="shared" si="18"/>
        <v>12.3585236938387</v>
      </c>
      <c r="F29" s="16" t="s">
        <v>110</v>
      </c>
      <c r="G29" s="13">
        <v>3</v>
      </c>
      <c r="H29" s="18">
        <f t="shared" si="0"/>
        <v>12.2228666587241</v>
      </c>
      <c r="I29" s="18">
        <f t="shared" si="1"/>
        <v>285.372866658724</v>
      </c>
      <c r="J29" s="18">
        <f t="shared" si="2"/>
        <v>0.0802189324629348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3.07349036334775</v>
      </c>
      <c r="P29" s="18">
        <f t="shared" si="5"/>
        <v>0.246552115882874</v>
      </c>
      <c r="Q29" s="24">
        <f t="shared" si="6"/>
        <v>0.0295862539059449</v>
      </c>
      <c r="R29" s="18">
        <f t="shared" si="7"/>
        <v>0.133818733333333</v>
      </c>
      <c r="S29" s="25">
        <f t="shared" si="8"/>
        <v>0.221092018800145</v>
      </c>
      <c r="T29" s="3">
        <v>0.01</v>
      </c>
      <c r="U29" s="26">
        <f t="shared" si="9"/>
        <v>0.00221092018800145</v>
      </c>
      <c r="V29" s="25"/>
      <c r="W29" s="3"/>
      <c r="X29" s="26"/>
      <c r="Y29" s="28">
        <v>0.04</v>
      </c>
      <c r="Z29" s="3">
        <v>0.21</v>
      </c>
      <c r="AA29" s="27">
        <f t="shared" si="10"/>
        <v>0.0084</v>
      </c>
      <c r="AB29" s="3">
        <v>0.015</v>
      </c>
      <c r="AC29" s="3">
        <v>0.29</v>
      </c>
      <c r="AD29" s="27">
        <f t="shared" si="11"/>
        <v>0.00435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0.0297609201880014</v>
      </c>
      <c r="AR29" s="29">
        <f t="shared" si="15"/>
        <v>111.515611111111</v>
      </c>
      <c r="AS29" s="1">
        <f t="shared" si="16"/>
        <v>0.12</v>
      </c>
      <c r="AT29" s="2">
        <f t="shared" si="20"/>
        <v>13.6817</v>
      </c>
      <c r="AU29" s="1">
        <f t="shared" si="17"/>
        <v>36507.167294399</v>
      </c>
    </row>
    <row r="30" s="1" customFormat="1" spans="1:47">
      <c r="A30" s="13"/>
      <c r="B30" s="13"/>
      <c r="C30" s="16">
        <v>3</v>
      </c>
      <c r="D30" s="19">
        <v>16.2137785216774</v>
      </c>
      <c r="E30" s="20">
        <f t="shared" si="18"/>
        <v>12.2228666587241</v>
      </c>
      <c r="F30" s="16" t="s">
        <v>110</v>
      </c>
      <c r="G30" s="13">
        <v>4</v>
      </c>
      <c r="H30" s="18">
        <f t="shared" si="0"/>
        <v>16.2137785216774</v>
      </c>
      <c r="I30" s="18">
        <f t="shared" si="1"/>
        <v>289.363778521677</v>
      </c>
      <c r="J30" s="18">
        <f t="shared" si="2"/>
        <v>0.128423955423189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3.94209435857599</v>
      </c>
      <c r="P30" s="18">
        <f t="shared" si="5"/>
        <v>0.506259350179767</v>
      </c>
      <c r="Q30" s="24">
        <f t="shared" si="6"/>
        <v>0.0607511220215721</v>
      </c>
      <c r="R30" s="18">
        <f t="shared" si="7"/>
        <v>0.133818733333333</v>
      </c>
      <c r="S30" s="25">
        <f t="shared" si="8"/>
        <v>0.453980698429159</v>
      </c>
      <c r="T30" s="3">
        <v>0.01</v>
      </c>
      <c r="U30" s="26">
        <f t="shared" si="9"/>
        <v>0.00453980698429159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0.0320898069842916</v>
      </c>
      <c r="AR30" s="29">
        <f t="shared" si="15"/>
        <v>111.515611111111</v>
      </c>
      <c r="AS30" s="1">
        <f t="shared" si="16"/>
        <v>0.12</v>
      </c>
      <c r="AT30" s="2">
        <f t="shared" si="20"/>
        <v>13.6817</v>
      </c>
      <c r="AU30" s="1">
        <f t="shared" si="17"/>
        <v>39363.9694142527</v>
      </c>
    </row>
    <row r="31" s="1" customFormat="1" spans="1:47">
      <c r="A31" s="13"/>
      <c r="B31" s="13"/>
      <c r="C31" s="16">
        <v>4</v>
      </c>
      <c r="D31" s="19">
        <v>22.9687368523333</v>
      </c>
      <c r="E31" s="20">
        <f t="shared" si="18"/>
        <v>16.2137785216774</v>
      </c>
      <c r="F31" s="16" t="s">
        <v>110</v>
      </c>
      <c r="G31" s="13">
        <v>5</v>
      </c>
      <c r="H31" s="18">
        <f t="shared" si="0"/>
        <v>22.9687368523333</v>
      </c>
      <c r="I31" s="18">
        <f t="shared" si="1"/>
        <v>296.118736852333</v>
      </c>
      <c r="J31" s="18">
        <f t="shared" si="2"/>
        <v>0.276697626514576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3.26404325797641</v>
      </c>
      <c r="O31" s="18">
        <f t="shared" si="19"/>
        <v>1.28694786153092</v>
      </c>
      <c r="P31" s="18">
        <f t="shared" si="5"/>
        <v>0.356095418733616</v>
      </c>
      <c r="Q31" s="24">
        <f t="shared" si="6"/>
        <v>0.0427314502480339</v>
      </c>
      <c r="R31" s="18">
        <f t="shared" si="7"/>
        <v>0.133818733333333</v>
      </c>
      <c r="S31" s="25">
        <f t="shared" si="8"/>
        <v>0.319323380095018</v>
      </c>
      <c r="T31" s="3">
        <v>0.01</v>
      </c>
      <c r="U31" s="26">
        <f t="shared" si="9"/>
        <v>0.00319323380095018</v>
      </c>
      <c r="V31" s="25"/>
      <c r="W31" s="3"/>
      <c r="X31" s="26"/>
      <c r="Y31" s="28">
        <v>0.05</v>
      </c>
      <c r="Z31" s="3">
        <v>0.21</v>
      </c>
      <c r="AA31" s="27">
        <f t="shared" si="10"/>
        <v>0.0105</v>
      </c>
      <c r="AB31" s="3">
        <v>0.02</v>
      </c>
      <c r="AC31" s="3">
        <v>0.29</v>
      </c>
      <c r="AD31" s="27">
        <f t="shared" si="11"/>
        <v>0.0058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0.0361932338009502</v>
      </c>
      <c r="AR31" s="29">
        <f t="shared" si="15"/>
        <v>111.515611111111</v>
      </c>
      <c r="AS31" s="1">
        <f t="shared" si="16"/>
        <v>0.12</v>
      </c>
      <c r="AT31" s="2">
        <f t="shared" si="20"/>
        <v>13.6817</v>
      </c>
      <c r="AU31" s="1">
        <f t="shared" si="17"/>
        <v>44397.5667738019</v>
      </c>
    </row>
    <row r="32" s="1" customFormat="1" spans="1:47">
      <c r="A32" s="13"/>
      <c r="B32" s="13"/>
      <c r="C32" s="16">
        <v>5</v>
      </c>
      <c r="D32" s="19">
        <v>25.4430855416129</v>
      </c>
      <c r="E32" s="20">
        <f t="shared" si="18"/>
        <v>22.9687368523333</v>
      </c>
      <c r="F32" s="16" t="s">
        <v>112</v>
      </c>
      <c r="G32" s="13">
        <v>6</v>
      </c>
      <c r="H32" s="18">
        <f t="shared" si="0"/>
        <v>25.4430855416129</v>
      </c>
      <c r="I32" s="18">
        <f t="shared" si="1"/>
        <v>298.593085541613</v>
      </c>
      <c r="J32" s="18">
        <f t="shared" si="2"/>
        <v>0.363363260100882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2.04600855390842</v>
      </c>
      <c r="P32" s="18">
        <f t="shared" si="5"/>
        <v>0.743444338342454</v>
      </c>
      <c r="Q32" s="24">
        <f t="shared" si="6"/>
        <v>0.0892133206010945</v>
      </c>
      <c r="R32" s="18">
        <f t="shared" si="7"/>
        <v>0.133818733333333</v>
      </c>
      <c r="S32" s="25">
        <f t="shared" si="8"/>
        <v>0.666672881881718</v>
      </c>
      <c r="T32" s="3">
        <v>0.01</v>
      </c>
      <c r="U32" s="26">
        <f t="shared" si="9"/>
        <v>0.00666672881881718</v>
      </c>
      <c r="V32" s="25"/>
      <c r="W32" s="3"/>
      <c r="X32" s="26"/>
      <c r="Y32" s="28">
        <v>0.05</v>
      </c>
      <c r="Z32" s="3">
        <v>0.21</v>
      </c>
      <c r="AA32" s="27">
        <f t="shared" si="10"/>
        <v>0.0105</v>
      </c>
      <c r="AB32" s="3">
        <v>0.02</v>
      </c>
      <c r="AC32" s="3">
        <v>0.29</v>
      </c>
      <c r="AD32" s="27">
        <f t="shared" si="11"/>
        <v>0.0058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0.0396667288188172</v>
      </c>
      <c r="AR32" s="29">
        <f t="shared" si="15"/>
        <v>111.515611111111</v>
      </c>
      <c r="AS32" s="1">
        <f t="shared" si="16"/>
        <v>0.12</v>
      </c>
      <c r="AT32" s="2">
        <f t="shared" si="20"/>
        <v>13.6817</v>
      </c>
      <c r="AU32" s="1">
        <f t="shared" si="17"/>
        <v>48658.4385113854</v>
      </c>
    </row>
    <row r="33" s="1" customFormat="1" spans="1:47">
      <c r="A33" s="13"/>
      <c r="B33" s="13"/>
      <c r="C33" s="16">
        <v>6</v>
      </c>
      <c r="D33" s="19">
        <v>27.878912007</v>
      </c>
      <c r="E33" s="20">
        <f t="shared" si="18"/>
        <v>25.4430855416129</v>
      </c>
      <c r="F33" s="16" t="s">
        <v>110</v>
      </c>
      <c r="G33" s="13">
        <v>7</v>
      </c>
      <c r="H33" s="18">
        <f t="shared" si="0"/>
        <v>27.878912007</v>
      </c>
      <c r="I33" s="18">
        <f t="shared" si="1"/>
        <v>301.028912007</v>
      </c>
      <c r="J33" s="18">
        <f t="shared" si="2"/>
        <v>0.473079481940292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2.41772032667708</v>
      </c>
      <c r="P33" s="18">
        <f t="shared" si="5"/>
        <v>1.1437738796209</v>
      </c>
      <c r="Q33" s="24">
        <f t="shared" si="6"/>
        <v>0.137252865554509</v>
      </c>
      <c r="R33" s="18">
        <f t="shared" si="7"/>
        <v>0.133818733333333</v>
      </c>
      <c r="S33" s="25">
        <f t="shared" si="8"/>
        <v>1.02566256708335</v>
      </c>
      <c r="T33" s="3">
        <v>0.01</v>
      </c>
      <c r="U33" s="26">
        <f t="shared" si="9"/>
        <v>0.0102566256708335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0.0432566256708335</v>
      </c>
      <c r="AR33" s="29">
        <f t="shared" si="15"/>
        <v>111.515611111111</v>
      </c>
      <c r="AS33" s="1">
        <f t="shared" si="16"/>
        <v>0.12</v>
      </c>
      <c r="AT33" s="2">
        <f t="shared" si="20"/>
        <v>13.6817</v>
      </c>
      <c r="AU33" s="1">
        <f t="shared" si="17"/>
        <v>53062.0982140525</v>
      </c>
    </row>
    <row r="34" s="1" customFormat="1" spans="1:47">
      <c r="A34" s="13"/>
      <c r="B34" s="13"/>
      <c r="C34" s="16">
        <v>7</v>
      </c>
      <c r="D34" s="19">
        <v>28.5769801467742</v>
      </c>
      <c r="E34" s="20">
        <f t="shared" si="18"/>
        <v>27.878912007</v>
      </c>
      <c r="F34" s="16" t="s">
        <v>110</v>
      </c>
      <c r="G34" s="13">
        <v>8</v>
      </c>
      <c r="H34" s="18">
        <f t="shared" si="0"/>
        <v>28.5769801467742</v>
      </c>
      <c r="I34" s="18">
        <f t="shared" si="1"/>
        <v>301.726980146774</v>
      </c>
      <c r="J34" s="18">
        <f t="shared" si="2"/>
        <v>0.509839555829677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2.38910255816728</v>
      </c>
      <c r="P34" s="18">
        <f t="shared" si="5"/>
        <v>1.21805898708755</v>
      </c>
      <c r="Q34" s="24">
        <f t="shared" si="6"/>
        <v>0.146167078450506</v>
      </c>
      <c r="R34" s="18">
        <f t="shared" si="7"/>
        <v>0.133818733333333</v>
      </c>
      <c r="S34" s="25">
        <f t="shared" si="8"/>
        <v>1.09227665521548</v>
      </c>
      <c r="T34" s="3">
        <v>0.01</v>
      </c>
      <c r="U34" s="26">
        <f t="shared" si="9"/>
        <v>0.0109227665521548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0.0439227665521549</v>
      </c>
      <c r="AR34" s="29">
        <f t="shared" si="15"/>
        <v>111.515611111111</v>
      </c>
      <c r="AS34" s="1">
        <f t="shared" si="16"/>
        <v>0.12</v>
      </c>
      <c r="AT34" s="2">
        <f t="shared" si="20"/>
        <v>13.6817</v>
      </c>
      <c r="AU34" s="1">
        <f t="shared" si="17"/>
        <v>53879.240844133</v>
      </c>
    </row>
    <row r="35" s="1" customFormat="1" spans="1:47">
      <c r="A35" s="13"/>
      <c r="B35" s="13"/>
      <c r="C35" s="16">
        <v>8</v>
      </c>
      <c r="D35" s="19">
        <v>27.5971988364516</v>
      </c>
      <c r="E35" s="20">
        <f t="shared" si="18"/>
        <v>28.5769801467742</v>
      </c>
      <c r="F35" s="16" t="s">
        <v>110</v>
      </c>
      <c r="G35" s="13">
        <v>9</v>
      </c>
      <c r="H35" s="18">
        <f t="shared" si="0"/>
        <v>27.5971988364516</v>
      </c>
      <c r="I35" s="18">
        <f t="shared" si="1"/>
        <v>300.747198836452</v>
      </c>
      <c r="J35" s="18">
        <f t="shared" si="2"/>
        <v>0.458961106543338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2.28619968219084</v>
      </c>
      <c r="P35" s="18">
        <f t="shared" si="5"/>
        <v>1.04927673591734</v>
      </c>
      <c r="Q35" s="24">
        <f t="shared" si="6"/>
        <v>0.12591320831008</v>
      </c>
      <c r="R35" s="18">
        <f t="shared" si="7"/>
        <v>0.133818733333333</v>
      </c>
      <c r="S35" s="25">
        <f t="shared" si="8"/>
        <v>0.940923629851129</v>
      </c>
      <c r="T35" s="3">
        <v>0.01</v>
      </c>
      <c r="U35" s="26">
        <f t="shared" si="9"/>
        <v>0.0094092362985113</v>
      </c>
      <c r="V35" s="25"/>
      <c r="W35" s="3"/>
      <c r="X35" s="26"/>
      <c r="Y35" s="28">
        <v>0.05</v>
      </c>
      <c r="Z35" s="3">
        <v>0.21</v>
      </c>
      <c r="AA35" s="27">
        <f t="shared" si="10"/>
        <v>0.0105</v>
      </c>
      <c r="AB35" s="3">
        <v>0.02</v>
      </c>
      <c r="AC35" s="3">
        <v>0.29</v>
      </c>
      <c r="AD35" s="27">
        <f t="shared" si="11"/>
        <v>0.0058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0.0424092362985113</v>
      </c>
      <c r="AR35" s="29">
        <f t="shared" si="15"/>
        <v>111.515611111111</v>
      </c>
      <c r="AS35" s="1">
        <f t="shared" si="16"/>
        <v>0.12</v>
      </c>
      <c r="AT35" s="2">
        <f t="shared" si="20"/>
        <v>13.6817</v>
      </c>
      <c r="AU35" s="1">
        <f t="shared" si="17"/>
        <v>52022.6214309612</v>
      </c>
    </row>
    <row r="36" s="1" customFormat="1" spans="1:47">
      <c r="A36" s="13"/>
      <c r="B36" s="13"/>
      <c r="C36" s="16">
        <v>9</v>
      </c>
      <c r="D36" s="19">
        <v>26.4784500373333</v>
      </c>
      <c r="E36" s="20">
        <f t="shared" si="18"/>
        <v>27.5971988364516</v>
      </c>
      <c r="F36" s="16" t="s">
        <v>110</v>
      </c>
      <c r="G36" s="13">
        <v>10</v>
      </c>
      <c r="H36" s="18">
        <f t="shared" si="0"/>
        <v>26.4784500373333</v>
      </c>
      <c r="I36" s="18">
        <f t="shared" si="1"/>
        <v>299.628450037333</v>
      </c>
      <c r="J36" s="18">
        <f t="shared" si="2"/>
        <v>0.406702880205104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2.35207905738462</v>
      </c>
      <c r="P36" s="18">
        <f t="shared" si="5"/>
        <v>0.956597327108429</v>
      </c>
      <c r="Q36" s="24">
        <f t="shared" si="6"/>
        <v>0.114791679253012</v>
      </c>
      <c r="R36" s="18">
        <f t="shared" si="7"/>
        <v>0.133818733333333</v>
      </c>
      <c r="S36" s="25">
        <f t="shared" si="8"/>
        <v>0.857814719909755</v>
      </c>
      <c r="T36" s="3">
        <v>0.01</v>
      </c>
      <c r="U36" s="26">
        <f t="shared" si="9"/>
        <v>0.00857814719909755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0.0380281471990975</v>
      </c>
      <c r="AR36" s="29">
        <f t="shared" si="15"/>
        <v>111.515611111111</v>
      </c>
      <c r="AS36" s="1">
        <f t="shared" si="16"/>
        <v>0.12</v>
      </c>
      <c r="AT36" s="2">
        <f t="shared" si="20"/>
        <v>13.6817</v>
      </c>
      <c r="AU36" s="1">
        <f t="shared" si="17"/>
        <v>46648.4209131812</v>
      </c>
    </row>
    <row r="37" s="1" customFormat="1" spans="1:47">
      <c r="A37" s="13"/>
      <c r="B37" s="13"/>
      <c r="C37" s="16">
        <v>10</v>
      </c>
      <c r="D37" s="19">
        <v>24.540032556129</v>
      </c>
      <c r="E37" s="20">
        <f t="shared" si="18"/>
        <v>26.4784500373333</v>
      </c>
      <c r="F37" s="16" t="s">
        <v>110</v>
      </c>
      <c r="G37" s="13">
        <v>11</v>
      </c>
      <c r="H37" s="18">
        <f t="shared" si="0"/>
        <v>24.540032556129</v>
      </c>
      <c r="I37" s="18">
        <f t="shared" si="1"/>
        <v>297.690032556129</v>
      </c>
      <c r="J37" s="18">
        <f t="shared" si="2"/>
        <v>0.329139889665593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1.32570764376238</v>
      </c>
      <c r="O37" s="18">
        <f t="shared" si="19"/>
        <v>1.18493019762492</v>
      </c>
      <c r="P37" s="18">
        <f t="shared" si="5"/>
        <v>0.390007794507696</v>
      </c>
      <c r="Q37" s="24">
        <f t="shared" si="6"/>
        <v>0.0468009353409235</v>
      </c>
      <c r="R37" s="18">
        <f t="shared" si="7"/>
        <v>0.133818733333333</v>
      </c>
      <c r="S37" s="25">
        <f t="shared" si="8"/>
        <v>0.349733809124807</v>
      </c>
      <c r="T37" s="3">
        <v>0.01</v>
      </c>
      <c r="U37" s="26">
        <f t="shared" si="9"/>
        <v>0.00349733809124807</v>
      </c>
      <c r="V37" s="25"/>
      <c r="W37" s="3"/>
      <c r="X37" s="26"/>
      <c r="Y37" s="28">
        <v>0.04</v>
      </c>
      <c r="Z37" s="3">
        <v>0.21</v>
      </c>
      <c r="AA37" s="27">
        <f t="shared" si="10"/>
        <v>0.0084</v>
      </c>
      <c r="AB37" s="3">
        <v>0.015</v>
      </c>
      <c r="AC37" s="3">
        <v>0.29</v>
      </c>
      <c r="AD37" s="27">
        <f t="shared" si="11"/>
        <v>0.00435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0.0329473380912481</v>
      </c>
      <c r="AR37" s="29">
        <f t="shared" si="15"/>
        <v>111.515611111111</v>
      </c>
      <c r="AS37" s="1">
        <f t="shared" si="16"/>
        <v>0.12</v>
      </c>
      <c r="AT37" s="2">
        <f t="shared" si="20"/>
        <v>13.6817</v>
      </c>
      <c r="AU37" s="1">
        <f t="shared" si="17"/>
        <v>40415.8868746017</v>
      </c>
    </row>
    <row r="38" s="1" customFormat="1" spans="1:48">
      <c r="A38" s="13"/>
      <c r="B38" s="13"/>
      <c r="C38" s="16">
        <v>11</v>
      </c>
      <c r="D38" s="19">
        <v>18.4855879841333</v>
      </c>
      <c r="E38" s="20">
        <f t="shared" si="18"/>
        <v>24.540032556129</v>
      </c>
      <c r="F38" s="16" t="s">
        <v>112</v>
      </c>
      <c r="G38" s="13">
        <v>12</v>
      </c>
      <c r="H38" s="18">
        <f t="shared" si="0"/>
        <v>18.4855879841333</v>
      </c>
      <c r="I38" s="18">
        <f t="shared" si="1"/>
        <v>291.635587984133</v>
      </c>
      <c r="J38" s="18">
        <f t="shared" si="2"/>
        <v>0.166910651205141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1.91007851422834</v>
      </c>
      <c r="P38" s="18">
        <f t="shared" si="5"/>
        <v>0.3188124486628</v>
      </c>
      <c r="Q38" s="24">
        <f t="shared" si="6"/>
        <v>0.038257493839536</v>
      </c>
      <c r="R38" s="18">
        <f t="shared" si="7"/>
        <v>0.133818733333333</v>
      </c>
      <c r="S38" s="25">
        <f t="shared" si="8"/>
        <v>0.285890419723516</v>
      </c>
      <c r="T38" s="3">
        <v>0.01</v>
      </c>
      <c r="U38" s="26">
        <f t="shared" si="9"/>
        <v>0.00285890419723516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0.0266589041972352</v>
      </c>
      <c r="AR38" s="29">
        <f t="shared" si="15"/>
        <v>111.515611111111</v>
      </c>
      <c r="AS38" s="1">
        <f t="shared" si="16"/>
        <v>0.12</v>
      </c>
      <c r="AT38" s="2">
        <f t="shared" si="20"/>
        <v>13.6817</v>
      </c>
      <c r="AU38" s="1">
        <f t="shared" si="17"/>
        <v>32701.9819705103</v>
      </c>
      <c r="AV38" s="1">
        <f>SUM(AU27:AU38)</f>
        <v>504377.818916652</v>
      </c>
    </row>
    <row r="39" s="1" customFormat="1" spans="1:46">
      <c r="A39" s="13"/>
      <c r="B39" s="13"/>
      <c r="C39" s="16">
        <v>12</v>
      </c>
      <c r="D39" s="19">
        <v>15.9063554783871</v>
      </c>
      <c r="E39" s="20">
        <f t="shared" si="18"/>
        <v>18.4855879841333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13</v>
      </c>
      <c r="E42" s="16"/>
      <c r="F42" s="16"/>
      <c r="G42" s="13">
        <v>1</v>
      </c>
      <c r="H42" s="18">
        <f t="shared" ref="H42:H53" si="21">E43</f>
        <v>13</v>
      </c>
      <c r="I42" s="18">
        <f t="shared" ref="I42:I53" si="22">H42+273.15</f>
        <v>286.15</v>
      </c>
      <c r="J42" s="18">
        <f t="shared" ref="J42:J53" si="23">EXP(($C$16*(I42-$C$14))/($C$17*I42*$C$14))</f>
        <v>0.088007517522823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0.00678459120033184</v>
      </c>
      <c r="Q42" s="24">
        <f t="shared" ref="Q42:Q53" si="27">P42*$B$44</f>
        <v>0.00088199685604314</v>
      </c>
      <c r="R42" s="18">
        <f t="shared" ref="R42:R53" si="28">L42*$B$44</f>
        <v>0.0100218354166667</v>
      </c>
      <c r="S42" s="25">
        <f t="shared" ref="S42:S53" si="29">Q42/R42</f>
        <v>0.088007517522823</v>
      </c>
      <c r="T42" s="3">
        <v>0.01</v>
      </c>
      <c r="U42" s="26">
        <f t="shared" ref="U42:U53" si="30">S42*T42</f>
        <v>0.00088007517522823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0.0156800751752282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14.2885753424657</v>
      </c>
      <c r="AU42" s="1">
        <f t="shared" ref="AU42:AU53" si="37">AT42*10000*AS42*0.67*AR42*AQ42</f>
        <v>1504.3854993199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12.3585236938387</v>
      </c>
      <c r="E43" s="20">
        <f t="shared" ref="E43:E54" si="38">D42</f>
        <v>13</v>
      </c>
      <c r="F43" s="16" t="s">
        <v>110</v>
      </c>
      <c r="G43" s="13">
        <v>2</v>
      </c>
      <c r="H43" s="18">
        <f t="shared" si="21"/>
        <v>12.3585236938387</v>
      </c>
      <c r="I43" s="18">
        <f t="shared" si="22"/>
        <v>285.508523693839</v>
      </c>
      <c r="J43" s="18">
        <f t="shared" si="23"/>
        <v>0.081530009681577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0.147397492133001</v>
      </c>
      <c r="P43" s="18">
        <f t="shared" si="26"/>
        <v>0.0120173189606438</v>
      </c>
      <c r="Q43" s="24">
        <f t="shared" si="27"/>
        <v>0.00156225146488369</v>
      </c>
      <c r="R43" s="18">
        <f t="shared" si="28"/>
        <v>0.0100218354166667</v>
      </c>
      <c r="S43" s="25">
        <f t="shared" si="29"/>
        <v>0.155884765607467</v>
      </c>
      <c r="T43" s="3">
        <v>0.01</v>
      </c>
      <c r="U43" s="26">
        <f t="shared" si="30"/>
        <v>0.00155884765607467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0.0163588476560747</v>
      </c>
      <c r="AR43" s="29">
        <f t="shared" si="34"/>
        <v>7.70910416666667</v>
      </c>
      <c r="AS43" s="1">
        <f t="shared" si="35"/>
        <v>0.13</v>
      </c>
      <c r="AT43" s="2">
        <f t="shared" si="36"/>
        <v>14.2885753424657</v>
      </c>
      <c r="AU43" s="1">
        <f t="shared" si="37"/>
        <v>1569.5086231641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12.2228666587241</v>
      </c>
      <c r="E44" s="20">
        <f t="shared" si="38"/>
        <v>12.3585236938387</v>
      </c>
      <c r="F44" s="16" t="s">
        <v>110</v>
      </c>
      <c r="G44" s="13">
        <v>3</v>
      </c>
      <c r="H44" s="18">
        <f t="shared" si="21"/>
        <v>12.2228666587241</v>
      </c>
      <c r="I44" s="18">
        <f t="shared" si="22"/>
        <v>285.372866658724</v>
      </c>
      <c r="J44" s="18">
        <f t="shared" si="23"/>
        <v>0.0802189324629348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0.212471214839024</v>
      </c>
      <c r="P44" s="18">
        <f t="shared" si="26"/>
        <v>0.0170442140334894</v>
      </c>
      <c r="Q44" s="24">
        <f t="shared" si="27"/>
        <v>0.00221574782435362</v>
      </c>
      <c r="R44" s="18">
        <f t="shared" si="28"/>
        <v>0.0100218354166667</v>
      </c>
      <c r="S44" s="25">
        <f t="shared" si="29"/>
        <v>0.221092018800145</v>
      </c>
      <c r="T44" s="3">
        <v>0.01</v>
      </c>
      <c r="U44" s="26">
        <f t="shared" si="30"/>
        <v>0.00221092018800145</v>
      </c>
      <c r="V44" s="25"/>
      <c r="W44" s="3"/>
      <c r="X44" s="26"/>
      <c r="Y44" s="28">
        <v>0.04</v>
      </c>
      <c r="Z44" s="3">
        <v>0.49</v>
      </c>
      <c r="AA44" s="27">
        <f t="shared" si="31"/>
        <v>0.0196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0.015</v>
      </c>
      <c r="AO44" s="3">
        <v>0.5</v>
      </c>
      <c r="AP44" s="3">
        <f t="shared" si="32"/>
        <v>0.0075</v>
      </c>
      <c r="AQ44" s="1">
        <f t="shared" si="33"/>
        <v>0.0293109201880014</v>
      </c>
      <c r="AR44" s="29">
        <f t="shared" si="34"/>
        <v>7.70910416666667</v>
      </c>
      <c r="AS44" s="1">
        <f t="shared" si="35"/>
        <v>0.13</v>
      </c>
      <c r="AT44" s="2">
        <f t="shared" si="36"/>
        <v>14.2885753424657</v>
      </c>
      <c r="AU44" s="1">
        <f t="shared" si="37"/>
        <v>2812.16274856989</v>
      </c>
    </row>
    <row r="45" s="1" customFormat="1" spans="1:47">
      <c r="A45" s="13"/>
      <c r="B45" s="13"/>
      <c r="C45" s="16">
        <v>3</v>
      </c>
      <c r="D45" s="19">
        <v>16.2137785216774</v>
      </c>
      <c r="E45" s="20">
        <f t="shared" si="38"/>
        <v>12.2228666587241</v>
      </c>
      <c r="F45" s="16" t="s">
        <v>110</v>
      </c>
      <c r="G45" s="13">
        <v>4</v>
      </c>
      <c r="H45" s="18">
        <f t="shared" si="21"/>
        <v>16.2137785216774</v>
      </c>
      <c r="I45" s="18">
        <f t="shared" si="22"/>
        <v>289.363778521677</v>
      </c>
      <c r="J45" s="18">
        <f t="shared" si="23"/>
        <v>0.128423955423189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0.272518042472202</v>
      </c>
      <c r="P45" s="18">
        <f t="shared" si="26"/>
        <v>0.0349978449384647</v>
      </c>
      <c r="Q45" s="24">
        <f t="shared" si="27"/>
        <v>0.00454971984200042</v>
      </c>
      <c r="R45" s="18">
        <f t="shared" si="28"/>
        <v>0.0100218354166667</v>
      </c>
      <c r="S45" s="25">
        <f t="shared" si="29"/>
        <v>0.453980698429159</v>
      </c>
      <c r="T45" s="3">
        <v>0.01</v>
      </c>
      <c r="U45" s="26">
        <f t="shared" si="30"/>
        <v>0.00453980698429159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0.0316398069842916</v>
      </c>
      <c r="AR45" s="29">
        <f t="shared" si="34"/>
        <v>7.70910416666667</v>
      </c>
      <c r="AS45" s="1">
        <f t="shared" si="35"/>
        <v>0.13</v>
      </c>
      <c r="AT45" s="2">
        <f t="shared" si="36"/>
        <v>14.2885753424657</v>
      </c>
      <c r="AU45" s="1">
        <f t="shared" si="37"/>
        <v>3035.60195321295</v>
      </c>
    </row>
    <row r="46" s="1" customFormat="1" spans="1:47">
      <c r="A46" s="13"/>
      <c r="B46" s="13"/>
      <c r="C46" s="16">
        <v>4</v>
      </c>
      <c r="D46" s="19">
        <v>22.9687368523333</v>
      </c>
      <c r="E46" s="20">
        <f t="shared" si="38"/>
        <v>16.2137785216774</v>
      </c>
      <c r="F46" s="16" t="s">
        <v>110</v>
      </c>
      <c r="G46" s="13">
        <v>5</v>
      </c>
      <c r="H46" s="18">
        <f t="shared" si="21"/>
        <v>22.9687368523333</v>
      </c>
      <c r="I46" s="18">
        <f t="shared" si="22"/>
        <v>296.118736852333</v>
      </c>
      <c r="J46" s="18">
        <f t="shared" si="23"/>
        <v>0.276697626514576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0.22564418765705</v>
      </c>
      <c r="O46" s="18">
        <f t="shared" si="39"/>
        <v>0.0889670515433535</v>
      </c>
      <c r="P46" s="18">
        <f t="shared" si="26"/>
        <v>0.0246169720000459</v>
      </c>
      <c r="Q46" s="24">
        <f t="shared" si="27"/>
        <v>0.00320020636000596</v>
      </c>
      <c r="R46" s="18">
        <f t="shared" si="28"/>
        <v>0.0100218354166667</v>
      </c>
      <c r="S46" s="25">
        <f t="shared" si="29"/>
        <v>0.319323380095018</v>
      </c>
      <c r="T46" s="3">
        <v>0.01</v>
      </c>
      <c r="U46" s="26">
        <f t="shared" si="30"/>
        <v>0.00319323380095018</v>
      </c>
      <c r="V46" s="25"/>
      <c r="W46" s="3"/>
      <c r="X46" s="26"/>
      <c r="Y46" s="28">
        <v>0.05</v>
      </c>
      <c r="Z46" s="3">
        <v>0.49</v>
      </c>
      <c r="AA46" s="27">
        <f t="shared" si="31"/>
        <v>0.0245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0.02</v>
      </c>
      <c r="AO46" s="3">
        <v>0.5</v>
      </c>
      <c r="AP46" s="3">
        <f t="shared" si="32"/>
        <v>0.01</v>
      </c>
      <c r="AQ46" s="1">
        <f t="shared" si="33"/>
        <v>0.0376932338009502</v>
      </c>
      <c r="AR46" s="29">
        <f t="shared" si="34"/>
        <v>7.70910416666667</v>
      </c>
      <c r="AS46" s="1">
        <f t="shared" si="35"/>
        <v>0.13</v>
      </c>
      <c r="AT46" s="2">
        <f t="shared" si="36"/>
        <v>14.2885753424657</v>
      </c>
      <c r="AU46" s="1">
        <f t="shared" si="37"/>
        <v>3616.38281187633</v>
      </c>
    </row>
    <row r="47" s="1" customFormat="1" spans="1:47">
      <c r="A47" s="13"/>
      <c r="B47" s="13"/>
      <c r="C47" s="16">
        <v>5</v>
      </c>
      <c r="D47" s="19">
        <v>25.4430855416129</v>
      </c>
      <c r="E47" s="20">
        <f t="shared" si="38"/>
        <v>22.9687368523333</v>
      </c>
      <c r="F47" s="16" t="s">
        <v>112</v>
      </c>
      <c r="G47" s="13">
        <v>6</v>
      </c>
      <c r="H47" s="18">
        <f t="shared" si="21"/>
        <v>25.4430855416129</v>
      </c>
      <c r="I47" s="18">
        <f t="shared" si="22"/>
        <v>298.593085541613</v>
      </c>
      <c r="J47" s="18">
        <f t="shared" si="23"/>
        <v>0.363363260100882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0.141441121209974</v>
      </c>
      <c r="P47" s="18">
        <f t="shared" si="26"/>
        <v>0.0513945069151803</v>
      </c>
      <c r="Q47" s="24">
        <f t="shared" si="27"/>
        <v>0.00668128589897343</v>
      </c>
      <c r="R47" s="18">
        <f t="shared" si="28"/>
        <v>0.0100218354166667</v>
      </c>
      <c r="S47" s="25">
        <f t="shared" si="29"/>
        <v>0.666672881881718</v>
      </c>
      <c r="T47" s="3">
        <v>0.01</v>
      </c>
      <c r="U47" s="26">
        <f t="shared" si="30"/>
        <v>0.00666672881881718</v>
      </c>
      <c r="V47" s="25"/>
      <c r="W47" s="3"/>
      <c r="X47" s="26"/>
      <c r="Y47" s="28">
        <v>0.05</v>
      </c>
      <c r="Z47" s="3">
        <v>0.49</v>
      </c>
      <c r="AA47" s="27">
        <f t="shared" si="31"/>
        <v>0.0245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0.02</v>
      </c>
      <c r="AO47" s="3">
        <v>0.5</v>
      </c>
      <c r="AP47" s="3">
        <f t="shared" si="32"/>
        <v>0.01</v>
      </c>
      <c r="AQ47" s="1">
        <f t="shared" si="33"/>
        <v>0.0411667288188172</v>
      </c>
      <c r="AR47" s="29">
        <f t="shared" si="34"/>
        <v>7.70910416666667</v>
      </c>
      <c r="AS47" s="1">
        <f t="shared" si="35"/>
        <v>0.13</v>
      </c>
      <c r="AT47" s="2">
        <f t="shared" si="36"/>
        <v>14.2885753424657</v>
      </c>
      <c r="AU47" s="1">
        <f t="shared" si="37"/>
        <v>3949.6385825562</v>
      </c>
    </row>
    <row r="48" s="1" customFormat="1" spans="1:47">
      <c r="A48" s="13"/>
      <c r="B48" s="13"/>
      <c r="C48" s="16">
        <v>6</v>
      </c>
      <c r="D48" s="19">
        <v>27.878912007</v>
      </c>
      <c r="E48" s="20">
        <f t="shared" si="38"/>
        <v>25.4430855416129</v>
      </c>
      <c r="F48" s="16" t="s">
        <v>110</v>
      </c>
      <c r="G48" s="13">
        <v>7</v>
      </c>
      <c r="H48" s="18">
        <f t="shared" si="21"/>
        <v>27.878912007</v>
      </c>
      <c r="I48" s="18">
        <f t="shared" si="22"/>
        <v>301.028912007</v>
      </c>
      <c r="J48" s="18">
        <f t="shared" si="23"/>
        <v>0.473079481940292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0.167137655961461</v>
      </c>
      <c r="P48" s="18">
        <f t="shared" si="26"/>
        <v>0.0790693956949626</v>
      </c>
      <c r="Q48" s="24">
        <f t="shared" si="27"/>
        <v>0.0102790214403451</v>
      </c>
      <c r="R48" s="18">
        <f t="shared" si="28"/>
        <v>0.0100218354166667</v>
      </c>
      <c r="S48" s="25">
        <f t="shared" si="29"/>
        <v>1.02566256708335</v>
      </c>
      <c r="T48" s="3">
        <v>0.01</v>
      </c>
      <c r="U48" s="26">
        <f t="shared" si="30"/>
        <v>0.0102566256708335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0.0447566256708335</v>
      </c>
      <c r="AR48" s="29">
        <f t="shared" si="34"/>
        <v>7.70910416666667</v>
      </c>
      <c r="AS48" s="1">
        <f t="shared" si="35"/>
        <v>0.13</v>
      </c>
      <c r="AT48" s="2">
        <f t="shared" si="36"/>
        <v>14.2885753424657</v>
      </c>
      <c r="AU48" s="1">
        <f t="shared" si="37"/>
        <v>4294.06223536875</v>
      </c>
    </row>
    <row r="49" s="1" customFormat="1" spans="1:47">
      <c r="A49" s="13"/>
      <c r="B49" s="13"/>
      <c r="C49" s="16">
        <v>7</v>
      </c>
      <c r="D49" s="19">
        <v>28.5769801467742</v>
      </c>
      <c r="E49" s="20">
        <f t="shared" si="38"/>
        <v>27.878912007</v>
      </c>
      <c r="F49" s="16" t="s">
        <v>110</v>
      </c>
      <c r="G49" s="13">
        <v>8</v>
      </c>
      <c r="H49" s="18">
        <f t="shared" si="21"/>
        <v>28.5769801467742</v>
      </c>
      <c r="I49" s="18">
        <f t="shared" si="22"/>
        <v>301.726980146774</v>
      </c>
      <c r="J49" s="18">
        <f t="shared" si="23"/>
        <v>0.509839555829677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0.165159301933165</v>
      </c>
      <c r="P49" s="18">
        <f t="shared" si="26"/>
        <v>0.0842047451387442</v>
      </c>
      <c r="Q49" s="24">
        <f t="shared" si="27"/>
        <v>0.0109466168680368</v>
      </c>
      <c r="R49" s="18">
        <f t="shared" si="28"/>
        <v>0.0100218354166667</v>
      </c>
      <c r="S49" s="25">
        <f t="shared" si="29"/>
        <v>1.09227665521548</v>
      </c>
      <c r="T49" s="3">
        <v>0.01</v>
      </c>
      <c r="U49" s="26">
        <f t="shared" si="30"/>
        <v>0.0109227665521548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0.0454227665521549</v>
      </c>
      <c r="AR49" s="29">
        <f t="shared" si="34"/>
        <v>7.70910416666667</v>
      </c>
      <c r="AS49" s="1">
        <f t="shared" si="35"/>
        <v>0.13</v>
      </c>
      <c r="AT49" s="2">
        <f t="shared" si="36"/>
        <v>14.2885753424657</v>
      </c>
      <c r="AU49" s="1">
        <f t="shared" si="37"/>
        <v>4357.9734520667</v>
      </c>
    </row>
    <row r="50" s="1" customFormat="1" spans="1:47">
      <c r="A50" s="13"/>
      <c r="B50" s="13"/>
      <c r="C50" s="16">
        <v>8</v>
      </c>
      <c r="D50" s="19">
        <v>27.5971988364516</v>
      </c>
      <c r="E50" s="20">
        <f t="shared" si="38"/>
        <v>28.5769801467742</v>
      </c>
      <c r="F50" s="16" t="s">
        <v>110</v>
      </c>
      <c r="G50" s="13">
        <v>9</v>
      </c>
      <c r="H50" s="18">
        <f t="shared" si="21"/>
        <v>27.5971988364516</v>
      </c>
      <c r="I50" s="18">
        <f t="shared" si="22"/>
        <v>300.747198836452</v>
      </c>
      <c r="J50" s="18">
        <f t="shared" si="23"/>
        <v>0.458961106543338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0.158045598461087</v>
      </c>
      <c r="P50" s="18">
        <f t="shared" si="26"/>
        <v>0.0725367827540047</v>
      </c>
      <c r="Q50" s="24">
        <f t="shared" si="27"/>
        <v>0.00942978175802061</v>
      </c>
      <c r="R50" s="18">
        <f t="shared" si="28"/>
        <v>0.0100218354166667</v>
      </c>
      <c r="S50" s="25">
        <f t="shared" si="29"/>
        <v>0.94092362985113</v>
      </c>
      <c r="T50" s="3">
        <v>0.01</v>
      </c>
      <c r="U50" s="26">
        <f t="shared" si="30"/>
        <v>0.0094092362985113</v>
      </c>
      <c r="V50" s="25"/>
      <c r="W50" s="3"/>
      <c r="X50" s="26"/>
      <c r="Y50" s="28">
        <v>0.05</v>
      </c>
      <c r="Z50" s="3">
        <v>0.49</v>
      </c>
      <c r="AA50" s="27">
        <f t="shared" si="31"/>
        <v>0.0245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0.02</v>
      </c>
      <c r="AO50" s="3">
        <v>0.5</v>
      </c>
      <c r="AP50" s="3">
        <f t="shared" si="32"/>
        <v>0.01</v>
      </c>
      <c r="AQ50" s="1">
        <f t="shared" si="33"/>
        <v>0.0439092362985113</v>
      </c>
      <c r="AR50" s="29">
        <f t="shared" si="34"/>
        <v>7.70910416666667</v>
      </c>
      <c r="AS50" s="1">
        <f t="shared" si="35"/>
        <v>0.13</v>
      </c>
      <c r="AT50" s="2">
        <f t="shared" si="36"/>
        <v>14.2885753424657</v>
      </c>
      <c r="AU50" s="1">
        <f t="shared" si="37"/>
        <v>4212.76158663122</v>
      </c>
    </row>
    <row r="51" s="1" customFormat="1" spans="1:47">
      <c r="A51" s="13"/>
      <c r="B51" s="13"/>
      <c r="C51" s="16">
        <v>9</v>
      </c>
      <c r="D51" s="19">
        <v>26.4784500373333</v>
      </c>
      <c r="E51" s="20">
        <f t="shared" si="38"/>
        <v>27.5971988364516</v>
      </c>
      <c r="F51" s="16" t="s">
        <v>110</v>
      </c>
      <c r="G51" s="13">
        <v>10</v>
      </c>
      <c r="H51" s="18">
        <f t="shared" si="21"/>
        <v>26.4784500373333</v>
      </c>
      <c r="I51" s="18">
        <f t="shared" si="22"/>
        <v>299.628450037333</v>
      </c>
      <c r="J51" s="18">
        <f t="shared" si="23"/>
        <v>0.406702880205104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0.162599857373749</v>
      </c>
      <c r="P51" s="18">
        <f t="shared" si="26"/>
        <v>0.0661298303148429</v>
      </c>
      <c r="Q51" s="24">
        <f t="shared" si="27"/>
        <v>0.00859687794092958</v>
      </c>
      <c r="R51" s="18">
        <f t="shared" si="28"/>
        <v>0.0100218354166667</v>
      </c>
      <c r="S51" s="25">
        <f t="shared" si="29"/>
        <v>0.857814719909755</v>
      </c>
      <c r="T51" s="3">
        <v>0.01</v>
      </c>
      <c r="U51" s="26">
        <f t="shared" si="30"/>
        <v>0.00857814719909755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0.0356781471990976</v>
      </c>
      <c r="AR51" s="29">
        <f t="shared" si="34"/>
        <v>7.70910416666667</v>
      </c>
      <c r="AS51" s="1">
        <f t="shared" si="35"/>
        <v>0.13</v>
      </c>
      <c r="AT51" s="2">
        <f t="shared" si="36"/>
        <v>14.2885753424657</v>
      </c>
      <c r="AU51" s="1">
        <f t="shared" si="37"/>
        <v>3423.05038012306</v>
      </c>
    </row>
    <row r="52" s="1" customFormat="1" spans="1:47">
      <c r="A52" s="13"/>
      <c r="B52" s="13"/>
      <c r="C52" s="16">
        <v>10</v>
      </c>
      <c r="D52" s="19">
        <v>24.540032556129</v>
      </c>
      <c r="E52" s="20">
        <f t="shared" si="38"/>
        <v>26.4784500373333</v>
      </c>
      <c r="F52" s="16" t="s">
        <v>110</v>
      </c>
      <c r="G52" s="13">
        <v>11</v>
      </c>
      <c r="H52" s="18">
        <f t="shared" si="21"/>
        <v>24.540032556129</v>
      </c>
      <c r="I52" s="18">
        <f t="shared" si="22"/>
        <v>297.690032556129</v>
      </c>
      <c r="J52" s="18">
        <f t="shared" si="23"/>
        <v>0.329139889665593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0.091646525705961</v>
      </c>
      <c r="O52" s="18">
        <f t="shared" si="39"/>
        <v>0.081914543019612</v>
      </c>
      <c r="P52" s="18">
        <f t="shared" si="26"/>
        <v>0.0269613436514826</v>
      </c>
      <c r="Q52" s="24">
        <f t="shared" si="27"/>
        <v>0.00350497467469273</v>
      </c>
      <c r="R52" s="18">
        <f t="shared" si="28"/>
        <v>0.0100218354166667</v>
      </c>
      <c r="S52" s="25">
        <f t="shared" si="29"/>
        <v>0.349733809124807</v>
      </c>
      <c r="T52" s="3">
        <v>0.01</v>
      </c>
      <c r="U52" s="26">
        <f t="shared" si="30"/>
        <v>0.00349733809124807</v>
      </c>
      <c r="V52" s="25"/>
      <c r="W52" s="3"/>
      <c r="X52" s="26"/>
      <c r="Y52" s="28">
        <v>0.04</v>
      </c>
      <c r="Z52" s="3">
        <v>0.49</v>
      </c>
      <c r="AA52" s="27">
        <f t="shared" si="31"/>
        <v>0.0196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0.015</v>
      </c>
      <c r="AO52" s="3">
        <v>0.5</v>
      </c>
      <c r="AP52" s="3">
        <f t="shared" si="32"/>
        <v>0.0075</v>
      </c>
      <c r="AQ52" s="1">
        <f t="shared" si="33"/>
        <v>0.0305973380912481</v>
      </c>
      <c r="AR52" s="29">
        <f t="shared" si="34"/>
        <v>7.70910416666667</v>
      </c>
      <c r="AS52" s="1">
        <f t="shared" si="35"/>
        <v>0.13</v>
      </c>
      <c r="AT52" s="2">
        <f t="shared" si="36"/>
        <v>14.2885753424657</v>
      </c>
      <c r="AU52" s="1">
        <f t="shared" si="37"/>
        <v>2935.58488896671</v>
      </c>
    </row>
    <row r="53" s="1" customFormat="1" spans="1:48">
      <c r="A53" s="13"/>
      <c r="B53" s="13"/>
      <c r="C53" s="16">
        <v>11</v>
      </c>
      <c r="D53" s="19">
        <v>18.4855879841333</v>
      </c>
      <c r="E53" s="20">
        <f t="shared" si="38"/>
        <v>24.540032556129</v>
      </c>
      <c r="F53" s="16" t="s">
        <v>112</v>
      </c>
      <c r="G53" s="13">
        <v>12</v>
      </c>
      <c r="H53" s="18">
        <f t="shared" si="21"/>
        <v>18.4855879841333</v>
      </c>
      <c r="I53" s="18">
        <f t="shared" si="22"/>
        <v>291.635587984133</v>
      </c>
      <c r="J53" s="18">
        <f t="shared" si="23"/>
        <v>0.166910651205141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0.132044241034796</v>
      </c>
      <c r="P53" s="18">
        <f t="shared" si="26"/>
        <v>0.0220395902590064</v>
      </c>
      <c r="Q53" s="24">
        <f t="shared" si="27"/>
        <v>0.00286514673367083</v>
      </c>
      <c r="R53" s="18">
        <f t="shared" si="28"/>
        <v>0.0100218354166667</v>
      </c>
      <c r="S53" s="25">
        <f t="shared" si="29"/>
        <v>0.285890419723516</v>
      </c>
      <c r="T53" s="3">
        <v>0.01</v>
      </c>
      <c r="U53" s="26">
        <f t="shared" si="30"/>
        <v>0.00285890419723516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0.0176589041972352</v>
      </c>
      <c r="AR53" s="29">
        <f t="shared" si="34"/>
        <v>7.70910416666667</v>
      </c>
      <c r="AS53" s="1">
        <f t="shared" si="35"/>
        <v>0.13</v>
      </c>
      <c r="AT53" s="2">
        <f t="shared" si="36"/>
        <v>14.2885753424657</v>
      </c>
      <c r="AU53" s="1">
        <f t="shared" si="37"/>
        <v>1694.23928848053</v>
      </c>
      <c r="AV53" s="1">
        <f>SUM(AU42:AU53)</f>
        <v>37405.3520503363</v>
      </c>
    </row>
    <row r="54" s="1" customFormat="1" spans="1:46">
      <c r="A54" s="13"/>
      <c r="B54" s="13"/>
      <c r="C54" s="16">
        <v>12</v>
      </c>
      <c r="D54" s="19">
        <v>15.9063554783871</v>
      </c>
      <c r="E54" s="20">
        <f t="shared" si="38"/>
        <v>18.4855879841333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13</v>
      </c>
      <c r="E58" s="16"/>
      <c r="F58" s="16"/>
      <c r="G58" s="13">
        <v>1</v>
      </c>
      <c r="H58" s="18">
        <f t="shared" ref="H58:H69" si="40">E59</f>
        <v>13</v>
      </c>
      <c r="I58" s="18">
        <f t="shared" ref="I58:I69" si="41">H58+273.15</f>
        <v>286.15</v>
      </c>
      <c r="J58" s="18">
        <f t="shared" ref="J58:J69" si="42">EXP(($C$16*(I58-$C$14))/($C$17*I58*$C$14))</f>
        <v>0.088007517522823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0.24313704854754</v>
      </c>
      <c r="Q58" s="24">
        <f t="shared" ref="Q58:Q69" si="46">P58*$B$60</f>
        <v>0.109411671846393</v>
      </c>
      <c r="R58" s="18">
        <f t="shared" ref="R58:R69" si="47">L58*$B$60</f>
        <v>1.24320825</v>
      </c>
      <c r="S58" s="25">
        <f t="shared" ref="S58:S69" si="48">Q58/R58</f>
        <v>0.088007517522823</v>
      </c>
      <c r="T58" s="3">
        <v>0.27</v>
      </c>
      <c r="U58" s="26">
        <f t="shared" ref="U58:U69" si="49">S58*T58</f>
        <v>0.0237620297311622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0.233564251963945</v>
      </c>
      <c r="AC58" s="29">
        <f t="shared" ref="AC58:AC69" si="51">$B$58/12</f>
        <v>10.2321666666667</v>
      </c>
      <c r="AD58" s="1">
        <f t="shared" ref="AD58:AD69" si="52">$B$60</f>
        <v>0.45</v>
      </c>
      <c r="AE58" s="30">
        <f t="shared" ref="AE58:AE69" si="53">$E$7/12</f>
        <v>412.231123106372</v>
      </c>
      <c r="AF58" s="1">
        <f t="shared" ref="AF58:AF69" si="54">AE58*10000*AC58*AB58</f>
        <v>9851781.15427485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12.3585236938387</v>
      </c>
      <c r="E59" s="20">
        <f t="shared" ref="E59:E70" si="55">D58</f>
        <v>13</v>
      </c>
      <c r="F59" s="16" t="s">
        <v>110</v>
      </c>
      <c r="G59" s="13">
        <v>2</v>
      </c>
      <c r="H59" s="18">
        <f t="shared" si="40"/>
        <v>12.3585236938387</v>
      </c>
      <c r="I59" s="18">
        <f t="shared" si="41"/>
        <v>285.508523693839</v>
      </c>
      <c r="J59" s="18">
        <f t="shared" si="42"/>
        <v>0.081530009681577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5.28223295145246</v>
      </c>
      <c r="P59" s="18">
        <f t="shared" si="45"/>
        <v>0.430660503672264</v>
      </c>
      <c r="Q59" s="24">
        <f t="shared" si="46"/>
        <v>0.193797226652519</v>
      </c>
      <c r="R59" s="18">
        <f t="shared" si="47"/>
        <v>1.24320825</v>
      </c>
      <c r="S59" s="25">
        <f t="shared" si="48"/>
        <v>0.155884765607467</v>
      </c>
      <c r="T59" s="3">
        <v>0.27</v>
      </c>
      <c r="U59" s="26">
        <f t="shared" si="49"/>
        <v>0.042088886714016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0.239089799344276</v>
      </c>
      <c r="AC59" s="29">
        <f t="shared" si="51"/>
        <v>10.2321666666667</v>
      </c>
      <c r="AD59" s="1">
        <f t="shared" si="52"/>
        <v>0.45</v>
      </c>
      <c r="AE59" s="30">
        <f t="shared" si="53"/>
        <v>412.231123106372</v>
      </c>
      <c r="AF59" s="1">
        <f t="shared" si="54"/>
        <v>10084849.7128871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0.45</v>
      </c>
      <c r="C60" s="16">
        <v>2</v>
      </c>
      <c r="D60" s="19">
        <v>12.2228666587241</v>
      </c>
      <c r="E60" s="20">
        <f t="shared" si="55"/>
        <v>12.3585236938387</v>
      </c>
      <c r="F60" s="16" t="s">
        <v>110</v>
      </c>
      <c r="G60" s="13">
        <v>3</v>
      </c>
      <c r="H60" s="18">
        <f t="shared" si="40"/>
        <v>12.2228666587241</v>
      </c>
      <c r="I60" s="18">
        <f t="shared" si="41"/>
        <v>285.372866658724</v>
      </c>
      <c r="J60" s="18">
        <f t="shared" si="42"/>
        <v>0.0802189324629348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7.61425744778019</v>
      </c>
      <c r="P60" s="18">
        <f t="shared" si="45"/>
        <v>0.610807603958878</v>
      </c>
      <c r="Q60" s="24">
        <f t="shared" si="46"/>
        <v>0.274863421781495</v>
      </c>
      <c r="R60" s="18">
        <f t="shared" si="47"/>
        <v>1.24320825</v>
      </c>
      <c r="S60" s="25">
        <f t="shared" si="48"/>
        <v>0.221092018800145</v>
      </c>
      <c r="T60" s="3">
        <v>0.27</v>
      </c>
      <c r="U60" s="26">
        <f t="shared" si="49"/>
        <v>0.0596948450760391</v>
      </c>
      <c r="V60" s="3">
        <v>220.1</v>
      </c>
      <c r="W60" s="27">
        <v>12.1</v>
      </c>
      <c r="X60" s="27">
        <v>4.5</v>
      </c>
      <c r="Y60" s="27">
        <v>1.5</v>
      </c>
      <c r="Z60" s="27">
        <v>6.8</v>
      </c>
      <c r="AA60" s="3">
        <v>30.2</v>
      </c>
      <c r="AB60" s="2">
        <f t="shared" si="50"/>
        <v>0.293197995790426</v>
      </c>
      <c r="AC60" s="29">
        <f t="shared" si="51"/>
        <v>10.2321666666667</v>
      </c>
      <c r="AD60" s="1">
        <f t="shared" si="52"/>
        <v>0.45</v>
      </c>
      <c r="AE60" s="30">
        <f t="shared" si="53"/>
        <v>412.231123106372</v>
      </c>
      <c r="AF60" s="1">
        <f t="shared" si="54"/>
        <v>12367142.9386598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16.2137785216774</v>
      </c>
      <c r="E61" s="20">
        <f t="shared" si="55"/>
        <v>12.2228666587241</v>
      </c>
      <c r="F61" s="16" t="s">
        <v>110</v>
      </c>
      <c r="G61" s="13">
        <v>4</v>
      </c>
      <c r="H61" s="18">
        <f t="shared" si="40"/>
        <v>16.2137785216774</v>
      </c>
      <c r="I61" s="18">
        <f t="shared" si="41"/>
        <v>289.363778521677</v>
      </c>
      <c r="J61" s="18">
        <f t="shared" si="42"/>
        <v>0.128423955423189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9.76613484382132</v>
      </c>
      <c r="P61" s="18">
        <f t="shared" si="45"/>
        <v>1.25420566583976</v>
      </c>
      <c r="Q61" s="24">
        <f t="shared" si="46"/>
        <v>0.564392549627893</v>
      </c>
      <c r="R61" s="18">
        <f t="shared" si="47"/>
        <v>1.24320825</v>
      </c>
      <c r="S61" s="25">
        <f t="shared" si="48"/>
        <v>0.453980698429159</v>
      </c>
      <c r="T61" s="3">
        <v>0.27</v>
      </c>
      <c r="U61" s="26">
        <f t="shared" si="49"/>
        <v>0.122574788575873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0.312156298755626</v>
      </c>
      <c r="AC61" s="29">
        <f t="shared" si="51"/>
        <v>10.2321666666667</v>
      </c>
      <c r="AD61" s="1">
        <f t="shared" si="52"/>
        <v>0.45</v>
      </c>
      <c r="AE61" s="30">
        <f t="shared" si="53"/>
        <v>412.231123106372</v>
      </c>
      <c r="AF61" s="1">
        <f t="shared" si="54"/>
        <v>13166807.4862055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22.9687368523333</v>
      </c>
      <c r="E62" s="20">
        <f t="shared" si="55"/>
        <v>16.2137785216774</v>
      </c>
      <c r="F62" s="16" t="s">
        <v>110</v>
      </c>
      <c r="G62" s="13">
        <v>5</v>
      </c>
      <c r="H62" s="18">
        <f t="shared" si="40"/>
        <v>22.9687368523333</v>
      </c>
      <c r="I62" s="18">
        <f t="shared" si="41"/>
        <v>296.118736852333</v>
      </c>
      <c r="J62" s="18">
        <f t="shared" si="42"/>
        <v>0.276697626514576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8.08633271908248</v>
      </c>
      <c r="O62" s="18">
        <f t="shared" si="56"/>
        <v>3.18828145889908</v>
      </c>
      <c r="P62" s="18">
        <f t="shared" si="45"/>
        <v>0.882189912337804</v>
      </c>
      <c r="Q62" s="24">
        <f t="shared" si="46"/>
        <v>0.396985460552012</v>
      </c>
      <c r="R62" s="18">
        <f t="shared" si="47"/>
        <v>1.24320825</v>
      </c>
      <c r="S62" s="25">
        <f t="shared" si="48"/>
        <v>0.319323380095018</v>
      </c>
      <c r="T62" s="3">
        <v>0.27</v>
      </c>
      <c r="U62" s="26">
        <f t="shared" si="49"/>
        <v>0.0862173126256549</v>
      </c>
      <c r="V62" s="3">
        <v>229.1</v>
      </c>
      <c r="W62" s="27">
        <v>15.1</v>
      </c>
      <c r="X62" s="27">
        <v>6</v>
      </c>
      <c r="Y62" s="27">
        <v>3</v>
      </c>
      <c r="Z62" s="27">
        <v>7</v>
      </c>
      <c r="AA62" s="3">
        <v>30.2</v>
      </c>
      <c r="AB62" s="2">
        <f t="shared" si="50"/>
        <v>0.316394519756635</v>
      </c>
      <c r="AC62" s="29">
        <f t="shared" si="51"/>
        <v>10.2321666666667</v>
      </c>
      <c r="AD62" s="1">
        <f t="shared" si="52"/>
        <v>0.45</v>
      </c>
      <c r="AE62" s="30">
        <f t="shared" si="53"/>
        <v>412.231123106372</v>
      </c>
      <c r="AF62" s="1">
        <f t="shared" si="54"/>
        <v>13345576.3921245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25.4430855416129</v>
      </c>
      <c r="E63" s="20">
        <f t="shared" si="55"/>
        <v>22.9687368523333</v>
      </c>
      <c r="F63" s="16" t="s">
        <v>112</v>
      </c>
      <c r="G63" s="13">
        <v>6</v>
      </c>
      <c r="H63" s="18">
        <f t="shared" si="40"/>
        <v>25.4430855416129</v>
      </c>
      <c r="I63" s="18">
        <f t="shared" si="41"/>
        <v>298.593085541613</v>
      </c>
      <c r="J63" s="18">
        <f t="shared" si="42"/>
        <v>0.363363260100882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5.06877654656127</v>
      </c>
      <c r="P63" s="18">
        <f t="shared" si="45"/>
        <v>1.84180717068139</v>
      </c>
      <c r="Q63" s="24">
        <f t="shared" si="46"/>
        <v>0.828813226806627</v>
      </c>
      <c r="R63" s="18">
        <f t="shared" si="47"/>
        <v>1.24320825</v>
      </c>
      <c r="S63" s="25">
        <f t="shared" si="48"/>
        <v>0.666672881881718</v>
      </c>
      <c r="T63" s="3">
        <v>0.27</v>
      </c>
      <c r="U63" s="26">
        <f t="shared" si="49"/>
        <v>0.180001678108064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0.344670505949581</v>
      </c>
      <c r="AC63" s="29">
        <f t="shared" si="51"/>
        <v>10.2321666666667</v>
      </c>
      <c r="AD63" s="1">
        <f t="shared" si="52"/>
        <v>0.45</v>
      </c>
      <c r="AE63" s="30">
        <f t="shared" si="53"/>
        <v>412.231123106372</v>
      </c>
      <c r="AF63" s="1">
        <f t="shared" si="54"/>
        <v>14538262.4541046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27.878912007</v>
      </c>
      <c r="E64" s="20">
        <f t="shared" si="55"/>
        <v>25.4430855416129</v>
      </c>
      <c r="F64" s="16" t="s">
        <v>110</v>
      </c>
      <c r="G64" s="13">
        <v>7</v>
      </c>
      <c r="H64" s="18">
        <f t="shared" si="40"/>
        <v>27.878912007</v>
      </c>
      <c r="I64" s="18">
        <f t="shared" si="41"/>
        <v>301.028912007</v>
      </c>
      <c r="J64" s="18">
        <f t="shared" si="42"/>
        <v>0.473079481940292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5.98965437587988</v>
      </c>
      <c r="P64" s="18">
        <f t="shared" si="45"/>
        <v>2.83358258914266</v>
      </c>
      <c r="Q64" s="24">
        <f t="shared" si="46"/>
        <v>1.2751121651142</v>
      </c>
      <c r="R64" s="18">
        <f t="shared" si="47"/>
        <v>1.24320825</v>
      </c>
      <c r="S64" s="25">
        <f t="shared" si="48"/>
        <v>1.02566256708335</v>
      </c>
      <c r="T64" s="3">
        <v>0.27</v>
      </c>
      <c r="U64" s="26">
        <f t="shared" si="49"/>
        <v>0.276928893112504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0.37389406127342</v>
      </c>
      <c r="AC64" s="29">
        <f t="shared" si="51"/>
        <v>10.2321666666667</v>
      </c>
      <c r="AD64" s="1">
        <f t="shared" si="52"/>
        <v>0.45</v>
      </c>
      <c r="AE64" s="30">
        <f t="shared" si="53"/>
        <v>412.231123106372</v>
      </c>
      <c r="AF64" s="1">
        <f t="shared" si="54"/>
        <v>15770917.1483887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28.5769801467742</v>
      </c>
      <c r="E65" s="20">
        <f t="shared" si="55"/>
        <v>27.878912007</v>
      </c>
      <c r="F65" s="16" t="s">
        <v>110</v>
      </c>
      <c r="G65" s="13">
        <v>8</v>
      </c>
      <c r="H65" s="18">
        <f t="shared" si="40"/>
        <v>28.5769801467742</v>
      </c>
      <c r="I65" s="18">
        <f t="shared" si="41"/>
        <v>301.726980146774</v>
      </c>
      <c r="J65" s="18">
        <f t="shared" si="42"/>
        <v>0.509839555829677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5.91875678673722</v>
      </c>
      <c r="P65" s="18">
        <f t="shared" si="45"/>
        <v>3.01761633121399</v>
      </c>
      <c r="Q65" s="24">
        <f t="shared" si="46"/>
        <v>1.3579273490463</v>
      </c>
      <c r="R65" s="18">
        <f t="shared" si="47"/>
        <v>1.24320825</v>
      </c>
      <c r="S65" s="25">
        <f t="shared" si="48"/>
        <v>1.09227665521548</v>
      </c>
      <c r="T65" s="3">
        <v>0.27</v>
      </c>
      <c r="U65" s="26">
        <f t="shared" si="49"/>
        <v>0.294914696908181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0.379316781117817</v>
      </c>
      <c r="AC65" s="29">
        <f t="shared" si="51"/>
        <v>10.2321666666667</v>
      </c>
      <c r="AD65" s="1">
        <f t="shared" si="52"/>
        <v>0.45</v>
      </c>
      <c r="AE65" s="30">
        <f t="shared" si="53"/>
        <v>412.231123106372</v>
      </c>
      <c r="AF65" s="1">
        <f t="shared" si="54"/>
        <v>15999648.423482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27.5971988364516</v>
      </c>
      <c r="E66" s="20">
        <f t="shared" si="55"/>
        <v>28.5769801467742</v>
      </c>
      <c r="F66" s="16" t="s">
        <v>110</v>
      </c>
      <c r="G66" s="13">
        <v>9</v>
      </c>
      <c r="H66" s="18">
        <f t="shared" si="40"/>
        <v>27.5971988364516</v>
      </c>
      <c r="I66" s="18">
        <f t="shared" si="41"/>
        <v>300.747198836452</v>
      </c>
      <c r="J66" s="18">
        <f t="shared" si="42"/>
        <v>0.458961106543338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5.66382545552323</v>
      </c>
      <c r="P66" s="18">
        <f t="shared" si="45"/>
        <v>2.59947559833527</v>
      </c>
      <c r="Q66" s="24">
        <f t="shared" si="46"/>
        <v>1.16976401925087</v>
      </c>
      <c r="R66" s="18">
        <f t="shared" si="47"/>
        <v>1.24320825</v>
      </c>
      <c r="S66" s="25">
        <f t="shared" si="48"/>
        <v>0.940923629851129</v>
      </c>
      <c r="T66" s="3">
        <v>0.27</v>
      </c>
      <c r="U66" s="26">
        <f t="shared" si="49"/>
        <v>0.254049380059805</v>
      </c>
      <c r="V66" s="3">
        <v>229.1</v>
      </c>
      <c r="W66" s="27">
        <v>15.1</v>
      </c>
      <c r="X66" s="27">
        <v>6</v>
      </c>
      <c r="Y66" s="27">
        <v>3</v>
      </c>
      <c r="Z66" s="27">
        <v>7</v>
      </c>
      <c r="AA66" s="3">
        <v>30.2</v>
      </c>
      <c r="AB66" s="2">
        <f t="shared" si="50"/>
        <v>0.366995888088031</v>
      </c>
      <c r="AC66" s="29">
        <f t="shared" si="51"/>
        <v>10.2321666666667</v>
      </c>
      <c r="AD66" s="1">
        <f t="shared" si="52"/>
        <v>0.45</v>
      </c>
      <c r="AE66" s="30">
        <f t="shared" si="53"/>
        <v>412.231123106372</v>
      </c>
      <c r="AF66" s="1">
        <f t="shared" si="54"/>
        <v>15479950.9923297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26.4784500373333</v>
      </c>
      <c r="E67" s="20">
        <f t="shared" si="55"/>
        <v>27.5971988364516</v>
      </c>
      <c r="F67" s="16" t="s">
        <v>110</v>
      </c>
      <c r="G67" s="13">
        <v>10</v>
      </c>
      <c r="H67" s="18">
        <f t="shared" si="40"/>
        <v>26.4784500373333</v>
      </c>
      <c r="I67" s="18">
        <f t="shared" si="41"/>
        <v>299.628450037333</v>
      </c>
      <c r="J67" s="18">
        <f t="shared" si="42"/>
        <v>0.406702880205104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5.82703485718796</v>
      </c>
      <c r="P67" s="18">
        <f t="shared" si="45"/>
        <v>2.36987185947388</v>
      </c>
      <c r="Q67" s="24">
        <f t="shared" si="46"/>
        <v>1.06644233676325</v>
      </c>
      <c r="R67" s="18">
        <f t="shared" si="47"/>
        <v>1.24320825</v>
      </c>
      <c r="S67" s="25">
        <f t="shared" si="48"/>
        <v>0.857814719909755</v>
      </c>
      <c r="T67" s="3">
        <v>0.27</v>
      </c>
      <c r="U67" s="26">
        <f t="shared" si="49"/>
        <v>0.231609974375634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0.345030407274254</v>
      </c>
      <c r="AC67" s="29">
        <f t="shared" si="51"/>
        <v>10.2321666666667</v>
      </c>
      <c r="AD67" s="1">
        <f t="shared" si="52"/>
        <v>0.45</v>
      </c>
      <c r="AE67" s="30">
        <f t="shared" si="53"/>
        <v>412.231123106372</v>
      </c>
      <c r="AF67" s="1">
        <f t="shared" si="54"/>
        <v>14553443.1551665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24.540032556129</v>
      </c>
      <c r="E68" s="20">
        <f t="shared" si="55"/>
        <v>26.4784500373333</v>
      </c>
      <c r="F68" s="16" t="s">
        <v>110</v>
      </c>
      <c r="G68" s="13">
        <v>11</v>
      </c>
      <c r="H68" s="18">
        <f t="shared" si="40"/>
        <v>24.540032556129</v>
      </c>
      <c r="I68" s="18">
        <f t="shared" si="41"/>
        <v>297.690032556129</v>
      </c>
      <c r="J68" s="18">
        <f t="shared" si="42"/>
        <v>0.329139889665593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3.28430484782838</v>
      </c>
      <c r="O68" s="18">
        <f t="shared" si="56"/>
        <v>2.9355431498857</v>
      </c>
      <c r="P68" s="18">
        <f t="shared" si="45"/>
        <v>0.966204348461968</v>
      </c>
      <c r="Q68" s="24">
        <f t="shared" si="46"/>
        <v>0.434791956807886</v>
      </c>
      <c r="R68" s="18">
        <f t="shared" si="47"/>
        <v>1.24320825</v>
      </c>
      <c r="S68" s="25">
        <f t="shared" si="48"/>
        <v>0.349733809124807</v>
      </c>
      <c r="T68" s="3">
        <v>0.27</v>
      </c>
      <c r="U68" s="26">
        <f t="shared" si="49"/>
        <v>0.094428128463698</v>
      </c>
      <c r="V68" s="3">
        <v>220.1</v>
      </c>
      <c r="W68" s="27">
        <v>12.1</v>
      </c>
      <c r="X68" s="27">
        <v>4.5</v>
      </c>
      <c r="Y68" s="27">
        <v>1.5</v>
      </c>
      <c r="Z68" s="27">
        <v>6.8</v>
      </c>
      <c r="AA68" s="3">
        <v>30.2</v>
      </c>
      <c r="AB68" s="2">
        <f t="shared" si="50"/>
        <v>0.303670080731805</v>
      </c>
      <c r="AC68" s="29">
        <f t="shared" si="51"/>
        <v>10.2321666666667</v>
      </c>
      <c r="AD68" s="1">
        <f t="shared" si="52"/>
        <v>0.45</v>
      </c>
      <c r="AE68" s="30">
        <f t="shared" si="53"/>
        <v>412.231123106372</v>
      </c>
      <c r="AF68" s="1">
        <f t="shared" si="54"/>
        <v>12808857.3200514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18.4855879841333</v>
      </c>
      <c r="E69" s="20">
        <f t="shared" si="55"/>
        <v>24.540032556129</v>
      </c>
      <c r="F69" s="16" t="s">
        <v>112</v>
      </c>
      <c r="G69" s="13">
        <v>12</v>
      </c>
      <c r="H69" s="18">
        <f t="shared" si="40"/>
        <v>18.4855879841333</v>
      </c>
      <c r="I69" s="18">
        <f t="shared" si="41"/>
        <v>291.635587984133</v>
      </c>
      <c r="J69" s="18">
        <f t="shared" si="42"/>
        <v>0.166910651205141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4.73202380142374</v>
      </c>
      <c r="P69" s="18">
        <f t="shared" si="45"/>
        <v>0.789825174213863</v>
      </c>
      <c r="Q69" s="24">
        <f t="shared" si="46"/>
        <v>0.355421328396238</v>
      </c>
      <c r="R69" s="18">
        <f t="shared" si="47"/>
        <v>1.24320825</v>
      </c>
      <c r="S69" s="25">
        <f t="shared" si="48"/>
        <v>0.285890419723516</v>
      </c>
      <c r="T69" s="3">
        <v>0.27</v>
      </c>
      <c r="U69" s="26">
        <f t="shared" si="49"/>
        <v>0.0771904133253494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0.249672909617593</v>
      </c>
      <c r="AC69" s="29">
        <f t="shared" si="51"/>
        <v>10.2321666666667</v>
      </c>
      <c r="AD69" s="1">
        <f t="shared" si="52"/>
        <v>0.45</v>
      </c>
      <c r="AE69" s="30">
        <f t="shared" si="53"/>
        <v>412.231123106372</v>
      </c>
      <c r="AF69" s="1">
        <f t="shared" si="54"/>
        <v>10531247.1622724</v>
      </c>
      <c r="AG69" s="1">
        <f>SUM(AF58:AF69)</f>
        <v>158498484.339947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15.9063554783871</v>
      </c>
      <c r="E70" s="20">
        <f t="shared" si="55"/>
        <v>18.4855879841333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13</v>
      </c>
      <c r="E74" s="16"/>
      <c r="F74" s="16"/>
      <c r="G74" s="13">
        <v>1</v>
      </c>
      <c r="H74" s="18">
        <f t="shared" ref="H74:H85" si="57">E75</f>
        <v>13</v>
      </c>
      <c r="I74" s="18">
        <f t="shared" ref="I74:I85" si="58">H74+273.15</f>
        <v>286.15</v>
      </c>
      <c r="J74" s="18">
        <f t="shared" ref="J74:J85" si="59">EXP(($C$16*(I74-$C$14))/($C$17*I74*$C$14))</f>
        <v>0.088007517522823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0.0458712782832458</v>
      </c>
      <c r="Q74" s="24">
        <f t="shared" ref="Q74:Q85" si="63">P74*$B$76</f>
        <v>0.0119265323536439</v>
      </c>
      <c r="R74" s="18">
        <f t="shared" ref="R74:R85" si="64">L74*$B$76</f>
        <v>0.1355172</v>
      </c>
      <c r="S74" s="25">
        <f t="shared" ref="S74:S85" si="65">Q74/R74</f>
        <v>0.088007517522823</v>
      </c>
      <c r="T74" s="3">
        <v>0.01</v>
      </c>
      <c r="U74" s="26">
        <f t="shared" ref="U74:U85" si="66">S74*T74</f>
        <v>0.00088007517522823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0.00637007517522823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12.3585236938387</v>
      </c>
      <c r="E75" s="20">
        <f t="shared" ref="E75:E86" si="74">D74</f>
        <v>13</v>
      </c>
      <c r="F75" s="16" t="s">
        <v>110</v>
      </c>
      <c r="G75" s="13">
        <v>2</v>
      </c>
      <c r="H75" s="18">
        <f t="shared" si="57"/>
        <v>12.3585236938387</v>
      </c>
      <c r="I75" s="18">
        <f t="shared" si="58"/>
        <v>285.508523693839</v>
      </c>
      <c r="J75" s="18">
        <f t="shared" si="59"/>
        <v>0.081530009681577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0.996568721716754</v>
      </c>
      <c r="P75" s="18">
        <f t="shared" si="62"/>
        <v>0.0812502575299238</v>
      </c>
      <c r="Q75" s="24">
        <f t="shared" si="63"/>
        <v>0.0211250669577802</v>
      </c>
      <c r="R75" s="18">
        <f t="shared" si="64"/>
        <v>0.1355172</v>
      </c>
      <c r="S75" s="25">
        <f t="shared" si="65"/>
        <v>0.155884765607467</v>
      </c>
      <c r="T75" s="3">
        <v>0.01</v>
      </c>
      <c r="U75" s="26">
        <f t="shared" si="66"/>
        <v>0.00155884765607467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0.00704884765607467</v>
      </c>
      <c r="AU75" s="29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12.2228666587241</v>
      </c>
      <c r="E76" s="20">
        <f t="shared" si="74"/>
        <v>12.3585236938387</v>
      </c>
      <c r="F76" s="16" t="s">
        <v>110</v>
      </c>
      <c r="G76" s="13">
        <v>3</v>
      </c>
      <c r="H76" s="18">
        <f t="shared" si="57"/>
        <v>12.2228666587241</v>
      </c>
      <c r="I76" s="18">
        <f t="shared" si="58"/>
        <v>285.372866658724</v>
      </c>
      <c r="J76" s="18">
        <f t="shared" si="59"/>
        <v>0.0802189324629348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1.43653846418683</v>
      </c>
      <c r="P76" s="18">
        <f t="shared" si="62"/>
        <v>0.115237582039011</v>
      </c>
      <c r="Q76" s="24">
        <f t="shared" si="63"/>
        <v>0.029961771330143</v>
      </c>
      <c r="R76" s="18">
        <f t="shared" si="64"/>
        <v>0.1355172</v>
      </c>
      <c r="S76" s="25">
        <f t="shared" si="65"/>
        <v>0.221092018800145</v>
      </c>
      <c r="T76" s="3">
        <v>0.01</v>
      </c>
      <c r="U76" s="26">
        <f t="shared" si="66"/>
        <v>0.00221092018800145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0.005</v>
      </c>
      <c r="AF76" s="3">
        <v>0.49</v>
      </c>
      <c r="AG76" s="26">
        <f t="shared" si="67"/>
        <v>0.00245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0.015</v>
      </c>
      <c r="AR76" s="3">
        <v>0.5</v>
      </c>
      <c r="AS76" s="3">
        <f t="shared" si="68"/>
        <v>0.0075</v>
      </c>
      <c r="AT76" s="2">
        <f t="shared" si="69"/>
        <v>0.0121609201880014</v>
      </c>
      <c r="AU76" s="29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9">
        <v>16.2137785216774</v>
      </c>
      <c r="E77" s="20">
        <f t="shared" si="74"/>
        <v>12.2228666587241</v>
      </c>
      <c r="F77" s="16" t="s">
        <v>110</v>
      </c>
      <c r="G77" s="13">
        <v>4</v>
      </c>
      <c r="H77" s="18">
        <f t="shared" si="57"/>
        <v>16.2137785216774</v>
      </c>
      <c r="I77" s="18">
        <f t="shared" si="58"/>
        <v>289.363778521677</v>
      </c>
      <c r="J77" s="18">
        <f t="shared" si="59"/>
        <v>0.128423955423189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1.84252088214782</v>
      </c>
      <c r="P77" s="18">
        <f t="shared" si="62"/>
        <v>0.236623819635246</v>
      </c>
      <c r="Q77" s="24">
        <f t="shared" si="63"/>
        <v>0.0615221931051641</v>
      </c>
      <c r="R77" s="18">
        <f t="shared" si="64"/>
        <v>0.1355172</v>
      </c>
      <c r="S77" s="25">
        <f t="shared" si="65"/>
        <v>0.453980698429159</v>
      </c>
      <c r="T77" s="3">
        <v>0.01</v>
      </c>
      <c r="U77" s="26">
        <f t="shared" si="66"/>
        <v>0.00453980698429159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0.005</v>
      </c>
      <c r="AF77" s="3">
        <v>0.49</v>
      </c>
      <c r="AG77" s="26">
        <f t="shared" si="67"/>
        <v>0.00245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0.0144898069842916</v>
      </c>
      <c r="AU77" s="29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9">
        <v>22.9687368523333</v>
      </c>
      <c r="E78" s="20">
        <f t="shared" si="74"/>
        <v>16.2137785216774</v>
      </c>
      <c r="F78" s="16" t="s">
        <v>110</v>
      </c>
      <c r="G78" s="13">
        <v>5</v>
      </c>
      <c r="H78" s="18">
        <f t="shared" si="57"/>
        <v>22.9687368523333</v>
      </c>
      <c r="I78" s="18">
        <f t="shared" si="58"/>
        <v>296.118736852333</v>
      </c>
      <c r="J78" s="18">
        <f t="shared" si="59"/>
        <v>0.276697626514576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1.52560220938694</v>
      </c>
      <c r="O78" s="18">
        <f t="shared" si="75"/>
        <v>0.601514853125628</v>
      </c>
      <c r="P78" s="18">
        <f t="shared" si="62"/>
        <v>0.166437732173125</v>
      </c>
      <c r="Q78" s="24">
        <f t="shared" si="63"/>
        <v>0.0432738103650125</v>
      </c>
      <c r="R78" s="18">
        <f t="shared" si="64"/>
        <v>0.1355172</v>
      </c>
      <c r="S78" s="25">
        <f t="shared" si="65"/>
        <v>0.319323380095018</v>
      </c>
      <c r="T78" s="3">
        <v>0.01</v>
      </c>
      <c r="U78" s="26">
        <f t="shared" si="66"/>
        <v>0.00319323380095018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0.01</v>
      </c>
      <c r="AF78" s="3">
        <v>0.49</v>
      </c>
      <c r="AG78" s="26">
        <f t="shared" si="67"/>
        <v>0.0049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0.02</v>
      </c>
      <c r="AR78" s="3">
        <v>0.5</v>
      </c>
      <c r="AS78" s="3">
        <f t="shared" si="68"/>
        <v>0.01</v>
      </c>
      <c r="AT78" s="2">
        <f t="shared" si="69"/>
        <v>0.0180932338009502</v>
      </c>
      <c r="AU78" s="29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9">
        <v>25.4430855416129</v>
      </c>
      <c r="E79" s="20">
        <f t="shared" si="74"/>
        <v>22.9687368523333</v>
      </c>
      <c r="F79" s="16" t="s">
        <v>112</v>
      </c>
      <c r="G79" s="13">
        <v>6</v>
      </c>
      <c r="H79" s="18">
        <f t="shared" si="57"/>
        <v>25.4430855416129</v>
      </c>
      <c r="I79" s="18">
        <f t="shared" si="58"/>
        <v>298.593085541613</v>
      </c>
      <c r="J79" s="18">
        <f t="shared" si="59"/>
        <v>0.363363260100882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0.956297120952503</v>
      </c>
      <c r="P79" s="18">
        <f t="shared" si="62"/>
        <v>0.347483239494389</v>
      </c>
      <c r="Q79" s="24">
        <f t="shared" si="63"/>
        <v>0.0903456422685411</v>
      </c>
      <c r="R79" s="18">
        <f t="shared" si="64"/>
        <v>0.1355172</v>
      </c>
      <c r="S79" s="25">
        <f t="shared" si="65"/>
        <v>0.666672881881718</v>
      </c>
      <c r="T79" s="3">
        <v>0.01</v>
      </c>
      <c r="U79" s="26">
        <f t="shared" si="66"/>
        <v>0.00666672881881718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0.01</v>
      </c>
      <c r="AF79" s="3">
        <v>0.49</v>
      </c>
      <c r="AG79" s="26">
        <f t="shared" si="67"/>
        <v>0.0049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0.02</v>
      </c>
      <c r="AR79" s="3">
        <v>0.5</v>
      </c>
      <c r="AS79" s="3">
        <f t="shared" si="68"/>
        <v>0.01</v>
      </c>
      <c r="AT79" s="2">
        <f t="shared" si="69"/>
        <v>0.0215667288188172</v>
      </c>
      <c r="AU79" s="29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9">
        <v>27.878912007</v>
      </c>
      <c r="E80" s="20">
        <f t="shared" si="74"/>
        <v>25.4430855416129</v>
      </c>
      <c r="F80" s="16" t="s">
        <v>110</v>
      </c>
      <c r="G80" s="13">
        <v>7</v>
      </c>
      <c r="H80" s="18">
        <f t="shared" si="57"/>
        <v>27.878912007</v>
      </c>
      <c r="I80" s="18">
        <f t="shared" si="58"/>
        <v>301.028912007</v>
      </c>
      <c r="J80" s="18">
        <f t="shared" si="59"/>
        <v>0.473079481940292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1.13003388145811</v>
      </c>
      <c r="P80" s="18">
        <f t="shared" si="62"/>
        <v>0.534595843215182</v>
      </c>
      <c r="Q80" s="24">
        <f t="shared" si="63"/>
        <v>0.138994919235947</v>
      </c>
      <c r="R80" s="18">
        <f t="shared" si="64"/>
        <v>0.1355172</v>
      </c>
      <c r="S80" s="25">
        <f t="shared" si="65"/>
        <v>1.02566256708335</v>
      </c>
      <c r="T80" s="3">
        <v>0.01</v>
      </c>
      <c r="U80" s="26">
        <f t="shared" si="66"/>
        <v>0.0102566256708335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0.01</v>
      </c>
      <c r="AF80" s="3">
        <v>0.49</v>
      </c>
      <c r="AG80" s="26">
        <f t="shared" si="67"/>
        <v>0.0049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0.0251566256708335</v>
      </c>
      <c r="AU80" s="29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9">
        <v>28.5769801467742</v>
      </c>
      <c r="E81" s="20">
        <f t="shared" si="74"/>
        <v>27.878912007</v>
      </c>
      <c r="F81" s="16" t="s">
        <v>110</v>
      </c>
      <c r="G81" s="13">
        <v>8</v>
      </c>
      <c r="H81" s="18">
        <f t="shared" si="57"/>
        <v>28.5769801467742</v>
      </c>
      <c r="I81" s="18">
        <f t="shared" si="58"/>
        <v>301.726980146774</v>
      </c>
      <c r="J81" s="18">
        <f t="shared" si="59"/>
        <v>0.509839555829677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1.11665803824293</v>
      </c>
      <c r="P81" s="18">
        <f t="shared" si="62"/>
        <v>0.569316438231415</v>
      </c>
      <c r="Q81" s="24">
        <f t="shared" si="63"/>
        <v>0.148022273940168</v>
      </c>
      <c r="R81" s="18">
        <f t="shared" si="64"/>
        <v>0.1355172</v>
      </c>
      <c r="S81" s="25">
        <f t="shared" si="65"/>
        <v>1.09227665521548</v>
      </c>
      <c r="T81" s="3">
        <v>0.01</v>
      </c>
      <c r="U81" s="26">
        <f t="shared" si="66"/>
        <v>0.0109227665521548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0.01</v>
      </c>
      <c r="AF81" s="3">
        <v>0.49</v>
      </c>
      <c r="AG81" s="26">
        <f t="shared" si="67"/>
        <v>0.0049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0.0258227665521548</v>
      </c>
      <c r="AU81" s="29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9">
        <v>27.5971988364516</v>
      </c>
      <c r="E82" s="20">
        <f t="shared" si="74"/>
        <v>28.5769801467742</v>
      </c>
      <c r="F82" s="16" t="s">
        <v>110</v>
      </c>
      <c r="G82" s="13">
        <v>9</v>
      </c>
      <c r="H82" s="18">
        <f t="shared" si="57"/>
        <v>27.5971988364516</v>
      </c>
      <c r="I82" s="18">
        <f t="shared" si="58"/>
        <v>300.747198836452</v>
      </c>
      <c r="J82" s="18">
        <f t="shared" si="59"/>
        <v>0.458961106543338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1.06856160001152</v>
      </c>
      <c r="P82" s="18">
        <f t="shared" si="62"/>
        <v>0.490428214351006</v>
      </c>
      <c r="Q82" s="24">
        <f t="shared" si="63"/>
        <v>0.127511335731261</v>
      </c>
      <c r="R82" s="18">
        <f t="shared" si="64"/>
        <v>0.1355172</v>
      </c>
      <c r="S82" s="25">
        <f t="shared" si="65"/>
        <v>0.94092362985113</v>
      </c>
      <c r="T82" s="3">
        <v>0.01</v>
      </c>
      <c r="U82" s="26">
        <f t="shared" si="66"/>
        <v>0.0094092362985113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0.01</v>
      </c>
      <c r="AF82" s="3">
        <v>0.49</v>
      </c>
      <c r="AG82" s="26">
        <f t="shared" si="67"/>
        <v>0.0049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0.02</v>
      </c>
      <c r="AR82" s="3">
        <v>0.5</v>
      </c>
      <c r="AS82" s="3">
        <f t="shared" si="68"/>
        <v>0.01</v>
      </c>
      <c r="AT82" s="2">
        <f t="shared" si="69"/>
        <v>0.0243092362985113</v>
      </c>
      <c r="AU82" s="29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9">
        <v>26.4784500373333</v>
      </c>
      <c r="E83" s="20">
        <f t="shared" si="74"/>
        <v>27.5971988364516</v>
      </c>
      <c r="F83" s="16" t="s">
        <v>110</v>
      </c>
      <c r="G83" s="13">
        <v>10</v>
      </c>
      <c r="H83" s="18">
        <f t="shared" si="57"/>
        <v>26.4784500373333</v>
      </c>
      <c r="I83" s="18">
        <f t="shared" si="58"/>
        <v>299.628450037333</v>
      </c>
      <c r="J83" s="18">
        <f t="shared" si="59"/>
        <v>0.406702880205104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1.09935338566051</v>
      </c>
      <c r="P83" s="18">
        <f t="shared" si="62"/>
        <v>0.447110188311363</v>
      </c>
      <c r="Q83" s="24">
        <f t="shared" si="63"/>
        <v>0.116248648960954</v>
      </c>
      <c r="R83" s="18">
        <f t="shared" si="64"/>
        <v>0.1355172</v>
      </c>
      <c r="S83" s="25">
        <f t="shared" si="65"/>
        <v>0.857814719909755</v>
      </c>
      <c r="T83" s="3">
        <v>0.01</v>
      </c>
      <c r="U83" s="26">
        <f t="shared" si="66"/>
        <v>0.00857814719909755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0.0185281471990976</v>
      </c>
      <c r="AU83" s="29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9">
        <v>24.540032556129</v>
      </c>
      <c r="E84" s="20">
        <f t="shared" si="74"/>
        <v>26.4784500373333</v>
      </c>
      <c r="F84" s="16" t="s">
        <v>110</v>
      </c>
      <c r="G84" s="13">
        <v>11</v>
      </c>
      <c r="H84" s="18">
        <f t="shared" si="57"/>
        <v>24.540032556129</v>
      </c>
      <c r="I84" s="18">
        <f t="shared" si="58"/>
        <v>297.690032556129</v>
      </c>
      <c r="J84" s="18">
        <f t="shared" si="59"/>
        <v>0.329139889665593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0.619631037481692</v>
      </c>
      <c r="O84" s="18">
        <f t="shared" si="75"/>
        <v>0.553832159867457</v>
      </c>
      <c r="P84" s="18">
        <f t="shared" si="62"/>
        <v>0.182288255992032</v>
      </c>
      <c r="Q84" s="24">
        <f t="shared" si="63"/>
        <v>0.0473949465579283</v>
      </c>
      <c r="R84" s="18">
        <f t="shared" si="64"/>
        <v>0.1355172</v>
      </c>
      <c r="S84" s="25">
        <f t="shared" si="65"/>
        <v>0.349733809124807</v>
      </c>
      <c r="T84" s="3">
        <v>0.01</v>
      </c>
      <c r="U84" s="26">
        <f t="shared" si="66"/>
        <v>0.00349733809124807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0.015</v>
      </c>
      <c r="AR84" s="3">
        <v>0.5</v>
      </c>
      <c r="AS84" s="3">
        <f t="shared" si="68"/>
        <v>0.0075</v>
      </c>
      <c r="AT84" s="2">
        <f t="shared" si="69"/>
        <v>0.0134473380912481</v>
      </c>
      <c r="AU84" s="29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9">
        <v>18.4855879841333</v>
      </c>
      <c r="E85" s="20">
        <f t="shared" si="74"/>
        <v>24.540032556129</v>
      </c>
      <c r="F85" s="16" t="s">
        <v>112</v>
      </c>
      <c r="G85" s="13">
        <v>12</v>
      </c>
      <c r="H85" s="18">
        <f t="shared" si="57"/>
        <v>18.4855879841333</v>
      </c>
      <c r="I85" s="18">
        <f t="shared" si="58"/>
        <v>291.635587984133</v>
      </c>
      <c r="J85" s="18">
        <f t="shared" si="59"/>
        <v>0.166910651205141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0.892763903875425</v>
      </c>
      <c r="P85" s="18">
        <f t="shared" si="62"/>
        <v>0.149011804568291</v>
      </c>
      <c r="Q85" s="24">
        <f t="shared" si="63"/>
        <v>0.0387430691877557</v>
      </c>
      <c r="R85" s="18">
        <f t="shared" si="64"/>
        <v>0.1355172</v>
      </c>
      <c r="S85" s="25">
        <f t="shared" si="65"/>
        <v>0.285890419723516</v>
      </c>
      <c r="T85" s="3">
        <v>0.01</v>
      </c>
      <c r="U85" s="26">
        <f t="shared" si="66"/>
        <v>0.00285890419723516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0.00834890419723516</v>
      </c>
      <c r="AU85" s="29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9">
        <v>15.9063554783871</v>
      </c>
      <c r="E86" s="20">
        <f t="shared" si="74"/>
        <v>18.4855879841333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13</v>
      </c>
      <c r="E90" s="16"/>
      <c r="F90" s="16"/>
      <c r="G90" s="13">
        <v>1</v>
      </c>
      <c r="H90" s="18">
        <f t="shared" ref="H90:H101" si="76">E91</f>
        <v>13</v>
      </c>
      <c r="I90" s="18">
        <f t="shared" ref="I90:I101" si="77">H90+273.15</f>
        <v>286.15</v>
      </c>
      <c r="J90" s="18">
        <f t="shared" ref="J90:J101" si="78">EXP(($C$16*(I90-$C$14))/($C$17*I90*$C$14))</f>
        <v>0.088007517522823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0.0250557402387477</v>
      </c>
      <c r="Q90" s="24">
        <f t="shared" ref="Q90:Q101" si="82">P90*$B$76</f>
        <v>0.0065144924620744</v>
      </c>
      <c r="R90" s="18">
        <f t="shared" ref="R90:R101" si="83">L90*$B$76</f>
        <v>0.074022</v>
      </c>
      <c r="S90" s="25">
        <f t="shared" ref="S90:S101" si="84">Q90/R90</f>
        <v>0.088007517522823</v>
      </c>
      <c r="T90" s="3">
        <v>0.01</v>
      </c>
      <c r="U90" s="26">
        <f t="shared" ref="U90:U101" si="85">S90*T90</f>
        <v>0.00088007517522823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0.00637007517522823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12.3585236938387</v>
      </c>
      <c r="E91" s="20">
        <f t="shared" ref="E91:E102" si="95">D90</f>
        <v>13</v>
      </c>
      <c r="F91" s="16" t="s">
        <v>110</v>
      </c>
      <c r="G91" s="13">
        <v>2</v>
      </c>
      <c r="H91" s="18">
        <f t="shared" si="76"/>
        <v>12.3585236938387</v>
      </c>
      <c r="I91" s="18">
        <f t="shared" si="77"/>
        <v>285.508523693839</v>
      </c>
      <c r="J91" s="18">
        <f t="shared" si="78"/>
        <v>0.081530009681577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0.544344259761252</v>
      </c>
      <c r="P91" s="18">
        <f t="shared" si="81"/>
        <v>0.0443803927684458</v>
      </c>
      <c r="Q91" s="24">
        <f t="shared" si="82"/>
        <v>0.0115389021197959</v>
      </c>
      <c r="R91" s="18">
        <f t="shared" si="83"/>
        <v>0.074022</v>
      </c>
      <c r="S91" s="25">
        <f t="shared" si="84"/>
        <v>0.155884765607467</v>
      </c>
      <c r="T91" s="3">
        <v>0.01</v>
      </c>
      <c r="U91" s="26">
        <f t="shared" si="85"/>
        <v>0.00155884765607467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0.00704884765607467</v>
      </c>
      <c r="AU91" s="29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12.2228666587241</v>
      </c>
      <c r="E92" s="20">
        <f t="shared" si="95"/>
        <v>12.3585236938387</v>
      </c>
      <c r="F92" s="16" t="s">
        <v>110</v>
      </c>
      <c r="G92" s="13">
        <v>3</v>
      </c>
      <c r="H92" s="18">
        <f t="shared" si="76"/>
        <v>12.2228666587241</v>
      </c>
      <c r="I92" s="18">
        <f t="shared" si="77"/>
        <v>285.372866658724</v>
      </c>
      <c r="J92" s="18">
        <f t="shared" si="78"/>
        <v>0.0802189324629348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0.784663866992807</v>
      </c>
      <c r="P92" s="18">
        <f t="shared" si="81"/>
        <v>0.0629448977524012</v>
      </c>
      <c r="Q92" s="24">
        <f t="shared" si="82"/>
        <v>0.0163656734156243</v>
      </c>
      <c r="R92" s="18">
        <f t="shared" si="83"/>
        <v>0.074022</v>
      </c>
      <c r="S92" s="25">
        <f t="shared" si="84"/>
        <v>0.221092018800145</v>
      </c>
      <c r="T92" s="3">
        <v>0.01</v>
      </c>
      <c r="U92" s="26">
        <f t="shared" si="85"/>
        <v>0.00221092018800145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0.005</v>
      </c>
      <c r="AF92" s="3">
        <v>0.49</v>
      </c>
      <c r="AG92" s="26">
        <f t="shared" si="86"/>
        <v>0.00245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0.015</v>
      </c>
      <c r="AR92" s="3">
        <v>0.5</v>
      </c>
      <c r="AS92" s="3">
        <f t="shared" si="87"/>
        <v>0.0075</v>
      </c>
      <c r="AT92" s="2">
        <f t="shared" si="88"/>
        <v>0.0121609201880014</v>
      </c>
      <c r="AU92" s="29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9">
        <v>16.2137785216774</v>
      </c>
      <c r="E93" s="20">
        <f t="shared" si="95"/>
        <v>12.2228666587241</v>
      </c>
      <c r="F93" s="16" t="s">
        <v>110</v>
      </c>
      <c r="G93" s="13">
        <v>4</v>
      </c>
      <c r="H93" s="18">
        <f t="shared" si="76"/>
        <v>16.2137785216774</v>
      </c>
      <c r="I93" s="18">
        <f t="shared" si="77"/>
        <v>289.363778521677</v>
      </c>
      <c r="J93" s="18">
        <f t="shared" si="78"/>
        <v>0.128423955423189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1.00641896924041</v>
      </c>
      <c r="P93" s="18">
        <f t="shared" si="81"/>
        <v>0.129248304842782</v>
      </c>
      <c r="Q93" s="24">
        <f t="shared" si="82"/>
        <v>0.0336045592591232</v>
      </c>
      <c r="R93" s="18">
        <f t="shared" si="83"/>
        <v>0.074022</v>
      </c>
      <c r="S93" s="25">
        <f t="shared" si="84"/>
        <v>0.453980698429159</v>
      </c>
      <c r="T93" s="3">
        <v>0.01</v>
      </c>
      <c r="U93" s="26">
        <f t="shared" si="85"/>
        <v>0.00453980698429159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0.0144898069842916</v>
      </c>
      <c r="AU93" s="29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9">
        <v>22.9687368523333</v>
      </c>
      <c r="E94" s="20">
        <f t="shared" si="95"/>
        <v>16.2137785216774</v>
      </c>
      <c r="F94" s="16" t="s">
        <v>110</v>
      </c>
      <c r="G94" s="13">
        <v>5</v>
      </c>
      <c r="H94" s="18">
        <f t="shared" si="76"/>
        <v>22.9687368523333</v>
      </c>
      <c r="I94" s="18">
        <f t="shared" si="77"/>
        <v>296.118736852333</v>
      </c>
      <c r="J94" s="18">
        <f t="shared" si="78"/>
        <v>0.276697626514576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0.833312131177743</v>
      </c>
      <c r="O94" s="18">
        <f t="shared" si="96"/>
        <v>0.328558533219881</v>
      </c>
      <c r="P94" s="18">
        <f t="shared" si="81"/>
        <v>0.0909113663130516</v>
      </c>
      <c r="Q94" s="24">
        <f t="shared" si="82"/>
        <v>0.0236369552413934</v>
      </c>
      <c r="R94" s="18">
        <f t="shared" si="83"/>
        <v>0.074022</v>
      </c>
      <c r="S94" s="25">
        <f t="shared" si="84"/>
        <v>0.319323380095018</v>
      </c>
      <c r="T94" s="3">
        <v>0.01</v>
      </c>
      <c r="U94" s="26">
        <f t="shared" si="85"/>
        <v>0.00319323380095018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0.01</v>
      </c>
      <c r="AF94" s="3">
        <v>0.49</v>
      </c>
      <c r="AG94" s="26">
        <f t="shared" si="86"/>
        <v>0.0049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0.02</v>
      </c>
      <c r="AR94" s="3">
        <v>0.5</v>
      </c>
      <c r="AS94" s="3">
        <f t="shared" si="87"/>
        <v>0.01</v>
      </c>
      <c r="AT94" s="2">
        <f t="shared" si="88"/>
        <v>0.0180932338009502</v>
      </c>
      <c r="AU94" s="29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9">
        <v>25.4430855416129</v>
      </c>
      <c r="E95" s="20">
        <f t="shared" si="95"/>
        <v>22.9687368523333</v>
      </c>
      <c r="F95" s="16" t="s">
        <v>112</v>
      </c>
      <c r="G95" s="13">
        <v>6</v>
      </c>
      <c r="H95" s="18">
        <f t="shared" si="76"/>
        <v>25.4430855416129</v>
      </c>
      <c r="I95" s="18">
        <f t="shared" si="77"/>
        <v>298.593085541613</v>
      </c>
      <c r="J95" s="18">
        <f t="shared" si="78"/>
        <v>0.363363260100882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0.522347166906829</v>
      </c>
      <c r="P95" s="18">
        <f t="shared" si="81"/>
        <v>0.189801769471725</v>
      </c>
      <c r="Q95" s="24">
        <f t="shared" si="82"/>
        <v>0.0493484600626485</v>
      </c>
      <c r="R95" s="18">
        <f t="shared" si="83"/>
        <v>0.074022</v>
      </c>
      <c r="S95" s="25">
        <f t="shared" si="84"/>
        <v>0.666672881881718</v>
      </c>
      <c r="T95" s="3">
        <v>0.01</v>
      </c>
      <c r="U95" s="26">
        <f t="shared" si="85"/>
        <v>0.00666672881881718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0.01</v>
      </c>
      <c r="AF95" s="3">
        <v>0.49</v>
      </c>
      <c r="AG95" s="26">
        <f t="shared" si="86"/>
        <v>0.0049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0.02</v>
      </c>
      <c r="AR95" s="3">
        <v>0.5</v>
      </c>
      <c r="AS95" s="3">
        <f t="shared" si="87"/>
        <v>0.01</v>
      </c>
      <c r="AT95" s="2">
        <f t="shared" si="88"/>
        <v>0.0215667288188172</v>
      </c>
      <c r="AU95" s="29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9">
        <v>27.878912007</v>
      </c>
      <c r="E96" s="20">
        <f t="shared" si="95"/>
        <v>25.4430855416129</v>
      </c>
      <c r="F96" s="16" t="s">
        <v>110</v>
      </c>
      <c r="G96" s="13">
        <v>7</v>
      </c>
      <c r="H96" s="18">
        <f t="shared" si="76"/>
        <v>27.878912007</v>
      </c>
      <c r="I96" s="18">
        <f t="shared" si="77"/>
        <v>301.028912007</v>
      </c>
      <c r="J96" s="18">
        <f t="shared" si="78"/>
        <v>0.473079481940292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0.617245397435104</v>
      </c>
      <c r="P96" s="18">
        <f t="shared" si="81"/>
        <v>0.292006132848629</v>
      </c>
      <c r="Q96" s="24">
        <f t="shared" si="82"/>
        <v>0.0759215945406435</v>
      </c>
      <c r="R96" s="18">
        <f t="shared" si="83"/>
        <v>0.074022</v>
      </c>
      <c r="S96" s="25">
        <f t="shared" si="84"/>
        <v>1.02566256708335</v>
      </c>
      <c r="T96" s="3">
        <v>0.01</v>
      </c>
      <c r="U96" s="26">
        <f t="shared" si="85"/>
        <v>0.0102566256708335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0.0251566256708335</v>
      </c>
      <c r="AU96" s="29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9">
        <v>28.5769801467742</v>
      </c>
      <c r="E97" s="20">
        <f t="shared" si="95"/>
        <v>27.878912007</v>
      </c>
      <c r="F97" s="16" t="s">
        <v>110</v>
      </c>
      <c r="G97" s="13">
        <v>8</v>
      </c>
      <c r="H97" s="18">
        <f t="shared" si="76"/>
        <v>28.5769801467742</v>
      </c>
      <c r="I97" s="18">
        <f t="shared" si="77"/>
        <v>301.726980146774</v>
      </c>
      <c r="J97" s="18">
        <f t="shared" si="78"/>
        <v>0.509839555829677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0.609939264586476</v>
      </c>
      <c r="P97" s="18">
        <f t="shared" si="81"/>
        <v>0.310971163739849</v>
      </c>
      <c r="Q97" s="24">
        <f t="shared" si="82"/>
        <v>0.0808525025723606</v>
      </c>
      <c r="R97" s="18">
        <f t="shared" si="83"/>
        <v>0.074022</v>
      </c>
      <c r="S97" s="25">
        <f t="shared" si="84"/>
        <v>1.09227665521548</v>
      </c>
      <c r="T97" s="3">
        <v>0.01</v>
      </c>
      <c r="U97" s="26">
        <f t="shared" si="85"/>
        <v>0.0109227665521548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0.0258227665521548</v>
      </c>
      <c r="AU97" s="29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9">
        <v>27.5971988364516</v>
      </c>
      <c r="E98" s="20">
        <f t="shared" si="95"/>
        <v>28.5769801467742</v>
      </c>
      <c r="F98" s="16" t="s">
        <v>110</v>
      </c>
      <c r="G98" s="13">
        <v>9</v>
      </c>
      <c r="H98" s="18">
        <f t="shared" si="76"/>
        <v>27.5971988364516</v>
      </c>
      <c r="I98" s="18">
        <f t="shared" si="77"/>
        <v>300.747198836452</v>
      </c>
      <c r="J98" s="18">
        <f t="shared" si="78"/>
        <v>0.458961106543338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0.583668100846627</v>
      </c>
      <c r="P98" s="18">
        <f t="shared" si="81"/>
        <v>0.267880957418617</v>
      </c>
      <c r="Q98" s="24">
        <f t="shared" si="82"/>
        <v>0.0696490489288403</v>
      </c>
      <c r="R98" s="18">
        <f t="shared" si="83"/>
        <v>0.074022</v>
      </c>
      <c r="S98" s="25">
        <f t="shared" si="84"/>
        <v>0.940923629851129</v>
      </c>
      <c r="T98" s="3">
        <v>0.01</v>
      </c>
      <c r="U98" s="26">
        <f t="shared" si="85"/>
        <v>0.00940923629851129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0.01</v>
      </c>
      <c r="AF98" s="3">
        <v>0.49</v>
      </c>
      <c r="AG98" s="26">
        <f t="shared" si="86"/>
        <v>0.0049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0.02</v>
      </c>
      <c r="AR98" s="3">
        <v>0.5</v>
      </c>
      <c r="AS98" s="3">
        <f t="shared" si="87"/>
        <v>0.01</v>
      </c>
      <c r="AT98" s="2">
        <f t="shared" si="88"/>
        <v>0.0243092362985113</v>
      </c>
      <c r="AU98" s="29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9">
        <v>26.4784500373333</v>
      </c>
      <c r="E99" s="20">
        <f t="shared" si="95"/>
        <v>27.5971988364516</v>
      </c>
      <c r="F99" s="16" t="s">
        <v>110</v>
      </c>
      <c r="G99" s="13">
        <v>10</v>
      </c>
      <c r="H99" s="18">
        <f t="shared" si="76"/>
        <v>26.4784500373333</v>
      </c>
      <c r="I99" s="18">
        <f t="shared" si="77"/>
        <v>299.628450037333</v>
      </c>
      <c r="J99" s="18">
        <f t="shared" si="78"/>
        <v>0.406702880205104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0.600487143428011</v>
      </c>
      <c r="P99" s="18">
        <f t="shared" si="81"/>
        <v>0.244219850758307</v>
      </c>
      <c r="Q99" s="24">
        <f t="shared" si="82"/>
        <v>0.0634971611971599</v>
      </c>
      <c r="R99" s="18">
        <f t="shared" si="83"/>
        <v>0.074022</v>
      </c>
      <c r="S99" s="25">
        <f t="shared" si="84"/>
        <v>0.857814719909755</v>
      </c>
      <c r="T99" s="3">
        <v>0.01</v>
      </c>
      <c r="U99" s="26">
        <f t="shared" si="85"/>
        <v>0.00857814719909755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0.0185281471990976</v>
      </c>
      <c r="AU99" s="29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9">
        <v>24.540032556129</v>
      </c>
      <c r="E100" s="20">
        <f t="shared" si="95"/>
        <v>26.4784500373333</v>
      </c>
      <c r="F100" s="16" t="s">
        <v>110</v>
      </c>
      <c r="G100" s="13">
        <v>11</v>
      </c>
      <c r="H100" s="18">
        <f t="shared" si="76"/>
        <v>24.540032556129</v>
      </c>
      <c r="I100" s="18">
        <f t="shared" si="77"/>
        <v>297.690032556129</v>
      </c>
      <c r="J100" s="18">
        <f t="shared" si="78"/>
        <v>0.329139889665593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0.338453928036218</v>
      </c>
      <c r="O100" s="18">
        <f t="shared" si="96"/>
        <v>0.302513364633485</v>
      </c>
      <c r="P100" s="18">
        <f t="shared" si="81"/>
        <v>0.0995692154578326</v>
      </c>
      <c r="Q100" s="24">
        <f t="shared" si="82"/>
        <v>0.0258879960190365</v>
      </c>
      <c r="R100" s="18">
        <f t="shared" si="83"/>
        <v>0.074022</v>
      </c>
      <c r="S100" s="25">
        <f t="shared" si="84"/>
        <v>0.349733809124807</v>
      </c>
      <c r="T100" s="3">
        <v>0.01</v>
      </c>
      <c r="U100" s="26">
        <f t="shared" si="85"/>
        <v>0.00349733809124807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0.005</v>
      </c>
      <c r="AF100" s="3">
        <v>0.49</v>
      </c>
      <c r="AG100" s="26">
        <f t="shared" si="86"/>
        <v>0.00245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0.0134473380912481</v>
      </c>
      <c r="AU100" s="29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9">
        <v>18.4855879841333</v>
      </c>
      <c r="E101" s="20">
        <f t="shared" si="95"/>
        <v>24.540032556129</v>
      </c>
      <c r="F101" s="16" t="s">
        <v>112</v>
      </c>
      <c r="G101" s="13">
        <v>12</v>
      </c>
      <c r="H101" s="18">
        <f t="shared" si="76"/>
        <v>18.4855879841333</v>
      </c>
      <c r="I101" s="18">
        <f t="shared" si="77"/>
        <v>291.635587984133</v>
      </c>
      <c r="J101" s="18">
        <f t="shared" si="78"/>
        <v>0.166910651205141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0.487644149175652</v>
      </c>
      <c r="P101" s="18">
        <f t="shared" si="81"/>
        <v>0.0813930024952851</v>
      </c>
      <c r="Q101" s="24">
        <f t="shared" si="82"/>
        <v>0.0211621806487741</v>
      </c>
      <c r="R101" s="18">
        <f t="shared" si="83"/>
        <v>0.074022</v>
      </c>
      <c r="S101" s="25">
        <f t="shared" si="84"/>
        <v>0.285890419723516</v>
      </c>
      <c r="T101" s="3">
        <v>0.01</v>
      </c>
      <c r="U101" s="26">
        <f t="shared" si="85"/>
        <v>0.00285890419723516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0.00834890419723516</v>
      </c>
      <c r="AU101" s="29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9">
        <v>15.9063554783871</v>
      </c>
      <c r="E102" s="20">
        <f t="shared" si="95"/>
        <v>18.4855879841333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K7" sqref="K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439.0208</v>
      </c>
      <c r="F2" s="3">
        <v>1069.523</v>
      </c>
      <c r="G2" s="7">
        <f>(F2+F3+F4)/3</f>
        <v>1305.751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355.211700910575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4901.97534680625</v>
      </c>
      <c r="F7" s="3">
        <v>122.786</v>
      </c>
      <c r="G7" s="3"/>
      <c r="H7" s="3">
        <v>0.45</v>
      </c>
      <c r="M7" s="2"/>
    </row>
    <row r="8" s="1" customFormat="1" spans="1:13">
      <c r="A8" s="4" t="s">
        <v>49</v>
      </c>
      <c r="B8" s="5"/>
      <c r="C8" s="3"/>
      <c r="D8" s="3"/>
      <c r="E8" s="12">
        <v>21.5441024628393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0.06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4.1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152488594.7824</v>
      </c>
      <c r="J14" s="14" t="s">
        <v>35</v>
      </c>
      <c r="K14" s="14">
        <f>I14/(10000*1000)</f>
        <v>15.24885947824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81335164.9315069</v>
      </c>
      <c r="J15" s="14" t="s">
        <v>35</v>
      </c>
      <c r="K15" s="14">
        <f>I15/(10000*1000)</f>
        <v>8.13351649315069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1305.751</v>
      </c>
      <c r="C27" s="16" t="s">
        <v>109</v>
      </c>
      <c r="D27" s="17">
        <v>12</v>
      </c>
      <c r="E27" s="16"/>
      <c r="F27" s="16"/>
      <c r="G27" s="13">
        <v>1</v>
      </c>
      <c r="H27" s="18">
        <f t="shared" ref="H27:H38" si="0">E28</f>
        <v>12</v>
      </c>
      <c r="I27" s="18">
        <f t="shared" ref="I27:I38" si="1">H27+273.15</f>
        <v>285.15</v>
      </c>
      <c r="J27" s="18">
        <f t="shared" ref="J27:J38" si="2">EXP(($C$16*(I27-$C$14))/($C$17*I27*$C$14))</f>
        <v>0.0781080022050146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110</v>
      </c>
      <c r="N27" s="13"/>
      <c r="O27" s="18">
        <f>L27</f>
        <v>1.08812583333333</v>
      </c>
      <c r="P27" s="18">
        <f t="shared" ref="P27:P38" si="5">O27*J27</f>
        <v>0.0849913349893334</v>
      </c>
      <c r="Q27" s="24">
        <f t="shared" ref="Q27:Q38" si="6">P27*$B$29</f>
        <v>0.01019896019872</v>
      </c>
      <c r="R27" s="18">
        <f t="shared" ref="R27:R38" si="7">L27*$B$29</f>
        <v>0.1305751</v>
      </c>
      <c r="S27" s="25">
        <f t="shared" ref="S27:S38" si="8">Q27/R27</f>
        <v>0.0781080022050146</v>
      </c>
      <c r="T27" s="3">
        <v>0.01</v>
      </c>
      <c r="U27" s="26">
        <f t="shared" ref="U27:U38" si="9">S27*T27</f>
        <v>0.000781080022050146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0.0226810800220501</v>
      </c>
      <c r="AR27" s="29">
        <f t="shared" ref="AR27:AR38" si="15">$B$27/12</f>
        <v>108.812583333333</v>
      </c>
      <c r="AS27" s="1">
        <f t="shared" ref="AS27:AS38" si="16">$B$29</f>
        <v>0.12</v>
      </c>
      <c r="AT27" s="2">
        <f>$E$2/12</f>
        <v>36.5850666666667</v>
      </c>
      <c r="AU27" s="1">
        <f t="shared" ref="AU27:AU38" si="17">AT27*10000*AS27*0.67*AR27*AQ27</f>
        <v>72594.338370074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10.7402845627097</v>
      </c>
      <c r="E28" s="20">
        <f t="shared" ref="E28:E39" si="18">D27</f>
        <v>12</v>
      </c>
      <c r="F28" s="16" t="s">
        <v>110</v>
      </c>
      <c r="G28" s="13">
        <v>2</v>
      </c>
      <c r="H28" s="18">
        <f t="shared" si="0"/>
        <v>10.7402845627097</v>
      </c>
      <c r="I28" s="18">
        <f t="shared" si="1"/>
        <v>283.89028456271</v>
      </c>
      <c r="J28" s="18">
        <f t="shared" si="2"/>
        <v>0.0671262036672754</v>
      </c>
      <c r="K28" s="18">
        <f t="shared" si="3"/>
        <v>108.812583333333</v>
      </c>
      <c r="L28" s="18">
        <f t="shared" si="4"/>
        <v>1.08812583333333</v>
      </c>
      <c r="M28" s="13" t="s">
        <v>110</v>
      </c>
      <c r="N28" s="13"/>
      <c r="O28" s="18">
        <f t="shared" ref="O28:O38" si="19">L28+O27-P27-N28</f>
        <v>2.09126033167733</v>
      </c>
      <c r="P28" s="18">
        <f t="shared" si="5"/>
        <v>0.140378366945467</v>
      </c>
      <c r="Q28" s="24">
        <f t="shared" si="6"/>
        <v>0.016845404033456</v>
      </c>
      <c r="R28" s="18">
        <f t="shared" si="7"/>
        <v>0.1305751</v>
      </c>
      <c r="S28" s="25">
        <f t="shared" si="8"/>
        <v>0.129009313670493</v>
      </c>
      <c r="T28" s="3">
        <v>0.01</v>
      </c>
      <c r="U28" s="26">
        <f t="shared" si="9"/>
        <v>0.00129009313670493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0.0231900931367049</v>
      </c>
      <c r="AR28" s="29">
        <f t="shared" si="15"/>
        <v>108.812583333333</v>
      </c>
      <c r="AS28" s="1">
        <f t="shared" si="16"/>
        <v>0.12</v>
      </c>
      <c r="AT28" s="2">
        <f t="shared" ref="AT28:AT38" si="20">$E$2/12</f>
        <v>36.5850666666667</v>
      </c>
      <c r="AU28" s="1">
        <f t="shared" si="17"/>
        <v>74223.5143283675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11.4890676527241</v>
      </c>
      <c r="E29" s="20">
        <f t="shared" si="18"/>
        <v>10.7402845627097</v>
      </c>
      <c r="F29" s="16" t="s">
        <v>110</v>
      </c>
      <c r="G29" s="13">
        <v>3</v>
      </c>
      <c r="H29" s="18">
        <f t="shared" si="0"/>
        <v>11.4890676527241</v>
      </c>
      <c r="I29" s="18">
        <f t="shared" si="1"/>
        <v>284.639067652724</v>
      </c>
      <c r="J29" s="18">
        <f t="shared" si="2"/>
        <v>0.0734642913392727</v>
      </c>
      <c r="K29" s="18">
        <f t="shared" si="3"/>
        <v>108.812583333333</v>
      </c>
      <c r="L29" s="18">
        <f t="shared" si="4"/>
        <v>1.08812583333333</v>
      </c>
      <c r="M29" s="13" t="s">
        <v>110</v>
      </c>
      <c r="N29" s="13"/>
      <c r="O29" s="18">
        <f t="shared" si="19"/>
        <v>3.0390077980652</v>
      </c>
      <c r="P29" s="18">
        <f t="shared" si="5"/>
        <v>0.223258554259384</v>
      </c>
      <c r="Q29" s="24">
        <f t="shared" si="6"/>
        <v>0.026791026511126</v>
      </c>
      <c r="R29" s="18">
        <f t="shared" si="7"/>
        <v>0.1305751</v>
      </c>
      <c r="S29" s="25">
        <f t="shared" si="8"/>
        <v>0.205177147182932</v>
      </c>
      <c r="T29" s="3">
        <v>0.01</v>
      </c>
      <c r="U29" s="26">
        <f t="shared" si="9"/>
        <v>0.00205177147182932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0.0239517714718293</v>
      </c>
      <c r="AR29" s="29">
        <f t="shared" si="15"/>
        <v>108.812583333333</v>
      </c>
      <c r="AS29" s="1">
        <f t="shared" si="16"/>
        <v>0.12</v>
      </c>
      <c r="AT29" s="2">
        <f t="shared" si="20"/>
        <v>36.5850666666667</v>
      </c>
      <c r="AU29" s="1">
        <f t="shared" si="17"/>
        <v>76661.3847796608</v>
      </c>
    </row>
    <row r="30" s="1" customFormat="1" spans="1:47">
      <c r="A30" s="13"/>
      <c r="B30" s="13"/>
      <c r="C30" s="16">
        <v>3</v>
      </c>
      <c r="D30" s="19">
        <v>16.2254832177097</v>
      </c>
      <c r="E30" s="20">
        <f t="shared" si="18"/>
        <v>11.4890676527241</v>
      </c>
      <c r="F30" s="16" t="s">
        <v>110</v>
      </c>
      <c r="G30" s="13">
        <v>4</v>
      </c>
      <c r="H30" s="18">
        <f t="shared" si="0"/>
        <v>16.2254832177097</v>
      </c>
      <c r="I30" s="18">
        <f t="shared" si="1"/>
        <v>289.37548321771</v>
      </c>
      <c r="J30" s="18">
        <f t="shared" si="2"/>
        <v>0.128598864208907</v>
      </c>
      <c r="K30" s="18">
        <f t="shared" si="3"/>
        <v>108.812583333333</v>
      </c>
      <c r="L30" s="18">
        <f t="shared" si="4"/>
        <v>1.08812583333333</v>
      </c>
      <c r="M30" s="13" t="s">
        <v>110</v>
      </c>
      <c r="N30" s="13"/>
      <c r="O30" s="18">
        <f t="shared" si="19"/>
        <v>3.90387507713915</v>
      </c>
      <c r="P30" s="18">
        <f t="shared" si="5"/>
        <v>0.502033900933554</v>
      </c>
      <c r="Q30" s="24">
        <f t="shared" si="6"/>
        <v>0.0602440681120265</v>
      </c>
      <c r="R30" s="18">
        <f t="shared" si="7"/>
        <v>0.1305751</v>
      </c>
      <c r="S30" s="25">
        <f t="shared" si="8"/>
        <v>0.461374857166692</v>
      </c>
      <c r="T30" s="3">
        <v>0.01</v>
      </c>
      <c r="U30" s="26">
        <f t="shared" si="9"/>
        <v>0.00461374857166692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0.0340637485716669</v>
      </c>
      <c r="AR30" s="29">
        <f t="shared" si="15"/>
        <v>108.812583333333</v>
      </c>
      <c r="AS30" s="1">
        <f t="shared" si="16"/>
        <v>0.12</v>
      </c>
      <c r="AT30" s="2">
        <f t="shared" si="20"/>
        <v>36.5850666666667</v>
      </c>
      <c r="AU30" s="1">
        <f t="shared" si="17"/>
        <v>109026.346521447</v>
      </c>
    </row>
    <row r="31" s="1" customFormat="1" spans="1:47">
      <c r="A31" s="13"/>
      <c r="B31" s="13"/>
      <c r="C31" s="16">
        <v>4</v>
      </c>
      <c r="D31" s="19">
        <v>22.468706179</v>
      </c>
      <c r="E31" s="20">
        <f t="shared" si="18"/>
        <v>16.2254832177097</v>
      </c>
      <c r="F31" s="16" t="s">
        <v>110</v>
      </c>
      <c r="G31" s="13">
        <v>5</v>
      </c>
      <c r="H31" s="18">
        <f t="shared" si="0"/>
        <v>22.468706179</v>
      </c>
      <c r="I31" s="18">
        <f t="shared" si="1"/>
        <v>295.618706179</v>
      </c>
      <c r="J31" s="18">
        <f t="shared" si="2"/>
        <v>0.261728421212133</v>
      </c>
      <c r="K31" s="18">
        <f t="shared" si="3"/>
        <v>108.812583333333</v>
      </c>
      <c r="L31" s="18">
        <f t="shared" si="4"/>
        <v>1.08812583333333</v>
      </c>
      <c r="M31" s="13" t="s">
        <v>112</v>
      </c>
      <c r="N31" s="18">
        <f>(O30-P30)*C22/100</f>
        <v>3.23174911739532</v>
      </c>
      <c r="O31" s="18">
        <f t="shared" si="19"/>
        <v>1.25821789214361</v>
      </c>
      <c r="P31" s="18">
        <f t="shared" si="5"/>
        <v>0.329311382451606</v>
      </c>
      <c r="Q31" s="24">
        <f t="shared" si="6"/>
        <v>0.0395173658941927</v>
      </c>
      <c r="R31" s="18">
        <f t="shared" si="7"/>
        <v>0.1305751</v>
      </c>
      <c r="S31" s="25">
        <f t="shared" si="8"/>
        <v>0.30264090086236</v>
      </c>
      <c r="T31" s="3">
        <v>0.01</v>
      </c>
      <c r="U31" s="26">
        <f t="shared" si="9"/>
        <v>0.0030264090086236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0.0324764090086236</v>
      </c>
      <c r="AR31" s="29">
        <f t="shared" si="15"/>
        <v>108.812583333333</v>
      </c>
      <c r="AS31" s="1">
        <f t="shared" si="16"/>
        <v>0.12</v>
      </c>
      <c r="AT31" s="2">
        <f t="shared" si="20"/>
        <v>36.5850666666667</v>
      </c>
      <c r="AU31" s="1">
        <f t="shared" si="17"/>
        <v>103945.818379236</v>
      </c>
    </row>
    <row r="32" s="1" customFormat="1" spans="1:47">
      <c r="A32" s="13"/>
      <c r="B32" s="13"/>
      <c r="C32" s="16">
        <v>5</v>
      </c>
      <c r="D32" s="19">
        <v>24.5358578119355</v>
      </c>
      <c r="E32" s="20">
        <f t="shared" si="18"/>
        <v>22.468706179</v>
      </c>
      <c r="F32" s="16" t="s">
        <v>112</v>
      </c>
      <c r="G32" s="13">
        <v>6</v>
      </c>
      <c r="H32" s="18">
        <f t="shared" si="0"/>
        <v>24.5358578119355</v>
      </c>
      <c r="I32" s="18">
        <f t="shared" si="1"/>
        <v>297.685857811935</v>
      </c>
      <c r="J32" s="18">
        <f t="shared" si="2"/>
        <v>0.328988949766223</v>
      </c>
      <c r="K32" s="18">
        <f t="shared" si="3"/>
        <v>108.812583333333</v>
      </c>
      <c r="L32" s="18">
        <f t="shared" si="4"/>
        <v>1.08812583333333</v>
      </c>
      <c r="M32" s="13" t="s">
        <v>110</v>
      </c>
      <c r="N32" s="13"/>
      <c r="O32" s="18">
        <f t="shared" si="19"/>
        <v>2.01703234302534</v>
      </c>
      <c r="P32" s="18">
        <f t="shared" si="5"/>
        <v>0.663581352176411</v>
      </c>
      <c r="Q32" s="24">
        <f t="shared" si="6"/>
        <v>0.0796297622611693</v>
      </c>
      <c r="R32" s="18">
        <f t="shared" si="7"/>
        <v>0.1305751</v>
      </c>
      <c r="S32" s="25">
        <f t="shared" si="8"/>
        <v>0.609838799749488</v>
      </c>
      <c r="T32" s="3">
        <v>0.01</v>
      </c>
      <c r="U32" s="26">
        <f t="shared" si="9"/>
        <v>0.00609838799749488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0.0355483879974949</v>
      </c>
      <c r="AR32" s="29">
        <f t="shared" si="15"/>
        <v>108.812583333333</v>
      </c>
      <c r="AS32" s="1">
        <f t="shared" si="16"/>
        <v>0.12</v>
      </c>
      <c r="AT32" s="2">
        <f t="shared" si="20"/>
        <v>36.5850666666667</v>
      </c>
      <c r="AU32" s="1">
        <f t="shared" si="17"/>
        <v>113778.166837381</v>
      </c>
    </row>
    <row r="33" s="1" customFormat="1" spans="1:47">
      <c r="A33" s="13"/>
      <c r="B33" s="13"/>
      <c r="C33" s="16">
        <v>6</v>
      </c>
      <c r="D33" s="19">
        <v>27.2892622296667</v>
      </c>
      <c r="E33" s="20">
        <f t="shared" si="18"/>
        <v>24.5358578119355</v>
      </c>
      <c r="F33" s="16" t="s">
        <v>110</v>
      </c>
      <c r="G33" s="13">
        <v>7</v>
      </c>
      <c r="H33" s="18">
        <f t="shared" si="0"/>
        <v>27.2892622296667</v>
      </c>
      <c r="I33" s="18">
        <f t="shared" si="1"/>
        <v>300.439262229667</v>
      </c>
      <c r="J33" s="18">
        <f t="shared" si="2"/>
        <v>0.443981204735559</v>
      </c>
      <c r="K33" s="18">
        <f t="shared" si="3"/>
        <v>108.812583333333</v>
      </c>
      <c r="L33" s="18">
        <f t="shared" si="4"/>
        <v>1.08812583333333</v>
      </c>
      <c r="M33" s="13" t="s">
        <v>110</v>
      </c>
      <c r="N33" s="13"/>
      <c r="O33" s="18">
        <f t="shared" si="19"/>
        <v>2.44157682418226</v>
      </c>
      <c r="P33" s="18">
        <f t="shared" si="5"/>
        <v>1.08401421985486</v>
      </c>
      <c r="Q33" s="24">
        <f t="shared" si="6"/>
        <v>0.130081706382583</v>
      </c>
      <c r="R33" s="18">
        <f t="shared" si="7"/>
        <v>0.1305751</v>
      </c>
      <c r="S33" s="25">
        <f t="shared" si="8"/>
        <v>0.996221380512696</v>
      </c>
      <c r="T33" s="3">
        <v>0.01</v>
      </c>
      <c r="U33" s="26">
        <f t="shared" si="9"/>
        <v>0.00996221380512696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0.044862213805127</v>
      </c>
      <c r="AR33" s="29">
        <f t="shared" si="15"/>
        <v>108.812583333333</v>
      </c>
      <c r="AS33" s="1">
        <f t="shared" si="16"/>
        <v>0.12</v>
      </c>
      <c r="AT33" s="2">
        <f t="shared" si="20"/>
        <v>36.5850666666667</v>
      </c>
      <c r="AU33" s="1">
        <f t="shared" si="17"/>
        <v>143588.520733309</v>
      </c>
    </row>
    <row r="34" s="1" customFormat="1" spans="1:47">
      <c r="A34" s="13"/>
      <c r="B34" s="13"/>
      <c r="C34" s="16">
        <v>7</v>
      </c>
      <c r="D34" s="19">
        <v>27.9437864883871</v>
      </c>
      <c r="E34" s="20">
        <f t="shared" si="18"/>
        <v>27.2892622296667</v>
      </c>
      <c r="F34" s="16" t="s">
        <v>110</v>
      </c>
      <c r="G34" s="13">
        <v>8</v>
      </c>
      <c r="H34" s="18">
        <f t="shared" si="0"/>
        <v>27.9437864883871</v>
      </c>
      <c r="I34" s="18">
        <f t="shared" si="1"/>
        <v>301.093786488387</v>
      </c>
      <c r="J34" s="18">
        <f t="shared" si="2"/>
        <v>0.476387957905219</v>
      </c>
      <c r="K34" s="18">
        <f t="shared" si="3"/>
        <v>108.812583333333</v>
      </c>
      <c r="L34" s="18">
        <f t="shared" si="4"/>
        <v>1.08812583333333</v>
      </c>
      <c r="M34" s="13" t="s">
        <v>110</v>
      </c>
      <c r="N34" s="13"/>
      <c r="O34" s="18">
        <f t="shared" si="19"/>
        <v>2.44568843766074</v>
      </c>
      <c r="P34" s="18">
        <f t="shared" si="5"/>
        <v>1.1650965204896</v>
      </c>
      <c r="Q34" s="24">
        <f t="shared" si="6"/>
        <v>0.139811582458752</v>
      </c>
      <c r="R34" s="18">
        <f t="shared" si="7"/>
        <v>0.1305751</v>
      </c>
      <c r="S34" s="25">
        <f t="shared" si="8"/>
        <v>1.07073693574619</v>
      </c>
      <c r="T34" s="3">
        <v>0.01</v>
      </c>
      <c r="U34" s="26">
        <f t="shared" si="9"/>
        <v>0.0107073693574619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0.0456073693574619</v>
      </c>
      <c r="AR34" s="29">
        <f t="shared" si="15"/>
        <v>108.812583333333</v>
      </c>
      <c r="AS34" s="1">
        <f t="shared" si="16"/>
        <v>0.12</v>
      </c>
      <c r="AT34" s="2">
        <f t="shared" si="20"/>
        <v>36.5850666666667</v>
      </c>
      <c r="AU34" s="1">
        <f t="shared" si="17"/>
        <v>145973.507438173</v>
      </c>
    </row>
    <row r="35" s="1" customFormat="1" spans="1:47">
      <c r="A35" s="13"/>
      <c r="B35" s="13"/>
      <c r="C35" s="16">
        <v>8</v>
      </c>
      <c r="D35" s="19">
        <v>27.2266671032258</v>
      </c>
      <c r="E35" s="20">
        <f t="shared" si="18"/>
        <v>27.9437864883871</v>
      </c>
      <c r="F35" s="16" t="s">
        <v>110</v>
      </c>
      <c r="G35" s="13">
        <v>9</v>
      </c>
      <c r="H35" s="18">
        <f t="shared" si="0"/>
        <v>27.2266671032258</v>
      </c>
      <c r="I35" s="18">
        <f t="shared" si="1"/>
        <v>300.376667103226</v>
      </c>
      <c r="J35" s="18">
        <f t="shared" si="2"/>
        <v>0.44099284899129</v>
      </c>
      <c r="K35" s="18">
        <f t="shared" si="3"/>
        <v>108.812583333333</v>
      </c>
      <c r="L35" s="18">
        <f t="shared" si="4"/>
        <v>1.08812583333333</v>
      </c>
      <c r="M35" s="13" t="s">
        <v>110</v>
      </c>
      <c r="N35" s="13"/>
      <c r="O35" s="18">
        <f t="shared" si="19"/>
        <v>2.36871775050447</v>
      </c>
      <c r="P35" s="18">
        <f t="shared" si="5"/>
        <v>1.0445875892512</v>
      </c>
      <c r="Q35" s="24">
        <f t="shared" si="6"/>
        <v>0.125350510710144</v>
      </c>
      <c r="R35" s="18">
        <f t="shared" si="7"/>
        <v>0.1305751</v>
      </c>
      <c r="S35" s="25">
        <f t="shared" si="8"/>
        <v>0.959987859171806</v>
      </c>
      <c r="T35" s="3">
        <v>0.01</v>
      </c>
      <c r="U35" s="26">
        <f t="shared" si="9"/>
        <v>0.00959987859171806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0.0390498785917181</v>
      </c>
      <c r="AR35" s="29">
        <f t="shared" si="15"/>
        <v>108.812583333333</v>
      </c>
      <c r="AS35" s="1">
        <f t="shared" si="16"/>
        <v>0.12</v>
      </c>
      <c r="AT35" s="2">
        <f t="shared" si="20"/>
        <v>36.5850666666667</v>
      </c>
      <c r="AU35" s="1">
        <f t="shared" si="17"/>
        <v>124985.234258754</v>
      </c>
    </row>
    <row r="36" s="1" customFormat="1" spans="1:47">
      <c r="A36" s="13"/>
      <c r="B36" s="13"/>
      <c r="C36" s="16">
        <v>9</v>
      </c>
      <c r="D36" s="19">
        <v>25.6453095546667</v>
      </c>
      <c r="E36" s="20">
        <f t="shared" si="18"/>
        <v>27.2266671032258</v>
      </c>
      <c r="F36" s="16" t="s">
        <v>110</v>
      </c>
      <c r="G36" s="13">
        <v>10</v>
      </c>
      <c r="H36" s="18">
        <f t="shared" si="0"/>
        <v>25.6453095546667</v>
      </c>
      <c r="I36" s="18">
        <f t="shared" si="1"/>
        <v>298.795309554667</v>
      </c>
      <c r="J36" s="18">
        <f t="shared" si="2"/>
        <v>0.371471697203271</v>
      </c>
      <c r="K36" s="18">
        <f t="shared" si="3"/>
        <v>108.812583333333</v>
      </c>
      <c r="L36" s="18">
        <f t="shared" si="4"/>
        <v>1.08812583333333</v>
      </c>
      <c r="M36" s="13" t="s">
        <v>110</v>
      </c>
      <c r="N36" s="13"/>
      <c r="O36" s="18">
        <f t="shared" si="19"/>
        <v>2.4122559945866</v>
      </c>
      <c r="P36" s="18">
        <f t="shared" si="5"/>
        <v>0.896084828397847</v>
      </c>
      <c r="Q36" s="24">
        <f t="shared" si="6"/>
        <v>0.107530179407742</v>
      </c>
      <c r="R36" s="18">
        <f t="shared" si="7"/>
        <v>0.1305751</v>
      </c>
      <c r="S36" s="25">
        <f t="shared" si="8"/>
        <v>0.823512135221353</v>
      </c>
      <c r="T36" s="3">
        <v>0.01</v>
      </c>
      <c r="U36" s="26">
        <f t="shared" si="9"/>
        <v>0.00823512135221353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0.0376851213522135</v>
      </c>
      <c r="AR36" s="29">
        <f t="shared" si="15"/>
        <v>108.812583333333</v>
      </c>
      <c r="AS36" s="1">
        <f t="shared" si="16"/>
        <v>0.12</v>
      </c>
      <c r="AT36" s="2">
        <f t="shared" si="20"/>
        <v>36.5850666666667</v>
      </c>
      <c r="AU36" s="1">
        <f t="shared" si="17"/>
        <v>120617.115600327</v>
      </c>
    </row>
    <row r="37" s="1" customFormat="1" spans="1:47">
      <c r="A37" s="13"/>
      <c r="B37" s="13"/>
      <c r="C37" s="16">
        <v>10</v>
      </c>
      <c r="D37" s="19">
        <v>23.3336588254839</v>
      </c>
      <c r="E37" s="20">
        <f t="shared" si="18"/>
        <v>25.6453095546667</v>
      </c>
      <c r="F37" s="16" t="s">
        <v>110</v>
      </c>
      <c r="G37" s="13">
        <v>11</v>
      </c>
      <c r="H37" s="18">
        <f t="shared" si="0"/>
        <v>23.3336588254839</v>
      </c>
      <c r="I37" s="18">
        <f t="shared" si="1"/>
        <v>296.483658825484</v>
      </c>
      <c r="J37" s="18">
        <f t="shared" si="2"/>
        <v>0.288125685501338</v>
      </c>
      <c r="K37" s="18">
        <f t="shared" si="3"/>
        <v>108.812583333333</v>
      </c>
      <c r="L37" s="18">
        <f t="shared" si="4"/>
        <v>1.08812583333333</v>
      </c>
      <c r="M37" s="13" t="s">
        <v>112</v>
      </c>
      <c r="N37" s="18">
        <f>(O36-P36)*C22/100</f>
        <v>1.44036260787931</v>
      </c>
      <c r="O37" s="18">
        <f t="shared" si="19"/>
        <v>1.16393439164277</v>
      </c>
      <c r="P37" s="18">
        <f t="shared" si="5"/>
        <v>0.335359394470656</v>
      </c>
      <c r="Q37" s="24">
        <f t="shared" si="6"/>
        <v>0.0402431273364787</v>
      </c>
      <c r="R37" s="18">
        <f t="shared" si="7"/>
        <v>0.1305751</v>
      </c>
      <c r="S37" s="25">
        <f t="shared" si="8"/>
        <v>0.308199092602485</v>
      </c>
      <c r="T37" s="3">
        <v>0.01</v>
      </c>
      <c r="U37" s="26">
        <f t="shared" si="9"/>
        <v>0.00308199092602485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0.0249819909260248</v>
      </c>
      <c r="AR37" s="29">
        <f t="shared" si="15"/>
        <v>108.812583333333</v>
      </c>
      <c r="AS37" s="1">
        <f t="shared" si="16"/>
        <v>0.12</v>
      </c>
      <c r="AT37" s="2">
        <f t="shared" si="20"/>
        <v>36.5850666666667</v>
      </c>
      <c r="AU37" s="1">
        <f t="shared" si="17"/>
        <v>79958.7630165259</v>
      </c>
    </row>
    <row r="38" s="1" customFormat="1" spans="1:48">
      <c r="A38" s="13"/>
      <c r="B38" s="13"/>
      <c r="C38" s="16">
        <v>11</v>
      </c>
      <c r="D38" s="19">
        <v>17.0557464195</v>
      </c>
      <c r="E38" s="20">
        <f t="shared" si="18"/>
        <v>23.3336588254839</v>
      </c>
      <c r="F38" s="16" t="s">
        <v>112</v>
      </c>
      <c r="G38" s="13">
        <v>12</v>
      </c>
      <c r="H38" s="18">
        <f t="shared" si="0"/>
        <v>17.0557464195</v>
      </c>
      <c r="I38" s="18">
        <f t="shared" si="1"/>
        <v>290.2057464195</v>
      </c>
      <c r="J38" s="18">
        <f t="shared" si="2"/>
        <v>0.141593738369779</v>
      </c>
      <c r="K38" s="18">
        <f t="shared" si="3"/>
        <v>108.812583333333</v>
      </c>
      <c r="L38" s="18">
        <f t="shared" si="4"/>
        <v>1.08812583333333</v>
      </c>
      <c r="M38" s="13" t="s">
        <v>110</v>
      </c>
      <c r="N38" s="13"/>
      <c r="O38" s="18">
        <f t="shared" si="19"/>
        <v>1.91670083050545</v>
      </c>
      <c r="P38" s="18">
        <f t="shared" si="5"/>
        <v>0.271392835927727</v>
      </c>
      <c r="Q38" s="24">
        <f t="shared" si="6"/>
        <v>0.0325671403113272</v>
      </c>
      <c r="R38" s="18">
        <f t="shared" si="7"/>
        <v>0.1305751</v>
      </c>
      <c r="S38" s="25">
        <f t="shared" si="8"/>
        <v>0.249413098755637</v>
      </c>
      <c r="T38" s="3">
        <v>0.01</v>
      </c>
      <c r="U38" s="26">
        <f t="shared" si="9"/>
        <v>0.00249413098755637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0.0243941309875564</v>
      </c>
      <c r="AR38" s="29">
        <f t="shared" si="15"/>
        <v>108.812583333333</v>
      </c>
      <c r="AS38" s="1">
        <f t="shared" si="16"/>
        <v>0.12</v>
      </c>
      <c r="AT38" s="2">
        <f t="shared" si="20"/>
        <v>36.5850666666667</v>
      </c>
      <c r="AU38" s="1">
        <f t="shared" si="17"/>
        <v>78077.2254863067</v>
      </c>
      <c r="AV38" s="1">
        <f>SUM(AU27:AU38)</f>
        <v>1243429.93574956</v>
      </c>
    </row>
    <row r="39" s="1" customFormat="1" spans="1:46">
      <c r="A39" s="13"/>
      <c r="B39" s="13"/>
      <c r="C39" s="16">
        <v>12</v>
      </c>
      <c r="D39" s="19">
        <v>14.4303977725806</v>
      </c>
      <c r="E39" s="20">
        <f t="shared" si="18"/>
        <v>17.0557464195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12</v>
      </c>
      <c r="E42" s="16"/>
      <c r="F42" s="16"/>
      <c r="G42" s="13">
        <v>1</v>
      </c>
      <c r="H42" s="18">
        <f t="shared" ref="H42:H53" si="21">E43</f>
        <v>12</v>
      </c>
      <c r="I42" s="18">
        <f t="shared" ref="I42:I53" si="22">H42+273.15</f>
        <v>285.15</v>
      </c>
      <c r="J42" s="18">
        <f t="shared" ref="J42:J53" si="23">EXP(($C$16*(I42-$C$14))/($C$17*I42*$C$14))</f>
        <v>0.0781080022050146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0.00602142725248687</v>
      </c>
      <c r="Q42" s="24">
        <f t="shared" ref="Q42:Q53" si="27">P42*$B$44</f>
        <v>0.000782785542823293</v>
      </c>
      <c r="R42" s="18">
        <f t="shared" ref="R42:R53" si="28">L42*$B$44</f>
        <v>0.0100218354166667</v>
      </c>
      <c r="S42" s="25">
        <f t="shared" ref="S42:S53" si="29">Q42/R42</f>
        <v>0.0781080022050146</v>
      </c>
      <c r="T42" s="3">
        <v>0.01</v>
      </c>
      <c r="U42" s="26">
        <f t="shared" ref="U42:U53" si="30">S42*T42</f>
        <v>0.000781080022050146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0.0155810800220501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29.6009750758813</v>
      </c>
      <c r="AU42" s="1">
        <f t="shared" ref="AU42:AU53" si="37">AT42*10000*AS42*0.67*AR42*AQ42</f>
        <v>3096.88903419839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10.7402845627097</v>
      </c>
      <c r="E43" s="20">
        <f t="shared" ref="E43:E54" si="38">D42</f>
        <v>12</v>
      </c>
      <c r="F43" s="16" t="s">
        <v>110</v>
      </c>
      <c r="G43" s="13">
        <v>2</v>
      </c>
      <c r="H43" s="18">
        <f t="shared" si="21"/>
        <v>10.7402845627097</v>
      </c>
      <c r="I43" s="18">
        <f t="shared" si="22"/>
        <v>283.89028456271</v>
      </c>
      <c r="J43" s="18">
        <f t="shared" si="23"/>
        <v>0.0671262036672754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0.148160656080846</v>
      </c>
      <c r="P43" s="18">
        <f t="shared" si="26"/>
        <v>0.00994546237556005</v>
      </c>
      <c r="Q43" s="24">
        <f t="shared" si="27"/>
        <v>0.00129291010882281</v>
      </c>
      <c r="R43" s="18">
        <f t="shared" si="28"/>
        <v>0.0100218354166667</v>
      </c>
      <c r="S43" s="25">
        <f t="shared" si="29"/>
        <v>0.129009313670493</v>
      </c>
      <c r="T43" s="3">
        <v>0.01</v>
      </c>
      <c r="U43" s="26">
        <f t="shared" si="30"/>
        <v>0.00129009313670493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0.0160900931367049</v>
      </c>
      <c r="AR43" s="29">
        <f t="shared" si="34"/>
        <v>7.70910416666667</v>
      </c>
      <c r="AS43" s="1">
        <f t="shared" si="35"/>
        <v>0.13</v>
      </c>
      <c r="AT43" s="2">
        <f t="shared" si="36"/>
        <v>29.6009750758813</v>
      </c>
      <c r="AU43" s="1">
        <f t="shared" si="37"/>
        <v>3198.06027077549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11.4890676527241</v>
      </c>
      <c r="E44" s="20">
        <f t="shared" si="38"/>
        <v>10.7402845627097</v>
      </c>
      <c r="F44" s="16" t="s">
        <v>110</v>
      </c>
      <c r="G44" s="13">
        <v>3</v>
      </c>
      <c r="H44" s="18">
        <f t="shared" si="21"/>
        <v>11.4890676527241</v>
      </c>
      <c r="I44" s="18">
        <f t="shared" si="22"/>
        <v>284.639067652724</v>
      </c>
      <c r="J44" s="18">
        <f t="shared" si="23"/>
        <v>0.0734642913392727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0.215306235371953</v>
      </c>
      <c r="P44" s="18">
        <f t="shared" si="26"/>
        <v>0.0158173200025272</v>
      </c>
      <c r="Q44" s="24">
        <f t="shared" si="27"/>
        <v>0.00205625160032853</v>
      </c>
      <c r="R44" s="18">
        <f t="shared" si="28"/>
        <v>0.0100218354166667</v>
      </c>
      <c r="S44" s="25">
        <f t="shared" si="29"/>
        <v>0.205177147182932</v>
      </c>
      <c r="T44" s="3">
        <v>0.01</v>
      </c>
      <c r="U44" s="26">
        <f t="shared" si="30"/>
        <v>0.00205177147182932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0.0168517714718293</v>
      </c>
      <c r="AR44" s="29">
        <f t="shared" si="34"/>
        <v>7.70910416666667</v>
      </c>
      <c r="AS44" s="1">
        <f t="shared" si="35"/>
        <v>0.13</v>
      </c>
      <c r="AT44" s="2">
        <f t="shared" si="36"/>
        <v>29.6009750758813</v>
      </c>
      <c r="AU44" s="1">
        <f t="shared" si="37"/>
        <v>3349.45114228728</v>
      </c>
    </row>
    <row r="45" s="1" customFormat="1" spans="1:47">
      <c r="A45" s="13"/>
      <c r="B45" s="13"/>
      <c r="C45" s="16">
        <v>3</v>
      </c>
      <c r="D45" s="19">
        <v>16.2254832177097</v>
      </c>
      <c r="E45" s="20">
        <f t="shared" si="38"/>
        <v>11.4890676527241</v>
      </c>
      <c r="F45" s="16" t="s">
        <v>110</v>
      </c>
      <c r="G45" s="13">
        <v>4</v>
      </c>
      <c r="H45" s="18">
        <f t="shared" si="21"/>
        <v>16.2254832177097</v>
      </c>
      <c r="I45" s="18">
        <f t="shared" si="22"/>
        <v>289.37548321771</v>
      </c>
      <c r="J45" s="18">
        <f t="shared" si="23"/>
        <v>0.128598864208907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0.276579957036093</v>
      </c>
      <c r="P45" s="18">
        <f t="shared" si="26"/>
        <v>0.0355678683377898</v>
      </c>
      <c r="Q45" s="24">
        <f t="shared" si="27"/>
        <v>0.00462382288391267</v>
      </c>
      <c r="R45" s="18">
        <f t="shared" si="28"/>
        <v>0.0100218354166667</v>
      </c>
      <c r="S45" s="25">
        <f t="shared" si="29"/>
        <v>0.461374857166692</v>
      </c>
      <c r="T45" s="3">
        <v>0.01</v>
      </c>
      <c r="U45" s="26">
        <f t="shared" si="30"/>
        <v>0.00461374857166692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0.0317137485716669</v>
      </c>
      <c r="AR45" s="29">
        <f t="shared" si="34"/>
        <v>7.70910416666667</v>
      </c>
      <c r="AS45" s="1">
        <f t="shared" si="35"/>
        <v>0.13</v>
      </c>
      <c r="AT45" s="2">
        <f t="shared" si="36"/>
        <v>29.6009750758813</v>
      </c>
      <c r="AU45" s="1">
        <f t="shared" si="37"/>
        <v>6303.41157647152</v>
      </c>
    </row>
    <row r="46" s="1" customFormat="1" spans="1:47">
      <c r="A46" s="13"/>
      <c r="B46" s="13"/>
      <c r="C46" s="16">
        <v>4</v>
      </c>
      <c r="D46" s="19">
        <v>22.468706179</v>
      </c>
      <c r="E46" s="20">
        <f t="shared" si="38"/>
        <v>16.2254832177097</v>
      </c>
      <c r="F46" s="16" t="s">
        <v>110</v>
      </c>
      <c r="G46" s="13">
        <v>5</v>
      </c>
      <c r="H46" s="18">
        <f t="shared" si="21"/>
        <v>22.468706179</v>
      </c>
      <c r="I46" s="18">
        <f t="shared" si="22"/>
        <v>295.618706179</v>
      </c>
      <c r="J46" s="18">
        <f t="shared" si="23"/>
        <v>0.261728421212133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0.228961484263388</v>
      </c>
      <c r="O46" s="18">
        <f t="shared" si="39"/>
        <v>0.0891416461015818</v>
      </c>
      <c r="P46" s="18">
        <f t="shared" si="26"/>
        <v>0.0233309022984177</v>
      </c>
      <c r="Q46" s="24">
        <f t="shared" si="27"/>
        <v>0.0030330172987943</v>
      </c>
      <c r="R46" s="18">
        <f t="shared" si="28"/>
        <v>0.0100218354166667</v>
      </c>
      <c r="S46" s="25">
        <f t="shared" si="29"/>
        <v>0.30264090086236</v>
      </c>
      <c r="T46" s="3">
        <v>0.01</v>
      </c>
      <c r="U46" s="26">
        <f t="shared" si="30"/>
        <v>0.0030264090086236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0.0301264090086236</v>
      </c>
      <c r="AR46" s="29">
        <f t="shared" si="34"/>
        <v>7.70910416666667</v>
      </c>
      <c r="AS46" s="1">
        <f t="shared" si="35"/>
        <v>0.13</v>
      </c>
      <c r="AT46" s="2">
        <f t="shared" si="36"/>
        <v>29.6009750758813</v>
      </c>
      <c r="AU46" s="1">
        <f t="shared" si="37"/>
        <v>5987.91262008459</v>
      </c>
    </row>
    <row r="47" s="1" customFormat="1" spans="1:47">
      <c r="A47" s="13"/>
      <c r="B47" s="13"/>
      <c r="C47" s="16">
        <v>5</v>
      </c>
      <c r="D47" s="19">
        <v>24.5358578119355</v>
      </c>
      <c r="E47" s="20">
        <f t="shared" si="38"/>
        <v>22.468706179</v>
      </c>
      <c r="F47" s="16" t="s">
        <v>112</v>
      </c>
      <c r="G47" s="13">
        <v>6</v>
      </c>
      <c r="H47" s="18">
        <f t="shared" si="21"/>
        <v>24.5358578119355</v>
      </c>
      <c r="I47" s="18">
        <f t="shared" si="22"/>
        <v>297.685857811935</v>
      </c>
      <c r="J47" s="18">
        <f t="shared" si="23"/>
        <v>0.328988949766223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0.142901785469831</v>
      </c>
      <c r="P47" s="18">
        <f t="shared" si="26"/>
        <v>0.0470131083214377</v>
      </c>
      <c r="Q47" s="24">
        <f t="shared" si="27"/>
        <v>0.00611170408178691</v>
      </c>
      <c r="R47" s="18">
        <f t="shared" si="28"/>
        <v>0.0100218354166667</v>
      </c>
      <c r="S47" s="25">
        <f t="shared" si="29"/>
        <v>0.609838799749488</v>
      </c>
      <c r="T47" s="3">
        <v>0.01</v>
      </c>
      <c r="U47" s="26">
        <f t="shared" si="30"/>
        <v>0.00609838799749488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0.0331983879974949</v>
      </c>
      <c r="AR47" s="29">
        <f t="shared" si="34"/>
        <v>7.70910416666667</v>
      </c>
      <c r="AS47" s="1">
        <f t="shared" si="35"/>
        <v>0.13</v>
      </c>
      <c r="AT47" s="2">
        <f t="shared" si="36"/>
        <v>29.6009750758813</v>
      </c>
      <c r="AU47" s="1">
        <f t="shared" si="37"/>
        <v>6598.49789597431</v>
      </c>
    </row>
    <row r="48" s="1" customFormat="1" spans="1:47">
      <c r="A48" s="13"/>
      <c r="B48" s="13"/>
      <c r="C48" s="16">
        <v>6</v>
      </c>
      <c r="D48" s="19">
        <v>27.2892622296667</v>
      </c>
      <c r="E48" s="20">
        <f t="shared" si="38"/>
        <v>24.5358578119355</v>
      </c>
      <c r="F48" s="16" t="s">
        <v>110</v>
      </c>
      <c r="G48" s="13">
        <v>7</v>
      </c>
      <c r="H48" s="18">
        <f t="shared" si="21"/>
        <v>27.2892622296667</v>
      </c>
      <c r="I48" s="18">
        <f t="shared" si="22"/>
        <v>300.439262229667</v>
      </c>
      <c r="J48" s="18">
        <f t="shared" si="23"/>
        <v>0.443981204735559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0.17297971881506</v>
      </c>
      <c r="P48" s="18">
        <f t="shared" si="26"/>
        <v>0.0767997439543285</v>
      </c>
      <c r="Q48" s="24">
        <f t="shared" si="27"/>
        <v>0.0099839667140627</v>
      </c>
      <c r="R48" s="18">
        <f t="shared" si="28"/>
        <v>0.0100218354166667</v>
      </c>
      <c r="S48" s="25">
        <f t="shared" si="29"/>
        <v>0.996221380512696</v>
      </c>
      <c r="T48" s="3">
        <v>0.01</v>
      </c>
      <c r="U48" s="26">
        <f t="shared" si="30"/>
        <v>0.00996221380512696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0.044462213805127</v>
      </c>
      <c r="AR48" s="29">
        <f t="shared" si="34"/>
        <v>7.70910416666667</v>
      </c>
      <c r="AS48" s="1">
        <f t="shared" si="35"/>
        <v>0.13</v>
      </c>
      <c r="AT48" s="2">
        <f t="shared" si="36"/>
        <v>29.6009750758813</v>
      </c>
      <c r="AU48" s="1">
        <f t="shared" si="37"/>
        <v>8837.29126443213</v>
      </c>
    </row>
    <row r="49" s="1" customFormat="1" spans="1:47">
      <c r="A49" s="13"/>
      <c r="B49" s="13"/>
      <c r="C49" s="16">
        <v>7</v>
      </c>
      <c r="D49" s="19">
        <v>27.9437864883871</v>
      </c>
      <c r="E49" s="20">
        <f t="shared" si="38"/>
        <v>27.2892622296667</v>
      </c>
      <c r="F49" s="16" t="s">
        <v>110</v>
      </c>
      <c r="G49" s="13">
        <v>8</v>
      </c>
      <c r="H49" s="18">
        <f t="shared" si="21"/>
        <v>27.9437864883871</v>
      </c>
      <c r="I49" s="18">
        <f t="shared" si="22"/>
        <v>301.093786488387</v>
      </c>
      <c r="J49" s="18">
        <f t="shared" si="23"/>
        <v>0.476387957905219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0.173271016527398</v>
      </c>
      <c r="P49" s="18">
        <f t="shared" si="26"/>
        <v>0.0825442257276486</v>
      </c>
      <c r="Q49" s="24">
        <f t="shared" si="27"/>
        <v>0.0107307493445943</v>
      </c>
      <c r="R49" s="18">
        <f t="shared" si="28"/>
        <v>0.0100218354166667</v>
      </c>
      <c r="S49" s="25">
        <f t="shared" si="29"/>
        <v>1.07073693574619</v>
      </c>
      <c r="T49" s="3">
        <v>0.01</v>
      </c>
      <c r="U49" s="26">
        <f t="shared" si="30"/>
        <v>0.0107073693574619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0.0452073693574619</v>
      </c>
      <c r="AR49" s="29">
        <f t="shared" si="34"/>
        <v>7.70910416666667</v>
      </c>
      <c r="AS49" s="1">
        <f t="shared" si="35"/>
        <v>0.13</v>
      </c>
      <c r="AT49" s="2">
        <f t="shared" si="36"/>
        <v>29.6009750758813</v>
      </c>
      <c r="AU49" s="1">
        <f t="shared" si="37"/>
        <v>8985.39807445637</v>
      </c>
    </row>
    <row r="50" s="1" customFormat="1" spans="1:47">
      <c r="A50" s="13"/>
      <c r="B50" s="13"/>
      <c r="C50" s="16">
        <v>8</v>
      </c>
      <c r="D50" s="19">
        <v>27.2266671032258</v>
      </c>
      <c r="E50" s="20">
        <f t="shared" si="38"/>
        <v>27.9437864883871</v>
      </c>
      <c r="F50" s="16" t="s">
        <v>110</v>
      </c>
      <c r="G50" s="13">
        <v>9</v>
      </c>
      <c r="H50" s="18">
        <f t="shared" si="21"/>
        <v>27.2266671032258</v>
      </c>
      <c r="I50" s="18">
        <f t="shared" si="22"/>
        <v>300.376667103226</v>
      </c>
      <c r="J50" s="18">
        <f t="shared" si="23"/>
        <v>0.44099284899129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0.167817832466416</v>
      </c>
      <c r="P50" s="18">
        <f t="shared" si="26"/>
        <v>0.0740064640509078</v>
      </c>
      <c r="Q50" s="24">
        <f t="shared" si="27"/>
        <v>0.00962084032661802</v>
      </c>
      <c r="R50" s="18">
        <f t="shared" si="28"/>
        <v>0.0100218354166667</v>
      </c>
      <c r="S50" s="25">
        <f t="shared" si="29"/>
        <v>0.959987859171806</v>
      </c>
      <c r="T50" s="3">
        <v>0.01</v>
      </c>
      <c r="U50" s="26">
        <f t="shared" si="30"/>
        <v>0.00959987859171806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0.0366998785917181</v>
      </c>
      <c r="AR50" s="29">
        <f t="shared" si="34"/>
        <v>7.70910416666667</v>
      </c>
      <c r="AS50" s="1">
        <f t="shared" si="35"/>
        <v>0.13</v>
      </c>
      <c r="AT50" s="2">
        <f t="shared" si="36"/>
        <v>29.6009750758813</v>
      </c>
      <c r="AU50" s="1">
        <f t="shared" si="37"/>
        <v>7294.45272126579</v>
      </c>
    </row>
    <row r="51" s="1" customFormat="1" spans="1:47">
      <c r="A51" s="13"/>
      <c r="B51" s="13"/>
      <c r="C51" s="16">
        <v>9</v>
      </c>
      <c r="D51" s="19">
        <v>25.6453095546667</v>
      </c>
      <c r="E51" s="20">
        <f t="shared" si="38"/>
        <v>27.2266671032258</v>
      </c>
      <c r="F51" s="16" t="s">
        <v>110</v>
      </c>
      <c r="G51" s="13">
        <v>10</v>
      </c>
      <c r="H51" s="18">
        <f t="shared" si="21"/>
        <v>25.6453095546667</v>
      </c>
      <c r="I51" s="18">
        <f t="shared" si="22"/>
        <v>298.795309554667</v>
      </c>
      <c r="J51" s="18">
        <f t="shared" si="23"/>
        <v>0.371471697203271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0.170902410082175</v>
      </c>
      <c r="P51" s="18">
        <f t="shared" si="26"/>
        <v>0.0634854083293549</v>
      </c>
      <c r="Q51" s="24">
        <f t="shared" si="27"/>
        <v>0.00825310308281614</v>
      </c>
      <c r="R51" s="18">
        <f t="shared" si="28"/>
        <v>0.0100218354166667</v>
      </c>
      <c r="S51" s="25">
        <f t="shared" si="29"/>
        <v>0.823512135221352</v>
      </c>
      <c r="T51" s="3">
        <v>0.01</v>
      </c>
      <c r="U51" s="26">
        <f t="shared" si="30"/>
        <v>0.00823512135221353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0.0353351213522135</v>
      </c>
      <c r="AR51" s="29">
        <f t="shared" si="34"/>
        <v>7.70910416666667</v>
      </c>
      <c r="AS51" s="1">
        <f t="shared" si="35"/>
        <v>0.13</v>
      </c>
      <c r="AT51" s="2">
        <f t="shared" si="36"/>
        <v>29.6009750758813</v>
      </c>
      <c r="AU51" s="1">
        <f t="shared" si="37"/>
        <v>7023.1941356361</v>
      </c>
    </row>
    <row r="52" s="1" customFormat="1" spans="1:47">
      <c r="A52" s="13"/>
      <c r="B52" s="13"/>
      <c r="C52" s="16">
        <v>10</v>
      </c>
      <c r="D52" s="19">
        <v>23.3336588254839</v>
      </c>
      <c r="E52" s="20">
        <f t="shared" si="38"/>
        <v>25.6453095546667</v>
      </c>
      <c r="F52" s="16" t="s">
        <v>110</v>
      </c>
      <c r="G52" s="13">
        <v>11</v>
      </c>
      <c r="H52" s="18">
        <f t="shared" si="21"/>
        <v>23.3336588254839</v>
      </c>
      <c r="I52" s="18">
        <f t="shared" si="22"/>
        <v>296.483658825484</v>
      </c>
      <c r="J52" s="18">
        <f t="shared" si="23"/>
        <v>0.288125685501338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0.102046151665179</v>
      </c>
      <c r="O52" s="18">
        <f t="shared" si="39"/>
        <v>0.0824618917543077</v>
      </c>
      <c r="P52" s="18">
        <f t="shared" si="26"/>
        <v>0.023759389089447</v>
      </c>
      <c r="Q52" s="24">
        <f t="shared" si="27"/>
        <v>0.00308872058162811</v>
      </c>
      <c r="R52" s="18">
        <f t="shared" si="28"/>
        <v>0.0100218354166667</v>
      </c>
      <c r="S52" s="25">
        <f t="shared" si="29"/>
        <v>0.308199092602485</v>
      </c>
      <c r="T52" s="3">
        <v>0.01</v>
      </c>
      <c r="U52" s="26">
        <f t="shared" si="30"/>
        <v>0.00308199092602485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0.0178819909260249</v>
      </c>
      <c r="AR52" s="29">
        <f t="shared" si="34"/>
        <v>7.70910416666667</v>
      </c>
      <c r="AS52" s="1">
        <f t="shared" si="35"/>
        <v>0.13</v>
      </c>
      <c r="AT52" s="2">
        <f t="shared" si="36"/>
        <v>29.6009750758813</v>
      </c>
      <c r="AU52" s="1">
        <f t="shared" si="37"/>
        <v>3554.21713578715</v>
      </c>
    </row>
    <row r="53" s="1" customFormat="1" spans="1:48">
      <c r="A53" s="13"/>
      <c r="B53" s="13"/>
      <c r="C53" s="16">
        <v>11</v>
      </c>
      <c r="D53" s="19">
        <v>17.0557464195</v>
      </c>
      <c r="E53" s="20">
        <f t="shared" si="38"/>
        <v>23.3336588254839</v>
      </c>
      <c r="F53" s="16" t="s">
        <v>112</v>
      </c>
      <c r="G53" s="13">
        <v>12</v>
      </c>
      <c r="H53" s="18">
        <f t="shared" si="21"/>
        <v>17.0557464195</v>
      </c>
      <c r="I53" s="18">
        <f t="shared" si="22"/>
        <v>290.2057464195</v>
      </c>
      <c r="J53" s="18">
        <f t="shared" si="23"/>
        <v>0.141593738369779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0.135793544331527</v>
      </c>
      <c r="P53" s="18">
        <f t="shared" si="26"/>
        <v>0.0192275155883833</v>
      </c>
      <c r="Q53" s="24">
        <f t="shared" si="27"/>
        <v>0.00249957702648982</v>
      </c>
      <c r="R53" s="18">
        <f t="shared" si="28"/>
        <v>0.0100218354166667</v>
      </c>
      <c r="S53" s="25">
        <f t="shared" si="29"/>
        <v>0.249413098755637</v>
      </c>
      <c r="T53" s="3">
        <v>0.01</v>
      </c>
      <c r="U53" s="26">
        <f t="shared" si="30"/>
        <v>0.00249413098755637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0.0172941309875564</v>
      </c>
      <c r="AR53" s="29">
        <f t="shared" si="34"/>
        <v>7.70910416666667</v>
      </c>
      <c r="AS53" s="1">
        <f t="shared" si="35"/>
        <v>0.13</v>
      </c>
      <c r="AT53" s="2">
        <f t="shared" si="36"/>
        <v>29.6009750758813</v>
      </c>
      <c r="AU53" s="1">
        <f t="shared" si="37"/>
        <v>3437.37433705232</v>
      </c>
      <c r="AV53" s="1">
        <f>SUM(AU42:AU53)</f>
        <v>67666.1502084214</v>
      </c>
    </row>
    <row r="54" s="1" customFormat="1" spans="1:46">
      <c r="A54" s="13"/>
      <c r="B54" s="13"/>
      <c r="C54" s="16">
        <v>12</v>
      </c>
      <c r="D54" s="19">
        <v>14.4303977725806</v>
      </c>
      <c r="E54" s="20">
        <f t="shared" si="38"/>
        <v>17.0557464195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12</v>
      </c>
      <c r="E58" s="16"/>
      <c r="F58" s="16"/>
      <c r="G58" s="13">
        <v>1</v>
      </c>
      <c r="H58" s="18">
        <f t="shared" ref="H58:H69" si="40">E59</f>
        <v>12</v>
      </c>
      <c r="I58" s="18">
        <f t="shared" ref="I58:I69" si="41">H58+273.15</f>
        <v>285.15</v>
      </c>
      <c r="J58" s="18">
        <f t="shared" ref="J58:J69" si="42">EXP(($C$16*(I58-$C$14))/($C$17*I58*$C$14))</f>
        <v>0.0781080022050146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0.215787806071761</v>
      </c>
      <c r="Q58" s="24">
        <f t="shared" ref="Q58:Q69" si="46">P58*$B$60</f>
        <v>0.0971045127322923</v>
      </c>
      <c r="R58" s="18">
        <f t="shared" ref="R58:R69" si="47">L58*$B$60</f>
        <v>1.24320825</v>
      </c>
      <c r="S58" s="25">
        <f t="shared" ref="S58:S69" si="48">Q58/R58</f>
        <v>0.0781080022050146</v>
      </c>
      <c r="T58" s="3">
        <v>0.27</v>
      </c>
      <c r="U58" s="26">
        <f t="shared" ref="U58:U69" si="49">S58*T58</f>
        <v>0.0210891605953539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0.232758381919499</v>
      </c>
      <c r="AC58" s="29">
        <f t="shared" ref="AC58:AC69" si="51">$B$58/12</f>
        <v>10.2321666666667</v>
      </c>
      <c r="AD58" s="1">
        <f t="shared" ref="AD58:AD69" si="52">$B$60</f>
        <v>0.45</v>
      </c>
      <c r="AE58" s="30">
        <f t="shared" ref="AE58:AE69" si="53">$E$7/12</f>
        <v>408.497945567188</v>
      </c>
      <c r="AF58" s="1">
        <f t="shared" ref="AF58:AF69" si="54">AE58*10000*AC58*AB58</f>
        <v>9728879.21595404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10.7402845627097</v>
      </c>
      <c r="E59" s="20">
        <f t="shared" ref="E59:E70" si="55">D58</f>
        <v>12</v>
      </c>
      <c r="F59" s="16" t="s">
        <v>110</v>
      </c>
      <c r="G59" s="13">
        <v>2</v>
      </c>
      <c r="H59" s="18">
        <f t="shared" si="40"/>
        <v>10.7402845627097</v>
      </c>
      <c r="I59" s="18">
        <f t="shared" si="41"/>
        <v>283.89028456271</v>
      </c>
      <c r="J59" s="18">
        <f t="shared" si="42"/>
        <v>0.0671262036672754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5.30958219392824</v>
      </c>
      <c r="P59" s="18">
        <f t="shared" si="45"/>
        <v>0.356412095737766</v>
      </c>
      <c r="Q59" s="24">
        <f t="shared" si="46"/>
        <v>0.160385443081995</v>
      </c>
      <c r="R59" s="18">
        <f t="shared" si="47"/>
        <v>1.24320825</v>
      </c>
      <c r="S59" s="25">
        <f t="shared" si="48"/>
        <v>0.129009313670493</v>
      </c>
      <c r="T59" s="3">
        <v>0.27</v>
      </c>
      <c r="U59" s="26">
        <f t="shared" si="49"/>
        <v>0.0348325146910331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0.236902003179347</v>
      </c>
      <c r="AC59" s="29">
        <f t="shared" si="51"/>
        <v>10.2321666666667</v>
      </c>
      <c r="AD59" s="1">
        <f t="shared" si="52"/>
        <v>0.45</v>
      </c>
      <c r="AE59" s="30">
        <f t="shared" si="53"/>
        <v>408.497945567188</v>
      </c>
      <c r="AF59" s="1">
        <f t="shared" si="54"/>
        <v>9902075.08723164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0.45</v>
      </c>
      <c r="C60" s="16">
        <v>2</v>
      </c>
      <c r="D60" s="19">
        <v>11.4890676527241</v>
      </c>
      <c r="E60" s="20">
        <f t="shared" si="55"/>
        <v>10.7402845627097</v>
      </c>
      <c r="F60" s="16" t="s">
        <v>110</v>
      </c>
      <c r="G60" s="13">
        <v>3</v>
      </c>
      <c r="H60" s="18">
        <f t="shared" si="40"/>
        <v>11.4890676527241</v>
      </c>
      <c r="I60" s="18">
        <f t="shared" si="41"/>
        <v>284.639067652724</v>
      </c>
      <c r="J60" s="18">
        <f t="shared" si="42"/>
        <v>0.0734642913392727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7.71585509819047</v>
      </c>
      <c r="P60" s="18">
        <f t="shared" si="45"/>
        <v>0.566839826865077</v>
      </c>
      <c r="Q60" s="24">
        <f t="shared" si="46"/>
        <v>0.255077922089285</v>
      </c>
      <c r="R60" s="18">
        <f t="shared" si="47"/>
        <v>1.24320825</v>
      </c>
      <c r="S60" s="25">
        <f t="shared" si="48"/>
        <v>0.205177147182932</v>
      </c>
      <c r="T60" s="3">
        <v>0.27</v>
      </c>
      <c r="U60" s="26">
        <f t="shared" si="49"/>
        <v>0.0553978297393915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0.243102445666427</v>
      </c>
      <c r="AC60" s="29">
        <f t="shared" si="51"/>
        <v>10.2321666666667</v>
      </c>
      <c r="AD60" s="1">
        <f t="shared" si="52"/>
        <v>0.45</v>
      </c>
      <c r="AE60" s="30">
        <f t="shared" si="53"/>
        <v>408.497945567188</v>
      </c>
      <c r="AF60" s="1">
        <f t="shared" si="54"/>
        <v>10161242.3642371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16.2254832177097</v>
      </c>
      <c r="E61" s="20">
        <f t="shared" si="55"/>
        <v>11.4890676527241</v>
      </c>
      <c r="F61" s="16" t="s">
        <v>110</v>
      </c>
      <c r="G61" s="13">
        <v>4</v>
      </c>
      <c r="H61" s="18">
        <f t="shared" si="40"/>
        <v>16.2254832177097</v>
      </c>
      <c r="I61" s="18">
        <f t="shared" si="41"/>
        <v>289.37548321771</v>
      </c>
      <c r="J61" s="18">
        <f t="shared" si="42"/>
        <v>0.128598864208907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9.91170027132539</v>
      </c>
      <c r="P61" s="18">
        <f t="shared" si="45"/>
        <v>1.27463339727156</v>
      </c>
      <c r="Q61" s="24">
        <f t="shared" si="46"/>
        <v>0.573585028772203</v>
      </c>
      <c r="R61" s="18">
        <f t="shared" si="47"/>
        <v>1.24320825</v>
      </c>
      <c r="S61" s="25">
        <f t="shared" si="48"/>
        <v>0.461374857166692</v>
      </c>
      <c r="T61" s="3">
        <v>0.27</v>
      </c>
      <c r="U61" s="26">
        <f t="shared" si="49"/>
        <v>0.124571211435007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0.312758220247655</v>
      </c>
      <c r="AC61" s="29">
        <f t="shared" si="51"/>
        <v>10.2321666666667</v>
      </c>
      <c r="AD61" s="1">
        <f t="shared" si="52"/>
        <v>0.45</v>
      </c>
      <c r="AE61" s="30">
        <f t="shared" si="53"/>
        <v>408.497945567188</v>
      </c>
      <c r="AF61" s="1">
        <f t="shared" si="54"/>
        <v>13072727.707991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22.468706179</v>
      </c>
      <c r="E62" s="20">
        <f t="shared" si="55"/>
        <v>16.2254832177097</v>
      </c>
      <c r="F62" s="16" t="s">
        <v>110</v>
      </c>
      <c r="G62" s="13">
        <v>5</v>
      </c>
      <c r="H62" s="18">
        <f t="shared" si="40"/>
        <v>22.468706179</v>
      </c>
      <c r="I62" s="18">
        <f t="shared" si="41"/>
        <v>295.618706179</v>
      </c>
      <c r="J62" s="18">
        <f t="shared" si="42"/>
        <v>0.261728421212133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8.20521353035114</v>
      </c>
      <c r="O62" s="18">
        <f t="shared" si="56"/>
        <v>3.19453834370269</v>
      </c>
      <c r="P62" s="18">
        <f t="shared" si="45"/>
        <v>0.836101477198928</v>
      </c>
      <c r="Q62" s="24">
        <f t="shared" si="46"/>
        <v>0.376245664739517</v>
      </c>
      <c r="R62" s="18">
        <f t="shared" si="47"/>
        <v>1.24320825</v>
      </c>
      <c r="S62" s="25">
        <f t="shared" si="48"/>
        <v>0.30264090086236</v>
      </c>
      <c r="T62" s="3">
        <v>0.27</v>
      </c>
      <c r="U62" s="26">
        <f t="shared" si="49"/>
        <v>0.0817130432328371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0.2998364825347</v>
      </c>
      <c r="AC62" s="29">
        <f t="shared" si="51"/>
        <v>10.2321666666667</v>
      </c>
      <c r="AD62" s="1">
        <f t="shared" si="52"/>
        <v>0.45</v>
      </c>
      <c r="AE62" s="30">
        <f t="shared" si="53"/>
        <v>408.497945567188</v>
      </c>
      <c r="AF62" s="1">
        <f t="shared" si="54"/>
        <v>12532622.4519188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24.5358578119355</v>
      </c>
      <c r="E63" s="20">
        <f t="shared" si="55"/>
        <v>22.468706179</v>
      </c>
      <c r="F63" s="16" t="s">
        <v>112</v>
      </c>
      <c r="G63" s="13">
        <v>6</v>
      </c>
      <c r="H63" s="18">
        <f t="shared" si="40"/>
        <v>24.5358578119355</v>
      </c>
      <c r="I63" s="18">
        <f t="shared" si="41"/>
        <v>297.685857811935</v>
      </c>
      <c r="J63" s="18">
        <f t="shared" si="42"/>
        <v>0.328988949766223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5.12112186650376</v>
      </c>
      <c r="P63" s="18">
        <f t="shared" si="45"/>
        <v>1.68479250448591</v>
      </c>
      <c r="Q63" s="24">
        <f t="shared" si="46"/>
        <v>0.758156627018661</v>
      </c>
      <c r="R63" s="18">
        <f t="shared" si="47"/>
        <v>1.24320825</v>
      </c>
      <c r="S63" s="25">
        <f t="shared" si="48"/>
        <v>0.609838799749488</v>
      </c>
      <c r="T63" s="3">
        <v>0.27</v>
      </c>
      <c r="U63" s="26">
        <f t="shared" si="49"/>
        <v>0.164656475932362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0.340043927493607</v>
      </c>
      <c r="AC63" s="29">
        <f t="shared" si="51"/>
        <v>10.2321666666667</v>
      </c>
      <c r="AD63" s="1">
        <f t="shared" si="52"/>
        <v>0.45</v>
      </c>
      <c r="AE63" s="30">
        <f t="shared" si="53"/>
        <v>408.497945567188</v>
      </c>
      <c r="AF63" s="1">
        <f t="shared" si="54"/>
        <v>14213220.9006682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27.2892622296667</v>
      </c>
      <c r="E64" s="20">
        <f t="shared" si="55"/>
        <v>24.5358578119355</v>
      </c>
      <c r="F64" s="16" t="s">
        <v>110</v>
      </c>
      <c r="G64" s="13">
        <v>7</v>
      </c>
      <c r="H64" s="18">
        <f t="shared" si="40"/>
        <v>27.2892622296667</v>
      </c>
      <c r="I64" s="18">
        <f t="shared" si="41"/>
        <v>300.439262229667</v>
      </c>
      <c r="J64" s="18">
        <f t="shared" si="42"/>
        <v>0.443981204735559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6.19901436201785</v>
      </c>
      <c r="P64" s="18">
        <f t="shared" si="45"/>
        <v>2.75224586462172</v>
      </c>
      <c r="Q64" s="24">
        <f t="shared" si="46"/>
        <v>1.23851063907977</v>
      </c>
      <c r="R64" s="18">
        <f t="shared" si="47"/>
        <v>1.24320825</v>
      </c>
      <c r="S64" s="25">
        <f t="shared" si="48"/>
        <v>0.996221380512696</v>
      </c>
      <c r="T64" s="3">
        <v>0.27</v>
      </c>
      <c r="U64" s="26">
        <f t="shared" si="49"/>
        <v>0.268979772738428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0.371497401480636</v>
      </c>
      <c r="AC64" s="29">
        <f t="shared" si="51"/>
        <v>10.2321666666667</v>
      </c>
      <c r="AD64" s="1">
        <f t="shared" si="52"/>
        <v>0.45</v>
      </c>
      <c r="AE64" s="30">
        <f t="shared" si="53"/>
        <v>408.497945567188</v>
      </c>
      <c r="AF64" s="1">
        <f t="shared" si="54"/>
        <v>15527919.2020501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27.9437864883871</v>
      </c>
      <c r="E65" s="20">
        <f t="shared" si="55"/>
        <v>27.2892622296667</v>
      </c>
      <c r="F65" s="16" t="s">
        <v>110</v>
      </c>
      <c r="G65" s="13">
        <v>8</v>
      </c>
      <c r="H65" s="18">
        <f t="shared" si="40"/>
        <v>27.9437864883871</v>
      </c>
      <c r="I65" s="18">
        <f t="shared" si="41"/>
        <v>301.093786488387</v>
      </c>
      <c r="J65" s="18">
        <f t="shared" si="42"/>
        <v>0.476387957905219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6.20945349739613</v>
      </c>
      <c r="P65" s="18">
        <f t="shared" si="45"/>
        <v>2.95810887133196</v>
      </c>
      <c r="Q65" s="24">
        <f t="shared" si="46"/>
        <v>1.33114899209938</v>
      </c>
      <c r="R65" s="18">
        <f t="shared" si="47"/>
        <v>1.24320825</v>
      </c>
      <c r="S65" s="25">
        <f t="shared" si="48"/>
        <v>1.07073693574619</v>
      </c>
      <c r="T65" s="3">
        <v>0.27</v>
      </c>
      <c r="U65" s="26">
        <f t="shared" si="49"/>
        <v>0.289098972651471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0.377563340254419</v>
      </c>
      <c r="AC65" s="29">
        <f t="shared" si="51"/>
        <v>10.2321666666667</v>
      </c>
      <c r="AD65" s="1">
        <f t="shared" si="52"/>
        <v>0.45</v>
      </c>
      <c r="AE65" s="30">
        <f t="shared" si="53"/>
        <v>408.497945567188</v>
      </c>
      <c r="AF65" s="1">
        <f t="shared" si="54"/>
        <v>15781464.467208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27.2266671032258</v>
      </c>
      <c r="E66" s="20">
        <f t="shared" si="55"/>
        <v>27.9437864883871</v>
      </c>
      <c r="F66" s="16" t="s">
        <v>110</v>
      </c>
      <c r="G66" s="13">
        <v>9</v>
      </c>
      <c r="H66" s="18">
        <f t="shared" si="40"/>
        <v>27.2266671032258</v>
      </c>
      <c r="I66" s="18">
        <f t="shared" si="41"/>
        <v>300.376667103226</v>
      </c>
      <c r="J66" s="18">
        <f t="shared" si="42"/>
        <v>0.44099284899129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6.01402962606417</v>
      </c>
      <c r="P66" s="18">
        <f t="shared" si="45"/>
        <v>2.65214405871606</v>
      </c>
      <c r="Q66" s="24">
        <f t="shared" si="46"/>
        <v>1.19346482642223</v>
      </c>
      <c r="R66" s="18">
        <f t="shared" si="47"/>
        <v>1.24320825</v>
      </c>
      <c r="S66" s="25">
        <f t="shared" si="48"/>
        <v>0.959987859171806</v>
      </c>
      <c r="T66" s="3">
        <v>0.27</v>
      </c>
      <c r="U66" s="26">
        <f t="shared" si="49"/>
        <v>0.259196721976388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0.353347811675881</v>
      </c>
      <c r="AC66" s="29">
        <f t="shared" si="51"/>
        <v>10.2321666666667</v>
      </c>
      <c r="AD66" s="1">
        <f t="shared" si="52"/>
        <v>0.45</v>
      </c>
      <c r="AE66" s="30">
        <f t="shared" si="53"/>
        <v>408.497945567188</v>
      </c>
      <c r="AF66" s="1">
        <f t="shared" si="54"/>
        <v>14769299.1877098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25.6453095546667</v>
      </c>
      <c r="E67" s="20">
        <f t="shared" si="55"/>
        <v>27.2266671032258</v>
      </c>
      <c r="F67" s="16" t="s">
        <v>110</v>
      </c>
      <c r="G67" s="13">
        <v>10</v>
      </c>
      <c r="H67" s="18">
        <f t="shared" si="40"/>
        <v>25.6453095546667</v>
      </c>
      <c r="I67" s="18">
        <f t="shared" si="41"/>
        <v>298.795309554667</v>
      </c>
      <c r="J67" s="18">
        <f t="shared" si="42"/>
        <v>0.371471697203271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6.12457056734811</v>
      </c>
      <c r="P67" s="18">
        <f t="shared" si="45"/>
        <v>2.275104623294</v>
      </c>
      <c r="Q67" s="24">
        <f t="shared" si="46"/>
        <v>1.0237970804823</v>
      </c>
      <c r="R67" s="18">
        <f t="shared" si="47"/>
        <v>1.24320825</v>
      </c>
      <c r="S67" s="25">
        <f t="shared" si="48"/>
        <v>0.823512135221352</v>
      </c>
      <c r="T67" s="3">
        <v>0.27</v>
      </c>
      <c r="U67" s="26">
        <f t="shared" si="49"/>
        <v>0.222348276509765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0.342238005367694</v>
      </c>
      <c r="AC67" s="29">
        <f t="shared" si="51"/>
        <v>10.2321666666667</v>
      </c>
      <c r="AD67" s="1">
        <f t="shared" si="52"/>
        <v>0.45</v>
      </c>
      <c r="AE67" s="30">
        <f t="shared" si="53"/>
        <v>408.497945567188</v>
      </c>
      <c r="AF67" s="1">
        <f t="shared" si="54"/>
        <v>14304929.3858852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23.3336588254839</v>
      </c>
      <c r="E68" s="20">
        <f t="shared" si="55"/>
        <v>25.6453095546667</v>
      </c>
      <c r="F68" s="16" t="s">
        <v>110</v>
      </c>
      <c r="G68" s="13">
        <v>11</v>
      </c>
      <c r="H68" s="18">
        <f t="shared" si="40"/>
        <v>23.3336588254839</v>
      </c>
      <c r="I68" s="18">
        <f t="shared" si="41"/>
        <v>296.483658825484</v>
      </c>
      <c r="J68" s="18">
        <f t="shared" si="42"/>
        <v>0.288125685501338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3.6569926468514</v>
      </c>
      <c r="O68" s="18">
        <f t="shared" si="56"/>
        <v>2.9551582972027</v>
      </c>
      <c r="P68" s="18">
        <f t="shared" si="45"/>
        <v>0.851457010146496</v>
      </c>
      <c r="Q68" s="24">
        <f t="shared" si="46"/>
        <v>0.383155654565923</v>
      </c>
      <c r="R68" s="18">
        <f t="shared" si="47"/>
        <v>1.24320825</v>
      </c>
      <c r="S68" s="25">
        <f t="shared" si="48"/>
        <v>0.308199092602485</v>
      </c>
      <c r="T68" s="3">
        <v>0.27</v>
      </c>
      <c r="U68" s="26">
        <f t="shared" si="49"/>
        <v>0.083213755002671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0.251488947133305</v>
      </c>
      <c r="AC68" s="29">
        <f t="shared" si="51"/>
        <v>10.2321666666667</v>
      </c>
      <c r="AD68" s="1">
        <f t="shared" si="52"/>
        <v>0.45</v>
      </c>
      <c r="AE68" s="30">
        <f t="shared" si="53"/>
        <v>408.497945567188</v>
      </c>
      <c r="AF68" s="1">
        <f t="shared" si="54"/>
        <v>10511782.9511875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17.0557464195</v>
      </c>
      <c r="E69" s="20">
        <f t="shared" si="55"/>
        <v>23.3336588254839</v>
      </c>
      <c r="F69" s="16" t="s">
        <v>112</v>
      </c>
      <c r="G69" s="13">
        <v>12</v>
      </c>
      <c r="H69" s="18">
        <f t="shared" si="40"/>
        <v>17.0557464195</v>
      </c>
      <c r="I69" s="18">
        <f t="shared" si="41"/>
        <v>290.2057464195</v>
      </c>
      <c r="J69" s="18">
        <f t="shared" si="42"/>
        <v>0.141593738369779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4.86638628705621</v>
      </c>
      <c r="P69" s="18">
        <f t="shared" si="45"/>
        <v>0.689049826735717</v>
      </c>
      <c r="Q69" s="24">
        <f t="shared" si="46"/>
        <v>0.310072422031073</v>
      </c>
      <c r="R69" s="18">
        <f t="shared" si="47"/>
        <v>1.24320825</v>
      </c>
      <c r="S69" s="25">
        <f t="shared" si="48"/>
        <v>0.249413098755637</v>
      </c>
      <c r="T69" s="3">
        <v>0.27</v>
      </c>
      <c r="U69" s="26">
        <f t="shared" si="49"/>
        <v>0.067341536664022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0.246703473304203</v>
      </c>
      <c r="AC69" s="29">
        <f t="shared" si="51"/>
        <v>10.2321666666667</v>
      </c>
      <c r="AD69" s="1">
        <f t="shared" si="52"/>
        <v>0.45</v>
      </c>
      <c r="AE69" s="30">
        <f t="shared" si="53"/>
        <v>408.497945567188</v>
      </c>
      <c r="AF69" s="1">
        <f t="shared" si="54"/>
        <v>10311758.80387</v>
      </c>
      <c r="AG69" s="1">
        <f>SUM(AF58:AF69)</f>
        <v>150817921.725911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14.4303977725806</v>
      </c>
      <c r="E70" s="20">
        <f t="shared" si="55"/>
        <v>17.0557464195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12</v>
      </c>
      <c r="E74" s="16"/>
      <c r="F74" s="16"/>
      <c r="G74" s="13">
        <v>1</v>
      </c>
      <c r="H74" s="18">
        <f t="shared" ref="H74:H85" si="57">E75</f>
        <v>12</v>
      </c>
      <c r="I74" s="18">
        <f t="shared" ref="I74:I85" si="58">H74+273.15</f>
        <v>285.15</v>
      </c>
      <c r="J74" s="18">
        <f t="shared" ref="J74:J85" si="59">EXP(($C$16*(I74-$C$14))/($C$17*I74*$C$14))</f>
        <v>0.0781080022050146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0.0407114529092977</v>
      </c>
      <c r="Q74" s="24">
        <f t="shared" ref="Q74:Q85" si="63">P74*$B$76</f>
        <v>0.0105849777564174</v>
      </c>
      <c r="R74" s="18">
        <f t="shared" ref="R74:R85" si="64">L74*$B$76</f>
        <v>0.1355172</v>
      </c>
      <c r="S74" s="25">
        <f t="shared" ref="S74:S85" si="65">Q74/R74</f>
        <v>0.0781080022050146</v>
      </c>
      <c r="T74" s="3">
        <v>0.01</v>
      </c>
      <c r="U74" s="26">
        <f t="shared" ref="U74:U85" si="66">S74*T74</f>
        <v>0.000781080022050146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0.00627108002205015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21.5441024628393</v>
      </c>
      <c r="AX74" s="1">
        <f t="shared" ref="AX74:AX85" si="73">AW74*10000*AV74*0.67*AU74*AT74</f>
        <v>12267.0453574804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10.7402845627097</v>
      </c>
      <c r="E75" s="20">
        <f t="shared" ref="E75:E86" si="74">D74</f>
        <v>12</v>
      </c>
      <c r="F75" s="16" t="s">
        <v>110</v>
      </c>
      <c r="G75" s="13">
        <v>2</v>
      </c>
      <c r="H75" s="18">
        <f t="shared" si="57"/>
        <v>10.7402845627097</v>
      </c>
      <c r="I75" s="18">
        <f t="shared" si="58"/>
        <v>283.89028456271</v>
      </c>
      <c r="J75" s="18">
        <f t="shared" si="59"/>
        <v>0.0671262036672754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1.0017285470907</v>
      </c>
      <c r="P75" s="18">
        <f t="shared" si="62"/>
        <v>0.0672422344713344</v>
      </c>
      <c r="Q75" s="24">
        <f t="shared" si="63"/>
        <v>0.0174829809625469</v>
      </c>
      <c r="R75" s="18">
        <f t="shared" si="64"/>
        <v>0.1355172</v>
      </c>
      <c r="S75" s="25">
        <f t="shared" si="65"/>
        <v>0.129009313670493</v>
      </c>
      <c r="T75" s="3">
        <v>0.01</v>
      </c>
      <c r="U75" s="26">
        <f t="shared" si="66"/>
        <v>0.00129009313670493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0.00678009313670493</v>
      </c>
      <c r="AU75" s="29">
        <f t="shared" si="70"/>
        <v>52.122</v>
      </c>
      <c r="AV75" s="1">
        <f t="shared" si="71"/>
        <v>0.26</v>
      </c>
      <c r="AW75" s="2">
        <f t="shared" si="72"/>
        <v>21.5441024628393</v>
      </c>
      <c r="AX75" s="1">
        <f t="shared" si="73"/>
        <v>13262.7409861548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11.4890676527241</v>
      </c>
      <c r="E76" s="20">
        <f t="shared" si="74"/>
        <v>10.7402845627097</v>
      </c>
      <c r="F76" s="16" t="s">
        <v>110</v>
      </c>
      <c r="G76" s="13">
        <v>3</v>
      </c>
      <c r="H76" s="18">
        <f t="shared" si="57"/>
        <v>11.4890676527241</v>
      </c>
      <c r="I76" s="18">
        <f t="shared" si="58"/>
        <v>284.639067652724</v>
      </c>
      <c r="J76" s="18">
        <f t="shared" si="59"/>
        <v>0.0734642913392727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1.45570631261937</v>
      </c>
      <c r="P76" s="18">
        <f t="shared" si="62"/>
        <v>0.106942432654688</v>
      </c>
      <c r="Q76" s="24">
        <f t="shared" si="63"/>
        <v>0.0278050324902188</v>
      </c>
      <c r="R76" s="18">
        <f t="shared" si="64"/>
        <v>0.1355172</v>
      </c>
      <c r="S76" s="25">
        <f t="shared" si="65"/>
        <v>0.205177147182932</v>
      </c>
      <c r="T76" s="3">
        <v>0.01</v>
      </c>
      <c r="U76" s="26">
        <f t="shared" si="66"/>
        <v>0.00205177147182932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0.00754177147182932</v>
      </c>
      <c r="AU76" s="29">
        <f t="shared" si="70"/>
        <v>52.122</v>
      </c>
      <c r="AV76" s="1">
        <f t="shared" si="71"/>
        <v>0.26</v>
      </c>
      <c r="AW76" s="2">
        <f t="shared" si="72"/>
        <v>21.5441024628393</v>
      </c>
      <c r="AX76" s="1">
        <f t="shared" si="73"/>
        <v>14752.6825356052</v>
      </c>
    </row>
    <row r="77" s="1" customFormat="1" spans="1:50">
      <c r="A77" s="13"/>
      <c r="B77" s="13"/>
      <c r="C77" s="16">
        <v>3</v>
      </c>
      <c r="D77" s="19">
        <v>16.2254832177097</v>
      </c>
      <c r="E77" s="20">
        <f t="shared" si="74"/>
        <v>11.4890676527241</v>
      </c>
      <c r="F77" s="16" t="s">
        <v>110</v>
      </c>
      <c r="G77" s="13">
        <v>4</v>
      </c>
      <c r="H77" s="18">
        <f t="shared" si="57"/>
        <v>16.2254832177097</v>
      </c>
      <c r="I77" s="18">
        <f t="shared" si="58"/>
        <v>289.37548321771</v>
      </c>
      <c r="J77" s="18">
        <f t="shared" si="59"/>
        <v>0.128598864208907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1.86998387996468</v>
      </c>
      <c r="P77" s="18">
        <f t="shared" si="62"/>
        <v>0.240477803052423</v>
      </c>
      <c r="Q77" s="24">
        <f t="shared" si="63"/>
        <v>0.06252422879363</v>
      </c>
      <c r="R77" s="18">
        <f t="shared" si="64"/>
        <v>0.1355172</v>
      </c>
      <c r="S77" s="25">
        <f t="shared" si="65"/>
        <v>0.461374857166692</v>
      </c>
      <c r="T77" s="3">
        <v>0.01</v>
      </c>
      <c r="U77" s="26">
        <f t="shared" si="66"/>
        <v>0.00461374857166692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0.0126037485716669</v>
      </c>
      <c r="AU77" s="29">
        <f t="shared" si="70"/>
        <v>52.122</v>
      </c>
      <c r="AV77" s="1">
        <f t="shared" si="71"/>
        <v>0.26</v>
      </c>
      <c r="AW77" s="2">
        <f t="shared" si="72"/>
        <v>21.5441024628393</v>
      </c>
      <c r="AX77" s="1">
        <f t="shared" si="73"/>
        <v>24654.5658577597</v>
      </c>
    </row>
    <row r="78" s="1" customFormat="1" spans="1:50">
      <c r="A78" s="13"/>
      <c r="B78" s="13"/>
      <c r="C78" s="16">
        <v>4</v>
      </c>
      <c r="D78" s="19">
        <v>22.468706179</v>
      </c>
      <c r="E78" s="20">
        <f t="shared" si="74"/>
        <v>16.2254832177097</v>
      </c>
      <c r="F78" s="16" t="s">
        <v>110</v>
      </c>
      <c r="G78" s="13">
        <v>5</v>
      </c>
      <c r="H78" s="18">
        <f t="shared" si="57"/>
        <v>22.468706179</v>
      </c>
      <c r="I78" s="18">
        <f t="shared" si="58"/>
        <v>295.618706179</v>
      </c>
      <c r="J78" s="18">
        <f t="shared" si="59"/>
        <v>0.261728421212133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1.54803077306664</v>
      </c>
      <c r="O78" s="18">
        <f t="shared" si="75"/>
        <v>0.602695303845613</v>
      </c>
      <c r="P78" s="18">
        <f t="shared" si="62"/>
        <v>0.157742490347479</v>
      </c>
      <c r="Q78" s="24">
        <f t="shared" si="63"/>
        <v>0.0410130474903446</v>
      </c>
      <c r="R78" s="18">
        <f t="shared" si="64"/>
        <v>0.1355172</v>
      </c>
      <c r="S78" s="25">
        <f t="shared" si="65"/>
        <v>0.30264090086236</v>
      </c>
      <c r="T78" s="3">
        <v>0.01</v>
      </c>
      <c r="U78" s="26">
        <f t="shared" si="66"/>
        <v>0.0030264090086236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0.0129764090086236</v>
      </c>
      <c r="AU78" s="29">
        <f t="shared" si="70"/>
        <v>52.122</v>
      </c>
      <c r="AV78" s="1">
        <f t="shared" si="71"/>
        <v>0.26</v>
      </c>
      <c r="AW78" s="2">
        <f t="shared" si="72"/>
        <v>21.5441024628393</v>
      </c>
      <c r="AX78" s="1">
        <f t="shared" si="73"/>
        <v>25383.5379753236</v>
      </c>
    </row>
    <row r="79" s="1" customFormat="1" spans="1:50">
      <c r="A79" s="13"/>
      <c r="B79" s="13"/>
      <c r="C79" s="16">
        <v>5</v>
      </c>
      <c r="D79" s="19">
        <v>24.5358578119355</v>
      </c>
      <c r="E79" s="20">
        <f t="shared" si="74"/>
        <v>22.468706179</v>
      </c>
      <c r="F79" s="16" t="s">
        <v>112</v>
      </c>
      <c r="G79" s="13">
        <v>6</v>
      </c>
      <c r="H79" s="18">
        <f t="shared" si="57"/>
        <v>24.5358578119355</v>
      </c>
      <c r="I79" s="18">
        <f t="shared" si="58"/>
        <v>297.685857811935</v>
      </c>
      <c r="J79" s="18">
        <f t="shared" si="59"/>
        <v>0.328988949766223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0.966172813498134</v>
      </c>
      <c r="P79" s="18">
        <f t="shared" si="62"/>
        <v>0.317860179205428</v>
      </c>
      <c r="Q79" s="24">
        <f t="shared" si="63"/>
        <v>0.0826436465934113</v>
      </c>
      <c r="R79" s="18">
        <f t="shared" si="64"/>
        <v>0.1355172</v>
      </c>
      <c r="S79" s="25">
        <f t="shared" si="65"/>
        <v>0.609838799749488</v>
      </c>
      <c r="T79" s="3">
        <v>0.01</v>
      </c>
      <c r="U79" s="26">
        <f t="shared" si="66"/>
        <v>0.00609838799749488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0.0160483879974949</v>
      </c>
      <c r="AU79" s="29">
        <f t="shared" si="70"/>
        <v>52.122</v>
      </c>
      <c r="AV79" s="1">
        <f t="shared" si="71"/>
        <v>0.26</v>
      </c>
      <c r="AW79" s="2">
        <f t="shared" si="72"/>
        <v>21.5441024628393</v>
      </c>
      <c r="AX79" s="1">
        <f t="shared" si="73"/>
        <v>31392.7270561848</v>
      </c>
    </row>
    <row r="80" s="1" customFormat="1" spans="1:50">
      <c r="A80" s="13"/>
      <c r="B80" s="13"/>
      <c r="C80" s="16">
        <v>6</v>
      </c>
      <c r="D80" s="19">
        <v>27.2892622296667</v>
      </c>
      <c r="E80" s="20">
        <f t="shared" si="74"/>
        <v>24.5358578119355</v>
      </c>
      <c r="F80" s="16" t="s">
        <v>110</v>
      </c>
      <c r="G80" s="13">
        <v>7</v>
      </c>
      <c r="H80" s="18">
        <f t="shared" si="57"/>
        <v>27.2892622296667</v>
      </c>
      <c r="I80" s="18">
        <f t="shared" si="58"/>
        <v>300.439262229667</v>
      </c>
      <c r="J80" s="18">
        <f t="shared" si="59"/>
        <v>0.443981204735559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1.16953263429271</v>
      </c>
      <c r="P80" s="18">
        <f t="shared" si="62"/>
        <v>0.519250507950827</v>
      </c>
      <c r="Q80" s="24">
        <f t="shared" si="63"/>
        <v>0.135005132067215</v>
      </c>
      <c r="R80" s="18">
        <f t="shared" si="64"/>
        <v>0.1355172</v>
      </c>
      <c r="S80" s="25">
        <f t="shared" si="65"/>
        <v>0.996221380512696</v>
      </c>
      <c r="T80" s="3">
        <v>0.01</v>
      </c>
      <c r="U80" s="26">
        <f t="shared" si="66"/>
        <v>0.00996221380512696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0.022412213805127</v>
      </c>
      <c r="AU80" s="29">
        <f t="shared" si="70"/>
        <v>52.122</v>
      </c>
      <c r="AV80" s="1">
        <f t="shared" si="71"/>
        <v>0.26</v>
      </c>
      <c r="AW80" s="2">
        <f t="shared" si="72"/>
        <v>21.5441024628393</v>
      </c>
      <c r="AX80" s="1">
        <f t="shared" si="73"/>
        <v>43841.1951916314</v>
      </c>
    </row>
    <row r="81" s="1" customFormat="1" spans="1:50">
      <c r="A81" s="13"/>
      <c r="B81" s="13"/>
      <c r="C81" s="16">
        <v>7</v>
      </c>
      <c r="D81" s="19">
        <v>27.9437864883871</v>
      </c>
      <c r="E81" s="20">
        <f t="shared" si="74"/>
        <v>27.2892622296667</v>
      </c>
      <c r="F81" s="16" t="s">
        <v>110</v>
      </c>
      <c r="G81" s="13">
        <v>8</v>
      </c>
      <c r="H81" s="18">
        <f t="shared" si="57"/>
        <v>27.9437864883871</v>
      </c>
      <c r="I81" s="18">
        <f t="shared" si="58"/>
        <v>301.093786488387</v>
      </c>
      <c r="J81" s="18">
        <f t="shared" si="59"/>
        <v>0.476387957905219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1.17150212634188</v>
      </c>
      <c r="P81" s="18">
        <f t="shared" si="62"/>
        <v>0.558089505649629</v>
      </c>
      <c r="Q81" s="24">
        <f t="shared" si="63"/>
        <v>0.145103271468904</v>
      </c>
      <c r="R81" s="18">
        <f t="shared" si="64"/>
        <v>0.1355172</v>
      </c>
      <c r="S81" s="25">
        <f t="shared" si="65"/>
        <v>1.07073693574619</v>
      </c>
      <c r="T81" s="3">
        <v>0.01</v>
      </c>
      <c r="U81" s="26">
        <f t="shared" si="66"/>
        <v>0.0107073693574619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0.0231573693574619</v>
      </c>
      <c r="AU81" s="29">
        <f t="shared" si="70"/>
        <v>52.122</v>
      </c>
      <c r="AV81" s="1">
        <f t="shared" si="71"/>
        <v>0.26</v>
      </c>
      <c r="AW81" s="2">
        <f t="shared" si="72"/>
        <v>21.5441024628393</v>
      </c>
      <c r="AX81" s="1">
        <f t="shared" si="73"/>
        <v>45298.8160363233</v>
      </c>
    </row>
    <row r="82" s="1" customFormat="1" spans="1:50">
      <c r="A82" s="13"/>
      <c r="B82" s="13"/>
      <c r="C82" s="16">
        <v>8</v>
      </c>
      <c r="D82" s="19">
        <v>27.2266671032258</v>
      </c>
      <c r="E82" s="20">
        <f t="shared" si="74"/>
        <v>27.9437864883871</v>
      </c>
      <c r="F82" s="16" t="s">
        <v>110</v>
      </c>
      <c r="G82" s="13">
        <v>9</v>
      </c>
      <c r="H82" s="18">
        <f t="shared" si="57"/>
        <v>27.2266671032258</v>
      </c>
      <c r="I82" s="18">
        <f t="shared" si="58"/>
        <v>300.376667103226</v>
      </c>
      <c r="J82" s="18">
        <f t="shared" si="59"/>
        <v>0.44099284899129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1.13463262069225</v>
      </c>
      <c r="P82" s="18">
        <f t="shared" si="62"/>
        <v>0.500364871957529</v>
      </c>
      <c r="Q82" s="24">
        <f t="shared" si="63"/>
        <v>0.130094866708957</v>
      </c>
      <c r="R82" s="18">
        <f t="shared" si="64"/>
        <v>0.1355172</v>
      </c>
      <c r="S82" s="25">
        <f t="shared" si="65"/>
        <v>0.959987859171806</v>
      </c>
      <c r="T82" s="3">
        <v>0.01</v>
      </c>
      <c r="U82" s="26">
        <f t="shared" si="66"/>
        <v>0.00959987859171806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0.0195498785917181</v>
      </c>
      <c r="AU82" s="29">
        <f t="shared" si="70"/>
        <v>52.122</v>
      </c>
      <c r="AV82" s="1">
        <f t="shared" si="71"/>
        <v>0.26</v>
      </c>
      <c r="AW82" s="2">
        <f t="shared" si="72"/>
        <v>21.5441024628393</v>
      </c>
      <c r="AX82" s="1">
        <f t="shared" si="73"/>
        <v>38242.0965088304</v>
      </c>
    </row>
    <row r="83" s="1" customFormat="1" spans="1:50">
      <c r="A83" s="13"/>
      <c r="B83" s="13"/>
      <c r="C83" s="16">
        <v>9</v>
      </c>
      <c r="D83" s="19">
        <v>25.6453095546667</v>
      </c>
      <c r="E83" s="20">
        <f t="shared" si="74"/>
        <v>27.2266671032258</v>
      </c>
      <c r="F83" s="16" t="s">
        <v>110</v>
      </c>
      <c r="G83" s="13">
        <v>10</v>
      </c>
      <c r="H83" s="18">
        <f t="shared" si="57"/>
        <v>25.6453095546667</v>
      </c>
      <c r="I83" s="18">
        <f t="shared" si="58"/>
        <v>298.795309554667</v>
      </c>
      <c r="J83" s="18">
        <f t="shared" si="59"/>
        <v>0.371471697203271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1.15548774873472</v>
      </c>
      <c r="P83" s="18">
        <f t="shared" si="62"/>
        <v>0.429230995120073</v>
      </c>
      <c r="Q83" s="24">
        <f t="shared" si="63"/>
        <v>0.111600058731219</v>
      </c>
      <c r="R83" s="18">
        <f t="shared" si="64"/>
        <v>0.1355172</v>
      </c>
      <c r="S83" s="25">
        <f t="shared" si="65"/>
        <v>0.823512135221353</v>
      </c>
      <c r="T83" s="3">
        <v>0.01</v>
      </c>
      <c r="U83" s="26">
        <f t="shared" si="66"/>
        <v>0.00823512135221353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0.0181851213522135</v>
      </c>
      <c r="AU83" s="29">
        <f t="shared" si="70"/>
        <v>52.122</v>
      </c>
      <c r="AV83" s="1">
        <f t="shared" si="71"/>
        <v>0.26</v>
      </c>
      <c r="AW83" s="2">
        <f t="shared" si="72"/>
        <v>21.5441024628393</v>
      </c>
      <c r="AX83" s="1">
        <f t="shared" si="73"/>
        <v>35572.4544535408</v>
      </c>
    </row>
    <row r="84" s="1" customFormat="1" spans="1:50">
      <c r="A84" s="13"/>
      <c r="B84" s="13"/>
      <c r="C84" s="16">
        <v>10</v>
      </c>
      <c r="D84" s="19">
        <v>23.3336588254839</v>
      </c>
      <c r="E84" s="20">
        <f t="shared" si="74"/>
        <v>25.6453095546667</v>
      </c>
      <c r="F84" s="16" t="s">
        <v>110</v>
      </c>
      <c r="G84" s="13">
        <v>11</v>
      </c>
      <c r="H84" s="18">
        <f t="shared" si="57"/>
        <v>23.3336588254839</v>
      </c>
      <c r="I84" s="18">
        <f t="shared" si="58"/>
        <v>296.483658825484</v>
      </c>
      <c r="J84" s="18">
        <f t="shared" si="59"/>
        <v>0.288125685501338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0.689943915933915</v>
      </c>
      <c r="O84" s="18">
        <f t="shared" si="75"/>
        <v>0.557532837680732</v>
      </c>
      <c r="P84" s="18">
        <f t="shared" si="62"/>
        <v>0.160639531046267</v>
      </c>
      <c r="Q84" s="24">
        <f t="shared" si="63"/>
        <v>0.0417662780720295</v>
      </c>
      <c r="R84" s="18">
        <f t="shared" si="64"/>
        <v>0.1355172</v>
      </c>
      <c r="S84" s="25">
        <f t="shared" si="65"/>
        <v>0.308199092602485</v>
      </c>
      <c r="T84" s="3">
        <v>0.01</v>
      </c>
      <c r="U84" s="26">
        <f t="shared" si="66"/>
        <v>0.00308199092602485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0.0105319909260248</v>
      </c>
      <c r="AU84" s="29">
        <f t="shared" si="70"/>
        <v>52.122</v>
      </c>
      <c r="AV84" s="1">
        <f t="shared" si="71"/>
        <v>0.26</v>
      </c>
      <c r="AW84" s="2">
        <f t="shared" si="72"/>
        <v>21.5441024628393</v>
      </c>
      <c r="AX84" s="1">
        <f t="shared" si="73"/>
        <v>20601.9393692702</v>
      </c>
    </row>
    <row r="85" s="1" customFormat="1" spans="1:51">
      <c r="A85" s="13"/>
      <c r="B85" s="13"/>
      <c r="C85" s="16">
        <v>11</v>
      </c>
      <c r="D85" s="19">
        <v>17.0557464195</v>
      </c>
      <c r="E85" s="20">
        <f t="shared" si="74"/>
        <v>23.3336588254839</v>
      </c>
      <c r="F85" s="16" t="s">
        <v>112</v>
      </c>
      <c r="G85" s="13">
        <v>12</v>
      </c>
      <c r="H85" s="18">
        <f t="shared" si="57"/>
        <v>17.0557464195</v>
      </c>
      <c r="I85" s="18">
        <f t="shared" si="58"/>
        <v>290.2057464195</v>
      </c>
      <c r="J85" s="18">
        <f t="shared" si="59"/>
        <v>0.141593738369779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0.918113306634465</v>
      </c>
      <c r="P85" s="18">
        <f t="shared" si="62"/>
        <v>0.129999095333413</v>
      </c>
      <c r="Q85" s="24">
        <f t="shared" si="63"/>
        <v>0.0337997647866874</v>
      </c>
      <c r="R85" s="18">
        <f t="shared" si="64"/>
        <v>0.1355172</v>
      </c>
      <c r="S85" s="25">
        <f t="shared" si="65"/>
        <v>0.249413098755637</v>
      </c>
      <c r="T85" s="3">
        <v>0.01</v>
      </c>
      <c r="U85" s="26">
        <f t="shared" si="66"/>
        <v>0.00249413098755637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0.005</v>
      </c>
      <c r="AF85" s="3">
        <v>0.49</v>
      </c>
      <c r="AG85" s="26">
        <f t="shared" si="67"/>
        <v>0.00245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0.00994413098755637</v>
      </c>
      <c r="AU85" s="29">
        <f t="shared" si="70"/>
        <v>52.122</v>
      </c>
      <c r="AV85" s="1">
        <f t="shared" si="71"/>
        <v>0.26</v>
      </c>
      <c r="AW85" s="2">
        <f t="shared" si="72"/>
        <v>21.5441024628393</v>
      </c>
      <c r="AX85" s="1">
        <f t="shared" si="73"/>
        <v>19452.0091333806</v>
      </c>
      <c r="AY85" s="1">
        <f>SUM(AX74:AX85)</f>
        <v>324721.810461485</v>
      </c>
    </row>
    <row r="86" s="1" customFormat="1" spans="1:46">
      <c r="A86" s="13"/>
      <c r="B86" s="13"/>
      <c r="C86" s="16">
        <v>12</v>
      </c>
      <c r="D86" s="19">
        <v>14.4303977725806</v>
      </c>
      <c r="E86" s="20">
        <f t="shared" si="74"/>
        <v>17.0557464195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12</v>
      </c>
      <c r="E90" s="16"/>
      <c r="F90" s="16"/>
      <c r="G90" s="13">
        <v>1</v>
      </c>
      <c r="H90" s="18">
        <f t="shared" ref="H90:H101" si="76">E91</f>
        <v>12</v>
      </c>
      <c r="I90" s="18">
        <f t="shared" ref="I90:I101" si="77">H90+273.15</f>
        <v>285.15</v>
      </c>
      <c r="J90" s="18">
        <f t="shared" ref="J90:J101" si="78">EXP(($C$16*(I90-$C$14))/($C$17*I90*$C$14))</f>
        <v>0.0781080022050146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0.0222373482277677</v>
      </c>
      <c r="Q90" s="24">
        <f t="shared" ref="Q90:Q101" si="82">P90*$B$76</f>
        <v>0.00578171053921959</v>
      </c>
      <c r="R90" s="18">
        <f t="shared" ref="R90:R101" si="83">L90*$B$76</f>
        <v>0.074022</v>
      </c>
      <c r="S90" s="25">
        <f t="shared" ref="S90:S101" si="84">Q90/R90</f>
        <v>0.0781080022050146</v>
      </c>
      <c r="T90" s="3">
        <v>0.01</v>
      </c>
      <c r="U90" s="26">
        <f t="shared" ref="U90:U101" si="85">S90*T90</f>
        <v>0.000781080022050146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0.00627108002205015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0.06</v>
      </c>
      <c r="AX90" s="1">
        <f t="shared" ref="AX90:AX101" si="92">AW90*10000*AV90*0.67*AU90*AT90</f>
        <v>18.6607549927663</v>
      </c>
      <c r="AZ90" s="2">
        <f t="shared" ref="AZ90:AZ101" si="93">$E$10</f>
        <v>4.1</v>
      </c>
      <c r="BA90" s="1">
        <f t="shared" ref="BA90:BA101" si="94">AZ90*10000*AV90*0.67*AU90*AT90</f>
        <v>1275.15159117236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10.7402845627097</v>
      </c>
      <c r="E91" s="20">
        <f t="shared" ref="E91:E102" si="95">D90</f>
        <v>12</v>
      </c>
      <c r="F91" s="16" t="s">
        <v>110</v>
      </c>
      <c r="G91" s="13">
        <v>2</v>
      </c>
      <c r="H91" s="18">
        <f t="shared" si="76"/>
        <v>10.7402845627097</v>
      </c>
      <c r="I91" s="18">
        <f t="shared" si="77"/>
        <v>283.89028456271</v>
      </c>
      <c r="J91" s="18">
        <f t="shared" si="78"/>
        <v>0.0671262036672754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0.547162651772232</v>
      </c>
      <c r="P91" s="18">
        <f t="shared" si="81"/>
        <v>0.0367289516019894</v>
      </c>
      <c r="Q91" s="24">
        <f t="shared" si="82"/>
        <v>0.00954952741651723</v>
      </c>
      <c r="R91" s="18">
        <f t="shared" si="83"/>
        <v>0.074022</v>
      </c>
      <c r="S91" s="25">
        <f t="shared" si="84"/>
        <v>0.129009313670493</v>
      </c>
      <c r="T91" s="3">
        <v>0.01</v>
      </c>
      <c r="U91" s="26">
        <f t="shared" si="85"/>
        <v>0.00129009313670493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0.00678009313670493</v>
      </c>
      <c r="AU91" s="29">
        <f t="shared" si="89"/>
        <v>28.47</v>
      </c>
      <c r="AV91" s="1">
        <f t="shared" si="90"/>
        <v>0.26</v>
      </c>
      <c r="AW91" s="2">
        <f t="shared" si="91"/>
        <v>0.06</v>
      </c>
      <c r="AX91" s="1">
        <f t="shared" si="92"/>
        <v>20.1754173774399</v>
      </c>
      <c r="AZ91" s="2">
        <f t="shared" si="93"/>
        <v>4.1</v>
      </c>
      <c r="BA91" s="1">
        <f t="shared" si="94"/>
        <v>1378.65352079173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11.4890676527241</v>
      </c>
      <c r="E92" s="20">
        <f t="shared" si="95"/>
        <v>10.7402845627097</v>
      </c>
      <c r="F92" s="16" t="s">
        <v>110</v>
      </c>
      <c r="G92" s="13">
        <v>3</v>
      </c>
      <c r="H92" s="18">
        <f t="shared" si="76"/>
        <v>11.4890676527241</v>
      </c>
      <c r="I92" s="18">
        <f t="shared" si="77"/>
        <v>284.639067652724</v>
      </c>
      <c r="J92" s="18">
        <f t="shared" si="78"/>
        <v>0.0734642913392727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0.795133700170243</v>
      </c>
      <c r="P92" s="18">
        <f t="shared" si="81"/>
        <v>0.0584139338029806</v>
      </c>
      <c r="Q92" s="24">
        <f t="shared" si="82"/>
        <v>0.015187622788775</v>
      </c>
      <c r="R92" s="18">
        <f t="shared" si="83"/>
        <v>0.074022</v>
      </c>
      <c r="S92" s="25">
        <f t="shared" si="84"/>
        <v>0.205177147182932</v>
      </c>
      <c r="T92" s="3">
        <v>0.01</v>
      </c>
      <c r="U92" s="26">
        <f t="shared" si="85"/>
        <v>0.00205177147182932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0.00754177147182932</v>
      </c>
      <c r="AU92" s="29">
        <f t="shared" si="89"/>
        <v>28.47</v>
      </c>
      <c r="AV92" s="1">
        <f t="shared" si="90"/>
        <v>0.26</v>
      </c>
      <c r="AW92" s="2">
        <f t="shared" si="91"/>
        <v>0.06</v>
      </c>
      <c r="AX92" s="1">
        <f t="shared" si="92"/>
        <v>22.4419317170875</v>
      </c>
      <c r="AZ92" s="2">
        <f t="shared" si="93"/>
        <v>4.1</v>
      </c>
      <c r="BA92" s="1">
        <f t="shared" si="94"/>
        <v>1533.53200066765</v>
      </c>
    </row>
    <row r="93" s="1" customFormat="1" spans="1:53">
      <c r="A93" s="13"/>
      <c r="B93" s="13"/>
      <c r="C93" s="16">
        <v>3</v>
      </c>
      <c r="D93" s="19">
        <v>16.2254832177097</v>
      </c>
      <c r="E93" s="20">
        <f t="shared" si="95"/>
        <v>11.4890676527241</v>
      </c>
      <c r="F93" s="16" t="s">
        <v>110</v>
      </c>
      <c r="G93" s="13">
        <v>4</v>
      </c>
      <c r="H93" s="18">
        <f t="shared" si="76"/>
        <v>16.2254832177097</v>
      </c>
      <c r="I93" s="18">
        <f t="shared" si="77"/>
        <v>289.37548321771</v>
      </c>
      <c r="J93" s="18">
        <f t="shared" si="78"/>
        <v>0.128598864208907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1.02141976636726</v>
      </c>
      <c r="P93" s="18">
        <f t="shared" si="81"/>
        <v>0.131353421835357</v>
      </c>
      <c r="Q93" s="24">
        <f t="shared" si="82"/>
        <v>0.0341518896771928</v>
      </c>
      <c r="R93" s="18">
        <f t="shared" si="83"/>
        <v>0.074022</v>
      </c>
      <c r="S93" s="25">
        <f t="shared" si="84"/>
        <v>0.461374857166692</v>
      </c>
      <c r="T93" s="3">
        <v>0.01</v>
      </c>
      <c r="U93" s="26">
        <f t="shared" si="85"/>
        <v>0.00461374857166692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0.0145637485716669</v>
      </c>
      <c r="AU93" s="29">
        <f t="shared" si="89"/>
        <v>28.47</v>
      </c>
      <c r="AV93" s="1">
        <f t="shared" si="90"/>
        <v>0.26</v>
      </c>
      <c r="AW93" s="2">
        <f t="shared" si="91"/>
        <v>0.06</v>
      </c>
      <c r="AX93" s="1">
        <f t="shared" si="92"/>
        <v>43.3371194302315</v>
      </c>
      <c r="AZ93" s="2">
        <f t="shared" si="93"/>
        <v>4.1</v>
      </c>
      <c r="BA93" s="1">
        <f t="shared" si="94"/>
        <v>2961.36982773249</v>
      </c>
    </row>
    <row r="94" s="1" customFormat="1" spans="1:53">
      <c r="A94" s="13"/>
      <c r="B94" s="13"/>
      <c r="C94" s="16">
        <v>4</v>
      </c>
      <c r="D94" s="19">
        <v>22.468706179</v>
      </c>
      <c r="E94" s="20">
        <f t="shared" si="95"/>
        <v>16.2254832177097</v>
      </c>
      <c r="F94" s="16" t="s">
        <v>110</v>
      </c>
      <c r="G94" s="13">
        <v>5</v>
      </c>
      <c r="H94" s="18">
        <f t="shared" si="76"/>
        <v>22.468706179</v>
      </c>
      <c r="I94" s="18">
        <f t="shared" si="77"/>
        <v>295.618706179</v>
      </c>
      <c r="J94" s="18">
        <f t="shared" si="78"/>
        <v>0.261728421212133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0.84556302730531</v>
      </c>
      <c r="O94" s="18">
        <f t="shared" si="96"/>
        <v>0.329203317226595</v>
      </c>
      <c r="P94" s="18">
        <f t="shared" si="81"/>
        <v>0.0861618644755138</v>
      </c>
      <c r="Q94" s="24">
        <f t="shared" si="82"/>
        <v>0.0224020847636336</v>
      </c>
      <c r="R94" s="18">
        <f t="shared" si="83"/>
        <v>0.074022</v>
      </c>
      <c r="S94" s="25">
        <f t="shared" si="84"/>
        <v>0.30264090086236</v>
      </c>
      <c r="T94" s="3">
        <v>0.01</v>
      </c>
      <c r="U94" s="26">
        <f t="shared" si="85"/>
        <v>0.0030264090086236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0.0129764090086236</v>
      </c>
      <c r="AU94" s="29">
        <f t="shared" si="89"/>
        <v>28.47</v>
      </c>
      <c r="AV94" s="1">
        <f t="shared" si="90"/>
        <v>0.26</v>
      </c>
      <c r="AW94" s="2">
        <f t="shared" si="91"/>
        <v>0.06</v>
      </c>
      <c r="AX94" s="1">
        <f t="shared" si="92"/>
        <v>38.6136978549807</v>
      </c>
      <c r="AZ94" s="2">
        <f t="shared" si="93"/>
        <v>4.1</v>
      </c>
      <c r="BA94" s="1">
        <f t="shared" si="94"/>
        <v>2638.60268675701</v>
      </c>
    </row>
    <row r="95" s="1" customFormat="1" spans="1:53">
      <c r="A95" s="13"/>
      <c r="B95" s="13"/>
      <c r="C95" s="16">
        <v>5</v>
      </c>
      <c r="D95" s="19">
        <v>24.5358578119355</v>
      </c>
      <c r="E95" s="20">
        <f t="shared" si="95"/>
        <v>22.468706179</v>
      </c>
      <c r="F95" s="16" t="s">
        <v>112</v>
      </c>
      <c r="G95" s="13">
        <v>6</v>
      </c>
      <c r="H95" s="18">
        <f t="shared" si="76"/>
        <v>24.5358578119355</v>
      </c>
      <c r="I95" s="18">
        <f t="shared" si="77"/>
        <v>297.685857811935</v>
      </c>
      <c r="J95" s="18">
        <f t="shared" si="78"/>
        <v>0.328988949766223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0.527741452751082</v>
      </c>
      <c r="P95" s="18">
        <f t="shared" si="81"/>
        <v>0.173621106288679</v>
      </c>
      <c r="Q95" s="24">
        <f t="shared" si="82"/>
        <v>0.0451414876350566</v>
      </c>
      <c r="R95" s="18">
        <f t="shared" si="83"/>
        <v>0.074022</v>
      </c>
      <c r="S95" s="25">
        <f t="shared" si="84"/>
        <v>0.609838799749488</v>
      </c>
      <c r="T95" s="3">
        <v>0.01</v>
      </c>
      <c r="U95" s="26">
        <f t="shared" si="85"/>
        <v>0.00609838799749488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0.0160483879974949</v>
      </c>
      <c r="AU95" s="29">
        <f t="shared" si="89"/>
        <v>28.47</v>
      </c>
      <c r="AV95" s="1">
        <f t="shared" si="90"/>
        <v>0.26</v>
      </c>
      <c r="AW95" s="2">
        <f t="shared" si="91"/>
        <v>0.06</v>
      </c>
      <c r="AX95" s="1">
        <f t="shared" si="92"/>
        <v>47.7549378092927</v>
      </c>
      <c r="AZ95" s="2">
        <f t="shared" si="93"/>
        <v>4.1</v>
      </c>
      <c r="BA95" s="1">
        <f t="shared" si="94"/>
        <v>3263.254083635</v>
      </c>
    </row>
    <row r="96" s="1" customFormat="1" spans="1:53">
      <c r="A96" s="13"/>
      <c r="B96" s="13"/>
      <c r="C96" s="16">
        <v>6</v>
      </c>
      <c r="D96" s="19">
        <v>27.2892622296667</v>
      </c>
      <c r="E96" s="20">
        <f t="shared" si="95"/>
        <v>24.5358578119355</v>
      </c>
      <c r="F96" s="16" t="s">
        <v>110</v>
      </c>
      <c r="G96" s="13">
        <v>7</v>
      </c>
      <c r="H96" s="18">
        <f t="shared" si="76"/>
        <v>27.2892622296667</v>
      </c>
      <c r="I96" s="18">
        <f t="shared" si="77"/>
        <v>300.439262229667</v>
      </c>
      <c r="J96" s="18">
        <f t="shared" si="78"/>
        <v>0.443981204735559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0.638820346462402</v>
      </c>
      <c r="P96" s="18">
        <f t="shared" si="81"/>
        <v>0.283624227031965</v>
      </c>
      <c r="Q96" s="24">
        <f t="shared" si="82"/>
        <v>0.0737422990283108</v>
      </c>
      <c r="R96" s="18">
        <f t="shared" si="83"/>
        <v>0.074022</v>
      </c>
      <c r="S96" s="25">
        <f t="shared" si="84"/>
        <v>0.996221380512696</v>
      </c>
      <c r="T96" s="3">
        <v>0.01</v>
      </c>
      <c r="U96" s="26">
        <f t="shared" si="85"/>
        <v>0.00996221380512696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0.024862213805127</v>
      </c>
      <c r="AU96" s="29">
        <f t="shared" si="89"/>
        <v>28.47</v>
      </c>
      <c r="AV96" s="1">
        <f t="shared" si="90"/>
        <v>0.26</v>
      </c>
      <c r="AW96" s="2">
        <f t="shared" si="91"/>
        <v>0.06</v>
      </c>
      <c r="AX96" s="1">
        <f t="shared" si="92"/>
        <v>73.9821017693809</v>
      </c>
      <c r="AZ96" s="2">
        <f t="shared" si="93"/>
        <v>4.1</v>
      </c>
      <c r="BA96" s="1">
        <f t="shared" si="94"/>
        <v>5055.4436209077</v>
      </c>
    </row>
    <row r="97" s="1" customFormat="1" spans="1:53">
      <c r="A97" s="13"/>
      <c r="B97" s="13"/>
      <c r="C97" s="16">
        <v>7</v>
      </c>
      <c r="D97" s="19">
        <v>27.9437864883871</v>
      </c>
      <c r="E97" s="20">
        <f t="shared" si="95"/>
        <v>27.2892622296667</v>
      </c>
      <c r="F97" s="16" t="s">
        <v>110</v>
      </c>
      <c r="G97" s="13">
        <v>8</v>
      </c>
      <c r="H97" s="18">
        <f t="shared" si="76"/>
        <v>27.9437864883871</v>
      </c>
      <c r="I97" s="18">
        <f t="shared" si="77"/>
        <v>301.093786488387</v>
      </c>
      <c r="J97" s="18">
        <f t="shared" si="78"/>
        <v>0.476387957905219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0.639896119430438</v>
      </c>
      <c r="P97" s="18">
        <f t="shared" si="81"/>
        <v>0.30483880560694</v>
      </c>
      <c r="Q97" s="24">
        <f t="shared" si="82"/>
        <v>0.0792580894578045</v>
      </c>
      <c r="R97" s="18">
        <f t="shared" si="83"/>
        <v>0.074022</v>
      </c>
      <c r="S97" s="25">
        <f t="shared" si="84"/>
        <v>1.07073693574619</v>
      </c>
      <c r="T97" s="3">
        <v>0.01</v>
      </c>
      <c r="U97" s="26">
        <f t="shared" si="85"/>
        <v>0.0107073693574619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0.0256073693574619</v>
      </c>
      <c r="AU97" s="29">
        <f t="shared" si="89"/>
        <v>28.47</v>
      </c>
      <c r="AV97" s="1">
        <f t="shared" si="90"/>
        <v>0.26</v>
      </c>
      <c r="AW97" s="2">
        <f t="shared" si="91"/>
        <v>0.06</v>
      </c>
      <c r="AX97" s="1">
        <f t="shared" si="92"/>
        <v>76.1994495220374</v>
      </c>
      <c r="AZ97" s="2">
        <f t="shared" si="93"/>
        <v>4.1</v>
      </c>
      <c r="BA97" s="1">
        <f t="shared" si="94"/>
        <v>5206.96238400589</v>
      </c>
    </row>
    <row r="98" s="1" customFormat="1" spans="1:53">
      <c r="A98" s="13"/>
      <c r="B98" s="13"/>
      <c r="C98" s="16">
        <v>8</v>
      </c>
      <c r="D98" s="19">
        <v>27.2266671032258</v>
      </c>
      <c r="E98" s="20">
        <f t="shared" si="95"/>
        <v>27.9437864883871</v>
      </c>
      <c r="F98" s="16" t="s">
        <v>110</v>
      </c>
      <c r="G98" s="13">
        <v>9</v>
      </c>
      <c r="H98" s="18">
        <f t="shared" si="76"/>
        <v>27.2266671032258</v>
      </c>
      <c r="I98" s="18">
        <f t="shared" si="77"/>
        <v>300.376667103226</v>
      </c>
      <c r="J98" s="18">
        <f t="shared" si="78"/>
        <v>0.44099284899129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0.619757313823497</v>
      </c>
      <c r="P98" s="18">
        <f t="shared" si="81"/>
        <v>0.273308543506213</v>
      </c>
      <c r="Q98" s="24">
        <f t="shared" si="82"/>
        <v>0.0710602213116154</v>
      </c>
      <c r="R98" s="18">
        <f t="shared" si="83"/>
        <v>0.074022</v>
      </c>
      <c r="S98" s="25">
        <f t="shared" si="84"/>
        <v>0.959987859171806</v>
      </c>
      <c r="T98" s="3">
        <v>0.01</v>
      </c>
      <c r="U98" s="26">
        <f t="shared" si="85"/>
        <v>0.00959987859171806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0.0195498785917181</v>
      </c>
      <c r="AU98" s="29">
        <f t="shared" si="89"/>
        <v>28.47</v>
      </c>
      <c r="AV98" s="1">
        <f t="shared" si="90"/>
        <v>0.26</v>
      </c>
      <c r="AW98" s="2">
        <f t="shared" si="91"/>
        <v>0.06</v>
      </c>
      <c r="AX98" s="1">
        <f t="shared" si="92"/>
        <v>58.1742687472694</v>
      </c>
      <c r="AZ98" s="2">
        <f t="shared" si="93"/>
        <v>4.1</v>
      </c>
      <c r="BA98" s="1">
        <f t="shared" si="94"/>
        <v>3975.24169773007</v>
      </c>
    </row>
    <row r="99" s="1" customFormat="1" spans="1:53">
      <c r="A99" s="13"/>
      <c r="B99" s="13"/>
      <c r="C99" s="16">
        <v>9</v>
      </c>
      <c r="D99" s="19">
        <v>25.6453095546667</v>
      </c>
      <c r="E99" s="20">
        <f t="shared" si="95"/>
        <v>27.2266671032258</v>
      </c>
      <c r="F99" s="16" t="s">
        <v>110</v>
      </c>
      <c r="G99" s="13">
        <v>10</v>
      </c>
      <c r="H99" s="18">
        <f t="shared" si="76"/>
        <v>25.6453095546667</v>
      </c>
      <c r="I99" s="18">
        <f t="shared" si="77"/>
        <v>298.795309554667</v>
      </c>
      <c r="J99" s="18">
        <f t="shared" si="78"/>
        <v>0.371471697203271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0.631148770317284</v>
      </c>
      <c r="P99" s="18">
        <f t="shared" si="81"/>
        <v>0.234453904897519</v>
      </c>
      <c r="Q99" s="24">
        <f t="shared" si="82"/>
        <v>0.060958015273355</v>
      </c>
      <c r="R99" s="18">
        <f t="shared" si="83"/>
        <v>0.074022</v>
      </c>
      <c r="S99" s="25">
        <f t="shared" si="84"/>
        <v>0.823512135221352</v>
      </c>
      <c r="T99" s="3">
        <v>0.01</v>
      </c>
      <c r="U99" s="26">
        <f t="shared" si="85"/>
        <v>0.00823512135221353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0.0181851213522135</v>
      </c>
      <c r="AU99" s="29">
        <f t="shared" si="89"/>
        <v>28.47</v>
      </c>
      <c r="AV99" s="1">
        <f t="shared" si="90"/>
        <v>0.26</v>
      </c>
      <c r="AW99" s="2">
        <f t="shared" si="91"/>
        <v>0.06</v>
      </c>
      <c r="AX99" s="1">
        <f t="shared" si="92"/>
        <v>54.1131819198887</v>
      </c>
      <c r="AZ99" s="2">
        <f t="shared" si="93"/>
        <v>4.1</v>
      </c>
      <c r="BA99" s="1">
        <f t="shared" si="94"/>
        <v>3697.73409785906</v>
      </c>
    </row>
    <row r="100" s="1" customFormat="1" spans="1:53">
      <c r="A100" s="13"/>
      <c r="B100" s="13"/>
      <c r="C100" s="16">
        <v>10</v>
      </c>
      <c r="D100" s="19">
        <v>23.3336588254839</v>
      </c>
      <c r="E100" s="20">
        <f t="shared" si="95"/>
        <v>25.6453095546667</v>
      </c>
      <c r="F100" s="16" t="s">
        <v>110</v>
      </c>
      <c r="G100" s="13">
        <v>11</v>
      </c>
      <c r="H100" s="18">
        <f t="shared" si="76"/>
        <v>23.3336588254839</v>
      </c>
      <c r="I100" s="18">
        <f t="shared" si="77"/>
        <v>296.483658825484</v>
      </c>
      <c r="J100" s="18">
        <f t="shared" si="78"/>
        <v>0.288125685501338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0.376860122148777</v>
      </c>
      <c r="O100" s="18">
        <f t="shared" si="96"/>
        <v>0.304534743270988</v>
      </c>
      <c r="P100" s="18">
        <f t="shared" si="81"/>
        <v>0.0877442816639275</v>
      </c>
      <c r="Q100" s="24">
        <f t="shared" si="82"/>
        <v>0.0228135132326211</v>
      </c>
      <c r="R100" s="18">
        <f t="shared" si="83"/>
        <v>0.074022</v>
      </c>
      <c r="S100" s="25">
        <f t="shared" si="84"/>
        <v>0.308199092602485</v>
      </c>
      <c r="T100" s="3">
        <v>0.01</v>
      </c>
      <c r="U100" s="26">
        <f t="shared" si="85"/>
        <v>0.00308199092602485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0.00857199092602485</v>
      </c>
      <c r="AU100" s="29">
        <f t="shared" si="89"/>
        <v>28.47</v>
      </c>
      <c r="AV100" s="1">
        <f t="shared" si="90"/>
        <v>0.26</v>
      </c>
      <c r="AW100" s="2">
        <f t="shared" si="91"/>
        <v>0.06</v>
      </c>
      <c r="AX100" s="1">
        <f t="shared" si="92"/>
        <v>25.5075396755137</v>
      </c>
      <c r="AZ100" s="2">
        <f t="shared" si="93"/>
        <v>4.1</v>
      </c>
      <c r="BA100" s="1">
        <f t="shared" si="94"/>
        <v>1743.0152111601</v>
      </c>
    </row>
    <row r="101" s="1" customFormat="1" spans="1:54">
      <c r="A101" s="13"/>
      <c r="B101" s="13"/>
      <c r="C101" s="16">
        <v>11</v>
      </c>
      <c r="D101" s="19">
        <v>17.0557464195</v>
      </c>
      <c r="E101" s="20">
        <f t="shared" si="95"/>
        <v>23.3336588254839</v>
      </c>
      <c r="F101" s="16" t="s">
        <v>112</v>
      </c>
      <c r="G101" s="13">
        <v>12</v>
      </c>
      <c r="H101" s="18">
        <f t="shared" si="76"/>
        <v>17.0557464195</v>
      </c>
      <c r="I101" s="18">
        <f t="shared" si="77"/>
        <v>290.2057464195</v>
      </c>
      <c r="J101" s="18">
        <f t="shared" si="78"/>
        <v>0.141593738369779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0.501490461607061</v>
      </c>
      <c r="P101" s="18">
        <f t="shared" si="81"/>
        <v>0.0710079092157299</v>
      </c>
      <c r="Q101" s="24">
        <f t="shared" si="82"/>
        <v>0.0184620563960898</v>
      </c>
      <c r="R101" s="18">
        <f t="shared" si="83"/>
        <v>0.074022</v>
      </c>
      <c r="S101" s="25">
        <f t="shared" si="84"/>
        <v>0.249413098755637</v>
      </c>
      <c r="T101" s="3">
        <v>0.01</v>
      </c>
      <c r="U101" s="26">
        <f t="shared" si="85"/>
        <v>0.00249413098755637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0.00798413098755637</v>
      </c>
      <c r="AU101" s="29">
        <f t="shared" si="89"/>
        <v>28.47</v>
      </c>
      <c r="AV101" s="1">
        <f t="shared" si="90"/>
        <v>0.26</v>
      </c>
      <c r="AW101" s="2">
        <f t="shared" si="91"/>
        <v>0.06</v>
      </c>
      <c r="AX101" s="1">
        <f t="shared" si="92"/>
        <v>23.7582540272281</v>
      </c>
      <c r="AY101" s="1">
        <f>SUM(AX90:AX101)</f>
        <v>502.718654843117</v>
      </c>
      <c r="AZ101" s="2">
        <f t="shared" si="93"/>
        <v>4.1</v>
      </c>
      <c r="BA101" s="1">
        <f t="shared" si="94"/>
        <v>1623.48069186059</v>
      </c>
      <c r="BB101" s="1">
        <f>SUM(BA90:BA101)</f>
        <v>34352.4414142797</v>
      </c>
    </row>
    <row r="102" s="1" customFormat="1" spans="1:46">
      <c r="A102" s="13"/>
      <c r="B102" s="13"/>
      <c r="C102" s="16">
        <v>12</v>
      </c>
      <c r="D102" s="19">
        <v>14.4303977725806</v>
      </c>
      <c r="E102" s="20">
        <f t="shared" si="95"/>
        <v>17.0557464195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H59" sqref="AH5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7">
        <v>63.7378</v>
      </c>
      <c r="F2" s="3">
        <v>1166.832</v>
      </c>
      <c r="G2" s="7">
        <f>(F2+F3+F4)/3</f>
        <v>1338.18733333333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9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1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122.802739726027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879.306015995448</v>
      </c>
      <c r="F7" s="3">
        <v>134.758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29978832.0863876</v>
      </c>
      <c r="J14" s="14" t="s">
        <v>35</v>
      </c>
      <c r="K14" s="14">
        <f>I14/(10000*1000)</f>
        <v>2.99788320863876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13527437.5342466</v>
      </c>
      <c r="J15" s="14" t="s">
        <v>35</v>
      </c>
      <c r="K15" s="14">
        <f>I15/(10000*1000)</f>
        <v>1.35274375342466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18</v>
      </c>
      <c r="E27" s="16"/>
      <c r="F27" s="16"/>
      <c r="G27" s="13">
        <v>1</v>
      </c>
      <c r="H27" s="18">
        <f t="shared" ref="H27:H38" si="0">E28</f>
        <v>18</v>
      </c>
      <c r="I27" s="18">
        <f t="shared" ref="I27:I38" si="1">H27+273.15</f>
        <v>291.15</v>
      </c>
      <c r="J27" s="18">
        <f t="shared" ref="J27:J38" si="2">EXP(($C$16*(I27-$C$14))/($C$17*I27*$C$14))</f>
        <v>0.157870513912988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0.17605026835432</v>
      </c>
      <c r="Q27" s="24">
        <f t="shared" ref="Q27:Q38" si="6">P27*$B$29</f>
        <v>0.0211260322025184</v>
      </c>
      <c r="R27" s="18">
        <f t="shared" ref="R27:R38" si="7">L27*$B$29</f>
        <v>0.133818733333333</v>
      </c>
      <c r="S27" s="25">
        <f t="shared" ref="S27:S38" si="8">Q27/R27</f>
        <v>0.157870513912988</v>
      </c>
      <c r="T27" s="3">
        <v>0.01</v>
      </c>
      <c r="U27" s="26">
        <f t="shared" ref="U27:U38" si="9">S27*T27</f>
        <v>0.00157870513912988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0.0234787051391299</v>
      </c>
      <c r="AR27" s="29">
        <f t="shared" ref="AR27:AR38" si="15">$B$27/12</f>
        <v>111.515611111111</v>
      </c>
      <c r="AS27" s="1">
        <f t="shared" ref="AS27:AS38" si="16">$B$29</f>
        <v>0.12</v>
      </c>
      <c r="AT27" s="2">
        <f>$E$2/12</f>
        <v>5.31148333333333</v>
      </c>
      <c r="AU27" s="1">
        <f t="shared" ref="AU27:AU38" si="17">AT27*10000*AS27*0.67*AR27*AQ27</f>
        <v>11181.0266392611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18.6325489756129</v>
      </c>
      <c r="E28" s="20">
        <f t="shared" ref="E28:E39" si="18">D27</f>
        <v>18</v>
      </c>
      <c r="F28" s="16" t="s">
        <v>110</v>
      </c>
      <c r="G28" s="13">
        <v>2</v>
      </c>
      <c r="H28" s="18">
        <f t="shared" si="0"/>
        <v>18.6325489756129</v>
      </c>
      <c r="I28" s="18">
        <f t="shared" si="1"/>
        <v>291.782548975613</v>
      </c>
      <c r="J28" s="18">
        <f t="shared" si="2"/>
        <v>0.169741122022251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2.0542619538679</v>
      </c>
      <c r="P28" s="18">
        <f t="shared" si="5"/>
        <v>0.348692728977159</v>
      </c>
      <c r="Q28" s="24">
        <f t="shared" si="6"/>
        <v>0.0418431274772591</v>
      </c>
      <c r="R28" s="18">
        <f t="shared" si="7"/>
        <v>0.133818733333333</v>
      </c>
      <c r="S28" s="25">
        <f t="shared" si="8"/>
        <v>0.312685125878682</v>
      </c>
      <c r="T28" s="3">
        <v>0.01</v>
      </c>
      <c r="U28" s="26">
        <f t="shared" si="9"/>
        <v>0.00312685125878682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0.0250268512587868</v>
      </c>
      <c r="AR28" s="29">
        <f t="shared" si="15"/>
        <v>111.515611111111</v>
      </c>
      <c r="AS28" s="1">
        <f t="shared" si="16"/>
        <v>0.12</v>
      </c>
      <c r="AT28" s="2">
        <f t="shared" ref="AT28:AT38" si="20">$E$2/12</f>
        <v>5.31148333333333</v>
      </c>
      <c r="AU28" s="1">
        <f t="shared" si="17"/>
        <v>11918.2846312491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16.7316438058621</v>
      </c>
      <c r="E29" s="20">
        <f t="shared" si="18"/>
        <v>18.6325489756129</v>
      </c>
      <c r="F29" s="16" t="s">
        <v>110</v>
      </c>
      <c r="G29" s="13">
        <v>3</v>
      </c>
      <c r="H29" s="18">
        <f t="shared" si="0"/>
        <v>16.7316438058621</v>
      </c>
      <c r="I29" s="18">
        <f t="shared" si="1"/>
        <v>289.881643805862</v>
      </c>
      <c r="J29" s="18">
        <f t="shared" si="2"/>
        <v>0.136380645842431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2.82072533600185</v>
      </c>
      <c r="P29" s="18">
        <f t="shared" si="5"/>
        <v>0.384692343068041</v>
      </c>
      <c r="Q29" s="24">
        <f t="shared" si="6"/>
        <v>0.0461630811681649</v>
      </c>
      <c r="R29" s="18">
        <f t="shared" si="7"/>
        <v>0.133818733333333</v>
      </c>
      <c r="S29" s="25">
        <f t="shared" si="8"/>
        <v>0.344967255467707</v>
      </c>
      <c r="T29" s="3">
        <v>0.01</v>
      </c>
      <c r="U29" s="26">
        <f t="shared" si="9"/>
        <v>0.00344967255467707</v>
      </c>
      <c r="V29" s="25"/>
      <c r="W29" s="3"/>
      <c r="X29" s="26"/>
      <c r="Y29" s="28">
        <v>0.04</v>
      </c>
      <c r="Z29" s="3">
        <v>0.21</v>
      </c>
      <c r="AA29" s="27">
        <f t="shared" si="10"/>
        <v>0.0084</v>
      </c>
      <c r="AB29" s="3">
        <v>0.015</v>
      </c>
      <c r="AC29" s="3">
        <v>0.29</v>
      </c>
      <c r="AD29" s="27">
        <f t="shared" si="11"/>
        <v>0.00435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0.0309996725546771</v>
      </c>
      <c r="AR29" s="29">
        <f t="shared" si="15"/>
        <v>111.515611111111</v>
      </c>
      <c r="AS29" s="1">
        <f t="shared" si="16"/>
        <v>0.12</v>
      </c>
      <c r="AT29" s="2">
        <f t="shared" si="20"/>
        <v>5.31148333333333</v>
      </c>
      <c r="AU29" s="1">
        <f t="shared" si="17"/>
        <v>14762.6609980528</v>
      </c>
    </row>
    <row r="30" s="1" customFormat="1" spans="1:47">
      <c r="A30" s="13"/>
      <c r="B30" s="13"/>
      <c r="C30" s="16">
        <v>3</v>
      </c>
      <c r="D30" s="19">
        <v>20.647929176129</v>
      </c>
      <c r="E30" s="20">
        <f t="shared" si="18"/>
        <v>16.7316438058621</v>
      </c>
      <c r="F30" s="16" t="s">
        <v>110</v>
      </c>
      <c r="G30" s="13">
        <v>4</v>
      </c>
      <c r="H30" s="18">
        <f t="shared" si="0"/>
        <v>20.647929176129</v>
      </c>
      <c r="I30" s="18">
        <f t="shared" si="1"/>
        <v>293.797929176129</v>
      </c>
      <c r="J30" s="18">
        <f t="shared" si="2"/>
        <v>0.213403434832766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3.55118910404492</v>
      </c>
      <c r="P30" s="18">
        <f t="shared" si="5"/>
        <v>0.75783595254388</v>
      </c>
      <c r="Q30" s="24">
        <f t="shared" si="6"/>
        <v>0.0909403143052656</v>
      </c>
      <c r="R30" s="18">
        <f t="shared" si="7"/>
        <v>0.133818733333333</v>
      </c>
      <c r="S30" s="25">
        <f t="shared" si="8"/>
        <v>0.679578352297951</v>
      </c>
      <c r="T30" s="3">
        <v>0.01</v>
      </c>
      <c r="U30" s="26">
        <f t="shared" si="9"/>
        <v>0.00679578352297951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0.0343457835229795</v>
      </c>
      <c r="AR30" s="29">
        <f t="shared" si="15"/>
        <v>111.515611111111</v>
      </c>
      <c r="AS30" s="1">
        <f t="shared" si="16"/>
        <v>0.12</v>
      </c>
      <c r="AT30" s="2">
        <f t="shared" si="20"/>
        <v>5.31148333333333</v>
      </c>
      <c r="AU30" s="1">
        <f t="shared" si="17"/>
        <v>16356.1456324401</v>
      </c>
    </row>
    <row r="31" s="1" customFormat="1" spans="1:47">
      <c r="A31" s="13"/>
      <c r="B31" s="13"/>
      <c r="C31" s="16">
        <v>4</v>
      </c>
      <c r="D31" s="19">
        <v>26.0432408813333</v>
      </c>
      <c r="E31" s="20">
        <f t="shared" si="18"/>
        <v>20.647929176129</v>
      </c>
      <c r="F31" s="16" t="s">
        <v>110</v>
      </c>
      <c r="G31" s="13">
        <v>5</v>
      </c>
      <c r="H31" s="18">
        <f t="shared" si="0"/>
        <v>26.0432408813333</v>
      </c>
      <c r="I31" s="18">
        <f t="shared" si="1"/>
        <v>299.193240881333</v>
      </c>
      <c r="J31" s="18">
        <f t="shared" si="2"/>
        <v>0.38792561894413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2.65368549392599</v>
      </c>
      <c r="O31" s="18">
        <f t="shared" si="19"/>
        <v>1.25482376868616</v>
      </c>
      <c r="P31" s="18">
        <f t="shared" si="5"/>
        <v>0.486778287133386</v>
      </c>
      <c r="Q31" s="24">
        <f t="shared" si="6"/>
        <v>0.0584133944560063</v>
      </c>
      <c r="R31" s="18">
        <f t="shared" si="7"/>
        <v>0.133818733333333</v>
      </c>
      <c r="S31" s="25">
        <f t="shared" si="8"/>
        <v>0.436511338890815</v>
      </c>
      <c r="T31" s="3">
        <v>0.01</v>
      </c>
      <c r="U31" s="26">
        <f t="shared" si="9"/>
        <v>0.00436511338890815</v>
      </c>
      <c r="V31" s="25"/>
      <c r="W31" s="3"/>
      <c r="X31" s="26"/>
      <c r="Y31" s="28">
        <v>0.05</v>
      </c>
      <c r="Z31" s="3">
        <v>0.21</v>
      </c>
      <c r="AA31" s="27">
        <f t="shared" si="10"/>
        <v>0.0105</v>
      </c>
      <c r="AB31" s="3">
        <v>0.02</v>
      </c>
      <c r="AC31" s="3">
        <v>0.29</v>
      </c>
      <c r="AD31" s="27">
        <f t="shared" si="11"/>
        <v>0.0058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0.0373651133889082</v>
      </c>
      <c r="AR31" s="29">
        <f t="shared" si="15"/>
        <v>111.515611111111</v>
      </c>
      <c r="AS31" s="1">
        <f t="shared" si="16"/>
        <v>0.12</v>
      </c>
      <c r="AT31" s="2">
        <f t="shared" si="20"/>
        <v>5.31148333333333</v>
      </c>
      <c r="AU31" s="1">
        <f t="shared" si="17"/>
        <v>17794.0106025743</v>
      </c>
    </row>
    <row r="32" s="1" customFormat="1" spans="1:47">
      <c r="A32" s="13"/>
      <c r="B32" s="13"/>
      <c r="C32" s="16">
        <v>5</v>
      </c>
      <c r="D32" s="19">
        <v>27.5161541245161</v>
      </c>
      <c r="E32" s="20">
        <f t="shared" si="18"/>
        <v>26.0432408813333</v>
      </c>
      <c r="F32" s="16" t="s">
        <v>112</v>
      </c>
      <c r="G32" s="13">
        <v>6</v>
      </c>
      <c r="H32" s="18">
        <f t="shared" si="0"/>
        <v>27.5161541245161</v>
      </c>
      <c r="I32" s="18">
        <f t="shared" si="1"/>
        <v>300.666154124516</v>
      </c>
      <c r="J32" s="18">
        <f t="shared" si="2"/>
        <v>0.454973277072128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1.88320159266389</v>
      </c>
      <c r="P32" s="18">
        <f t="shared" si="5"/>
        <v>0.85680640000174</v>
      </c>
      <c r="Q32" s="24">
        <f t="shared" si="6"/>
        <v>0.102816768000209</v>
      </c>
      <c r="R32" s="18">
        <f t="shared" si="7"/>
        <v>0.133818733333333</v>
      </c>
      <c r="S32" s="25">
        <f t="shared" si="8"/>
        <v>0.768328659516596</v>
      </c>
      <c r="T32" s="3">
        <v>0.01</v>
      </c>
      <c r="U32" s="26">
        <f t="shared" si="9"/>
        <v>0.00768328659516596</v>
      </c>
      <c r="V32" s="25"/>
      <c r="W32" s="3"/>
      <c r="X32" s="26"/>
      <c r="Y32" s="28">
        <v>0.05</v>
      </c>
      <c r="Z32" s="3">
        <v>0.21</v>
      </c>
      <c r="AA32" s="27">
        <f t="shared" si="10"/>
        <v>0.0105</v>
      </c>
      <c r="AB32" s="3">
        <v>0.02</v>
      </c>
      <c r="AC32" s="3">
        <v>0.29</v>
      </c>
      <c r="AD32" s="27">
        <f t="shared" si="11"/>
        <v>0.0058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0.040683286595166</v>
      </c>
      <c r="AR32" s="29">
        <f t="shared" si="15"/>
        <v>111.515611111111</v>
      </c>
      <c r="AS32" s="1">
        <f t="shared" si="16"/>
        <v>0.12</v>
      </c>
      <c r="AT32" s="2">
        <f t="shared" si="20"/>
        <v>5.31148333333333</v>
      </c>
      <c r="AU32" s="1">
        <f t="shared" si="17"/>
        <v>19374.1907186838</v>
      </c>
    </row>
    <row r="33" s="1" customFormat="1" spans="1:47">
      <c r="A33" s="13"/>
      <c r="B33" s="13"/>
      <c r="C33" s="16">
        <v>6</v>
      </c>
      <c r="D33" s="19">
        <v>28.5712106646667</v>
      </c>
      <c r="E33" s="20">
        <f t="shared" si="18"/>
        <v>27.5161541245161</v>
      </c>
      <c r="F33" s="16" t="s">
        <v>110</v>
      </c>
      <c r="G33" s="13">
        <v>7</v>
      </c>
      <c r="H33" s="18">
        <f t="shared" si="0"/>
        <v>28.5712106646667</v>
      </c>
      <c r="I33" s="18">
        <f t="shared" si="1"/>
        <v>301.721210664667</v>
      </c>
      <c r="J33" s="18">
        <f t="shared" si="2"/>
        <v>0.509525047503617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2.14155130377326</v>
      </c>
      <c r="P33" s="18">
        <f t="shared" si="5"/>
        <v>1.0911740297865</v>
      </c>
      <c r="Q33" s="24">
        <f t="shared" si="6"/>
        <v>0.13094088357438</v>
      </c>
      <c r="R33" s="18">
        <f t="shared" si="7"/>
        <v>0.133818733333333</v>
      </c>
      <c r="S33" s="25">
        <f t="shared" si="8"/>
        <v>0.978494417879562</v>
      </c>
      <c r="T33" s="3">
        <v>0.01</v>
      </c>
      <c r="U33" s="26">
        <f t="shared" si="9"/>
        <v>0.00978494417879562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0.0427849441787956</v>
      </c>
      <c r="AR33" s="29">
        <f t="shared" si="15"/>
        <v>111.515611111111</v>
      </c>
      <c r="AS33" s="1">
        <f t="shared" si="16"/>
        <v>0.12</v>
      </c>
      <c r="AT33" s="2">
        <f t="shared" si="20"/>
        <v>5.31148333333333</v>
      </c>
      <c r="AU33" s="1">
        <f t="shared" si="17"/>
        <v>20375.0418853014</v>
      </c>
    </row>
    <row r="34" s="1" customFormat="1" spans="1:47">
      <c r="A34" s="13"/>
      <c r="B34" s="13"/>
      <c r="C34" s="16">
        <v>7</v>
      </c>
      <c r="D34" s="19">
        <v>28.4727356835484</v>
      </c>
      <c r="E34" s="20">
        <f t="shared" si="18"/>
        <v>28.5712106646667</v>
      </c>
      <c r="F34" s="16" t="s">
        <v>110</v>
      </c>
      <c r="G34" s="13">
        <v>8</v>
      </c>
      <c r="H34" s="18">
        <f t="shared" si="0"/>
        <v>28.4727356835484</v>
      </c>
      <c r="I34" s="18">
        <f t="shared" si="1"/>
        <v>301.622735683548</v>
      </c>
      <c r="J34" s="18">
        <f t="shared" si="2"/>
        <v>0.504184922059567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2.16553338509787</v>
      </c>
      <c r="P34" s="18">
        <f t="shared" si="5"/>
        <v>1.09182928098296</v>
      </c>
      <c r="Q34" s="24">
        <f t="shared" si="6"/>
        <v>0.131019513717955</v>
      </c>
      <c r="R34" s="18">
        <f t="shared" si="7"/>
        <v>0.133818733333333</v>
      </c>
      <c r="S34" s="25">
        <f t="shared" si="8"/>
        <v>0.979082004846021</v>
      </c>
      <c r="T34" s="3">
        <v>0.01</v>
      </c>
      <c r="U34" s="26">
        <f t="shared" si="9"/>
        <v>0.00979082004846021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0.0427908200484602</v>
      </c>
      <c r="AR34" s="29">
        <f t="shared" si="15"/>
        <v>111.515611111111</v>
      </c>
      <c r="AS34" s="1">
        <f t="shared" si="16"/>
        <v>0.12</v>
      </c>
      <c r="AT34" s="2">
        <f t="shared" si="20"/>
        <v>5.31148333333333</v>
      </c>
      <c r="AU34" s="1">
        <f t="shared" si="17"/>
        <v>20377.840091372</v>
      </c>
    </row>
    <row r="35" s="1" customFormat="1" spans="1:47">
      <c r="A35" s="13"/>
      <c r="B35" s="13"/>
      <c r="C35" s="16">
        <v>8</v>
      </c>
      <c r="D35" s="19">
        <v>27.6174961567742</v>
      </c>
      <c r="E35" s="20">
        <f t="shared" si="18"/>
        <v>28.4727356835484</v>
      </c>
      <c r="F35" s="16" t="s">
        <v>110</v>
      </c>
      <c r="G35" s="13">
        <v>9</v>
      </c>
      <c r="H35" s="18">
        <f t="shared" si="0"/>
        <v>27.6174961567742</v>
      </c>
      <c r="I35" s="18">
        <f t="shared" si="1"/>
        <v>300.767496156774</v>
      </c>
      <c r="J35" s="18">
        <f t="shared" si="2"/>
        <v>0.459964964772791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2.18886021522602</v>
      </c>
      <c r="P35" s="18">
        <f t="shared" si="5"/>
        <v>1.006799011789</v>
      </c>
      <c r="Q35" s="24">
        <f t="shared" si="6"/>
        <v>0.12081588141468</v>
      </c>
      <c r="R35" s="18">
        <f t="shared" si="7"/>
        <v>0.133818733333333</v>
      </c>
      <c r="S35" s="25">
        <f t="shared" si="8"/>
        <v>0.902832349441956</v>
      </c>
      <c r="T35" s="3">
        <v>0.01</v>
      </c>
      <c r="U35" s="26">
        <f t="shared" si="9"/>
        <v>0.00902832349441956</v>
      </c>
      <c r="V35" s="25"/>
      <c r="W35" s="3"/>
      <c r="X35" s="26"/>
      <c r="Y35" s="28">
        <v>0.05</v>
      </c>
      <c r="Z35" s="3">
        <v>0.21</v>
      </c>
      <c r="AA35" s="27">
        <f t="shared" si="10"/>
        <v>0.0105</v>
      </c>
      <c r="AB35" s="3">
        <v>0.02</v>
      </c>
      <c r="AC35" s="3">
        <v>0.29</v>
      </c>
      <c r="AD35" s="27">
        <f t="shared" si="11"/>
        <v>0.0058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0.0420283234944196</v>
      </c>
      <c r="AR35" s="29">
        <f t="shared" si="15"/>
        <v>111.515611111111</v>
      </c>
      <c r="AS35" s="1">
        <f t="shared" si="16"/>
        <v>0.12</v>
      </c>
      <c r="AT35" s="2">
        <f t="shared" si="20"/>
        <v>5.31148333333333</v>
      </c>
      <c r="AU35" s="1">
        <f t="shared" si="17"/>
        <v>20014.7240578193</v>
      </c>
    </row>
    <row r="36" s="1" customFormat="1" spans="1:47">
      <c r="A36" s="13"/>
      <c r="B36" s="13"/>
      <c r="C36" s="16">
        <v>9</v>
      </c>
      <c r="D36" s="19">
        <v>27.029027161</v>
      </c>
      <c r="E36" s="20">
        <f t="shared" si="18"/>
        <v>27.6174961567742</v>
      </c>
      <c r="F36" s="16" t="s">
        <v>110</v>
      </c>
      <c r="G36" s="13">
        <v>10</v>
      </c>
      <c r="H36" s="18">
        <f t="shared" si="0"/>
        <v>27.029027161</v>
      </c>
      <c r="I36" s="18">
        <f t="shared" si="1"/>
        <v>300.179027161</v>
      </c>
      <c r="J36" s="18">
        <f t="shared" si="2"/>
        <v>0.43168071359511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2.29721731454813</v>
      </c>
      <c r="P36" s="18">
        <f t="shared" si="5"/>
        <v>0.99166440962718</v>
      </c>
      <c r="Q36" s="24">
        <f t="shared" si="6"/>
        <v>0.118999729155262</v>
      </c>
      <c r="R36" s="18">
        <f t="shared" si="7"/>
        <v>0.133818733333333</v>
      </c>
      <c r="S36" s="25">
        <f t="shared" si="8"/>
        <v>0.889260615394119</v>
      </c>
      <c r="T36" s="3">
        <v>0.01</v>
      </c>
      <c r="U36" s="26">
        <f t="shared" si="9"/>
        <v>0.00889260615394119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0.0383426061539412</v>
      </c>
      <c r="AR36" s="29">
        <f t="shared" si="15"/>
        <v>111.515611111111</v>
      </c>
      <c r="AS36" s="1">
        <f t="shared" si="16"/>
        <v>0.12</v>
      </c>
      <c r="AT36" s="2">
        <f t="shared" si="20"/>
        <v>5.31148333333333</v>
      </c>
      <c r="AU36" s="1">
        <f t="shared" si="17"/>
        <v>18259.5121104622</v>
      </c>
    </row>
    <row r="37" s="1" customFormat="1" spans="1:47">
      <c r="A37" s="13"/>
      <c r="B37" s="13"/>
      <c r="C37" s="16">
        <v>10</v>
      </c>
      <c r="D37" s="19">
        <v>25.8822947970968</v>
      </c>
      <c r="E37" s="20">
        <f t="shared" si="18"/>
        <v>27.029027161</v>
      </c>
      <c r="F37" s="16" t="s">
        <v>110</v>
      </c>
      <c r="G37" s="13">
        <v>11</v>
      </c>
      <c r="H37" s="18">
        <f t="shared" si="0"/>
        <v>25.8822947970968</v>
      </c>
      <c r="I37" s="18">
        <f t="shared" si="1"/>
        <v>299.032294797097</v>
      </c>
      <c r="J37" s="18">
        <f t="shared" si="2"/>
        <v>0.381190010299969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1.2402752596749</v>
      </c>
      <c r="O37" s="18">
        <f t="shared" si="19"/>
        <v>1.18043375635716</v>
      </c>
      <c r="P37" s="18">
        <f t="shared" si="5"/>
        <v>0.449969555744217</v>
      </c>
      <c r="Q37" s="24">
        <f t="shared" si="6"/>
        <v>0.053996346689306</v>
      </c>
      <c r="R37" s="18">
        <f t="shared" si="7"/>
        <v>0.133818733333333</v>
      </c>
      <c r="S37" s="25">
        <f t="shared" si="8"/>
        <v>0.403503645149628</v>
      </c>
      <c r="T37" s="3">
        <v>0.01</v>
      </c>
      <c r="U37" s="26">
        <f t="shared" si="9"/>
        <v>0.00403503645149628</v>
      </c>
      <c r="V37" s="25"/>
      <c r="W37" s="3"/>
      <c r="X37" s="26"/>
      <c r="Y37" s="28">
        <v>0.04</v>
      </c>
      <c r="Z37" s="3">
        <v>0.21</v>
      </c>
      <c r="AA37" s="27">
        <f t="shared" si="10"/>
        <v>0.0084</v>
      </c>
      <c r="AB37" s="3">
        <v>0.015</v>
      </c>
      <c r="AC37" s="3">
        <v>0.29</v>
      </c>
      <c r="AD37" s="27">
        <f t="shared" si="11"/>
        <v>0.00435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0.0334850364514963</v>
      </c>
      <c r="AR37" s="29">
        <f t="shared" si="15"/>
        <v>111.515611111111</v>
      </c>
      <c r="AS37" s="1">
        <f t="shared" si="16"/>
        <v>0.12</v>
      </c>
      <c r="AT37" s="2">
        <f t="shared" si="20"/>
        <v>5.31148333333333</v>
      </c>
      <c r="AU37" s="1">
        <f t="shared" si="17"/>
        <v>15946.2407471882</v>
      </c>
    </row>
    <row r="38" s="1" customFormat="1" spans="1:48">
      <c r="A38" s="13"/>
      <c r="B38" s="13"/>
      <c r="C38" s="16">
        <v>11</v>
      </c>
      <c r="D38" s="19">
        <v>22.981419384</v>
      </c>
      <c r="E38" s="20">
        <f t="shared" si="18"/>
        <v>25.8822947970968</v>
      </c>
      <c r="F38" s="16" t="s">
        <v>112</v>
      </c>
      <c r="G38" s="13">
        <v>12</v>
      </c>
      <c r="H38" s="18">
        <f t="shared" si="0"/>
        <v>22.981419384</v>
      </c>
      <c r="I38" s="18">
        <f t="shared" si="1"/>
        <v>296.131419384</v>
      </c>
      <c r="J38" s="18">
        <f t="shared" si="2"/>
        <v>0.277087552882949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1.84562031172405</v>
      </c>
      <c r="P38" s="18">
        <f t="shared" si="5"/>
        <v>0.511398415726684</v>
      </c>
      <c r="Q38" s="24">
        <f t="shared" si="6"/>
        <v>0.061367809887202</v>
      </c>
      <c r="R38" s="18">
        <f t="shared" si="7"/>
        <v>0.133818733333333</v>
      </c>
      <c r="S38" s="25">
        <f t="shared" si="8"/>
        <v>0.458589080606069</v>
      </c>
      <c r="T38" s="3">
        <v>0.01</v>
      </c>
      <c r="U38" s="26">
        <f t="shared" si="9"/>
        <v>0.00458589080606069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0.0283858908060607</v>
      </c>
      <c r="AR38" s="29">
        <f t="shared" si="15"/>
        <v>111.515611111111</v>
      </c>
      <c r="AS38" s="1">
        <f t="shared" si="16"/>
        <v>0.12</v>
      </c>
      <c r="AT38" s="2">
        <f t="shared" si="20"/>
        <v>5.31148333333333</v>
      </c>
      <c r="AU38" s="1">
        <f t="shared" si="17"/>
        <v>13517.9261122355</v>
      </c>
      <c r="AV38" s="1">
        <f>SUM(AU27:AU38)</f>
        <v>199877.60422664</v>
      </c>
    </row>
    <row r="39" s="1" customFormat="1" spans="1:46">
      <c r="A39" s="13"/>
      <c r="B39" s="13"/>
      <c r="C39" s="16">
        <v>12</v>
      </c>
      <c r="D39" s="19">
        <v>20.664354696129</v>
      </c>
      <c r="E39" s="20">
        <f t="shared" si="18"/>
        <v>22.981419384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18</v>
      </c>
      <c r="E42" s="16"/>
      <c r="F42" s="16"/>
      <c r="G42" s="13">
        <v>1</v>
      </c>
      <c r="H42" s="18">
        <f t="shared" ref="H42:H53" si="21">E43</f>
        <v>18</v>
      </c>
      <c r="I42" s="18">
        <f t="shared" ref="I42:I53" si="22">H42+273.15</f>
        <v>291.15</v>
      </c>
      <c r="J42" s="18">
        <f t="shared" ref="J42:J53" si="23">EXP(($C$16*(I42-$C$14))/($C$17*I42*$C$14))</f>
        <v>0.157870513912988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0.0121704023660042</v>
      </c>
      <c r="Q42" s="24">
        <f t="shared" ref="Q42:Q53" si="27">P42*$B$44</f>
        <v>0.00158215230758055</v>
      </c>
      <c r="R42" s="18">
        <f t="shared" ref="R42:R53" si="28">L42*$B$44</f>
        <v>0.0100218354166667</v>
      </c>
      <c r="S42" s="25">
        <f t="shared" ref="S42:S53" si="29">Q42/R42</f>
        <v>0.157870513912988</v>
      </c>
      <c r="T42" s="3">
        <v>0.01</v>
      </c>
      <c r="U42" s="26">
        <f t="shared" ref="U42:U53" si="30">S42*T42</f>
        <v>0.00157870513912988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0.0163787051391299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>$E$5/12</f>
        <v>10.2335616438356</v>
      </c>
      <c r="AU42" s="1">
        <f t="shared" ref="AU42:AU53" si="36">AT42*10000*AS42*0.67*AR42*AQ42</f>
        <v>1125.45579952065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18.6325489756129</v>
      </c>
      <c r="E43" s="20">
        <f t="shared" ref="E43:E54" si="37">D42</f>
        <v>18</v>
      </c>
      <c r="F43" s="16" t="s">
        <v>110</v>
      </c>
      <c r="G43" s="13">
        <v>2</v>
      </c>
      <c r="H43" s="18">
        <f t="shared" si="21"/>
        <v>18.6325489756129</v>
      </c>
      <c r="I43" s="18">
        <f t="shared" si="22"/>
        <v>291.782548975613</v>
      </c>
      <c r="J43" s="18">
        <f t="shared" si="23"/>
        <v>0.169741122022251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8">L43+O42-P42-N43</f>
        <v>0.142011680967329</v>
      </c>
      <c r="P43" s="18">
        <f t="shared" si="26"/>
        <v>0.0241052220676604</v>
      </c>
      <c r="Q43" s="24">
        <f t="shared" si="27"/>
        <v>0.00313367886879585</v>
      </c>
      <c r="R43" s="18">
        <f t="shared" si="28"/>
        <v>0.0100218354166667</v>
      </c>
      <c r="S43" s="25">
        <f t="shared" si="29"/>
        <v>0.312685125878682</v>
      </c>
      <c r="T43" s="3">
        <v>0.01</v>
      </c>
      <c r="U43" s="26">
        <f t="shared" si="30"/>
        <v>0.00312685125878682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0.0179268512587868</v>
      </c>
      <c r="AR43" s="29">
        <f t="shared" si="34"/>
        <v>7.70910416666667</v>
      </c>
      <c r="AS43" s="1">
        <f t="shared" si="35"/>
        <v>0.13</v>
      </c>
      <c r="AT43" s="2">
        <f t="shared" ref="AT43:AT53" si="39">$E$5/12</f>
        <v>10.2335616438356</v>
      </c>
      <c r="AU43" s="1">
        <f t="shared" si="36"/>
        <v>1231.83600565249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16.7316438058621</v>
      </c>
      <c r="E44" s="20">
        <f t="shared" si="37"/>
        <v>18.6325489756129</v>
      </c>
      <c r="F44" s="16" t="s">
        <v>110</v>
      </c>
      <c r="G44" s="13">
        <v>3</v>
      </c>
      <c r="H44" s="18">
        <f t="shared" si="21"/>
        <v>16.7316438058621</v>
      </c>
      <c r="I44" s="18">
        <f t="shared" si="22"/>
        <v>289.881643805862</v>
      </c>
      <c r="J44" s="18">
        <f t="shared" si="23"/>
        <v>0.136380645842431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8"/>
        <v>0.194997500566335</v>
      </c>
      <c r="P44" s="18">
        <f t="shared" si="26"/>
        <v>0.0265938850648966</v>
      </c>
      <c r="Q44" s="24">
        <f t="shared" si="27"/>
        <v>0.00345720505843656</v>
      </c>
      <c r="R44" s="18">
        <f t="shared" si="28"/>
        <v>0.0100218354166667</v>
      </c>
      <c r="S44" s="25">
        <f t="shared" si="29"/>
        <v>0.344967255467707</v>
      </c>
      <c r="T44" s="3">
        <v>0.01</v>
      </c>
      <c r="U44" s="26">
        <f t="shared" si="30"/>
        <v>0.00344967255467707</v>
      </c>
      <c r="V44" s="25"/>
      <c r="W44" s="3"/>
      <c r="X44" s="26"/>
      <c r="Y44" s="28">
        <v>0.04</v>
      </c>
      <c r="Z44" s="3">
        <v>0.49</v>
      </c>
      <c r="AA44" s="27">
        <f t="shared" si="31"/>
        <v>0.0196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0.015</v>
      </c>
      <c r="AO44" s="3">
        <v>0.5</v>
      </c>
      <c r="AP44" s="3">
        <f t="shared" si="32"/>
        <v>0.0075</v>
      </c>
      <c r="AQ44" s="1">
        <f t="shared" si="33"/>
        <v>0.0305496725546771</v>
      </c>
      <c r="AR44" s="29">
        <f t="shared" si="34"/>
        <v>7.70910416666667</v>
      </c>
      <c r="AS44" s="1">
        <f t="shared" si="35"/>
        <v>0.13</v>
      </c>
      <c r="AT44" s="2">
        <f t="shared" si="39"/>
        <v>10.2335616438356</v>
      </c>
      <c r="AU44" s="1">
        <f t="shared" si="36"/>
        <v>2099.20783468873</v>
      </c>
    </row>
    <row r="45" s="1" customFormat="1" spans="1:47">
      <c r="A45" s="13"/>
      <c r="B45" s="13"/>
      <c r="C45" s="16">
        <v>3</v>
      </c>
      <c r="D45" s="19">
        <v>20.647929176129</v>
      </c>
      <c r="E45" s="20">
        <f t="shared" si="37"/>
        <v>16.7316438058621</v>
      </c>
      <c r="F45" s="16" t="s">
        <v>110</v>
      </c>
      <c r="G45" s="13">
        <v>4</v>
      </c>
      <c r="H45" s="18">
        <f t="shared" si="21"/>
        <v>20.647929176129</v>
      </c>
      <c r="I45" s="18">
        <f t="shared" si="22"/>
        <v>293.797929176129</v>
      </c>
      <c r="J45" s="18">
        <f t="shared" si="23"/>
        <v>0.213403434832766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8"/>
        <v>0.245494657168105</v>
      </c>
      <c r="P45" s="18">
        <f t="shared" si="26"/>
        <v>0.052389403072766</v>
      </c>
      <c r="Q45" s="24">
        <f t="shared" si="27"/>
        <v>0.00681062239945958</v>
      </c>
      <c r="R45" s="18">
        <f t="shared" si="28"/>
        <v>0.0100218354166667</v>
      </c>
      <c r="S45" s="25">
        <f t="shared" si="29"/>
        <v>0.679578352297951</v>
      </c>
      <c r="T45" s="3">
        <v>0.01</v>
      </c>
      <c r="U45" s="26">
        <f t="shared" si="30"/>
        <v>0.00679578352297951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0.0338957835229795</v>
      </c>
      <c r="AR45" s="29">
        <f t="shared" si="34"/>
        <v>7.70910416666667</v>
      </c>
      <c r="AS45" s="1">
        <f t="shared" si="35"/>
        <v>0.13</v>
      </c>
      <c r="AT45" s="2">
        <f t="shared" si="39"/>
        <v>10.2335616438356</v>
      </c>
      <c r="AU45" s="1">
        <f t="shared" si="36"/>
        <v>2329.13443530374</v>
      </c>
    </row>
    <row r="46" s="1" customFormat="1" spans="1:47">
      <c r="A46" s="13"/>
      <c r="B46" s="13"/>
      <c r="C46" s="16">
        <v>4</v>
      </c>
      <c r="D46" s="19">
        <v>26.0432408813333</v>
      </c>
      <c r="E46" s="20">
        <f t="shared" si="37"/>
        <v>20.647929176129</v>
      </c>
      <c r="F46" s="16" t="s">
        <v>110</v>
      </c>
      <c r="G46" s="13">
        <v>5</v>
      </c>
      <c r="H46" s="18">
        <f t="shared" si="21"/>
        <v>26.0432408813333</v>
      </c>
      <c r="I46" s="18">
        <f t="shared" si="22"/>
        <v>299.193240881333</v>
      </c>
      <c r="J46" s="18">
        <f t="shared" si="23"/>
        <v>0.38792561894413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0.183449991390572</v>
      </c>
      <c r="O46" s="18">
        <f t="shared" si="38"/>
        <v>0.0867463043714336</v>
      </c>
      <c r="P46" s="18">
        <f t="shared" si="26"/>
        <v>0.0336511138144043</v>
      </c>
      <c r="Q46" s="24">
        <f t="shared" si="27"/>
        <v>0.00437464479587255</v>
      </c>
      <c r="R46" s="18">
        <f t="shared" si="28"/>
        <v>0.0100218354166667</v>
      </c>
      <c r="S46" s="25">
        <f t="shared" si="29"/>
        <v>0.436511338890815</v>
      </c>
      <c r="T46" s="3">
        <v>0.01</v>
      </c>
      <c r="U46" s="26">
        <f t="shared" si="30"/>
        <v>0.00436511338890815</v>
      </c>
      <c r="V46" s="25"/>
      <c r="W46" s="3"/>
      <c r="X46" s="26"/>
      <c r="Y46" s="28">
        <v>0.05</v>
      </c>
      <c r="Z46" s="3">
        <v>0.49</v>
      </c>
      <c r="AA46" s="27">
        <f t="shared" si="31"/>
        <v>0.0245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0.02</v>
      </c>
      <c r="AO46" s="3">
        <v>0.5</v>
      </c>
      <c r="AP46" s="3">
        <f t="shared" si="32"/>
        <v>0.01</v>
      </c>
      <c r="AQ46" s="1">
        <f t="shared" si="33"/>
        <v>0.0388651133889082</v>
      </c>
      <c r="AR46" s="29">
        <f t="shared" si="34"/>
        <v>7.70910416666667</v>
      </c>
      <c r="AS46" s="1">
        <f t="shared" si="35"/>
        <v>0.13</v>
      </c>
      <c r="AT46" s="2">
        <f t="shared" si="39"/>
        <v>10.2335616438356</v>
      </c>
      <c r="AU46" s="1">
        <f t="shared" si="36"/>
        <v>2670.59983625165</v>
      </c>
    </row>
    <row r="47" s="1" customFormat="1" spans="1:47">
      <c r="A47" s="13"/>
      <c r="B47" s="13"/>
      <c r="C47" s="16">
        <v>5</v>
      </c>
      <c r="D47" s="19">
        <v>27.5161541245161</v>
      </c>
      <c r="E47" s="20">
        <f t="shared" si="37"/>
        <v>26.0432408813333</v>
      </c>
      <c r="F47" s="16" t="s">
        <v>112</v>
      </c>
      <c r="G47" s="13">
        <v>6</v>
      </c>
      <c r="H47" s="18">
        <f t="shared" si="21"/>
        <v>27.5161541245161</v>
      </c>
      <c r="I47" s="18">
        <f t="shared" si="22"/>
        <v>300.666154124516</v>
      </c>
      <c r="J47" s="18">
        <f t="shared" si="23"/>
        <v>0.454973277072128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8"/>
        <v>0.130186232223696</v>
      </c>
      <c r="P47" s="18">
        <f t="shared" si="26"/>
        <v>0.059231256704488</v>
      </c>
      <c r="Q47" s="24">
        <f t="shared" si="27"/>
        <v>0.00770006337158344</v>
      </c>
      <c r="R47" s="18">
        <f t="shared" si="28"/>
        <v>0.0100218354166667</v>
      </c>
      <c r="S47" s="25">
        <f t="shared" si="29"/>
        <v>0.768328659516596</v>
      </c>
      <c r="T47" s="3">
        <v>0.01</v>
      </c>
      <c r="U47" s="26">
        <f t="shared" si="30"/>
        <v>0.00768328659516596</v>
      </c>
      <c r="V47" s="25"/>
      <c r="W47" s="3"/>
      <c r="X47" s="26"/>
      <c r="Y47" s="28">
        <v>0.05</v>
      </c>
      <c r="Z47" s="3">
        <v>0.49</v>
      </c>
      <c r="AA47" s="27">
        <f t="shared" si="31"/>
        <v>0.0245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0.02</v>
      </c>
      <c r="AO47" s="3">
        <v>0.5</v>
      </c>
      <c r="AP47" s="3">
        <f t="shared" si="32"/>
        <v>0.01</v>
      </c>
      <c r="AQ47" s="1">
        <f t="shared" si="33"/>
        <v>0.042183286595166</v>
      </c>
      <c r="AR47" s="29">
        <f t="shared" si="34"/>
        <v>7.70910416666667</v>
      </c>
      <c r="AS47" s="1">
        <f t="shared" si="35"/>
        <v>0.13</v>
      </c>
      <c r="AT47" s="2">
        <f t="shared" si="39"/>
        <v>10.2335616438356</v>
      </c>
      <c r="AU47" s="1">
        <f t="shared" si="36"/>
        <v>2898.60670535847</v>
      </c>
    </row>
    <row r="48" s="1" customFormat="1" spans="1:47">
      <c r="A48" s="13"/>
      <c r="B48" s="13"/>
      <c r="C48" s="16">
        <v>6</v>
      </c>
      <c r="D48" s="19">
        <v>28.5712106646667</v>
      </c>
      <c r="E48" s="20">
        <f t="shared" si="37"/>
        <v>27.5161541245161</v>
      </c>
      <c r="F48" s="16" t="s">
        <v>110</v>
      </c>
      <c r="G48" s="13">
        <v>7</v>
      </c>
      <c r="H48" s="18">
        <f t="shared" si="21"/>
        <v>28.5712106646667</v>
      </c>
      <c r="I48" s="18">
        <f t="shared" si="22"/>
        <v>301.721210664667</v>
      </c>
      <c r="J48" s="18">
        <f t="shared" si="23"/>
        <v>0.509525047503617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8"/>
        <v>0.148046017185875</v>
      </c>
      <c r="P48" s="18">
        <f t="shared" si="26"/>
        <v>0.0754331539393541</v>
      </c>
      <c r="Q48" s="24">
        <f t="shared" si="27"/>
        <v>0.00980631001211603</v>
      </c>
      <c r="R48" s="18">
        <f t="shared" si="28"/>
        <v>0.0100218354166667</v>
      </c>
      <c r="S48" s="25">
        <f t="shared" si="29"/>
        <v>0.978494417879562</v>
      </c>
      <c r="T48" s="3">
        <v>0.01</v>
      </c>
      <c r="U48" s="26">
        <f t="shared" si="30"/>
        <v>0.00978494417879562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0.0442849441787956</v>
      </c>
      <c r="AR48" s="29">
        <f t="shared" si="34"/>
        <v>7.70910416666667</v>
      </c>
      <c r="AS48" s="1">
        <f t="shared" si="35"/>
        <v>0.13</v>
      </c>
      <c r="AT48" s="2">
        <f t="shared" si="39"/>
        <v>10.2335616438356</v>
      </c>
      <c r="AU48" s="1">
        <f t="shared" si="36"/>
        <v>3043.02121773965</v>
      </c>
    </row>
    <row r="49" s="1" customFormat="1" spans="1:47">
      <c r="A49" s="13"/>
      <c r="B49" s="13"/>
      <c r="C49" s="16">
        <v>7</v>
      </c>
      <c r="D49" s="19">
        <v>28.4727356835484</v>
      </c>
      <c r="E49" s="20">
        <f t="shared" si="37"/>
        <v>28.5712106646667</v>
      </c>
      <c r="F49" s="16" t="s">
        <v>110</v>
      </c>
      <c r="G49" s="13">
        <v>8</v>
      </c>
      <c r="H49" s="18">
        <f t="shared" si="21"/>
        <v>28.4727356835484</v>
      </c>
      <c r="I49" s="18">
        <f t="shared" si="22"/>
        <v>301.622735683548</v>
      </c>
      <c r="J49" s="18">
        <f t="shared" si="23"/>
        <v>0.504184922059567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8"/>
        <v>0.149703904913187</v>
      </c>
      <c r="P49" s="18">
        <f t="shared" si="26"/>
        <v>0.0754784516306681</v>
      </c>
      <c r="Q49" s="24">
        <f t="shared" si="27"/>
        <v>0.00981219871198686</v>
      </c>
      <c r="R49" s="18">
        <f t="shared" si="28"/>
        <v>0.0100218354166667</v>
      </c>
      <c r="S49" s="25">
        <f t="shared" si="29"/>
        <v>0.979082004846021</v>
      </c>
      <c r="T49" s="3">
        <v>0.01</v>
      </c>
      <c r="U49" s="26">
        <f t="shared" si="30"/>
        <v>0.00979082004846021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0.0442908200484602</v>
      </c>
      <c r="AR49" s="29">
        <f t="shared" si="34"/>
        <v>7.70910416666667</v>
      </c>
      <c r="AS49" s="1">
        <f t="shared" si="35"/>
        <v>0.13</v>
      </c>
      <c r="AT49" s="2">
        <f t="shared" si="39"/>
        <v>10.2335616438356</v>
      </c>
      <c r="AU49" s="1">
        <f t="shared" si="36"/>
        <v>3043.42497563962</v>
      </c>
    </row>
    <row r="50" s="1" customFormat="1" spans="1:47">
      <c r="A50" s="13"/>
      <c r="B50" s="13"/>
      <c r="C50" s="16">
        <v>8</v>
      </c>
      <c r="D50" s="19">
        <v>27.6174961567742</v>
      </c>
      <c r="E50" s="20">
        <f t="shared" si="37"/>
        <v>28.4727356835484</v>
      </c>
      <c r="F50" s="16" t="s">
        <v>110</v>
      </c>
      <c r="G50" s="13">
        <v>9</v>
      </c>
      <c r="H50" s="18">
        <f t="shared" si="21"/>
        <v>27.6174961567742</v>
      </c>
      <c r="I50" s="18">
        <f t="shared" si="22"/>
        <v>300.767496156774</v>
      </c>
      <c r="J50" s="18">
        <f t="shared" si="23"/>
        <v>0.459964964772791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8"/>
        <v>0.151316494949186</v>
      </c>
      <c r="P50" s="18">
        <f t="shared" si="26"/>
        <v>0.0696002862688444</v>
      </c>
      <c r="Q50" s="24">
        <f t="shared" si="27"/>
        <v>0.00904803721494978</v>
      </c>
      <c r="R50" s="18">
        <f t="shared" si="28"/>
        <v>0.0100218354166667</v>
      </c>
      <c r="S50" s="25">
        <f t="shared" si="29"/>
        <v>0.902832349441957</v>
      </c>
      <c r="T50" s="3">
        <v>0.01</v>
      </c>
      <c r="U50" s="26">
        <f t="shared" si="30"/>
        <v>0.00902832349441957</v>
      </c>
      <c r="V50" s="25"/>
      <c r="W50" s="3"/>
      <c r="X50" s="26"/>
      <c r="Y50" s="28">
        <v>0.05</v>
      </c>
      <c r="Z50" s="3">
        <v>0.49</v>
      </c>
      <c r="AA50" s="27">
        <f t="shared" si="31"/>
        <v>0.0245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0.02</v>
      </c>
      <c r="AO50" s="3">
        <v>0.5</v>
      </c>
      <c r="AP50" s="3">
        <f t="shared" si="32"/>
        <v>0.01</v>
      </c>
      <c r="AQ50" s="1">
        <f t="shared" si="33"/>
        <v>0.0435283234944196</v>
      </c>
      <c r="AR50" s="29">
        <f t="shared" si="34"/>
        <v>7.70910416666667</v>
      </c>
      <c r="AS50" s="1">
        <f t="shared" si="35"/>
        <v>0.13</v>
      </c>
      <c r="AT50" s="2">
        <f t="shared" si="39"/>
        <v>10.2335616438356</v>
      </c>
      <c r="AU50" s="1">
        <f t="shared" si="36"/>
        <v>2991.03034727493</v>
      </c>
    </row>
    <row r="51" s="1" customFormat="1" spans="1:47">
      <c r="A51" s="13"/>
      <c r="B51" s="13"/>
      <c r="C51" s="16">
        <v>9</v>
      </c>
      <c r="D51" s="19">
        <v>27.029027161</v>
      </c>
      <c r="E51" s="20">
        <f t="shared" si="37"/>
        <v>27.6174961567742</v>
      </c>
      <c r="F51" s="16" t="s">
        <v>110</v>
      </c>
      <c r="G51" s="13">
        <v>10</v>
      </c>
      <c r="H51" s="18">
        <f t="shared" si="21"/>
        <v>27.029027161</v>
      </c>
      <c r="I51" s="18">
        <f t="shared" si="22"/>
        <v>300.179027161</v>
      </c>
      <c r="J51" s="18">
        <f t="shared" si="23"/>
        <v>0.43168071359511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8"/>
        <v>0.158807250347008</v>
      </c>
      <c r="P51" s="18">
        <f t="shared" si="26"/>
        <v>0.0685540271538737</v>
      </c>
      <c r="Q51" s="24">
        <f t="shared" si="27"/>
        <v>0.00891202353000358</v>
      </c>
      <c r="R51" s="18">
        <f t="shared" si="28"/>
        <v>0.0100218354166667</v>
      </c>
      <c r="S51" s="25">
        <f t="shared" si="29"/>
        <v>0.889260615394119</v>
      </c>
      <c r="T51" s="3">
        <v>0.01</v>
      </c>
      <c r="U51" s="26">
        <f t="shared" si="30"/>
        <v>0.00889260615394119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0.0359926061539412</v>
      </c>
      <c r="AR51" s="29">
        <f t="shared" si="34"/>
        <v>7.70910416666667</v>
      </c>
      <c r="AS51" s="1">
        <f t="shared" si="35"/>
        <v>0.13</v>
      </c>
      <c r="AT51" s="2">
        <f t="shared" si="39"/>
        <v>10.2335616438356</v>
      </c>
      <c r="AU51" s="1">
        <f t="shared" si="36"/>
        <v>2473.21671595632</v>
      </c>
    </row>
    <row r="52" s="1" customFormat="1" spans="1:47">
      <c r="A52" s="13"/>
      <c r="B52" s="13"/>
      <c r="C52" s="16">
        <v>10</v>
      </c>
      <c r="D52" s="19">
        <v>25.8822947970968</v>
      </c>
      <c r="E52" s="20">
        <f t="shared" si="37"/>
        <v>27.029027161</v>
      </c>
      <c r="F52" s="16" t="s">
        <v>110</v>
      </c>
      <c r="G52" s="13">
        <v>11</v>
      </c>
      <c r="H52" s="18">
        <f t="shared" si="21"/>
        <v>25.8822947970968</v>
      </c>
      <c r="I52" s="18">
        <f t="shared" si="22"/>
        <v>299.032294797097</v>
      </c>
      <c r="J52" s="18">
        <f t="shared" si="23"/>
        <v>0.381190010299969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0.0857405620334776</v>
      </c>
      <c r="O52" s="18">
        <f t="shared" si="38"/>
        <v>0.0816037028263234</v>
      </c>
      <c r="P52" s="18">
        <f t="shared" si="26"/>
        <v>0.0311065163208818</v>
      </c>
      <c r="Q52" s="24">
        <f t="shared" si="27"/>
        <v>0.00404384712171464</v>
      </c>
      <c r="R52" s="18">
        <f t="shared" si="28"/>
        <v>0.0100218354166667</v>
      </c>
      <c r="S52" s="25">
        <f t="shared" si="29"/>
        <v>0.403503645149628</v>
      </c>
      <c r="T52" s="3">
        <v>0.01</v>
      </c>
      <c r="U52" s="26">
        <f t="shared" si="30"/>
        <v>0.00403503645149628</v>
      </c>
      <c r="V52" s="25"/>
      <c r="W52" s="3"/>
      <c r="X52" s="26"/>
      <c r="Y52" s="28">
        <v>0.04</v>
      </c>
      <c r="Z52" s="3">
        <v>0.49</v>
      </c>
      <c r="AA52" s="27">
        <f t="shared" si="31"/>
        <v>0.0196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0.015</v>
      </c>
      <c r="AO52" s="3">
        <v>0.5</v>
      </c>
      <c r="AP52" s="3">
        <f t="shared" si="32"/>
        <v>0.0075</v>
      </c>
      <c r="AQ52" s="1">
        <f t="shared" si="33"/>
        <v>0.0311350364514963</v>
      </c>
      <c r="AR52" s="29">
        <f t="shared" si="34"/>
        <v>7.70910416666667</v>
      </c>
      <c r="AS52" s="1">
        <f t="shared" si="35"/>
        <v>0.13</v>
      </c>
      <c r="AT52" s="2">
        <f t="shared" si="39"/>
        <v>10.2335616438356</v>
      </c>
      <c r="AU52" s="1">
        <f t="shared" si="36"/>
        <v>2139.43086739547</v>
      </c>
    </row>
    <row r="53" s="1" customFormat="1" spans="1:48">
      <c r="A53" s="13"/>
      <c r="B53" s="13"/>
      <c r="C53" s="16">
        <v>11</v>
      </c>
      <c r="D53" s="19">
        <v>22.981419384</v>
      </c>
      <c r="E53" s="20">
        <f t="shared" si="37"/>
        <v>25.8822947970968</v>
      </c>
      <c r="F53" s="16" t="s">
        <v>112</v>
      </c>
      <c r="G53" s="13">
        <v>12</v>
      </c>
      <c r="H53" s="18">
        <f t="shared" si="21"/>
        <v>22.981419384</v>
      </c>
      <c r="I53" s="18">
        <f t="shared" si="22"/>
        <v>296.131419384</v>
      </c>
      <c r="J53" s="18">
        <f t="shared" si="23"/>
        <v>0.277087552882949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8"/>
        <v>0.127588228172108</v>
      </c>
      <c r="P53" s="18">
        <f t="shared" si="26"/>
        <v>0.0353531099208808</v>
      </c>
      <c r="Q53" s="24">
        <f t="shared" si="27"/>
        <v>0.0045959042897145</v>
      </c>
      <c r="R53" s="18">
        <f t="shared" si="28"/>
        <v>0.0100218354166667</v>
      </c>
      <c r="S53" s="25">
        <f t="shared" si="29"/>
        <v>0.458589080606069</v>
      </c>
      <c r="T53" s="3">
        <v>0.01</v>
      </c>
      <c r="U53" s="26">
        <f t="shared" si="30"/>
        <v>0.00458589080606069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0.0193858908060607</v>
      </c>
      <c r="AR53" s="29">
        <f t="shared" si="34"/>
        <v>7.70910416666667</v>
      </c>
      <c r="AS53" s="1">
        <f t="shared" si="35"/>
        <v>0.13</v>
      </c>
      <c r="AT53" s="2">
        <f t="shared" si="39"/>
        <v>10.2335616438356</v>
      </c>
      <c r="AU53" s="1">
        <f t="shared" si="36"/>
        <v>1332.09329133292</v>
      </c>
      <c r="AV53" s="1">
        <f>SUM(AU42:AU53)</f>
        <v>27377.0580321146</v>
      </c>
    </row>
    <row r="54" s="1" customFormat="1" spans="1:46">
      <c r="A54" s="13"/>
      <c r="B54" s="13"/>
      <c r="C54" s="16">
        <v>12</v>
      </c>
      <c r="D54" s="19">
        <v>20.664354696129</v>
      </c>
      <c r="E54" s="20">
        <f t="shared" si="37"/>
        <v>22.981419384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134.758</v>
      </c>
      <c r="C58" s="16" t="s">
        <v>109</v>
      </c>
      <c r="D58" s="17">
        <v>18</v>
      </c>
      <c r="E58" s="16"/>
      <c r="F58" s="16"/>
      <c r="G58" s="13">
        <v>1</v>
      </c>
      <c r="H58" s="18">
        <f t="shared" ref="H58:H69" si="40">E59</f>
        <v>18</v>
      </c>
      <c r="I58" s="18">
        <f t="shared" ref="I58:I69" si="41">H58+273.15</f>
        <v>291.15</v>
      </c>
      <c r="J58" s="18">
        <f t="shared" ref="J58:J69" si="42">EXP(($C$16*(I58-$C$14))/($C$17*I58*$C$14))</f>
        <v>0.157870513912988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110</v>
      </c>
      <c r="N58" s="13"/>
      <c r="O58" s="18">
        <f>L58</f>
        <v>3.032055</v>
      </c>
      <c r="P58" s="18">
        <f t="shared" ref="P58:P69" si="45">O58*J58</f>
        <v>0.478672081062445</v>
      </c>
      <c r="Q58" s="24">
        <f t="shared" ref="Q58:Q69" si="46">P58*$B$60</f>
        <v>0.138814903508109</v>
      </c>
      <c r="R58" s="18">
        <f t="shared" ref="R58:R69" si="47">L58*$B$60</f>
        <v>0.87929595</v>
      </c>
      <c r="S58" s="25">
        <f t="shared" ref="S58:S69" si="48">Q58/R58</f>
        <v>0.157870513912988</v>
      </c>
      <c r="T58" s="3">
        <v>0.27</v>
      </c>
      <c r="U58" s="26">
        <f t="shared" ref="U58:U69" si="49">S58*T58</f>
        <v>0.0426250387565068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0.234682045030389</v>
      </c>
      <c r="AC58" s="29">
        <f t="shared" ref="AC58:AC69" si="51">$B$58/12</f>
        <v>11.2298333333333</v>
      </c>
      <c r="AD58" s="1">
        <f t="shared" ref="AD58:AD69" si="52">$B$60</f>
        <v>0.29</v>
      </c>
      <c r="AE58" s="30">
        <f>$E$7/12</f>
        <v>73.275501332954</v>
      </c>
      <c r="AF58" s="1">
        <f t="shared" ref="AF58:AF69" si="53">AE58*10000*AC58*AB58</f>
        <v>1931132.056996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18.6325489756129</v>
      </c>
      <c r="E59" s="20">
        <f t="shared" ref="E59:E70" si="54">D58</f>
        <v>18</v>
      </c>
      <c r="F59" s="16" t="s">
        <v>110</v>
      </c>
      <c r="G59" s="13">
        <v>2</v>
      </c>
      <c r="H59" s="18">
        <f t="shared" si="40"/>
        <v>18.6325489756129</v>
      </c>
      <c r="I59" s="18">
        <f t="shared" si="41"/>
        <v>291.782548975613</v>
      </c>
      <c r="J59" s="18">
        <f t="shared" si="42"/>
        <v>0.169741122022251</v>
      </c>
      <c r="K59" s="18">
        <f t="shared" si="43"/>
        <v>11.2298333333333</v>
      </c>
      <c r="L59" s="18">
        <f t="shared" si="44"/>
        <v>3.032055</v>
      </c>
      <c r="M59" s="13" t="s">
        <v>110</v>
      </c>
      <c r="N59" s="13"/>
      <c r="O59" s="18">
        <f t="shared" ref="O59:O69" si="55">L59+O58-P58-N59</f>
        <v>5.58543791893756</v>
      </c>
      <c r="P59" s="18">
        <f t="shared" si="45"/>
        <v>0.948078499346087</v>
      </c>
      <c r="Q59" s="24">
        <f t="shared" si="46"/>
        <v>0.274942764810365</v>
      </c>
      <c r="R59" s="18">
        <f t="shared" si="47"/>
        <v>0.87929595</v>
      </c>
      <c r="S59" s="25">
        <f t="shared" si="48"/>
        <v>0.312685125878682</v>
      </c>
      <c r="T59" s="3">
        <v>0.27</v>
      </c>
      <c r="U59" s="26">
        <f t="shared" si="49"/>
        <v>0.0844249839872442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0.242803774388722</v>
      </c>
      <c r="AC59" s="29">
        <f t="shared" si="51"/>
        <v>11.2298333333333</v>
      </c>
      <c r="AD59" s="1">
        <f t="shared" si="52"/>
        <v>0.29</v>
      </c>
      <c r="AE59" s="30">
        <f t="shared" ref="AE59:AE69" si="56">$E$7/12</f>
        <v>73.275501332954</v>
      </c>
      <c r="AF59" s="1">
        <f t="shared" si="53"/>
        <v>1997963.46678744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16.7316438058621</v>
      </c>
      <c r="E60" s="20">
        <f t="shared" si="54"/>
        <v>18.6325489756129</v>
      </c>
      <c r="F60" s="16" t="s">
        <v>110</v>
      </c>
      <c r="G60" s="13">
        <v>3</v>
      </c>
      <c r="H60" s="18">
        <f t="shared" si="40"/>
        <v>16.7316438058621</v>
      </c>
      <c r="I60" s="18">
        <f t="shared" si="41"/>
        <v>289.881643805862</v>
      </c>
      <c r="J60" s="18">
        <f t="shared" si="42"/>
        <v>0.136380645842431</v>
      </c>
      <c r="K60" s="18">
        <f t="shared" si="43"/>
        <v>11.2298333333333</v>
      </c>
      <c r="L60" s="18">
        <f t="shared" si="44"/>
        <v>3.032055</v>
      </c>
      <c r="M60" s="13" t="s">
        <v>110</v>
      </c>
      <c r="N60" s="13"/>
      <c r="O60" s="18">
        <f t="shared" si="55"/>
        <v>7.66941441959147</v>
      </c>
      <c r="P60" s="18">
        <f t="shared" si="45"/>
        <v>1.04595969177714</v>
      </c>
      <c r="Q60" s="24">
        <f t="shared" si="46"/>
        <v>0.30332831061537</v>
      </c>
      <c r="R60" s="18">
        <f t="shared" si="47"/>
        <v>0.87929595</v>
      </c>
      <c r="S60" s="25">
        <f t="shared" si="48"/>
        <v>0.344967255467707</v>
      </c>
      <c r="T60" s="3">
        <v>0.27</v>
      </c>
      <c r="U60" s="26">
        <f t="shared" si="49"/>
        <v>0.0931411589762808</v>
      </c>
      <c r="V60" s="3">
        <v>220.1</v>
      </c>
      <c r="W60" s="27">
        <v>12.1</v>
      </c>
      <c r="X60" s="27">
        <v>4.5</v>
      </c>
      <c r="Y60" s="27">
        <v>1.5</v>
      </c>
      <c r="Z60" s="27">
        <v>6.8</v>
      </c>
      <c r="AA60" s="3">
        <v>30.2</v>
      </c>
      <c r="AB60" s="2">
        <f t="shared" si="50"/>
        <v>0.293297327189091</v>
      </c>
      <c r="AC60" s="29">
        <f t="shared" si="51"/>
        <v>11.2298333333333</v>
      </c>
      <c r="AD60" s="1">
        <f t="shared" si="52"/>
        <v>0.29</v>
      </c>
      <c r="AE60" s="30">
        <f t="shared" si="56"/>
        <v>73.275501332954</v>
      </c>
      <c r="AF60" s="1">
        <f t="shared" si="53"/>
        <v>2413460.60663803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20.647929176129</v>
      </c>
      <c r="E61" s="20">
        <f t="shared" si="54"/>
        <v>16.7316438058621</v>
      </c>
      <c r="F61" s="16" t="s">
        <v>110</v>
      </c>
      <c r="G61" s="13">
        <v>4</v>
      </c>
      <c r="H61" s="18">
        <f t="shared" si="40"/>
        <v>20.647929176129</v>
      </c>
      <c r="I61" s="18">
        <f t="shared" si="41"/>
        <v>293.797929176129</v>
      </c>
      <c r="J61" s="18">
        <f t="shared" si="42"/>
        <v>0.213403434832766</v>
      </c>
      <c r="K61" s="18">
        <f t="shared" si="43"/>
        <v>11.2298333333333</v>
      </c>
      <c r="L61" s="18">
        <f t="shared" si="44"/>
        <v>3.032055</v>
      </c>
      <c r="M61" s="13" t="s">
        <v>110</v>
      </c>
      <c r="N61" s="13"/>
      <c r="O61" s="18">
        <f t="shared" si="55"/>
        <v>9.65550972781433</v>
      </c>
      <c r="P61" s="18">
        <f t="shared" si="45"/>
        <v>2.06051894097676</v>
      </c>
      <c r="Q61" s="24">
        <f t="shared" si="46"/>
        <v>0.597550492883261</v>
      </c>
      <c r="R61" s="18">
        <f t="shared" si="47"/>
        <v>0.87929595</v>
      </c>
      <c r="S61" s="25">
        <f t="shared" si="48"/>
        <v>0.679578352297951</v>
      </c>
      <c r="T61" s="3">
        <v>0.27</v>
      </c>
      <c r="U61" s="26">
        <f t="shared" si="49"/>
        <v>0.183486155120447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0.310851359939903</v>
      </c>
      <c r="AC61" s="29">
        <f t="shared" si="51"/>
        <v>11.2298333333333</v>
      </c>
      <c r="AD61" s="1">
        <f t="shared" si="52"/>
        <v>0.29</v>
      </c>
      <c r="AE61" s="30">
        <f t="shared" si="56"/>
        <v>73.275501332954</v>
      </c>
      <c r="AF61" s="1">
        <f t="shared" si="53"/>
        <v>2557907.76862804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26.0432408813333</v>
      </c>
      <c r="E62" s="20">
        <f t="shared" si="54"/>
        <v>20.647929176129</v>
      </c>
      <c r="F62" s="16" t="s">
        <v>110</v>
      </c>
      <c r="G62" s="13">
        <v>5</v>
      </c>
      <c r="H62" s="18">
        <f t="shared" si="40"/>
        <v>26.0432408813333</v>
      </c>
      <c r="I62" s="18">
        <f t="shared" si="41"/>
        <v>299.193240881333</v>
      </c>
      <c r="J62" s="18">
        <f t="shared" si="42"/>
        <v>0.38792561894413</v>
      </c>
      <c r="K62" s="18">
        <f t="shared" si="43"/>
        <v>11.2298333333333</v>
      </c>
      <c r="L62" s="18">
        <f t="shared" si="44"/>
        <v>3.032055</v>
      </c>
      <c r="M62" s="13" t="s">
        <v>112</v>
      </c>
      <c r="N62" s="18">
        <f>(O61-P61)*$C$22/100</f>
        <v>7.21524124749569</v>
      </c>
      <c r="O62" s="18">
        <f t="shared" si="55"/>
        <v>3.41180453934188</v>
      </c>
      <c r="P62" s="18">
        <f t="shared" si="45"/>
        <v>1.32352638764059</v>
      </c>
      <c r="Q62" s="24">
        <f t="shared" si="46"/>
        <v>0.383822652415771</v>
      </c>
      <c r="R62" s="18">
        <f t="shared" si="47"/>
        <v>0.87929595</v>
      </c>
      <c r="S62" s="25">
        <f t="shared" si="48"/>
        <v>0.436511338890815</v>
      </c>
      <c r="T62" s="3">
        <v>0.27</v>
      </c>
      <c r="U62" s="26">
        <f t="shared" si="49"/>
        <v>0.11785806150052</v>
      </c>
      <c r="V62" s="3">
        <v>229.1</v>
      </c>
      <c r="W62" s="27">
        <v>15.1</v>
      </c>
      <c r="X62" s="27">
        <v>6</v>
      </c>
      <c r="Y62" s="27">
        <v>3</v>
      </c>
      <c r="Z62" s="27">
        <v>7</v>
      </c>
      <c r="AA62" s="3">
        <v>30.2</v>
      </c>
      <c r="AB62" s="2">
        <f t="shared" si="50"/>
        <v>0.313299821349551</v>
      </c>
      <c r="AC62" s="29">
        <f t="shared" si="51"/>
        <v>11.2298333333333</v>
      </c>
      <c r="AD62" s="1">
        <f t="shared" si="52"/>
        <v>0.29</v>
      </c>
      <c r="AE62" s="30">
        <f t="shared" si="56"/>
        <v>73.275501332954</v>
      </c>
      <c r="AF62" s="1">
        <f t="shared" si="53"/>
        <v>2578055.4638549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27.5161541245161</v>
      </c>
      <c r="E63" s="20">
        <f t="shared" si="54"/>
        <v>26.0432408813333</v>
      </c>
      <c r="F63" s="16" t="s">
        <v>112</v>
      </c>
      <c r="G63" s="13">
        <v>6</v>
      </c>
      <c r="H63" s="18">
        <f t="shared" si="40"/>
        <v>27.5161541245161</v>
      </c>
      <c r="I63" s="18">
        <f t="shared" si="41"/>
        <v>300.666154124516</v>
      </c>
      <c r="J63" s="18">
        <f t="shared" si="42"/>
        <v>0.454973277072128</v>
      </c>
      <c r="K63" s="18">
        <f t="shared" si="43"/>
        <v>11.2298333333333</v>
      </c>
      <c r="L63" s="18">
        <f t="shared" si="44"/>
        <v>3.032055</v>
      </c>
      <c r="M63" s="13" t="s">
        <v>110</v>
      </c>
      <c r="N63" s="13"/>
      <c r="O63" s="18">
        <f t="shared" si="55"/>
        <v>5.12033315170129</v>
      </c>
      <c r="P63" s="18">
        <f t="shared" si="45"/>
        <v>2.32961475373059</v>
      </c>
      <c r="Q63" s="24">
        <f t="shared" si="46"/>
        <v>0.675588278581872</v>
      </c>
      <c r="R63" s="18">
        <f t="shared" si="47"/>
        <v>0.87929595</v>
      </c>
      <c r="S63" s="25">
        <f t="shared" si="48"/>
        <v>0.768328659516596</v>
      </c>
      <c r="T63" s="3">
        <v>0.27</v>
      </c>
      <c r="U63" s="26">
        <f t="shared" si="49"/>
        <v>0.207448738069481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0.3307072898069</v>
      </c>
      <c r="AC63" s="29">
        <f t="shared" si="51"/>
        <v>11.2298333333333</v>
      </c>
      <c r="AD63" s="1">
        <f t="shared" si="52"/>
        <v>0.29</v>
      </c>
      <c r="AE63" s="30">
        <f t="shared" si="56"/>
        <v>73.275501332954</v>
      </c>
      <c r="AF63" s="1">
        <f t="shared" si="53"/>
        <v>2721296.5897995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28.5712106646667</v>
      </c>
      <c r="E64" s="20">
        <f t="shared" si="54"/>
        <v>27.5161541245161</v>
      </c>
      <c r="F64" s="16" t="s">
        <v>110</v>
      </c>
      <c r="G64" s="13">
        <v>7</v>
      </c>
      <c r="H64" s="18">
        <f t="shared" si="40"/>
        <v>28.5712106646667</v>
      </c>
      <c r="I64" s="18">
        <f t="shared" si="41"/>
        <v>301.721210664667</v>
      </c>
      <c r="J64" s="18">
        <f t="shared" si="42"/>
        <v>0.509525047503617</v>
      </c>
      <c r="K64" s="18">
        <f t="shared" si="43"/>
        <v>11.2298333333333</v>
      </c>
      <c r="L64" s="18">
        <f t="shared" si="44"/>
        <v>3.032055</v>
      </c>
      <c r="M64" s="13" t="s">
        <v>110</v>
      </c>
      <c r="N64" s="13"/>
      <c r="O64" s="18">
        <f t="shared" si="55"/>
        <v>5.82277339797069</v>
      </c>
      <c r="P64" s="18">
        <f t="shared" si="45"/>
        <v>2.96684889220382</v>
      </c>
      <c r="Q64" s="24">
        <f t="shared" si="46"/>
        <v>0.860386178739106</v>
      </c>
      <c r="R64" s="18">
        <f t="shared" si="47"/>
        <v>0.87929595</v>
      </c>
      <c r="S64" s="25">
        <f t="shared" si="48"/>
        <v>0.978494417879562</v>
      </c>
      <c r="T64" s="3">
        <v>0.27</v>
      </c>
      <c r="U64" s="26">
        <f t="shared" si="49"/>
        <v>0.264193492827482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0.34173279565638</v>
      </c>
      <c r="AC64" s="29">
        <f t="shared" si="51"/>
        <v>11.2298333333333</v>
      </c>
      <c r="AD64" s="1">
        <f t="shared" si="52"/>
        <v>0.29</v>
      </c>
      <c r="AE64" s="30">
        <f t="shared" si="56"/>
        <v>73.275501332954</v>
      </c>
      <c r="AF64" s="1">
        <f t="shared" si="53"/>
        <v>2812022.3536208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28.4727356835484</v>
      </c>
      <c r="E65" s="20">
        <f t="shared" si="54"/>
        <v>28.5712106646667</v>
      </c>
      <c r="F65" s="16" t="s">
        <v>110</v>
      </c>
      <c r="G65" s="13">
        <v>8</v>
      </c>
      <c r="H65" s="18">
        <f t="shared" si="40"/>
        <v>28.4727356835484</v>
      </c>
      <c r="I65" s="18">
        <f t="shared" si="41"/>
        <v>301.622735683548</v>
      </c>
      <c r="J65" s="18">
        <f t="shared" si="42"/>
        <v>0.504184922059567</v>
      </c>
      <c r="K65" s="18">
        <f t="shared" si="43"/>
        <v>11.2298333333333</v>
      </c>
      <c r="L65" s="18">
        <f t="shared" si="44"/>
        <v>3.032055</v>
      </c>
      <c r="M65" s="13" t="s">
        <v>110</v>
      </c>
      <c r="N65" s="13"/>
      <c r="O65" s="18">
        <f t="shared" si="55"/>
        <v>5.88797950576688</v>
      </c>
      <c r="P65" s="18">
        <f t="shared" si="45"/>
        <v>2.9686304882034</v>
      </c>
      <c r="Q65" s="24">
        <f t="shared" si="46"/>
        <v>0.860902841578986</v>
      </c>
      <c r="R65" s="18">
        <f t="shared" si="47"/>
        <v>0.87929595</v>
      </c>
      <c r="S65" s="25">
        <f t="shared" si="48"/>
        <v>0.979082004846021</v>
      </c>
      <c r="T65" s="3">
        <v>0.27</v>
      </c>
      <c r="U65" s="26">
        <f t="shared" si="49"/>
        <v>0.264352141308426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0.341763621056227</v>
      </c>
      <c r="AC65" s="29">
        <f t="shared" si="51"/>
        <v>11.2298333333333</v>
      </c>
      <c r="AD65" s="1">
        <f t="shared" si="52"/>
        <v>0.29</v>
      </c>
      <c r="AE65" s="30">
        <f t="shared" si="56"/>
        <v>73.275501332954</v>
      </c>
      <c r="AF65" s="1">
        <f t="shared" si="53"/>
        <v>2812276.0071025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27.6174961567742</v>
      </c>
      <c r="E66" s="20">
        <f t="shared" si="54"/>
        <v>28.4727356835484</v>
      </c>
      <c r="F66" s="16" t="s">
        <v>110</v>
      </c>
      <c r="G66" s="13">
        <v>9</v>
      </c>
      <c r="H66" s="18">
        <f t="shared" si="40"/>
        <v>27.6174961567742</v>
      </c>
      <c r="I66" s="18">
        <f t="shared" si="41"/>
        <v>300.767496156774</v>
      </c>
      <c r="J66" s="18">
        <f t="shared" si="42"/>
        <v>0.459964964772791</v>
      </c>
      <c r="K66" s="18">
        <f t="shared" si="43"/>
        <v>11.2298333333333</v>
      </c>
      <c r="L66" s="18">
        <f t="shared" si="44"/>
        <v>3.032055</v>
      </c>
      <c r="M66" s="13" t="s">
        <v>110</v>
      </c>
      <c r="N66" s="13"/>
      <c r="O66" s="18">
        <f t="shared" si="55"/>
        <v>5.95140401756348</v>
      </c>
      <c r="P66" s="18">
        <f t="shared" si="45"/>
        <v>2.73743733928723</v>
      </c>
      <c r="Q66" s="24">
        <f t="shared" si="46"/>
        <v>0.793856828393297</v>
      </c>
      <c r="R66" s="18">
        <f t="shared" si="47"/>
        <v>0.87929595</v>
      </c>
      <c r="S66" s="25">
        <f t="shared" si="48"/>
        <v>0.902832349441957</v>
      </c>
      <c r="T66" s="3">
        <v>0.27</v>
      </c>
      <c r="U66" s="26">
        <f t="shared" si="49"/>
        <v>0.243764734349328</v>
      </c>
      <c r="V66" s="3">
        <v>229.1</v>
      </c>
      <c r="W66" s="27">
        <v>15.1</v>
      </c>
      <c r="X66" s="27">
        <v>6</v>
      </c>
      <c r="Y66" s="27">
        <v>3</v>
      </c>
      <c r="Z66" s="27">
        <v>7</v>
      </c>
      <c r="AA66" s="3">
        <v>30.2</v>
      </c>
      <c r="AB66" s="2">
        <f t="shared" si="50"/>
        <v>0.337763487884075</v>
      </c>
      <c r="AC66" s="29">
        <f t="shared" si="51"/>
        <v>11.2298333333333</v>
      </c>
      <c r="AD66" s="1">
        <f t="shared" si="52"/>
        <v>0.29</v>
      </c>
      <c r="AE66" s="30">
        <f t="shared" si="56"/>
        <v>73.275501332954</v>
      </c>
      <c r="AF66" s="1">
        <f t="shared" si="53"/>
        <v>2779360.04457117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27.029027161</v>
      </c>
      <c r="E67" s="20">
        <f t="shared" si="54"/>
        <v>27.6174961567742</v>
      </c>
      <c r="F67" s="16" t="s">
        <v>110</v>
      </c>
      <c r="G67" s="13">
        <v>10</v>
      </c>
      <c r="H67" s="18">
        <f t="shared" si="40"/>
        <v>27.029027161</v>
      </c>
      <c r="I67" s="18">
        <f t="shared" si="41"/>
        <v>300.179027161</v>
      </c>
      <c r="J67" s="18">
        <f t="shared" si="42"/>
        <v>0.43168071359511</v>
      </c>
      <c r="K67" s="18">
        <f t="shared" si="43"/>
        <v>11.2298333333333</v>
      </c>
      <c r="L67" s="18">
        <f t="shared" si="44"/>
        <v>3.032055</v>
      </c>
      <c r="M67" s="13" t="s">
        <v>110</v>
      </c>
      <c r="N67" s="13"/>
      <c r="O67" s="18">
        <f t="shared" si="55"/>
        <v>6.24602167827625</v>
      </c>
      <c r="P67" s="18">
        <f t="shared" si="45"/>
        <v>2.69628709520882</v>
      </c>
      <c r="Q67" s="24">
        <f t="shared" si="46"/>
        <v>0.781923257610557</v>
      </c>
      <c r="R67" s="18">
        <f t="shared" si="47"/>
        <v>0.87929595</v>
      </c>
      <c r="S67" s="25">
        <f t="shared" si="48"/>
        <v>0.889260615394119</v>
      </c>
      <c r="T67" s="3">
        <v>0.27</v>
      </c>
      <c r="U67" s="26">
        <f t="shared" si="49"/>
        <v>0.240100366156412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0.321851501144191</v>
      </c>
      <c r="AC67" s="29">
        <f t="shared" si="51"/>
        <v>11.2298333333333</v>
      </c>
      <c r="AD67" s="1">
        <f t="shared" si="52"/>
        <v>0.29</v>
      </c>
      <c r="AE67" s="30">
        <f t="shared" si="56"/>
        <v>73.275501332954</v>
      </c>
      <c r="AF67" s="1">
        <f t="shared" si="53"/>
        <v>2648424.81397052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25.8822947970968</v>
      </c>
      <c r="E68" s="20">
        <f t="shared" si="54"/>
        <v>27.029027161</v>
      </c>
      <c r="F68" s="16" t="s">
        <v>110</v>
      </c>
      <c r="G68" s="13">
        <v>11</v>
      </c>
      <c r="H68" s="18">
        <f t="shared" si="40"/>
        <v>25.8822947970968</v>
      </c>
      <c r="I68" s="18">
        <f t="shared" si="41"/>
        <v>299.032294797097</v>
      </c>
      <c r="J68" s="18">
        <f t="shared" si="42"/>
        <v>0.381190010299969</v>
      </c>
      <c r="K68" s="18">
        <f t="shared" si="43"/>
        <v>11.2298333333333</v>
      </c>
      <c r="L68" s="18">
        <f t="shared" si="44"/>
        <v>3.032055</v>
      </c>
      <c r="M68" s="13" t="s">
        <v>112</v>
      </c>
      <c r="N68" s="18">
        <f>(O67-P67)*$C$22/100</f>
        <v>3.37224785391406</v>
      </c>
      <c r="O68" s="18">
        <f t="shared" si="55"/>
        <v>3.20954172915337</v>
      </c>
      <c r="P68" s="18">
        <f t="shared" si="45"/>
        <v>1.22344524479415</v>
      </c>
      <c r="Q68" s="24">
        <f t="shared" si="46"/>
        <v>0.354799120990305</v>
      </c>
      <c r="R68" s="18">
        <f t="shared" si="47"/>
        <v>0.87929595</v>
      </c>
      <c r="S68" s="25">
        <f t="shared" si="48"/>
        <v>0.403503645149628</v>
      </c>
      <c r="T68" s="3">
        <v>0.27</v>
      </c>
      <c r="U68" s="26">
        <f t="shared" si="49"/>
        <v>0.108945984190399</v>
      </c>
      <c r="V68" s="3">
        <v>220.1</v>
      </c>
      <c r="W68" s="27">
        <v>12.1</v>
      </c>
      <c r="X68" s="27">
        <v>4.5</v>
      </c>
      <c r="Y68" s="27">
        <v>1.5</v>
      </c>
      <c r="Z68" s="27">
        <v>6.8</v>
      </c>
      <c r="AA68" s="3">
        <v>30.2</v>
      </c>
      <c r="AB68" s="2">
        <f t="shared" si="50"/>
        <v>0.296368204728195</v>
      </c>
      <c r="AC68" s="29">
        <f t="shared" si="51"/>
        <v>11.2298333333333</v>
      </c>
      <c r="AD68" s="1">
        <f t="shared" si="52"/>
        <v>0.29</v>
      </c>
      <c r="AE68" s="30">
        <f t="shared" si="56"/>
        <v>73.275501332954</v>
      </c>
      <c r="AF68" s="1">
        <f t="shared" si="53"/>
        <v>2438729.98784742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22.981419384</v>
      </c>
      <c r="E69" s="20">
        <f t="shared" si="54"/>
        <v>25.8822947970968</v>
      </c>
      <c r="F69" s="16" t="s">
        <v>112</v>
      </c>
      <c r="G69" s="13">
        <v>12</v>
      </c>
      <c r="H69" s="18">
        <f t="shared" si="40"/>
        <v>22.981419384</v>
      </c>
      <c r="I69" s="18">
        <f t="shared" si="41"/>
        <v>296.131419384</v>
      </c>
      <c r="J69" s="18">
        <f t="shared" si="42"/>
        <v>0.277087552882949</v>
      </c>
      <c r="K69" s="18">
        <f t="shared" si="43"/>
        <v>11.2298333333333</v>
      </c>
      <c r="L69" s="18">
        <f t="shared" si="44"/>
        <v>3.032055</v>
      </c>
      <c r="M69" s="13" t="s">
        <v>110</v>
      </c>
      <c r="N69" s="13"/>
      <c r="O69" s="18">
        <f t="shared" si="55"/>
        <v>5.01815148435922</v>
      </c>
      <c r="P69" s="18">
        <f t="shared" si="45"/>
        <v>1.39046731479703</v>
      </c>
      <c r="Q69" s="24">
        <f t="shared" si="46"/>
        <v>0.40323552129114</v>
      </c>
      <c r="R69" s="18">
        <f t="shared" si="47"/>
        <v>0.87929595</v>
      </c>
      <c r="S69" s="25">
        <f t="shared" si="48"/>
        <v>0.458589080606069</v>
      </c>
      <c r="T69" s="3">
        <v>0.27</v>
      </c>
      <c r="U69" s="26">
        <f t="shared" si="49"/>
        <v>0.123819051763639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0.250458041757675</v>
      </c>
      <c r="AC69" s="29">
        <f t="shared" si="51"/>
        <v>11.2298333333333</v>
      </c>
      <c r="AD69" s="1">
        <f t="shared" si="52"/>
        <v>0.29</v>
      </c>
      <c r="AE69" s="30">
        <f t="shared" si="56"/>
        <v>73.275501332954</v>
      </c>
      <c r="AF69" s="1">
        <f t="shared" si="53"/>
        <v>2060948.2643125</v>
      </c>
      <c r="AG69" s="1">
        <f>SUM(AF58:AF69)</f>
        <v>29751577.4241288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20.664354696129</v>
      </c>
      <c r="E70" s="20">
        <f t="shared" si="54"/>
        <v>22.981419384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18</v>
      </c>
      <c r="E74" s="16"/>
      <c r="F74" s="16"/>
      <c r="G74" s="13">
        <v>1</v>
      </c>
      <c r="H74" s="18">
        <f t="shared" ref="H74:H85" si="57">E75</f>
        <v>18</v>
      </c>
      <c r="I74" s="18">
        <f t="shared" ref="I74:I85" si="58">H74+273.15</f>
        <v>291.15</v>
      </c>
      <c r="J74" s="18">
        <f t="shared" ref="J74:J85" si="59">EXP(($C$16*(I74-$C$14))/($C$17*I74*$C$14))</f>
        <v>0.157870513912988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0.0822852692617276</v>
      </c>
      <c r="Q74" s="24">
        <f t="shared" ref="Q74:Q85" si="63">P74*$B$76</f>
        <v>0.0213941700080492</v>
      </c>
      <c r="R74" s="18">
        <f t="shared" ref="R74:R85" si="64">L74*$B$76</f>
        <v>0.1355172</v>
      </c>
      <c r="S74" s="25">
        <f t="shared" ref="S74:S85" si="65">Q74/R74</f>
        <v>0.157870513912988</v>
      </c>
      <c r="T74" s="3">
        <v>0.01</v>
      </c>
      <c r="U74" s="26">
        <f t="shared" ref="U74:U85" si="66">S74*T74</f>
        <v>0.00157870513912988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0.00706870513912988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$E$9</f>
        <v>0</v>
      </c>
      <c r="AX74" s="1">
        <f t="shared" ref="AX74:AX85" si="73">AW74*10000*AV74*0.67*AU74*AT74</f>
        <v>0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18.6325489756129</v>
      </c>
      <c r="E75" s="20">
        <f t="shared" ref="E75:E86" si="74">D74</f>
        <v>18</v>
      </c>
      <c r="F75" s="16" t="s">
        <v>110</v>
      </c>
      <c r="G75" s="13">
        <v>2</v>
      </c>
      <c r="H75" s="18">
        <f t="shared" si="57"/>
        <v>18.6325489756129</v>
      </c>
      <c r="I75" s="18">
        <f t="shared" si="58"/>
        <v>291.782548975613</v>
      </c>
      <c r="J75" s="18">
        <f t="shared" si="59"/>
        <v>0.169741122022251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0.960154730738272</v>
      </c>
      <c r="P75" s="18">
        <f t="shared" si="62"/>
        <v>0.162977741310487</v>
      </c>
      <c r="Q75" s="24">
        <f t="shared" si="63"/>
        <v>0.0423742127407265</v>
      </c>
      <c r="R75" s="18">
        <f t="shared" si="64"/>
        <v>0.1355172</v>
      </c>
      <c r="S75" s="25">
        <f t="shared" si="65"/>
        <v>0.312685125878682</v>
      </c>
      <c r="T75" s="3">
        <v>0.01</v>
      </c>
      <c r="U75" s="26">
        <f t="shared" si="66"/>
        <v>0.00312685125878682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0.00861685125878682</v>
      </c>
      <c r="AU75" s="29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16.7316438058621</v>
      </c>
      <c r="E76" s="20">
        <f t="shared" si="74"/>
        <v>18.6325489756129</v>
      </c>
      <c r="F76" s="16" t="s">
        <v>110</v>
      </c>
      <c r="G76" s="13">
        <v>3</v>
      </c>
      <c r="H76" s="18">
        <f t="shared" si="57"/>
        <v>16.7316438058621</v>
      </c>
      <c r="I76" s="18">
        <f t="shared" si="58"/>
        <v>289.881643805862</v>
      </c>
      <c r="J76" s="18">
        <f t="shared" si="59"/>
        <v>0.136380645842431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1.31839698942779</v>
      </c>
      <c r="P76" s="18">
        <f t="shared" si="62"/>
        <v>0.179803832894878</v>
      </c>
      <c r="Q76" s="24">
        <f t="shared" si="63"/>
        <v>0.0467489965526683</v>
      </c>
      <c r="R76" s="18">
        <f t="shared" si="64"/>
        <v>0.1355172</v>
      </c>
      <c r="S76" s="25">
        <f t="shared" si="65"/>
        <v>0.344967255467707</v>
      </c>
      <c r="T76" s="3">
        <v>0.01</v>
      </c>
      <c r="U76" s="26">
        <f t="shared" si="66"/>
        <v>0.00344967255467707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0.005</v>
      </c>
      <c r="AF76" s="3">
        <v>0.49</v>
      </c>
      <c r="AG76" s="26">
        <f t="shared" si="67"/>
        <v>0.00245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0.015</v>
      </c>
      <c r="AR76" s="3">
        <v>0.5</v>
      </c>
      <c r="AS76" s="3">
        <f t="shared" si="68"/>
        <v>0.0075</v>
      </c>
      <c r="AT76" s="2">
        <f t="shared" si="69"/>
        <v>0.0133996725546771</v>
      </c>
      <c r="AU76" s="29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9">
        <v>20.647929176129</v>
      </c>
      <c r="E77" s="20">
        <f t="shared" si="74"/>
        <v>16.7316438058621</v>
      </c>
      <c r="F77" s="16" t="s">
        <v>110</v>
      </c>
      <c r="G77" s="13">
        <v>4</v>
      </c>
      <c r="H77" s="18">
        <f t="shared" si="57"/>
        <v>20.647929176129</v>
      </c>
      <c r="I77" s="18">
        <f t="shared" si="58"/>
        <v>293.797929176129</v>
      </c>
      <c r="J77" s="18">
        <f t="shared" si="59"/>
        <v>0.213403434832766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1.65981315653291</v>
      </c>
      <c r="P77" s="18">
        <f t="shared" si="62"/>
        <v>0.354209828784738</v>
      </c>
      <c r="Q77" s="24">
        <f t="shared" si="63"/>
        <v>0.0920945554840319</v>
      </c>
      <c r="R77" s="18">
        <f t="shared" si="64"/>
        <v>0.1355172</v>
      </c>
      <c r="S77" s="25">
        <f t="shared" si="65"/>
        <v>0.679578352297951</v>
      </c>
      <c r="T77" s="3">
        <v>0.01</v>
      </c>
      <c r="U77" s="26">
        <f t="shared" si="66"/>
        <v>0.00679578352297951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0.005</v>
      </c>
      <c r="AF77" s="3">
        <v>0.49</v>
      </c>
      <c r="AG77" s="26">
        <f t="shared" si="67"/>
        <v>0.00245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0.0167457835229795</v>
      </c>
      <c r="AU77" s="29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9">
        <v>26.0432408813333</v>
      </c>
      <c r="E78" s="20">
        <f t="shared" si="74"/>
        <v>20.647929176129</v>
      </c>
      <c r="F78" s="16" t="s">
        <v>110</v>
      </c>
      <c r="G78" s="13">
        <v>5</v>
      </c>
      <c r="H78" s="18">
        <f t="shared" si="57"/>
        <v>26.0432408813333</v>
      </c>
      <c r="I78" s="18">
        <f t="shared" si="58"/>
        <v>299.193240881333</v>
      </c>
      <c r="J78" s="18">
        <f t="shared" si="59"/>
        <v>0.38792561894413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1.24032316136076</v>
      </c>
      <c r="O78" s="18">
        <f t="shared" si="75"/>
        <v>0.586500166387409</v>
      </c>
      <c r="P78" s="18">
        <f t="shared" si="62"/>
        <v>0.227518440056671</v>
      </c>
      <c r="Q78" s="24">
        <f t="shared" si="63"/>
        <v>0.0591547944147344</v>
      </c>
      <c r="R78" s="18">
        <f t="shared" si="64"/>
        <v>0.1355172</v>
      </c>
      <c r="S78" s="25">
        <f t="shared" si="65"/>
        <v>0.436511338890815</v>
      </c>
      <c r="T78" s="3">
        <v>0.01</v>
      </c>
      <c r="U78" s="26">
        <f t="shared" si="66"/>
        <v>0.00436511338890815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0.01</v>
      </c>
      <c r="AF78" s="3">
        <v>0.49</v>
      </c>
      <c r="AG78" s="26">
        <f t="shared" si="67"/>
        <v>0.0049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0.02</v>
      </c>
      <c r="AR78" s="3">
        <v>0.5</v>
      </c>
      <c r="AS78" s="3">
        <f t="shared" si="68"/>
        <v>0.01</v>
      </c>
      <c r="AT78" s="2">
        <f t="shared" si="69"/>
        <v>0.0192651133889082</v>
      </c>
      <c r="AU78" s="29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9">
        <v>27.5161541245161</v>
      </c>
      <c r="E79" s="20">
        <f t="shared" si="74"/>
        <v>26.0432408813333</v>
      </c>
      <c r="F79" s="16" t="s">
        <v>112</v>
      </c>
      <c r="G79" s="13">
        <v>6</v>
      </c>
      <c r="H79" s="18">
        <f t="shared" si="57"/>
        <v>27.5161541245161</v>
      </c>
      <c r="I79" s="18">
        <f t="shared" si="58"/>
        <v>300.666154124516</v>
      </c>
      <c r="J79" s="18">
        <f t="shared" si="59"/>
        <v>0.454973277072128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0.880201726330738</v>
      </c>
      <c r="P79" s="18">
        <f t="shared" si="62"/>
        <v>0.40046826391324</v>
      </c>
      <c r="Q79" s="24">
        <f t="shared" si="63"/>
        <v>0.104121748617442</v>
      </c>
      <c r="R79" s="18">
        <f t="shared" si="64"/>
        <v>0.1355172</v>
      </c>
      <c r="S79" s="25">
        <f t="shared" si="65"/>
        <v>0.768328659516596</v>
      </c>
      <c r="T79" s="3">
        <v>0.01</v>
      </c>
      <c r="U79" s="26">
        <f t="shared" si="66"/>
        <v>0.00768328659516596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0.01</v>
      </c>
      <c r="AF79" s="3">
        <v>0.49</v>
      </c>
      <c r="AG79" s="26">
        <f t="shared" si="67"/>
        <v>0.0049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0.02</v>
      </c>
      <c r="AR79" s="3">
        <v>0.5</v>
      </c>
      <c r="AS79" s="3">
        <f t="shared" si="68"/>
        <v>0.01</v>
      </c>
      <c r="AT79" s="2">
        <f t="shared" si="69"/>
        <v>0.022583286595166</v>
      </c>
      <c r="AU79" s="29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9">
        <v>28.5712106646667</v>
      </c>
      <c r="E80" s="20">
        <f t="shared" si="74"/>
        <v>27.5161541245161</v>
      </c>
      <c r="F80" s="16" t="s">
        <v>110</v>
      </c>
      <c r="G80" s="13">
        <v>7</v>
      </c>
      <c r="H80" s="18">
        <f t="shared" si="57"/>
        <v>28.5712106646667</v>
      </c>
      <c r="I80" s="18">
        <f t="shared" si="58"/>
        <v>301.721210664667</v>
      </c>
      <c r="J80" s="18">
        <f t="shared" si="59"/>
        <v>0.509525047503617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1.0009534624175</v>
      </c>
      <c r="P80" s="18">
        <f t="shared" si="62"/>
        <v>0.510010860487186</v>
      </c>
      <c r="Q80" s="24">
        <f t="shared" si="63"/>
        <v>0.132602823726668</v>
      </c>
      <c r="R80" s="18">
        <f t="shared" si="64"/>
        <v>0.1355172</v>
      </c>
      <c r="S80" s="25">
        <f t="shared" si="65"/>
        <v>0.978494417879563</v>
      </c>
      <c r="T80" s="3">
        <v>0.01</v>
      </c>
      <c r="U80" s="26">
        <f t="shared" si="66"/>
        <v>0.00978494417879563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0.01</v>
      </c>
      <c r="AF80" s="3">
        <v>0.49</v>
      </c>
      <c r="AG80" s="26">
        <f t="shared" si="67"/>
        <v>0.0049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0.0246849441787956</v>
      </c>
      <c r="AU80" s="29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9">
        <v>28.4727356835484</v>
      </c>
      <c r="E81" s="20">
        <f t="shared" si="74"/>
        <v>28.5712106646667</v>
      </c>
      <c r="F81" s="16" t="s">
        <v>110</v>
      </c>
      <c r="G81" s="13">
        <v>8</v>
      </c>
      <c r="H81" s="18">
        <f t="shared" si="57"/>
        <v>28.4727356835484</v>
      </c>
      <c r="I81" s="18">
        <f t="shared" si="58"/>
        <v>301.622735683548</v>
      </c>
      <c r="J81" s="18">
        <f t="shared" si="59"/>
        <v>0.504184922059567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1.01216260193031</v>
      </c>
      <c r="P81" s="18">
        <f t="shared" si="62"/>
        <v>0.510317122565843</v>
      </c>
      <c r="Q81" s="24">
        <f t="shared" si="63"/>
        <v>0.132682451867119</v>
      </c>
      <c r="R81" s="18">
        <f t="shared" si="64"/>
        <v>0.1355172</v>
      </c>
      <c r="S81" s="25">
        <f t="shared" si="65"/>
        <v>0.979082004846021</v>
      </c>
      <c r="T81" s="3">
        <v>0.01</v>
      </c>
      <c r="U81" s="26">
        <f t="shared" si="66"/>
        <v>0.00979082004846021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0.01</v>
      </c>
      <c r="AF81" s="3">
        <v>0.49</v>
      </c>
      <c r="AG81" s="26">
        <f t="shared" si="67"/>
        <v>0.0049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0.0246908200484602</v>
      </c>
      <c r="AU81" s="29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9">
        <v>27.6174961567742</v>
      </c>
      <c r="E82" s="20">
        <f t="shared" si="74"/>
        <v>28.4727356835484</v>
      </c>
      <c r="F82" s="16" t="s">
        <v>110</v>
      </c>
      <c r="G82" s="13">
        <v>9</v>
      </c>
      <c r="H82" s="18">
        <f t="shared" si="57"/>
        <v>27.6174961567742</v>
      </c>
      <c r="I82" s="18">
        <f t="shared" si="58"/>
        <v>300.767496156774</v>
      </c>
      <c r="J82" s="18">
        <f t="shared" si="59"/>
        <v>0.459964964772791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1.02306547936447</v>
      </c>
      <c r="P82" s="18">
        <f t="shared" si="62"/>
        <v>0.470574277176137</v>
      </c>
      <c r="Q82" s="24">
        <f t="shared" si="63"/>
        <v>0.122349312065796</v>
      </c>
      <c r="R82" s="18">
        <f t="shared" si="64"/>
        <v>0.1355172</v>
      </c>
      <c r="S82" s="25">
        <f t="shared" si="65"/>
        <v>0.902832349441957</v>
      </c>
      <c r="T82" s="3">
        <v>0.01</v>
      </c>
      <c r="U82" s="26">
        <f t="shared" si="66"/>
        <v>0.00902832349441957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0.01</v>
      </c>
      <c r="AF82" s="3">
        <v>0.49</v>
      </c>
      <c r="AG82" s="26">
        <f t="shared" si="67"/>
        <v>0.0049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0.02</v>
      </c>
      <c r="AR82" s="3">
        <v>0.5</v>
      </c>
      <c r="AS82" s="3">
        <f t="shared" si="68"/>
        <v>0.01</v>
      </c>
      <c r="AT82" s="2">
        <f t="shared" si="69"/>
        <v>0.0239283234944196</v>
      </c>
      <c r="AU82" s="29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9">
        <v>27.029027161</v>
      </c>
      <c r="E83" s="20">
        <f t="shared" si="74"/>
        <v>27.6174961567742</v>
      </c>
      <c r="F83" s="16" t="s">
        <v>110</v>
      </c>
      <c r="G83" s="13">
        <v>10</v>
      </c>
      <c r="H83" s="18">
        <f t="shared" si="57"/>
        <v>27.029027161</v>
      </c>
      <c r="I83" s="18">
        <f t="shared" si="58"/>
        <v>300.179027161</v>
      </c>
      <c r="J83" s="18">
        <f t="shared" si="59"/>
        <v>0.43168071359511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1.07371120218833</v>
      </c>
      <c r="P83" s="18">
        <f t="shared" si="62"/>
        <v>0.463500417955723</v>
      </c>
      <c r="Q83" s="24">
        <f t="shared" si="63"/>
        <v>0.120510108668488</v>
      </c>
      <c r="R83" s="18">
        <f t="shared" si="64"/>
        <v>0.1355172</v>
      </c>
      <c r="S83" s="25">
        <f t="shared" si="65"/>
        <v>0.889260615394119</v>
      </c>
      <c r="T83" s="3">
        <v>0.01</v>
      </c>
      <c r="U83" s="26">
        <f t="shared" si="66"/>
        <v>0.00889260615394119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0.0188426061539412</v>
      </c>
      <c r="AU83" s="29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9">
        <v>25.8822947970968</v>
      </c>
      <c r="E84" s="20">
        <f t="shared" si="74"/>
        <v>27.029027161</v>
      </c>
      <c r="F84" s="16" t="s">
        <v>110</v>
      </c>
      <c r="G84" s="13">
        <v>11</v>
      </c>
      <c r="H84" s="18">
        <f t="shared" si="57"/>
        <v>25.8822947970968</v>
      </c>
      <c r="I84" s="18">
        <f t="shared" si="58"/>
        <v>299.032294797097</v>
      </c>
      <c r="J84" s="18">
        <f t="shared" si="59"/>
        <v>0.381190010299969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0.579700245020979</v>
      </c>
      <c r="O84" s="18">
        <f t="shared" si="75"/>
        <v>0.551730539211631</v>
      </c>
      <c r="P84" s="18">
        <f t="shared" si="62"/>
        <v>0.210314169924889</v>
      </c>
      <c r="Q84" s="24">
        <f t="shared" si="63"/>
        <v>0.0546816841804711</v>
      </c>
      <c r="R84" s="18">
        <f t="shared" si="64"/>
        <v>0.1355172</v>
      </c>
      <c r="S84" s="25">
        <f t="shared" si="65"/>
        <v>0.403503645149628</v>
      </c>
      <c r="T84" s="3">
        <v>0.01</v>
      </c>
      <c r="U84" s="26">
        <f t="shared" si="66"/>
        <v>0.00403503645149628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0.015</v>
      </c>
      <c r="AR84" s="3">
        <v>0.5</v>
      </c>
      <c r="AS84" s="3">
        <f t="shared" si="68"/>
        <v>0.0075</v>
      </c>
      <c r="AT84" s="2">
        <f t="shared" si="69"/>
        <v>0.0139850364514963</v>
      </c>
      <c r="AU84" s="29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9">
        <v>22.981419384</v>
      </c>
      <c r="E85" s="20">
        <f t="shared" si="74"/>
        <v>25.8822947970968</v>
      </c>
      <c r="F85" s="16" t="s">
        <v>112</v>
      </c>
      <c r="G85" s="13">
        <v>12</v>
      </c>
      <c r="H85" s="18">
        <f t="shared" si="57"/>
        <v>22.981419384</v>
      </c>
      <c r="I85" s="18">
        <f t="shared" si="58"/>
        <v>296.131419384</v>
      </c>
      <c r="J85" s="18">
        <f t="shared" si="59"/>
        <v>0.277087552882949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0.862636369286742</v>
      </c>
      <c r="P85" s="18">
        <f t="shared" si="62"/>
        <v>0.239025800593495</v>
      </c>
      <c r="Q85" s="24">
        <f t="shared" si="63"/>
        <v>0.0621467081543087</v>
      </c>
      <c r="R85" s="18">
        <f t="shared" si="64"/>
        <v>0.1355172</v>
      </c>
      <c r="S85" s="25">
        <f t="shared" si="65"/>
        <v>0.458589080606069</v>
      </c>
      <c r="T85" s="3">
        <v>0.01</v>
      </c>
      <c r="U85" s="26">
        <f t="shared" si="66"/>
        <v>0.00458589080606069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0.0100758908060607</v>
      </c>
      <c r="AU85" s="29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9">
        <v>20.664354696129</v>
      </c>
      <c r="E86" s="20">
        <f t="shared" si="74"/>
        <v>22.981419384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18</v>
      </c>
      <c r="E90" s="16"/>
      <c r="F90" s="16"/>
      <c r="G90" s="13">
        <v>1</v>
      </c>
      <c r="H90" s="18">
        <f t="shared" ref="H90:H101" si="76">E91</f>
        <v>18</v>
      </c>
      <c r="I90" s="18">
        <f t="shared" ref="I90:I101" si="77">H90+273.15</f>
        <v>291.15</v>
      </c>
      <c r="J90" s="18">
        <f t="shared" ref="J90:J101" si="78">EXP(($C$16*(I90-$C$14))/($C$17*I90*$C$14))</f>
        <v>0.157870513912988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0.0449457353110277</v>
      </c>
      <c r="Q90" s="24">
        <f t="shared" ref="Q90:Q101" si="82">P90*$B$76</f>
        <v>0.0116858911808672</v>
      </c>
      <c r="R90" s="18">
        <f t="shared" ref="R90:R101" si="83">L90*$B$76</f>
        <v>0.074022</v>
      </c>
      <c r="S90" s="25">
        <f t="shared" ref="S90:S101" si="84">Q90/R90</f>
        <v>0.157870513912988</v>
      </c>
      <c r="T90" s="3">
        <v>0.01</v>
      </c>
      <c r="U90" s="26">
        <f t="shared" ref="U90:U101" si="85">S90*T90</f>
        <v>0.00157870513912988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0.00706870513912988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$E$10</f>
        <v>0</v>
      </c>
      <c r="AX90" s="1">
        <f t="shared" ref="AX90:AX101" si="92">AW90*10000*AV90*0.67*AU90*AT90</f>
        <v>0</v>
      </c>
      <c r="AZ90" s="2">
        <f t="shared" ref="AZ90:AZ101" si="93">$E$11</f>
        <v>0</v>
      </c>
      <c r="BA90" s="1">
        <f t="shared" ref="BA90:BA101" si="94">AZ90*10000*AV90*0.67*AU90*AT90</f>
        <v>0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18.6325489756129</v>
      </c>
      <c r="E91" s="20">
        <f t="shared" ref="E91:E102" si="95">D90</f>
        <v>18</v>
      </c>
      <c r="F91" s="16" t="s">
        <v>110</v>
      </c>
      <c r="G91" s="13">
        <v>2</v>
      </c>
      <c r="H91" s="18">
        <f t="shared" si="76"/>
        <v>18.6325489756129</v>
      </c>
      <c r="I91" s="18">
        <f t="shared" si="77"/>
        <v>291.782548975613</v>
      </c>
      <c r="J91" s="18">
        <f t="shared" si="78"/>
        <v>0.169741122022251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0.524454264688972</v>
      </c>
      <c r="P91" s="18">
        <f t="shared" si="81"/>
        <v>0.0890214553376608</v>
      </c>
      <c r="Q91" s="24">
        <f t="shared" si="82"/>
        <v>0.0231455783877918</v>
      </c>
      <c r="R91" s="18">
        <f t="shared" si="83"/>
        <v>0.074022</v>
      </c>
      <c r="S91" s="25">
        <f t="shared" si="84"/>
        <v>0.312685125878682</v>
      </c>
      <c r="T91" s="3">
        <v>0.01</v>
      </c>
      <c r="U91" s="26">
        <f t="shared" si="85"/>
        <v>0.00312685125878682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0.00861685125878682</v>
      </c>
      <c r="AU91" s="29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16.7316438058621</v>
      </c>
      <c r="E92" s="20">
        <f t="shared" si="95"/>
        <v>18.6325489756129</v>
      </c>
      <c r="F92" s="16" t="s">
        <v>110</v>
      </c>
      <c r="G92" s="13">
        <v>3</v>
      </c>
      <c r="H92" s="18">
        <f t="shared" si="76"/>
        <v>16.7316438058621</v>
      </c>
      <c r="I92" s="18">
        <f t="shared" si="77"/>
        <v>289.881643805862</v>
      </c>
      <c r="J92" s="18">
        <f t="shared" si="78"/>
        <v>0.136380645842431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0.720132809351312</v>
      </c>
      <c r="P92" s="18">
        <f t="shared" si="81"/>
        <v>0.0982121776316561</v>
      </c>
      <c r="Q92" s="24">
        <f t="shared" si="82"/>
        <v>0.0255351661842306</v>
      </c>
      <c r="R92" s="18">
        <f t="shared" si="83"/>
        <v>0.074022</v>
      </c>
      <c r="S92" s="25">
        <f t="shared" si="84"/>
        <v>0.344967255467707</v>
      </c>
      <c r="T92" s="3">
        <v>0.01</v>
      </c>
      <c r="U92" s="26">
        <f t="shared" si="85"/>
        <v>0.00344967255467707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0.005</v>
      </c>
      <c r="AF92" s="3">
        <v>0.49</v>
      </c>
      <c r="AG92" s="26">
        <f t="shared" si="86"/>
        <v>0.00245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0.015</v>
      </c>
      <c r="AR92" s="3">
        <v>0.5</v>
      </c>
      <c r="AS92" s="3">
        <f t="shared" si="87"/>
        <v>0.0075</v>
      </c>
      <c r="AT92" s="2">
        <f t="shared" si="88"/>
        <v>0.0133996725546771</v>
      </c>
      <c r="AU92" s="29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9">
        <v>20.647929176129</v>
      </c>
      <c r="E93" s="20">
        <f t="shared" si="95"/>
        <v>16.7316438058621</v>
      </c>
      <c r="F93" s="16" t="s">
        <v>110</v>
      </c>
      <c r="G93" s="13">
        <v>4</v>
      </c>
      <c r="H93" s="18">
        <f t="shared" si="76"/>
        <v>20.647929176129</v>
      </c>
      <c r="I93" s="18">
        <f t="shared" si="77"/>
        <v>293.797929176129</v>
      </c>
      <c r="J93" s="18">
        <f t="shared" si="78"/>
        <v>0.213403434832766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0.906620631719655</v>
      </c>
      <c r="P93" s="18">
        <f t="shared" si="81"/>
        <v>0.193475956899227</v>
      </c>
      <c r="Q93" s="24">
        <f t="shared" si="82"/>
        <v>0.0503037487937989</v>
      </c>
      <c r="R93" s="18">
        <f t="shared" si="83"/>
        <v>0.074022</v>
      </c>
      <c r="S93" s="25">
        <f t="shared" si="84"/>
        <v>0.679578352297951</v>
      </c>
      <c r="T93" s="3">
        <v>0.01</v>
      </c>
      <c r="U93" s="26">
        <f t="shared" si="85"/>
        <v>0.00679578352297951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0.0167457835229795</v>
      </c>
      <c r="AU93" s="29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9">
        <v>26.0432408813333</v>
      </c>
      <c r="E94" s="20">
        <f t="shared" si="95"/>
        <v>20.647929176129</v>
      </c>
      <c r="F94" s="16" t="s">
        <v>110</v>
      </c>
      <c r="G94" s="13">
        <v>5</v>
      </c>
      <c r="H94" s="18">
        <f t="shared" si="76"/>
        <v>26.0432408813333</v>
      </c>
      <c r="I94" s="18">
        <f t="shared" si="77"/>
        <v>299.193240881333</v>
      </c>
      <c r="J94" s="18">
        <f t="shared" si="78"/>
        <v>0.38792561894413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0.677487441079407</v>
      </c>
      <c r="O94" s="18">
        <f t="shared" si="96"/>
        <v>0.320357233741021</v>
      </c>
      <c r="P94" s="18">
        <f t="shared" si="81"/>
        <v>0.124274778182215</v>
      </c>
      <c r="Q94" s="24">
        <f t="shared" si="82"/>
        <v>0.0323114423273759</v>
      </c>
      <c r="R94" s="18">
        <f t="shared" si="83"/>
        <v>0.074022</v>
      </c>
      <c r="S94" s="25">
        <f t="shared" si="84"/>
        <v>0.436511338890815</v>
      </c>
      <c r="T94" s="3">
        <v>0.01</v>
      </c>
      <c r="U94" s="26">
        <f t="shared" si="85"/>
        <v>0.00436511338890815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0.01</v>
      </c>
      <c r="AF94" s="3">
        <v>0.49</v>
      </c>
      <c r="AG94" s="26">
        <f t="shared" si="86"/>
        <v>0.0049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0.02</v>
      </c>
      <c r="AR94" s="3">
        <v>0.5</v>
      </c>
      <c r="AS94" s="3">
        <f t="shared" si="87"/>
        <v>0.01</v>
      </c>
      <c r="AT94" s="2">
        <f t="shared" si="88"/>
        <v>0.0192651133889081</v>
      </c>
      <c r="AU94" s="29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9">
        <v>27.5161541245161</v>
      </c>
      <c r="E95" s="20">
        <f t="shared" si="95"/>
        <v>26.0432408813333</v>
      </c>
      <c r="F95" s="16" t="s">
        <v>112</v>
      </c>
      <c r="G95" s="13">
        <v>6</v>
      </c>
      <c r="H95" s="18">
        <f t="shared" si="76"/>
        <v>27.5161541245161</v>
      </c>
      <c r="I95" s="18">
        <f t="shared" si="77"/>
        <v>300.666154124516</v>
      </c>
      <c r="J95" s="18">
        <f t="shared" si="78"/>
        <v>0.454973277072128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0.480782455558806</v>
      </c>
      <c r="P95" s="18">
        <f t="shared" si="81"/>
        <v>0.218743169364375</v>
      </c>
      <c r="Q95" s="24">
        <f t="shared" si="82"/>
        <v>0.0568732240347375</v>
      </c>
      <c r="R95" s="18">
        <f t="shared" si="83"/>
        <v>0.074022</v>
      </c>
      <c r="S95" s="25">
        <f t="shared" si="84"/>
        <v>0.768328659516596</v>
      </c>
      <c r="T95" s="3">
        <v>0.01</v>
      </c>
      <c r="U95" s="26">
        <f t="shared" si="85"/>
        <v>0.00768328659516596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0.01</v>
      </c>
      <c r="AF95" s="3">
        <v>0.49</v>
      </c>
      <c r="AG95" s="26">
        <f t="shared" si="86"/>
        <v>0.0049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0.02</v>
      </c>
      <c r="AR95" s="3">
        <v>0.5</v>
      </c>
      <c r="AS95" s="3">
        <f t="shared" si="87"/>
        <v>0.01</v>
      </c>
      <c r="AT95" s="2">
        <f t="shared" si="88"/>
        <v>0.022583286595166</v>
      </c>
      <c r="AU95" s="29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9">
        <v>28.5712106646667</v>
      </c>
      <c r="E96" s="20">
        <f t="shared" si="95"/>
        <v>27.5161541245161</v>
      </c>
      <c r="F96" s="16" t="s">
        <v>110</v>
      </c>
      <c r="G96" s="13">
        <v>7</v>
      </c>
      <c r="H96" s="18">
        <f t="shared" si="76"/>
        <v>28.5712106646667</v>
      </c>
      <c r="I96" s="18">
        <f t="shared" si="77"/>
        <v>301.721210664667</v>
      </c>
      <c r="J96" s="18">
        <f t="shared" si="78"/>
        <v>0.509525047503617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0.546739286194431</v>
      </c>
      <c r="P96" s="18">
        <f t="shared" si="81"/>
        <v>0.278577360770311</v>
      </c>
      <c r="Q96" s="24">
        <f t="shared" si="82"/>
        <v>0.0724301138002809</v>
      </c>
      <c r="R96" s="18">
        <f t="shared" si="83"/>
        <v>0.074022</v>
      </c>
      <c r="S96" s="25">
        <f t="shared" si="84"/>
        <v>0.978494417879562</v>
      </c>
      <c r="T96" s="3">
        <v>0.01</v>
      </c>
      <c r="U96" s="26">
        <f t="shared" si="85"/>
        <v>0.00978494417879562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0.0246849441787956</v>
      </c>
      <c r="AU96" s="29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9">
        <v>28.4727356835484</v>
      </c>
      <c r="E97" s="20">
        <f t="shared" si="95"/>
        <v>28.5712106646667</v>
      </c>
      <c r="F97" s="16" t="s">
        <v>110</v>
      </c>
      <c r="G97" s="13">
        <v>8</v>
      </c>
      <c r="H97" s="18">
        <f t="shared" si="76"/>
        <v>28.4727356835484</v>
      </c>
      <c r="I97" s="18">
        <f t="shared" si="77"/>
        <v>301.622735683548</v>
      </c>
      <c r="J97" s="18">
        <f t="shared" si="78"/>
        <v>0.504184922059567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0.55286192542412</v>
      </c>
      <c r="P97" s="18">
        <f t="shared" si="81"/>
        <v>0.278744646779662</v>
      </c>
      <c r="Q97" s="24">
        <f t="shared" si="82"/>
        <v>0.0724736081627121</v>
      </c>
      <c r="R97" s="18">
        <f t="shared" si="83"/>
        <v>0.074022</v>
      </c>
      <c r="S97" s="25">
        <f t="shared" si="84"/>
        <v>0.979082004846021</v>
      </c>
      <c r="T97" s="3">
        <v>0.01</v>
      </c>
      <c r="U97" s="26">
        <f t="shared" si="85"/>
        <v>0.00979082004846021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0.0246908200484602</v>
      </c>
      <c r="AU97" s="29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9">
        <v>27.6174961567742</v>
      </c>
      <c r="E98" s="20">
        <f t="shared" si="95"/>
        <v>28.4727356835484</v>
      </c>
      <c r="F98" s="16" t="s">
        <v>110</v>
      </c>
      <c r="G98" s="13">
        <v>9</v>
      </c>
      <c r="H98" s="18">
        <f t="shared" si="76"/>
        <v>27.6174961567742</v>
      </c>
      <c r="I98" s="18">
        <f t="shared" si="77"/>
        <v>300.767496156774</v>
      </c>
      <c r="J98" s="18">
        <f t="shared" si="78"/>
        <v>0.459964964772791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0.558817278644458</v>
      </c>
      <c r="P98" s="18">
        <f t="shared" si="81"/>
        <v>0.257036369886125</v>
      </c>
      <c r="Q98" s="24">
        <f t="shared" si="82"/>
        <v>0.0668294561703925</v>
      </c>
      <c r="R98" s="18">
        <f t="shared" si="83"/>
        <v>0.074022</v>
      </c>
      <c r="S98" s="25">
        <f t="shared" si="84"/>
        <v>0.902832349441956</v>
      </c>
      <c r="T98" s="3">
        <v>0.01</v>
      </c>
      <c r="U98" s="26">
        <f t="shared" si="85"/>
        <v>0.00902832349441956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0.01</v>
      </c>
      <c r="AF98" s="3">
        <v>0.49</v>
      </c>
      <c r="AG98" s="26">
        <f t="shared" si="86"/>
        <v>0.0049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0.02</v>
      </c>
      <c r="AR98" s="3">
        <v>0.5</v>
      </c>
      <c r="AS98" s="3">
        <f t="shared" si="87"/>
        <v>0.01</v>
      </c>
      <c r="AT98" s="2">
        <f t="shared" si="88"/>
        <v>0.0239283234944196</v>
      </c>
      <c r="AU98" s="29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9">
        <v>27.029027161</v>
      </c>
      <c r="E99" s="20">
        <f t="shared" si="95"/>
        <v>27.6174961567742</v>
      </c>
      <c r="F99" s="16" t="s">
        <v>110</v>
      </c>
      <c r="G99" s="13">
        <v>10</v>
      </c>
      <c r="H99" s="18">
        <f t="shared" si="76"/>
        <v>27.029027161</v>
      </c>
      <c r="I99" s="18">
        <f t="shared" si="77"/>
        <v>300.179027161</v>
      </c>
      <c r="J99" s="18">
        <f t="shared" si="78"/>
        <v>0.43168071359511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0.586480908758333</v>
      </c>
      <c r="P99" s="18">
        <f t="shared" si="81"/>
        <v>0.253172497202706</v>
      </c>
      <c r="Q99" s="24">
        <f t="shared" si="82"/>
        <v>0.0658248492727035</v>
      </c>
      <c r="R99" s="18">
        <f t="shared" si="83"/>
        <v>0.074022</v>
      </c>
      <c r="S99" s="25">
        <f t="shared" si="84"/>
        <v>0.889260615394119</v>
      </c>
      <c r="T99" s="3">
        <v>0.01</v>
      </c>
      <c r="U99" s="26">
        <f t="shared" si="85"/>
        <v>0.00889260615394119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0.0188426061539412</v>
      </c>
      <c r="AU99" s="29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9">
        <v>25.8822947970968</v>
      </c>
      <c r="E100" s="20">
        <f t="shared" si="95"/>
        <v>27.029027161</v>
      </c>
      <c r="F100" s="16" t="s">
        <v>110</v>
      </c>
      <c r="G100" s="13">
        <v>11</v>
      </c>
      <c r="H100" s="18">
        <f t="shared" si="76"/>
        <v>25.8822947970968</v>
      </c>
      <c r="I100" s="18">
        <f t="shared" si="77"/>
        <v>299.032294797097</v>
      </c>
      <c r="J100" s="18">
        <f t="shared" si="78"/>
        <v>0.381190010299969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0.316642990977846</v>
      </c>
      <c r="O100" s="18">
        <f t="shared" si="96"/>
        <v>0.301365420577781</v>
      </c>
      <c r="P100" s="18">
        <f t="shared" si="81"/>
        <v>0.114877487774099</v>
      </c>
      <c r="Q100" s="24">
        <f t="shared" si="82"/>
        <v>0.0298681468212657</v>
      </c>
      <c r="R100" s="18">
        <f t="shared" si="83"/>
        <v>0.074022</v>
      </c>
      <c r="S100" s="25">
        <f t="shared" si="84"/>
        <v>0.403503645149628</v>
      </c>
      <c r="T100" s="3">
        <v>0.01</v>
      </c>
      <c r="U100" s="26">
        <f t="shared" si="85"/>
        <v>0.00403503645149628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0.005</v>
      </c>
      <c r="AF100" s="3">
        <v>0.49</v>
      </c>
      <c r="AG100" s="26">
        <f t="shared" si="86"/>
        <v>0.00245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0.0139850364514963</v>
      </c>
      <c r="AU100" s="29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9">
        <v>22.981419384</v>
      </c>
      <c r="E101" s="20">
        <f t="shared" si="95"/>
        <v>25.8822947970968</v>
      </c>
      <c r="F101" s="16" t="s">
        <v>112</v>
      </c>
      <c r="G101" s="13">
        <v>12</v>
      </c>
      <c r="H101" s="18">
        <f t="shared" si="76"/>
        <v>22.981419384</v>
      </c>
      <c r="I101" s="18">
        <f t="shared" si="77"/>
        <v>296.131419384</v>
      </c>
      <c r="J101" s="18">
        <f t="shared" si="78"/>
        <v>0.277087552882949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0.471187932803682</v>
      </c>
      <c r="P101" s="18">
        <f t="shared" si="81"/>
        <v>0.130560311248548</v>
      </c>
      <c r="Q101" s="24">
        <f t="shared" si="82"/>
        <v>0.0339456809246224</v>
      </c>
      <c r="R101" s="18">
        <f t="shared" si="83"/>
        <v>0.074022</v>
      </c>
      <c r="S101" s="25">
        <f t="shared" si="84"/>
        <v>0.458589080606069</v>
      </c>
      <c r="T101" s="3">
        <v>0.01</v>
      </c>
      <c r="U101" s="26">
        <f t="shared" si="85"/>
        <v>0.00458589080606069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0.0100758908060607</v>
      </c>
      <c r="AU101" s="29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9">
        <v>20.664354696129</v>
      </c>
      <c r="E102" s="20">
        <f t="shared" si="95"/>
        <v>22.981419384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AT44" sqref="AT4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170.6294</v>
      </c>
      <c r="F2" s="3">
        <v>1069.523</v>
      </c>
      <c r="G2" s="7">
        <f>(F2+F3+F4)/3</f>
        <v>1305.751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641.123506849315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2443.64870560702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3">
        <v>1.7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0.26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0.69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73667265.0302897</v>
      </c>
      <c r="J14" s="14" t="s">
        <v>35</v>
      </c>
      <c r="K14" s="14">
        <f>I14/(10000*1000)</f>
        <v>7.36672650302897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48888075.6557854</v>
      </c>
      <c r="J15" s="14" t="s">
        <v>35</v>
      </c>
      <c r="K15" s="14">
        <f>I15/(10000*1000)</f>
        <v>4.88880756557854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1305.751</v>
      </c>
      <c r="C27" s="16" t="s">
        <v>109</v>
      </c>
      <c r="D27" s="17">
        <v>6</v>
      </c>
      <c r="E27" s="16"/>
      <c r="F27" s="16"/>
      <c r="G27" s="13">
        <v>1</v>
      </c>
      <c r="H27" s="18">
        <f t="shared" ref="H27:H38" si="0">E28</f>
        <v>6</v>
      </c>
      <c r="I27" s="18">
        <f t="shared" ref="I27:I38" si="1">H27+273.15</f>
        <v>279.15</v>
      </c>
      <c r="J27" s="18">
        <f t="shared" ref="J27:J38" si="2">EXP(($C$16*(I27-$C$14))/($C$17*I27*$C$14))</f>
        <v>0.0374932232426917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110</v>
      </c>
      <c r="N27" s="13"/>
      <c r="O27" s="18">
        <f>L27</f>
        <v>1.08812583333333</v>
      </c>
      <c r="P27" s="18">
        <f t="shared" ref="P27:P38" si="5">O27*J27</f>
        <v>0.0407973447853066</v>
      </c>
      <c r="Q27" s="24">
        <f t="shared" ref="Q27:Q38" si="6">P27*$B$29</f>
        <v>0.00489568137423679</v>
      </c>
      <c r="R27" s="18">
        <f t="shared" ref="R27:R38" si="7">L27*$B$29</f>
        <v>0.1305751</v>
      </c>
      <c r="S27" s="25">
        <f t="shared" ref="S27:S38" si="8">Q27/R27</f>
        <v>0.0374932232426917</v>
      </c>
      <c r="T27" s="3">
        <v>0.01</v>
      </c>
      <c r="U27" s="26">
        <f t="shared" ref="U27:U38" si="9">S27*T27</f>
        <v>0.000374932232426917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0.0222749322324269</v>
      </c>
      <c r="AR27" s="29">
        <f t="shared" ref="AR27:AR38" si="15">$B$27/12</f>
        <v>108.812583333333</v>
      </c>
      <c r="AS27" s="1">
        <f t="shared" ref="AS27:AS38" si="16">$B$29</f>
        <v>0.12</v>
      </c>
      <c r="AT27" s="2">
        <f>$E$2/12</f>
        <v>14.2191166666667</v>
      </c>
      <c r="AU27" s="1">
        <f t="shared" ref="AU27:AU38" si="17">AT27*10000*AS27*0.67*AR27*AQ27</f>
        <v>27709.2122190234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5.07560304964516</v>
      </c>
      <c r="E28" s="20">
        <f t="shared" ref="E28:E39" si="18">D27</f>
        <v>6</v>
      </c>
      <c r="F28" s="16" t="s">
        <v>110</v>
      </c>
      <c r="G28" s="13">
        <v>2</v>
      </c>
      <c r="H28" s="18">
        <f t="shared" si="0"/>
        <v>5.07560304964516</v>
      </c>
      <c r="I28" s="18">
        <f t="shared" si="1"/>
        <v>278.225603049645</v>
      </c>
      <c r="J28" s="18">
        <f t="shared" si="2"/>
        <v>0.0333905162802828</v>
      </c>
      <c r="K28" s="18">
        <f t="shared" si="3"/>
        <v>108.812583333333</v>
      </c>
      <c r="L28" s="18">
        <f t="shared" si="4"/>
        <v>1.08812583333333</v>
      </c>
      <c r="M28" s="13" t="s">
        <v>110</v>
      </c>
      <c r="N28" s="13"/>
      <c r="O28" s="18">
        <f t="shared" ref="O28:O38" si="19">L28+O27-P27-N28</f>
        <v>2.13545432188136</v>
      </c>
      <c r="P28" s="18">
        <f t="shared" si="5"/>
        <v>0.0713039223005798</v>
      </c>
      <c r="Q28" s="24">
        <f t="shared" si="6"/>
        <v>0.00855647067606958</v>
      </c>
      <c r="R28" s="18">
        <f t="shared" si="7"/>
        <v>0.1305751</v>
      </c>
      <c r="S28" s="25">
        <f t="shared" si="8"/>
        <v>0.0655291144794802</v>
      </c>
      <c r="T28" s="3">
        <v>0.01</v>
      </c>
      <c r="U28" s="26">
        <f t="shared" si="9"/>
        <v>0.000655291144794802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0.0225552911447948</v>
      </c>
      <c r="AR28" s="29">
        <f t="shared" si="15"/>
        <v>108.812583333333</v>
      </c>
      <c r="AS28" s="1">
        <f t="shared" si="16"/>
        <v>0.12</v>
      </c>
      <c r="AT28" s="2">
        <f t="shared" ref="AT28:AT38" si="20">$E$2/12</f>
        <v>14.2191166666667</v>
      </c>
      <c r="AU28" s="1">
        <f t="shared" si="17"/>
        <v>28057.9685931949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7.47925246175862</v>
      </c>
      <c r="E29" s="20">
        <f t="shared" si="18"/>
        <v>5.07560304964516</v>
      </c>
      <c r="F29" s="16" t="s">
        <v>110</v>
      </c>
      <c r="G29" s="13">
        <v>3</v>
      </c>
      <c r="H29" s="18">
        <f t="shared" si="0"/>
        <v>7.47925246175862</v>
      </c>
      <c r="I29" s="18">
        <f t="shared" si="1"/>
        <v>280.629252461759</v>
      </c>
      <c r="J29" s="18">
        <f t="shared" si="2"/>
        <v>0.0450611431336169</v>
      </c>
      <c r="K29" s="18">
        <f t="shared" si="3"/>
        <v>108.812583333333</v>
      </c>
      <c r="L29" s="18">
        <f t="shared" si="4"/>
        <v>1.08812583333333</v>
      </c>
      <c r="M29" s="13" t="s">
        <v>110</v>
      </c>
      <c r="N29" s="13"/>
      <c r="O29" s="18">
        <f t="shared" si="19"/>
        <v>3.15227623291411</v>
      </c>
      <c r="P29" s="18">
        <f t="shared" si="5"/>
        <v>0.142045170528042</v>
      </c>
      <c r="Q29" s="24">
        <f t="shared" si="6"/>
        <v>0.017045420463365</v>
      </c>
      <c r="R29" s="18">
        <f t="shared" si="7"/>
        <v>0.1305751</v>
      </c>
      <c r="S29" s="25">
        <f t="shared" si="8"/>
        <v>0.130541125094792</v>
      </c>
      <c r="T29" s="3">
        <v>0.01</v>
      </c>
      <c r="U29" s="26">
        <f t="shared" si="9"/>
        <v>0.00130541125094792</v>
      </c>
      <c r="V29" s="25"/>
      <c r="W29" s="3"/>
      <c r="X29" s="26"/>
      <c r="Y29" s="28">
        <v>0.04</v>
      </c>
      <c r="Z29" s="3">
        <v>0.21</v>
      </c>
      <c r="AA29" s="27">
        <f t="shared" si="10"/>
        <v>0.0084</v>
      </c>
      <c r="AB29" s="3">
        <v>0.015</v>
      </c>
      <c r="AC29" s="3">
        <v>0.29</v>
      </c>
      <c r="AD29" s="27">
        <f t="shared" si="11"/>
        <v>0.00435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0.0288554112509479</v>
      </c>
      <c r="AR29" s="29">
        <f t="shared" si="15"/>
        <v>108.812583333333</v>
      </c>
      <c r="AS29" s="1">
        <f t="shared" si="16"/>
        <v>0.12</v>
      </c>
      <c r="AT29" s="2">
        <f t="shared" si="20"/>
        <v>14.2191166666667</v>
      </c>
      <c r="AU29" s="1">
        <f t="shared" si="17"/>
        <v>35895.0907538899</v>
      </c>
    </row>
    <row r="30" s="1" customFormat="1" spans="1:47">
      <c r="A30" s="13"/>
      <c r="B30" s="13"/>
      <c r="C30" s="16">
        <v>3</v>
      </c>
      <c r="D30" s="19">
        <v>12.4881477936774</v>
      </c>
      <c r="E30" s="20">
        <f t="shared" si="18"/>
        <v>7.47925246175862</v>
      </c>
      <c r="F30" s="16" t="s">
        <v>110</v>
      </c>
      <c r="G30" s="13">
        <v>4</v>
      </c>
      <c r="H30" s="18">
        <f t="shared" si="0"/>
        <v>12.4881477936774</v>
      </c>
      <c r="I30" s="18">
        <f t="shared" si="1"/>
        <v>285.638147793677</v>
      </c>
      <c r="J30" s="18">
        <f t="shared" si="2"/>
        <v>0.0828016043205626</v>
      </c>
      <c r="K30" s="18">
        <f t="shared" si="3"/>
        <v>108.812583333333</v>
      </c>
      <c r="L30" s="18">
        <f t="shared" si="4"/>
        <v>1.08812583333333</v>
      </c>
      <c r="M30" s="13" t="s">
        <v>110</v>
      </c>
      <c r="N30" s="13"/>
      <c r="O30" s="18">
        <f t="shared" si="19"/>
        <v>4.09835689571941</v>
      </c>
      <c r="P30" s="18">
        <f t="shared" si="5"/>
        <v>0.339350526043807</v>
      </c>
      <c r="Q30" s="24">
        <f t="shared" si="6"/>
        <v>0.0407220631252569</v>
      </c>
      <c r="R30" s="18">
        <f t="shared" si="7"/>
        <v>0.1305751</v>
      </c>
      <c r="S30" s="25">
        <f t="shared" si="8"/>
        <v>0.31186698785034</v>
      </c>
      <c r="T30" s="3">
        <v>0.01</v>
      </c>
      <c r="U30" s="26">
        <f t="shared" si="9"/>
        <v>0.0031186698785034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0.0306686698785034</v>
      </c>
      <c r="AR30" s="29">
        <f t="shared" si="15"/>
        <v>108.812583333333</v>
      </c>
      <c r="AS30" s="1">
        <f t="shared" si="16"/>
        <v>0.12</v>
      </c>
      <c r="AT30" s="2">
        <f t="shared" si="20"/>
        <v>14.2191166666667</v>
      </c>
      <c r="AU30" s="1">
        <f t="shared" si="17"/>
        <v>38150.7190805955</v>
      </c>
    </row>
    <row r="31" s="1" customFormat="1" spans="1:47">
      <c r="A31" s="13"/>
      <c r="B31" s="13"/>
      <c r="C31" s="16">
        <v>4</v>
      </c>
      <c r="D31" s="19">
        <v>17.2852161226667</v>
      </c>
      <c r="E31" s="20">
        <f t="shared" si="18"/>
        <v>12.4881477936774</v>
      </c>
      <c r="F31" s="16" t="s">
        <v>110</v>
      </c>
      <c r="G31" s="13">
        <v>5</v>
      </c>
      <c r="H31" s="18">
        <f t="shared" si="0"/>
        <v>17.2852161226667</v>
      </c>
      <c r="I31" s="18">
        <f t="shared" si="1"/>
        <v>290.435216122667</v>
      </c>
      <c r="J31" s="18">
        <f t="shared" si="2"/>
        <v>0.145397373558848</v>
      </c>
      <c r="K31" s="18">
        <f t="shared" si="3"/>
        <v>108.812583333333</v>
      </c>
      <c r="L31" s="18">
        <f t="shared" si="4"/>
        <v>1.08812583333333</v>
      </c>
      <c r="M31" s="13" t="s">
        <v>112</v>
      </c>
      <c r="N31" s="18">
        <f>(O30-P30)*C22/100</f>
        <v>3.57105605119182</v>
      </c>
      <c r="O31" s="18">
        <f t="shared" si="19"/>
        <v>1.27607615181711</v>
      </c>
      <c r="P31" s="18">
        <f t="shared" si="5"/>
        <v>0.18553812093529</v>
      </c>
      <c r="Q31" s="24">
        <f t="shared" si="6"/>
        <v>0.0222645745122348</v>
      </c>
      <c r="R31" s="18">
        <f t="shared" si="7"/>
        <v>0.1305751</v>
      </c>
      <c r="S31" s="25">
        <f t="shared" si="8"/>
        <v>0.170511640521315</v>
      </c>
      <c r="T31" s="3">
        <v>0.01</v>
      </c>
      <c r="U31" s="26">
        <f t="shared" si="9"/>
        <v>0.00170511640521315</v>
      </c>
      <c r="V31" s="25"/>
      <c r="W31" s="3"/>
      <c r="X31" s="26"/>
      <c r="Y31" s="28">
        <v>0.05</v>
      </c>
      <c r="Z31" s="3">
        <v>0.21</v>
      </c>
      <c r="AA31" s="27">
        <f t="shared" si="10"/>
        <v>0.0105</v>
      </c>
      <c r="AB31" s="3">
        <v>0.02</v>
      </c>
      <c r="AC31" s="3">
        <v>0.29</v>
      </c>
      <c r="AD31" s="27">
        <f t="shared" si="11"/>
        <v>0.0058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0.0347051164052132</v>
      </c>
      <c r="AR31" s="29">
        <f t="shared" si="15"/>
        <v>108.812583333333</v>
      </c>
      <c r="AS31" s="1">
        <f t="shared" si="16"/>
        <v>0.12</v>
      </c>
      <c r="AT31" s="2">
        <f t="shared" si="20"/>
        <v>14.2191166666667</v>
      </c>
      <c r="AU31" s="1">
        <f t="shared" si="17"/>
        <v>43171.9129613346</v>
      </c>
    </row>
    <row r="32" s="1" customFormat="1" spans="1:47">
      <c r="A32" s="13"/>
      <c r="B32" s="13"/>
      <c r="C32" s="16">
        <v>5</v>
      </c>
      <c r="D32" s="19">
        <v>20.2651283612903</v>
      </c>
      <c r="E32" s="20">
        <f t="shared" si="18"/>
        <v>17.2852161226667</v>
      </c>
      <c r="F32" s="16" t="s">
        <v>112</v>
      </c>
      <c r="G32" s="13">
        <v>6</v>
      </c>
      <c r="H32" s="18">
        <f t="shared" si="0"/>
        <v>20.2651283612903</v>
      </c>
      <c r="I32" s="18">
        <f t="shared" si="1"/>
        <v>293.41512836129</v>
      </c>
      <c r="J32" s="18">
        <f t="shared" si="2"/>
        <v>0.204373101439613</v>
      </c>
      <c r="K32" s="18">
        <f t="shared" si="3"/>
        <v>108.812583333333</v>
      </c>
      <c r="L32" s="18">
        <f t="shared" si="4"/>
        <v>1.08812583333333</v>
      </c>
      <c r="M32" s="13" t="s">
        <v>110</v>
      </c>
      <c r="N32" s="13"/>
      <c r="O32" s="18">
        <f t="shared" si="19"/>
        <v>2.17866386421516</v>
      </c>
      <c r="P32" s="18">
        <f t="shared" si="5"/>
        <v>0.445260290924063</v>
      </c>
      <c r="Q32" s="24">
        <f t="shared" si="6"/>
        <v>0.0534312349108876</v>
      </c>
      <c r="R32" s="18">
        <f t="shared" si="7"/>
        <v>0.1305751</v>
      </c>
      <c r="S32" s="25">
        <f t="shared" si="8"/>
        <v>0.409199264721127</v>
      </c>
      <c r="T32" s="3">
        <v>0.01</v>
      </c>
      <c r="U32" s="26">
        <f t="shared" si="9"/>
        <v>0.00409199264721127</v>
      </c>
      <c r="V32" s="25"/>
      <c r="W32" s="3"/>
      <c r="X32" s="26"/>
      <c r="Y32" s="28">
        <v>0.05</v>
      </c>
      <c r="Z32" s="3">
        <v>0.21</v>
      </c>
      <c r="AA32" s="27">
        <f t="shared" si="10"/>
        <v>0.0105</v>
      </c>
      <c r="AB32" s="3">
        <v>0.02</v>
      </c>
      <c r="AC32" s="3">
        <v>0.29</v>
      </c>
      <c r="AD32" s="27">
        <f t="shared" si="11"/>
        <v>0.0058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0.0370919926472113</v>
      </c>
      <c r="AR32" s="29">
        <f t="shared" si="15"/>
        <v>108.812583333333</v>
      </c>
      <c r="AS32" s="1">
        <f t="shared" si="16"/>
        <v>0.12</v>
      </c>
      <c r="AT32" s="2">
        <f t="shared" si="20"/>
        <v>14.2191166666667</v>
      </c>
      <c r="AU32" s="1">
        <f t="shared" si="17"/>
        <v>46141.1009094707</v>
      </c>
    </row>
    <row r="33" s="1" customFormat="1" spans="1:47">
      <c r="A33" s="13"/>
      <c r="B33" s="13"/>
      <c r="C33" s="16">
        <v>6</v>
      </c>
      <c r="D33" s="19">
        <v>23.697661207</v>
      </c>
      <c r="E33" s="20">
        <f t="shared" si="18"/>
        <v>20.2651283612903</v>
      </c>
      <c r="F33" s="16" t="s">
        <v>110</v>
      </c>
      <c r="G33" s="13">
        <v>7</v>
      </c>
      <c r="H33" s="18">
        <f t="shared" si="0"/>
        <v>23.697661207</v>
      </c>
      <c r="I33" s="18">
        <f t="shared" si="1"/>
        <v>296.847661207</v>
      </c>
      <c r="J33" s="18">
        <f t="shared" si="2"/>
        <v>0.29996540782647</v>
      </c>
      <c r="K33" s="18">
        <f t="shared" si="3"/>
        <v>108.812583333333</v>
      </c>
      <c r="L33" s="18">
        <f t="shared" si="4"/>
        <v>1.08812583333333</v>
      </c>
      <c r="M33" s="13" t="s">
        <v>110</v>
      </c>
      <c r="N33" s="13"/>
      <c r="O33" s="18">
        <f t="shared" si="19"/>
        <v>2.82152940662443</v>
      </c>
      <c r="P33" s="18">
        <f t="shared" si="5"/>
        <v>0.846361219152474</v>
      </c>
      <c r="Q33" s="24">
        <f t="shared" si="6"/>
        <v>0.101563346298297</v>
      </c>
      <c r="R33" s="18">
        <f t="shared" si="7"/>
        <v>0.1305751</v>
      </c>
      <c r="S33" s="25">
        <f t="shared" si="8"/>
        <v>0.777815573553433</v>
      </c>
      <c r="T33" s="3">
        <v>0.01</v>
      </c>
      <c r="U33" s="26">
        <f t="shared" si="9"/>
        <v>0.00777815573553433</v>
      </c>
      <c r="V33" s="25"/>
      <c r="W33" s="3"/>
      <c r="X33" s="26"/>
      <c r="Y33" s="28">
        <v>0.05</v>
      </c>
      <c r="Z33" s="3">
        <v>0.21</v>
      </c>
      <c r="AA33" s="27">
        <f t="shared" si="10"/>
        <v>0.0105</v>
      </c>
      <c r="AB33" s="3">
        <v>0.02</v>
      </c>
      <c r="AC33" s="3">
        <v>0.29</v>
      </c>
      <c r="AD33" s="27">
        <f t="shared" si="11"/>
        <v>0.0058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0.0407781557355343</v>
      </c>
      <c r="AR33" s="29">
        <f t="shared" si="15"/>
        <v>108.812583333333</v>
      </c>
      <c r="AS33" s="1">
        <f t="shared" si="16"/>
        <v>0.12</v>
      </c>
      <c r="AT33" s="2">
        <f t="shared" si="20"/>
        <v>14.2191166666667</v>
      </c>
      <c r="AU33" s="1">
        <f t="shared" si="17"/>
        <v>50726.5548279155</v>
      </c>
    </row>
    <row r="34" s="1" customFormat="1" spans="1:47">
      <c r="A34" s="13"/>
      <c r="B34" s="13"/>
      <c r="C34" s="16">
        <v>7</v>
      </c>
      <c r="D34" s="19">
        <v>27.2138389270968</v>
      </c>
      <c r="E34" s="20">
        <f t="shared" si="18"/>
        <v>23.697661207</v>
      </c>
      <c r="F34" s="16" t="s">
        <v>110</v>
      </c>
      <c r="G34" s="13">
        <v>8</v>
      </c>
      <c r="H34" s="18">
        <f t="shared" si="0"/>
        <v>27.2138389270968</v>
      </c>
      <c r="I34" s="18">
        <f t="shared" si="1"/>
        <v>300.363838927097</v>
      </c>
      <c r="J34" s="18">
        <f t="shared" si="2"/>
        <v>0.440382753525078</v>
      </c>
      <c r="K34" s="18">
        <f t="shared" si="3"/>
        <v>108.812583333333</v>
      </c>
      <c r="L34" s="18">
        <f t="shared" si="4"/>
        <v>1.08812583333333</v>
      </c>
      <c r="M34" s="13" t="s">
        <v>110</v>
      </c>
      <c r="N34" s="13"/>
      <c r="O34" s="18">
        <f t="shared" si="19"/>
        <v>3.06329402080529</v>
      </c>
      <c r="P34" s="18">
        <f t="shared" si="5"/>
        <v>1.34902185573914</v>
      </c>
      <c r="Q34" s="24">
        <f t="shared" si="6"/>
        <v>0.161882622688697</v>
      </c>
      <c r="R34" s="18">
        <f t="shared" si="7"/>
        <v>0.1305751</v>
      </c>
      <c r="S34" s="25">
        <f t="shared" si="8"/>
        <v>1.23976640790393</v>
      </c>
      <c r="T34" s="3">
        <v>0.01</v>
      </c>
      <c r="U34" s="26">
        <f t="shared" si="9"/>
        <v>0.0123976640790393</v>
      </c>
      <c r="V34" s="25"/>
      <c r="W34" s="3"/>
      <c r="X34" s="26"/>
      <c r="Y34" s="28">
        <v>0.05</v>
      </c>
      <c r="Z34" s="3">
        <v>0.21</v>
      </c>
      <c r="AA34" s="27">
        <f t="shared" si="10"/>
        <v>0.0105</v>
      </c>
      <c r="AB34" s="3">
        <v>0.02</v>
      </c>
      <c r="AC34" s="3">
        <v>0.29</v>
      </c>
      <c r="AD34" s="27">
        <f t="shared" si="11"/>
        <v>0.0058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0.0453976640790393</v>
      </c>
      <c r="AR34" s="29">
        <f t="shared" si="15"/>
        <v>108.812583333333</v>
      </c>
      <c r="AS34" s="1">
        <f t="shared" si="16"/>
        <v>0.12</v>
      </c>
      <c r="AT34" s="2">
        <f t="shared" si="20"/>
        <v>14.2191166666667</v>
      </c>
      <c r="AU34" s="1">
        <f t="shared" si="17"/>
        <v>56473.0565771504</v>
      </c>
    </row>
    <row r="35" s="1" customFormat="1" spans="1:47">
      <c r="A35" s="13"/>
      <c r="B35" s="13"/>
      <c r="C35" s="16">
        <v>8</v>
      </c>
      <c r="D35" s="19">
        <v>27.0063830041936</v>
      </c>
      <c r="E35" s="20">
        <f t="shared" si="18"/>
        <v>27.2138389270968</v>
      </c>
      <c r="F35" s="16" t="s">
        <v>110</v>
      </c>
      <c r="G35" s="13">
        <v>9</v>
      </c>
      <c r="H35" s="18">
        <f t="shared" si="0"/>
        <v>27.0063830041936</v>
      </c>
      <c r="I35" s="18">
        <f t="shared" si="1"/>
        <v>300.156383004194</v>
      </c>
      <c r="J35" s="18">
        <f t="shared" si="2"/>
        <v>0.430625657934826</v>
      </c>
      <c r="K35" s="18">
        <f t="shared" si="3"/>
        <v>108.812583333333</v>
      </c>
      <c r="L35" s="18">
        <f t="shared" si="4"/>
        <v>1.08812583333333</v>
      </c>
      <c r="M35" s="13" t="s">
        <v>110</v>
      </c>
      <c r="N35" s="13"/>
      <c r="O35" s="18">
        <f t="shared" si="19"/>
        <v>2.80239799839948</v>
      </c>
      <c r="P35" s="18">
        <f t="shared" si="5"/>
        <v>1.20678448185602</v>
      </c>
      <c r="Q35" s="24">
        <f t="shared" si="6"/>
        <v>0.144814137822722</v>
      </c>
      <c r="R35" s="18">
        <f t="shared" si="7"/>
        <v>0.1305751</v>
      </c>
      <c r="S35" s="25">
        <f t="shared" si="8"/>
        <v>1.10904864574273</v>
      </c>
      <c r="T35" s="3">
        <v>0.01</v>
      </c>
      <c r="U35" s="26">
        <f t="shared" si="9"/>
        <v>0.0110904864574273</v>
      </c>
      <c r="V35" s="25"/>
      <c r="W35" s="3"/>
      <c r="X35" s="26"/>
      <c r="Y35" s="28">
        <v>0.05</v>
      </c>
      <c r="Z35" s="3">
        <v>0.21</v>
      </c>
      <c r="AA35" s="27">
        <f t="shared" si="10"/>
        <v>0.0105</v>
      </c>
      <c r="AB35" s="3">
        <v>0.02</v>
      </c>
      <c r="AC35" s="3">
        <v>0.29</v>
      </c>
      <c r="AD35" s="27">
        <f t="shared" si="11"/>
        <v>0.0058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0.0440904864574273</v>
      </c>
      <c r="AR35" s="29">
        <f t="shared" si="15"/>
        <v>108.812583333333</v>
      </c>
      <c r="AS35" s="1">
        <f t="shared" si="16"/>
        <v>0.12</v>
      </c>
      <c r="AT35" s="2">
        <f t="shared" si="20"/>
        <v>14.2191166666667</v>
      </c>
      <c r="AU35" s="1">
        <f t="shared" si="17"/>
        <v>54846.9747670124</v>
      </c>
    </row>
    <row r="36" s="1" customFormat="1" spans="1:47">
      <c r="A36" s="13"/>
      <c r="B36" s="13"/>
      <c r="C36" s="16">
        <v>9</v>
      </c>
      <c r="D36" s="19">
        <v>22.0144349373333</v>
      </c>
      <c r="E36" s="20">
        <f t="shared" si="18"/>
        <v>27.0063830041936</v>
      </c>
      <c r="F36" s="16" t="s">
        <v>110</v>
      </c>
      <c r="G36" s="13">
        <v>10</v>
      </c>
      <c r="H36" s="18">
        <f t="shared" si="0"/>
        <v>22.0144349373333</v>
      </c>
      <c r="I36" s="18">
        <f t="shared" si="1"/>
        <v>295.164434937333</v>
      </c>
      <c r="J36" s="18">
        <f t="shared" si="2"/>
        <v>0.248791678664185</v>
      </c>
      <c r="K36" s="18">
        <f t="shared" si="3"/>
        <v>108.812583333333</v>
      </c>
      <c r="L36" s="18">
        <f t="shared" si="4"/>
        <v>1.08812583333333</v>
      </c>
      <c r="M36" s="13" t="s">
        <v>110</v>
      </c>
      <c r="N36" s="13"/>
      <c r="O36" s="18">
        <f t="shared" si="19"/>
        <v>2.6837393498768</v>
      </c>
      <c r="P36" s="18">
        <f t="shared" si="5"/>
        <v>0.667692017952977</v>
      </c>
      <c r="Q36" s="24">
        <f t="shared" si="6"/>
        <v>0.0801230421543573</v>
      </c>
      <c r="R36" s="18">
        <f t="shared" si="7"/>
        <v>0.1305751</v>
      </c>
      <c r="S36" s="25">
        <f t="shared" si="8"/>
        <v>0.613616548287976</v>
      </c>
      <c r="T36" s="3">
        <v>0.01</v>
      </c>
      <c r="U36" s="26">
        <f t="shared" si="9"/>
        <v>0.00613616548287976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0.0355861654828798</v>
      </c>
      <c r="AR36" s="29">
        <f t="shared" si="15"/>
        <v>108.812583333333</v>
      </c>
      <c r="AS36" s="1">
        <f t="shared" si="16"/>
        <v>0.12</v>
      </c>
      <c r="AT36" s="2">
        <f t="shared" si="20"/>
        <v>14.2191166666667</v>
      </c>
      <c r="AU36" s="1">
        <f t="shared" si="17"/>
        <v>44267.9062336688</v>
      </c>
    </row>
    <row r="37" s="1" customFormat="1" spans="1:47">
      <c r="A37" s="13"/>
      <c r="B37" s="13"/>
      <c r="C37" s="16">
        <v>10</v>
      </c>
      <c r="D37" s="19">
        <v>17.6647008370968</v>
      </c>
      <c r="E37" s="20">
        <f t="shared" si="18"/>
        <v>22.0144349373333</v>
      </c>
      <c r="F37" s="16" t="s">
        <v>110</v>
      </c>
      <c r="G37" s="13">
        <v>11</v>
      </c>
      <c r="H37" s="18">
        <f t="shared" si="0"/>
        <v>17.6647008370968</v>
      </c>
      <c r="I37" s="18">
        <f t="shared" si="1"/>
        <v>290.814700837097</v>
      </c>
      <c r="J37" s="18">
        <f t="shared" si="2"/>
        <v>0.151899195449107</v>
      </c>
      <c r="K37" s="18">
        <f t="shared" si="3"/>
        <v>108.812583333333</v>
      </c>
      <c r="L37" s="18">
        <f t="shared" si="4"/>
        <v>1.08812583333333</v>
      </c>
      <c r="M37" s="13" t="s">
        <v>112</v>
      </c>
      <c r="N37" s="18">
        <f>(O36-P36)*C22/100</f>
        <v>1.91524496532763</v>
      </c>
      <c r="O37" s="18">
        <f t="shared" si="19"/>
        <v>1.18892819992952</v>
      </c>
      <c r="P37" s="18">
        <f t="shared" si="5"/>
        <v>0.18059723701605</v>
      </c>
      <c r="Q37" s="24">
        <f t="shared" si="6"/>
        <v>0.021671668441926</v>
      </c>
      <c r="R37" s="18">
        <f t="shared" si="7"/>
        <v>0.1305751</v>
      </c>
      <c r="S37" s="25">
        <f t="shared" si="8"/>
        <v>0.165970912079914</v>
      </c>
      <c r="T37" s="3">
        <v>0.01</v>
      </c>
      <c r="U37" s="26">
        <f t="shared" si="9"/>
        <v>0.00165970912079914</v>
      </c>
      <c r="V37" s="25"/>
      <c r="W37" s="3"/>
      <c r="X37" s="26"/>
      <c r="Y37" s="28">
        <v>0.04</v>
      </c>
      <c r="Z37" s="3">
        <v>0.21</v>
      </c>
      <c r="AA37" s="27">
        <f t="shared" si="10"/>
        <v>0.0084</v>
      </c>
      <c r="AB37" s="3">
        <v>0.015</v>
      </c>
      <c r="AC37" s="3">
        <v>0.29</v>
      </c>
      <c r="AD37" s="27">
        <f t="shared" si="11"/>
        <v>0.00435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0.0311097091207991</v>
      </c>
      <c r="AR37" s="29">
        <f t="shared" si="15"/>
        <v>108.812583333333</v>
      </c>
      <c r="AS37" s="1">
        <f t="shared" si="16"/>
        <v>0.12</v>
      </c>
      <c r="AT37" s="2">
        <f t="shared" si="20"/>
        <v>14.2191166666667</v>
      </c>
      <c r="AU37" s="1">
        <f t="shared" si="17"/>
        <v>38699.355989304</v>
      </c>
    </row>
    <row r="38" s="1" customFormat="1" spans="1:48">
      <c r="A38" s="13"/>
      <c r="B38" s="13"/>
      <c r="C38" s="16">
        <v>11</v>
      </c>
      <c r="D38" s="19">
        <v>11.5727211532</v>
      </c>
      <c r="E38" s="20">
        <f t="shared" si="18"/>
        <v>17.6647008370968</v>
      </c>
      <c r="F38" s="16" t="s">
        <v>112</v>
      </c>
      <c r="G38" s="13">
        <v>12</v>
      </c>
      <c r="H38" s="18">
        <f t="shared" si="0"/>
        <v>11.5727211532</v>
      </c>
      <c r="I38" s="18">
        <f t="shared" si="1"/>
        <v>284.7227211532</v>
      </c>
      <c r="J38" s="18">
        <f t="shared" si="2"/>
        <v>0.0742063594810374</v>
      </c>
      <c r="K38" s="18">
        <f t="shared" si="3"/>
        <v>108.812583333333</v>
      </c>
      <c r="L38" s="18">
        <f t="shared" si="4"/>
        <v>1.08812583333333</v>
      </c>
      <c r="M38" s="13" t="s">
        <v>110</v>
      </c>
      <c r="N38" s="13"/>
      <c r="O38" s="18">
        <f t="shared" si="19"/>
        <v>2.09645679624681</v>
      </c>
      <c r="P38" s="18">
        <f t="shared" si="5"/>
        <v>0.155570426658755</v>
      </c>
      <c r="Q38" s="24">
        <f t="shared" si="6"/>
        <v>0.0186684511990506</v>
      </c>
      <c r="R38" s="18">
        <f t="shared" si="7"/>
        <v>0.1305751</v>
      </c>
      <c r="S38" s="25">
        <f t="shared" si="8"/>
        <v>0.142970989101678</v>
      </c>
      <c r="T38" s="3">
        <v>0.01</v>
      </c>
      <c r="U38" s="26">
        <f t="shared" si="9"/>
        <v>0.00142970989101678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0.0252297098910168</v>
      </c>
      <c r="AR38" s="29">
        <f t="shared" si="15"/>
        <v>108.812583333333</v>
      </c>
      <c r="AS38" s="1">
        <f t="shared" si="16"/>
        <v>0.12</v>
      </c>
      <c r="AT38" s="2">
        <f t="shared" si="20"/>
        <v>14.2191166666667</v>
      </c>
      <c r="AU38" s="1">
        <f t="shared" si="17"/>
        <v>31384.8490446523</v>
      </c>
      <c r="AV38" s="1">
        <f>SUM(AU27:AU38)</f>
        <v>495524.701957213</v>
      </c>
    </row>
    <row r="39" s="1" customFormat="1" spans="1:46">
      <c r="A39" s="13"/>
      <c r="B39" s="13"/>
      <c r="C39" s="16">
        <v>12</v>
      </c>
      <c r="D39" s="19">
        <v>8.28297992416129</v>
      </c>
      <c r="E39" s="20">
        <f t="shared" si="18"/>
        <v>11.5727211532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6</v>
      </c>
      <c r="E42" s="16"/>
      <c r="F42" s="16"/>
      <c r="G42" s="13">
        <v>1</v>
      </c>
      <c r="H42" s="18">
        <f t="shared" ref="H42:H53" si="21">E43</f>
        <v>6</v>
      </c>
      <c r="I42" s="18">
        <f t="shared" ref="I42:I53" si="22">H42+273.15</f>
        <v>279.15</v>
      </c>
      <c r="J42" s="18">
        <f t="shared" ref="J42:J53" si="23">EXP(($C$16*(I42-$C$14))/($C$17*I42*$C$14))</f>
        <v>0.0374932232426917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0.00289039163521998</v>
      </c>
      <c r="Q42" s="24">
        <f t="shared" ref="Q42:Q53" si="27">P42*$B$44</f>
        <v>0.000375750912578597</v>
      </c>
      <c r="R42" s="18">
        <f t="shared" ref="R42:R53" si="28">L42*$B$44</f>
        <v>0.0100218354166667</v>
      </c>
      <c r="S42" s="25">
        <f t="shared" ref="S42:S53" si="29">Q42/R42</f>
        <v>0.0374932232426917</v>
      </c>
      <c r="T42" s="3">
        <v>0.01</v>
      </c>
      <c r="U42" s="26">
        <f t="shared" ref="U42:U53" si="30">S42*T42</f>
        <v>0.000374932232426917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0.0151749322324269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53.4269589041096</v>
      </c>
      <c r="AU42" s="1">
        <f t="shared" ref="AU42:AU53" si="37">AT42*10000*AS42*0.67*AR42*AQ42</f>
        <v>5443.88928101048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5.07560304964516</v>
      </c>
      <c r="E43" s="20">
        <f t="shared" ref="E43:E54" si="38">D42</f>
        <v>6</v>
      </c>
      <c r="F43" s="16" t="s">
        <v>110</v>
      </c>
      <c r="G43" s="13">
        <v>2</v>
      </c>
      <c r="H43" s="18">
        <f t="shared" si="21"/>
        <v>5.07560304964516</v>
      </c>
      <c r="I43" s="18">
        <f t="shared" si="22"/>
        <v>278.225603049645</v>
      </c>
      <c r="J43" s="18">
        <f t="shared" si="23"/>
        <v>0.0333905162802828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0.151291691698113</v>
      </c>
      <c r="P43" s="18">
        <f t="shared" si="26"/>
        <v>0.00505170769471738</v>
      </c>
      <c r="Q43" s="24">
        <f t="shared" si="27"/>
        <v>0.000656722000313259</v>
      </c>
      <c r="R43" s="18">
        <f t="shared" si="28"/>
        <v>0.0100218354166667</v>
      </c>
      <c r="S43" s="25">
        <f t="shared" si="29"/>
        <v>0.0655291144794802</v>
      </c>
      <c r="T43" s="3">
        <v>0.01</v>
      </c>
      <c r="U43" s="26">
        <f t="shared" si="30"/>
        <v>0.000655291144794802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0.0154552911447948</v>
      </c>
      <c r="AR43" s="29">
        <f t="shared" si="34"/>
        <v>7.70910416666667</v>
      </c>
      <c r="AS43" s="1">
        <f t="shared" si="35"/>
        <v>0.13</v>
      </c>
      <c r="AT43" s="2">
        <f t="shared" si="36"/>
        <v>53.4269589041096</v>
      </c>
      <c r="AU43" s="1">
        <f t="shared" si="37"/>
        <v>5544.46586708668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7.47925246175862</v>
      </c>
      <c r="E44" s="20">
        <f t="shared" si="38"/>
        <v>5.07560304964516</v>
      </c>
      <c r="F44" s="16" t="s">
        <v>110</v>
      </c>
      <c r="G44" s="13">
        <v>3</v>
      </c>
      <c r="H44" s="18">
        <f t="shared" si="21"/>
        <v>7.47925246175862</v>
      </c>
      <c r="I44" s="18">
        <f t="shared" si="22"/>
        <v>280.629252461759</v>
      </c>
      <c r="J44" s="18">
        <f t="shared" si="23"/>
        <v>0.0450611431336169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0.223331025670063</v>
      </c>
      <c r="P44" s="18">
        <f t="shared" si="26"/>
        <v>0.0100635513138962</v>
      </c>
      <c r="Q44" s="24">
        <f t="shared" si="27"/>
        <v>0.0013082616708065</v>
      </c>
      <c r="R44" s="18">
        <f t="shared" si="28"/>
        <v>0.0100218354166667</v>
      </c>
      <c r="S44" s="25">
        <f t="shared" si="29"/>
        <v>0.130541125094792</v>
      </c>
      <c r="T44" s="3">
        <v>0.01</v>
      </c>
      <c r="U44" s="26">
        <f t="shared" si="30"/>
        <v>0.00130541125094792</v>
      </c>
      <c r="V44" s="25"/>
      <c r="W44" s="3"/>
      <c r="X44" s="26"/>
      <c r="Y44" s="28">
        <v>0.04</v>
      </c>
      <c r="Z44" s="3">
        <v>0.49</v>
      </c>
      <c r="AA44" s="27">
        <f t="shared" si="31"/>
        <v>0.0196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0.015</v>
      </c>
      <c r="AO44" s="3">
        <v>0.5</v>
      </c>
      <c r="AP44" s="3">
        <f t="shared" si="32"/>
        <v>0.0075</v>
      </c>
      <c r="AQ44" s="1">
        <f t="shared" si="33"/>
        <v>0.0284054112509479</v>
      </c>
      <c r="AR44" s="29">
        <f t="shared" si="34"/>
        <v>7.70910416666667</v>
      </c>
      <c r="AS44" s="1">
        <f t="shared" si="35"/>
        <v>0.13</v>
      </c>
      <c r="AT44" s="2">
        <f t="shared" si="36"/>
        <v>53.4269589041096</v>
      </c>
      <c r="AU44" s="1">
        <f t="shared" si="37"/>
        <v>10190.2210476626</v>
      </c>
    </row>
    <row r="45" s="1" customFormat="1" spans="1:47">
      <c r="A45" s="13"/>
      <c r="B45" s="13"/>
      <c r="C45" s="16">
        <v>3</v>
      </c>
      <c r="D45" s="19">
        <v>12.4881477936774</v>
      </c>
      <c r="E45" s="20">
        <f t="shared" si="38"/>
        <v>7.47925246175862</v>
      </c>
      <c r="F45" s="16" t="s">
        <v>110</v>
      </c>
      <c r="G45" s="13">
        <v>4</v>
      </c>
      <c r="H45" s="18">
        <f t="shared" si="21"/>
        <v>12.4881477936774</v>
      </c>
      <c r="I45" s="18">
        <f t="shared" si="22"/>
        <v>285.638147793677</v>
      </c>
      <c r="J45" s="18">
        <f t="shared" si="23"/>
        <v>0.0828016043205626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0.290358516022833</v>
      </c>
      <c r="P45" s="18">
        <f t="shared" si="26"/>
        <v>0.0240421509548284</v>
      </c>
      <c r="Q45" s="24">
        <f t="shared" si="27"/>
        <v>0.00312547962412769</v>
      </c>
      <c r="R45" s="18">
        <f t="shared" si="28"/>
        <v>0.0100218354166667</v>
      </c>
      <c r="S45" s="25">
        <f t="shared" si="29"/>
        <v>0.31186698785034</v>
      </c>
      <c r="T45" s="3">
        <v>0.01</v>
      </c>
      <c r="U45" s="26">
        <f t="shared" si="30"/>
        <v>0.0031186698785034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0.0302186698785034</v>
      </c>
      <c r="AR45" s="29">
        <f t="shared" si="34"/>
        <v>7.70910416666667</v>
      </c>
      <c r="AS45" s="1">
        <f t="shared" si="35"/>
        <v>0.13</v>
      </c>
      <c r="AT45" s="2">
        <f t="shared" si="36"/>
        <v>53.4269589041096</v>
      </c>
      <c r="AU45" s="1">
        <f t="shared" si="37"/>
        <v>10840.7135213723</v>
      </c>
    </row>
    <row r="46" s="1" customFormat="1" spans="1:47">
      <c r="A46" s="13"/>
      <c r="B46" s="13"/>
      <c r="C46" s="16">
        <v>4</v>
      </c>
      <c r="D46" s="19">
        <v>17.2852161226667</v>
      </c>
      <c r="E46" s="20">
        <f t="shared" si="38"/>
        <v>12.4881477936774</v>
      </c>
      <c r="F46" s="16" t="s">
        <v>110</v>
      </c>
      <c r="G46" s="13">
        <v>5</v>
      </c>
      <c r="H46" s="18">
        <f t="shared" si="21"/>
        <v>17.2852161226667</v>
      </c>
      <c r="I46" s="18">
        <f t="shared" si="22"/>
        <v>290.435216122667</v>
      </c>
      <c r="J46" s="18">
        <f t="shared" si="23"/>
        <v>0.145397373558848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0.253000546814605</v>
      </c>
      <c r="O46" s="18">
        <f t="shared" si="39"/>
        <v>0.0904068599200669</v>
      </c>
      <c r="P46" s="18">
        <f t="shared" si="26"/>
        <v>0.0131449199840804</v>
      </c>
      <c r="Q46" s="24">
        <f t="shared" si="27"/>
        <v>0.00170883959793045</v>
      </c>
      <c r="R46" s="18">
        <f t="shared" si="28"/>
        <v>0.0100218354166667</v>
      </c>
      <c r="S46" s="25">
        <f t="shared" si="29"/>
        <v>0.170511640521315</v>
      </c>
      <c r="T46" s="3">
        <v>0.01</v>
      </c>
      <c r="U46" s="26">
        <f t="shared" si="30"/>
        <v>0.00170511640521315</v>
      </c>
      <c r="V46" s="25"/>
      <c r="W46" s="3"/>
      <c r="X46" s="26"/>
      <c r="Y46" s="28">
        <v>0.05</v>
      </c>
      <c r="Z46" s="3">
        <v>0.49</v>
      </c>
      <c r="AA46" s="27">
        <f t="shared" si="31"/>
        <v>0.0245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0.02</v>
      </c>
      <c r="AO46" s="3">
        <v>0.5</v>
      </c>
      <c r="AP46" s="3">
        <f t="shared" si="32"/>
        <v>0.01</v>
      </c>
      <c r="AQ46" s="1">
        <f t="shared" si="33"/>
        <v>0.0362051164052132</v>
      </c>
      <c r="AR46" s="29">
        <f t="shared" si="34"/>
        <v>7.70910416666667</v>
      </c>
      <c r="AS46" s="1">
        <f t="shared" si="35"/>
        <v>0.13</v>
      </c>
      <c r="AT46" s="2">
        <f t="shared" si="36"/>
        <v>53.4269589041096</v>
      </c>
      <c r="AU46" s="1">
        <f t="shared" si="37"/>
        <v>12988.304797494</v>
      </c>
    </row>
    <row r="47" s="1" customFormat="1" spans="1:47">
      <c r="A47" s="13"/>
      <c r="B47" s="13"/>
      <c r="C47" s="16">
        <v>5</v>
      </c>
      <c r="D47" s="19">
        <v>20.2651283612903</v>
      </c>
      <c r="E47" s="20">
        <f t="shared" si="38"/>
        <v>17.2852161226667</v>
      </c>
      <c r="F47" s="16" t="s">
        <v>112</v>
      </c>
      <c r="G47" s="13">
        <v>6</v>
      </c>
      <c r="H47" s="18">
        <f t="shared" si="21"/>
        <v>20.2651283612903</v>
      </c>
      <c r="I47" s="18">
        <f t="shared" si="22"/>
        <v>293.41512836129</v>
      </c>
      <c r="J47" s="18">
        <f t="shared" si="23"/>
        <v>0.204373101439613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0.154352981602653</v>
      </c>
      <c r="P47" s="18">
        <f t="shared" si="26"/>
        <v>0.0315455975665858</v>
      </c>
      <c r="Q47" s="24">
        <f t="shared" si="27"/>
        <v>0.00410092768365615</v>
      </c>
      <c r="R47" s="18">
        <f t="shared" si="28"/>
        <v>0.0100218354166667</v>
      </c>
      <c r="S47" s="25">
        <f t="shared" si="29"/>
        <v>0.409199264721127</v>
      </c>
      <c r="T47" s="3">
        <v>0.01</v>
      </c>
      <c r="U47" s="26">
        <f t="shared" si="30"/>
        <v>0.00409199264721127</v>
      </c>
      <c r="V47" s="25"/>
      <c r="W47" s="3"/>
      <c r="X47" s="26"/>
      <c r="Y47" s="28">
        <v>0.05</v>
      </c>
      <c r="Z47" s="3">
        <v>0.49</v>
      </c>
      <c r="AA47" s="27">
        <f t="shared" si="31"/>
        <v>0.0245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0.02</v>
      </c>
      <c r="AO47" s="3">
        <v>0.5</v>
      </c>
      <c r="AP47" s="3">
        <f t="shared" si="32"/>
        <v>0.01</v>
      </c>
      <c r="AQ47" s="1">
        <f t="shared" si="33"/>
        <v>0.0385919926472113</v>
      </c>
      <c r="AR47" s="29">
        <f t="shared" si="34"/>
        <v>7.70910416666667</v>
      </c>
      <c r="AS47" s="1">
        <f t="shared" si="35"/>
        <v>0.13</v>
      </c>
      <c r="AT47" s="2">
        <f t="shared" si="36"/>
        <v>53.4269589041096</v>
      </c>
      <c r="AU47" s="1">
        <f t="shared" si="37"/>
        <v>13844.5781428962</v>
      </c>
    </row>
    <row r="48" s="1" customFormat="1" spans="1:47">
      <c r="A48" s="13"/>
      <c r="B48" s="13"/>
      <c r="C48" s="16">
        <v>6</v>
      </c>
      <c r="D48" s="19">
        <v>23.697661207</v>
      </c>
      <c r="E48" s="20">
        <f t="shared" si="38"/>
        <v>20.2651283612903</v>
      </c>
      <c r="F48" s="16" t="s">
        <v>110</v>
      </c>
      <c r="G48" s="13">
        <v>7</v>
      </c>
      <c r="H48" s="18">
        <f t="shared" si="21"/>
        <v>23.697661207</v>
      </c>
      <c r="I48" s="18">
        <f t="shared" si="22"/>
        <v>296.847661207</v>
      </c>
      <c r="J48" s="18">
        <f t="shared" si="23"/>
        <v>0.29996540782647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0.199898425702734</v>
      </c>
      <c r="P48" s="18">
        <f t="shared" si="26"/>
        <v>0.0599626127897899</v>
      </c>
      <c r="Q48" s="24">
        <f t="shared" si="27"/>
        <v>0.00779513966267269</v>
      </c>
      <c r="R48" s="18">
        <f t="shared" si="28"/>
        <v>0.0100218354166667</v>
      </c>
      <c r="S48" s="25">
        <f t="shared" si="29"/>
        <v>0.777815573553433</v>
      </c>
      <c r="T48" s="3">
        <v>0.01</v>
      </c>
      <c r="U48" s="26">
        <f t="shared" si="30"/>
        <v>0.00777815573553433</v>
      </c>
      <c r="V48" s="25"/>
      <c r="W48" s="3"/>
      <c r="X48" s="26"/>
      <c r="Y48" s="28">
        <v>0.05</v>
      </c>
      <c r="Z48" s="3">
        <v>0.49</v>
      </c>
      <c r="AA48" s="27">
        <f t="shared" si="31"/>
        <v>0.0245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0.02</v>
      </c>
      <c r="AO48" s="3">
        <v>0.5</v>
      </c>
      <c r="AP48" s="3">
        <f t="shared" si="32"/>
        <v>0.01</v>
      </c>
      <c r="AQ48" s="1">
        <f t="shared" si="33"/>
        <v>0.0422781557355343</v>
      </c>
      <c r="AR48" s="29">
        <f t="shared" si="34"/>
        <v>7.70910416666667</v>
      </c>
      <c r="AS48" s="1">
        <f t="shared" si="35"/>
        <v>0.13</v>
      </c>
      <c r="AT48" s="2">
        <f t="shared" si="36"/>
        <v>53.4269589041096</v>
      </c>
      <c r="AU48" s="1">
        <f t="shared" si="37"/>
        <v>15166.9605705223</v>
      </c>
    </row>
    <row r="49" s="1" customFormat="1" spans="1:47">
      <c r="A49" s="13"/>
      <c r="B49" s="13"/>
      <c r="C49" s="16">
        <v>7</v>
      </c>
      <c r="D49" s="19">
        <v>27.2138389270968</v>
      </c>
      <c r="E49" s="20">
        <f t="shared" si="38"/>
        <v>23.697661207</v>
      </c>
      <c r="F49" s="16" t="s">
        <v>110</v>
      </c>
      <c r="G49" s="13">
        <v>8</v>
      </c>
      <c r="H49" s="18">
        <f t="shared" si="21"/>
        <v>27.2138389270968</v>
      </c>
      <c r="I49" s="18">
        <f t="shared" si="22"/>
        <v>300.363838927097</v>
      </c>
      <c r="J49" s="18">
        <f t="shared" si="23"/>
        <v>0.440382753525078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0.217026854579611</v>
      </c>
      <c r="P49" s="18">
        <f t="shared" si="26"/>
        <v>0.0955748838086557</v>
      </c>
      <c r="Q49" s="24">
        <f t="shared" si="27"/>
        <v>0.0124247348951252</v>
      </c>
      <c r="R49" s="18">
        <f t="shared" si="28"/>
        <v>0.0100218354166667</v>
      </c>
      <c r="S49" s="25">
        <f t="shared" si="29"/>
        <v>1.23976640790393</v>
      </c>
      <c r="T49" s="3">
        <v>0.01</v>
      </c>
      <c r="U49" s="26">
        <f t="shared" si="30"/>
        <v>0.0123976640790393</v>
      </c>
      <c r="V49" s="25"/>
      <c r="W49" s="3"/>
      <c r="X49" s="26"/>
      <c r="Y49" s="28">
        <v>0.05</v>
      </c>
      <c r="Z49" s="3">
        <v>0.49</v>
      </c>
      <c r="AA49" s="27">
        <f t="shared" si="31"/>
        <v>0.0245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0.02</v>
      </c>
      <c r="AO49" s="3">
        <v>0.5</v>
      </c>
      <c r="AP49" s="3">
        <f t="shared" si="32"/>
        <v>0.01</v>
      </c>
      <c r="AQ49" s="1">
        <f t="shared" si="33"/>
        <v>0.0468976640790393</v>
      </c>
      <c r="AR49" s="29">
        <f t="shared" si="34"/>
        <v>7.70910416666667</v>
      </c>
      <c r="AS49" s="1">
        <f t="shared" si="35"/>
        <v>0.13</v>
      </c>
      <c r="AT49" s="2">
        <f t="shared" si="36"/>
        <v>53.4269589041096</v>
      </c>
      <c r="AU49" s="1">
        <f t="shared" si="37"/>
        <v>16824.1733718425</v>
      </c>
    </row>
    <row r="50" s="1" customFormat="1" spans="1:47">
      <c r="A50" s="13"/>
      <c r="B50" s="13"/>
      <c r="C50" s="16">
        <v>8</v>
      </c>
      <c r="D50" s="19">
        <v>27.0063830041936</v>
      </c>
      <c r="E50" s="20">
        <f t="shared" si="38"/>
        <v>27.2138389270968</v>
      </c>
      <c r="F50" s="16" t="s">
        <v>110</v>
      </c>
      <c r="G50" s="13">
        <v>9</v>
      </c>
      <c r="H50" s="18">
        <f t="shared" si="21"/>
        <v>27.0063830041936</v>
      </c>
      <c r="I50" s="18">
        <f t="shared" si="22"/>
        <v>300.156383004194</v>
      </c>
      <c r="J50" s="18">
        <f t="shared" si="23"/>
        <v>0.430625657934826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0.198543012437622</v>
      </c>
      <c r="P50" s="18">
        <f t="shared" si="26"/>
        <v>0.0854977153593132</v>
      </c>
      <c r="Q50" s="24">
        <f t="shared" si="27"/>
        <v>0.0111147029967107</v>
      </c>
      <c r="R50" s="18">
        <f t="shared" si="28"/>
        <v>0.0100218354166667</v>
      </c>
      <c r="S50" s="25">
        <f t="shared" si="29"/>
        <v>1.10904864574273</v>
      </c>
      <c r="T50" s="3">
        <v>0.01</v>
      </c>
      <c r="U50" s="26">
        <f t="shared" si="30"/>
        <v>0.0110904864574273</v>
      </c>
      <c r="V50" s="25"/>
      <c r="W50" s="3"/>
      <c r="X50" s="26"/>
      <c r="Y50" s="28">
        <v>0.05</v>
      </c>
      <c r="Z50" s="3">
        <v>0.49</v>
      </c>
      <c r="AA50" s="27">
        <f t="shared" si="31"/>
        <v>0.0245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0.02</v>
      </c>
      <c r="AO50" s="3">
        <v>0.5</v>
      </c>
      <c r="AP50" s="3">
        <f t="shared" si="32"/>
        <v>0.01</v>
      </c>
      <c r="AQ50" s="1">
        <f t="shared" si="33"/>
        <v>0.0455904864574273</v>
      </c>
      <c r="AR50" s="29">
        <f t="shared" si="34"/>
        <v>7.70910416666667</v>
      </c>
      <c r="AS50" s="1">
        <f t="shared" si="35"/>
        <v>0.13</v>
      </c>
      <c r="AT50" s="2">
        <f t="shared" si="36"/>
        <v>53.4269589041096</v>
      </c>
      <c r="AU50" s="1">
        <f t="shared" si="37"/>
        <v>16355.2335351648</v>
      </c>
    </row>
    <row r="51" s="1" customFormat="1" spans="1:47">
      <c r="A51" s="13"/>
      <c r="B51" s="13"/>
      <c r="C51" s="16">
        <v>9</v>
      </c>
      <c r="D51" s="19">
        <v>22.0144349373333</v>
      </c>
      <c r="E51" s="20">
        <f t="shared" si="38"/>
        <v>27.0063830041936</v>
      </c>
      <c r="F51" s="16" t="s">
        <v>110</v>
      </c>
      <c r="G51" s="13">
        <v>10</v>
      </c>
      <c r="H51" s="18">
        <f t="shared" si="21"/>
        <v>22.0144349373333</v>
      </c>
      <c r="I51" s="18">
        <f t="shared" si="22"/>
        <v>295.164434937333</v>
      </c>
      <c r="J51" s="18">
        <f t="shared" si="23"/>
        <v>0.248791678664185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0.190136338744975</v>
      </c>
      <c r="P51" s="18">
        <f t="shared" si="26"/>
        <v>0.0473043388914245</v>
      </c>
      <c r="Q51" s="24">
        <f t="shared" si="27"/>
        <v>0.00614956405588519</v>
      </c>
      <c r="R51" s="18">
        <f t="shared" si="28"/>
        <v>0.0100218354166667</v>
      </c>
      <c r="S51" s="25">
        <f t="shared" si="29"/>
        <v>0.613616548287976</v>
      </c>
      <c r="T51" s="3">
        <v>0.01</v>
      </c>
      <c r="U51" s="26">
        <f t="shared" si="30"/>
        <v>0.00613616548287976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0.0332361654828798</v>
      </c>
      <c r="AR51" s="29">
        <f t="shared" si="34"/>
        <v>7.70910416666667</v>
      </c>
      <c r="AS51" s="1">
        <f t="shared" si="35"/>
        <v>0.13</v>
      </c>
      <c r="AT51" s="2">
        <f t="shared" si="36"/>
        <v>53.4269589041096</v>
      </c>
      <c r="AU51" s="1">
        <f t="shared" si="37"/>
        <v>11923.2166735813</v>
      </c>
    </row>
    <row r="52" s="1" customFormat="1" spans="1:47">
      <c r="A52" s="13"/>
      <c r="B52" s="13"/>
      <c r="C52" s="16">
        <v>10</v>
      </c>
      <c r="D52" s="19">
        <v>17.6647008370968</v>
      </c>
      <c r="E52" s="20">
        <f t="shared" si="38"/>
        <v>22.0144349373333</v>
      </c>
      <c r="F52" s="16" t="s">
        <v>110</v>
      </c>
      <c r="G52" s="13">
        <v>11</v>
      </c>
      <c r="H52" s="18">
        <f t="shared" si="21"/>
        <v>17.6647008370968</v>
      </c>
      <c r="I52" s="18">
        <f t="shared" si="22"/>
        <v>290.814700837097</v>
      </c>
      <c r="J52" s="18">
        <f t="shared" si="23"/>
        <v>0.151899195449107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0.135690399860873</v>
      </c>
      <c r="O52" s="18">
        <f t="shared" si="39"/>
        <v>0.0842326416593442</v>
      </c>
      <c r="P52" s="18">
        <f t="shared" si="26"/>
        <v>0.0127948704986073</v>
      </c>
      <c r="Q52" s="24">
        <f t="shared" si="27"/>
        <v>0.00166333316481895</v>
      </c>
      <c r="R52" s="18">
        <f t="shared" si="28"/>
        <v>0.0100218354166667</v>
      </c>
      <c r="S52" s="25">
        <f t="shared" si="29"/>
        <v>0.165970912079914</v>
      </c>
      <c r="T52" s="3">
        <v>0.01</v>
      </c>
      <c r="U52" s="26">
        <f t="shared" si="30"/>
        <v>0.00165970912079914</v>
      </c>
      <c r="V52" s="25"/>
      <c r="W52" s="3"/>
      <c r="X52" s="26"/>
      <c r="Y52" s="28">
        <v>0.04</v>
      </c>
      <c r="Z52" s="3">
        <v>0.49</v>
      </c>
      <c r="AA52" s="27">
        <f t="shared" si="31"/>
        <v>0.0196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0.015</v>
      </c>
      <c r="AO52" s="3">
        <v>0.5</v>
      </c>
      <c r="AP52" s="3">
        <f t="shared" si="32"/>
        <v>0.0075</v>
      </c>
      <c r="AQ52" s="1">
        <f t="shared" si="33"/>
        <v>0.0287597091207991</v>
      </c>
      <c r="AR52" s="29">
        <f t="shared" si="34"/>
        <v>7.70910416666667</v>
      </c>
      <c r="AS52" s="1">
        <f t="shared" si="35"/>
        <v>0.13</v>
      </c>
      <c r="AT52" s="2">
        <f t="shared" si="36"/>
        <v>53.4269589041096</v>
      </c>
      <c r="AU52" s="1">
        <f t="shared" si="37"/>
        <v>10317.3226614573</v>
      </c>
    </row>
    <row r="53" s="1" customFormat="1" spans="1:48">
      <c r="A53" s="13"/>
      <c r="B53" s="13"/>
      <c r="C53" s="16">
        <v>11</v>
      </c>
      <c r="D53" s="19">
        <v>11.5727211532</v>
      </c>
      <c r="E53" s="20">
        <f t="shared" si="38"/>
        <v>17.6647008370968</v>
      </c>
      <c r="F53" s="16" t="s">
        <v>112</v>
      </c>
      <c r="G53" s="13">
        <v>12</v>
      </c>
      <c r="H53" s="18">
        <f t="shared" si="21"/>
        <v>11.5727211532</v>
      </c>
      <c r="I53" s="18">
        <f t="shared" si="22"/>
        <v>284.7227211532</v>
      </c>
      <c r="J53" s="18">
        <f t="shared" si="23"/>
        <v>0.0742063594810374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0.148528812827404</v>
      </c>
      <c r="P53" s="18">
        <f t="shared" si="26"/>
        <v>0.011021782477962</v>
      </c>
      <c r="Q53" s="24">
        <f t="shared" si="27"/>
        <v>0.00143283172213506</v>
      </c>
      <c r="R53" s="18">
        <f t="shared" si="28"/>
        <v>0.0100218354166667</v>
      </c>
      <c r="S53" s="25">
        <f t="shared" si="29"/>
        <v>0.142970989101678</v>
      </c>
      <c r="T53" s="3">
        <v>0.01</v>
      </c>
      <c r="U53" s="26">
        <f t="shared" si="30"/>
        <v>0.00142970989101678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0.0162297098910168</v>
      </c>
      <c r="AR53" s="29">
        <f t="shared" si="34"/>
        <v>7.70910416666667</v>
      </c>
      <c r="AS53" s="1">
        <f t="shared" si="35"/>
        <v>0.13</v>
      </c>
      <c r="AT53" s="2">
        <f t="shared" si="36"/>
        <v>53.4269589041096</v>
      </c>
      <c r="AU53" s="1">
        <f t="shared" si="37"/>
        <v>5822.2825879128</v>
      </c>
      <c r="AV53" s="1">
        <f>SUM(AU42:AU53)</f>
        <v>135261.362058003</v>
      </c>
    </row>
    <row r="54" s="1" customFormat="1" spans="1:46">
      <c r="A54" s="13"/>
      <c r="B54" s="13"/>
      <c r="C54" s="16">
        <v>12</v>
      </c>
      <c r="D54" s="19">
        <v>8.28297992416129</v>
      </c>
      <c r="E54" s="20">
        <f t="shared" si="38"/>
        <v>11.5727211532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6</v>
      </c>
      <c r="E58" s="16"/>
      <c r="F58" s="16"/>
      <c r="G58" s="13">
        <v>1</v>
      </c>
      <c r="H58" s="18">
        <f t="shared" ref="H58:H69" si="40">E59</f>
        <v>6</v>
      </c>
      <c r="I58" s="18">
        <f t="shared" ref="I58:I69" si="41">H58+273.15</f>
        <v>279.15</v>
      </c>
      <c r="J58" s="18">
        <f t="shared" ref="J58:J69" si="42">EXP(($C$16*(I58-$C$14))/($C$17*I58*$C$14))</f>
        <v>0.0374932232426917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0.103581965454236</v>
      </c>
      <c r="Q58" s="24">
        <f t="shared" ref="Q58:Q69" si="46">P58*$B$60</f>
        <v>0.0300387699817283</v>
      </c>
      <c r="R58" s="18">
        <f t="shared" ref="R58:R69" si="47">L58*$B$60</f>
        <v>0.80117865</v>
      </c>
      <c r="S58" s="25">
        <f t="shared" ref="S58:S69" si="48">Q58/R58</f>
        <v>0.0374932232426917</v>
      </c>
      <c r="T58" s="3">
        <v>0.27</v>
      </c>
      <c r="U58" s="26">
        <f t="shared" ref="U58:U69" si="49">S58*T58</f>
        <v>0.0101231702755268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0.228366931984535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203.637392133918</v>
      </c>
      <c r="AF58" s="1">
        <f t="shared" ref="AF58:AF69" si="54">AE58*10000*AC58*AB58</f>
        <v>4758371.54247076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5.07560304964516</v>
      </c>
      <c r="E59" s="20">
        <f t="shared" ref="E59:E70" si="55">D58</f>
        <v>6</v>
      </c>
      <c r="F59" s="16" t="s">
        <v>110</v>
      </c>
      <c r="G59" s="13">
        <v>2</v>
      </c>
      <c r="H59" s="18">
        <f t="shared" si="40"/>
        <v>5.07560304964516</v>
      </c>
      <c r="I59" s="18">
        <f t="shared" si="41"/>
        <v>278.225603049645</v>
      </c>
      <c r="J59" s="18">
        <f t="shared" si="42"/>
        <v>0.0333905162802828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5.42178803454576</v>
      </c>
      <c r="P59" s="18">
        <f t="shared" si="45"/>
        <v>0.181036301635743</v>
      </c>
      <c r="Q59" s="24">
        <f t="shared" si="46"/>
        <v>0.0525005274743654</v>
      </c>
      <c r="R59" s="18">
        <f t="shared" si="47"/>
        <v>0.80117865</v>
      </c>
      <c r="S59" s="25">
        <f t="shared" si="48"/>
        <v>0.0655291144794802</v>
      </c>
      <c r="T59" s="3">
        <v>0.27</v>
      </c>
      <c r="U59" s="26">
        <f t="shared" si="49"/>
        <v>0.0176928609094597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0.229837722874708</v>
      </c>
      <c r="AC59" s="29">
        <f t="shared" si="51"/>
        <v>10.2321666666667</v>
      </c>
      <c r="AD59" s="1">
        <f t="shared" si="52"/>
        <v>0.29</v>
      </c>
      <c r="AE59" s="30">
        <f t="shared" si="53"/>
        <v>203.637392133918</v>
      </c>
      <c r="AF59" s="1">
        <f t="shared" si="54"/>
        <v>4789017.70238502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7.47925246175862</v>
      </c>
      <c r="E60" s="20">
        <f t="shared" si="55"/>
        <v>5.07560304964516</v>
      </c>
      <c r="F60" s="16" t="s">
        <v>110</v>
      </c>
      <c r="G60" s="13">
        <v>3</v>
      </c>
      <c r="H60" s="18">
        <f t="shared" si="40"/>
        <v>7.47925246175862</v>
      </c>
      <c r="I60" s="18">
        <f t="shared" si="41"/>
        <v>280.629252461759</v>
      </c>
      <c r="J60" s="18">
        <f t="shared" si="42"/>
        <v>0.0450611431336169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8.00343673291002</v>
      </c>
      <c r="P60" s="18">
        <f t="shared" si="45"/>
        <v>0.360644008182506</v>
      </c>
      <c r="Q60" s="24">
        <f t="shared" si="46"/>
        <v>0.104586762372927</v>
      </c>
      <c r="R60" s="18">
        <f t="shared" si="47"/>
        <v>0.80117865</v>
      </c>
      <c r="S60" s="25">
        <f t="shared" si="48"/>
        <v>0.130541125094792</v>
      </c>
      <c r="T60" s="3">
        <v>0.27</v>
      </c>
      <c r="U60" s="26">
        <f t="shared" si="49"/>
        <v>0.0352461037755939</v>
      </c>
      <c r="V60" s="3">
        <v>220.1</v>
      </c>
      <c r="W60" s="27">
        <v>12.1</v>
      </c>
      <c r="X60" s="27">
        <v>4.5</v>
      </c>
      <c r="Y60" s="27">
        <v>1.5</v>
      </c>
      <c r="Z60" s="27">
        <v>6.8</v>
      </c>
      <c r="AA60" s="3">
        <v>30.2</v>
      </c>
      <c r="AB60" s="2">
        <f t="shared" si="50"/>
        <v>0.282048317963598</v>
      </c>
      <c r="AC60" s="29">
        <f t="shared" si="51"/>
        <v>10.2321666666667</v>
      </c>
      <c r="AD60" s="1">
        <f t="shared" si="52"/>
        <v>0.29</v>
      </c>
      <c r="AE60" s="30">
        <f t="shared" si="53"/>
        <v>203.637392133918</v>
      </c>
      <c r="AF60" s="1">
        <f t="shared" si="54"/>
        <v>5876904.67326774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12.4881477936774</v>
      </c>
      <c r="E61" s="20">
        <f t="shared" si="55"/>
        <v>7.47925246175862</v>
      </c>
      <c r="F61" s="16" t="s">
        <v>110</v>
      </c>
      <c r="G61" s="13">
        <v>4</v>
      </c>
      <c r="H61" s="18">
        <f t="shared" si="40"/>
        <v>12.4881477936774</v>
      </c>
      <c r="I61" s="18">
        <f t="shared" si="41"/>
        <v>285.638147793677</v>
      </c>
      <c r="J61" s="18">
        <f t="shared" si="42"/>
        <v>0.0828016043205626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10.4054777247275</v>
      </c>
      <c r="P61" s="18">
        <f t="shared" si="45"/>
        <v>0.861590249329316</v>
      </c>
      <c r="Q61" s="24">
        <f t="shared" si="46"/>
        <v>0.249861172305502</v>
      </c>
      <c r="R61" s="18">
        <f t="shared" si="47"/>
        <v>0.80117865</v>
      </c>
      <c r="S61" s="25">
        <f t="shared" si="48"/>
        <v>0.31186698785034</v>
      </c>
      <c r="T61" s="3">
        <v>0.27</v>
      </c>
      <c r="U61" s="26">
        <f t="shared" si="49"/>
        <v>0.0842040867195917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0.291560854049617</v>
      </c>
      <c r="AC61" s="29">
        <f t="shared" si="51"/>
        <v>10.2321666666667</v>
      </c>
      <c r="AD61" s="1">
        <f t="shared" si="52"/>
        <v>0.29</v>
      </c>
      <c r="AE61" s="30">
        <f t="shared" si="53"/>
        <v>203.637392133918</v>
      </c>
      <c r="AF61" s="1">
        <f t="shared" si="54"/>
        <v>6075112.79655025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17.2852161226667</v>
      </c>
      <c r="E62" s="20">
        <f t="shared" si="55"/>
        <v>12.4881477936774</v>
      </c>
      <c r="F62" s="16" t="s">
        <v>110</v>
      </c>
      <c r="G62" s="13">
        <v>5</v>
      </c>
      <c r="H62" s="18">
        <f t="shared" si="40"/>
        <v>17.2852161226667</v>
      </c>
      <c r="I62" s="18">
        <f t="shared" si="41"/>
        <v>290.435216122667</v>
      </c>
      <c r="J62" s="18">
        <f t="shared" si="42"/>
        <v>0.145397373558848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9.06669310162829</v>
      </c>
      <c r="O62" s="18">
        <f t="shared" si="56"/>
        <v>3.23987937376991</v>
      </c>
      <c r="P62" s="18">
        <f t="shared" si="45"/>
        <v>0.47106995159363</v>
      </c>
      <c r="Q62" s="24">
        <f t="shared" si="46"/>
        <v>0.136610285962153</v>
      </c>
      <c r="R62" s="18">
        <f t="shared" si="47"/>
        <v>0.80117865</v>
      </c>
      <c r="S62" s="25">
        <f t="shared" si="48"/>
        <v>0.170511640521315</v>
      </c>
      <c r="T62" s="3">
        <v>0.27</v>
      </c>
      <c r="U62" s="26">
        <f t="shared" si="49"/>
        <v>0.0460381429407551</v>
      </c>
      <c r="V62" s="3">
        <v>229.1</v>
      </c>
      <c r="W62" s="27">
        <v>15.1</v>
      </c>
      <c r="X62" s="27">
        <v>6</v>
      </c>
      <c r="Y62" s="27">
        <v>3</v>
      </c>
      <c r="Z62" s="27">
        <v>7</v>
      </c>
      <c r="AA62" s="3">
        <v>30.2</v>
      </c>
      <c r="AB62" s="2">
        <f t="shared" si="50"/>
        <v>0.299345211173389</v>
      </c>
      <c r="AC62" s="29">
        <f t="shared" si="51"/>
        <v>10.2321666666667</v>
      </c>
      <c r="AD62" s="1">
        <f t="shared" si="52"/>
        <v>0.29</v>
      </c>
      <c r="AE62" s="30">
        <f t="shared" si="53"/>
        <v>203.637392133918</v>
      </c>
      <c r="AF62" s="1">
        <f t="shared" si="54"/>
        <v>6237311.68888679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20.2651283612903</v>
      </c>
      <c r="E63" s="20">
        <f t="shared" si="55"/>
        <v>17.2852161226667</v>
      </c>
      <c r="F63" s="16" t="s">
        <v>112</v>
      </c>
      <c r="G63" s="13">
        <v>6</v>
      </c>
      <c r="H63" s="18">
        <f t="shared" si="40"/>
        <v>20.2651283612903</v>
      </c>
      <c r="I63" s="18">
        <f t="shared" si="41"/>
        <v>293.41512836129</v>
      </c>
      <c r="J63" s="18">
        <f t="shared" si="42"/>
        <v>0.204373101439613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5.53149442217628</v>
      </c>
      <c r="P63" s="18">
        <f t="shared" si="45"/>
        <v>1.13048867065609</v>
      </c>
      <c r="Q63" s="24">
        <f t="shared" si="46"/>
        <v>0.327841714490265</v>
      </c>
      <c r="R63" s="18">
        <f t="shared" si="47"/>
        <v>0.80117865</v>
      </c>
      <c r="S63" s="25">
        <f t="shared" si="48"/>
        <v>0.409199264721127</v>
      </c>
      <c r="T63" s="3">
        <v>0.27</v>
      </c>
      <c r="U63" s="26">
        <f t="shared" si="49"/>
        <v>0.110483801474704</v>
      </c>
      <c r="V63" s="3">
        <v>229.1</v>
      </c>
      <c r="W63" s="27">
        <v>15.1</v>
      </c>
      <c r="X63" s="27">
        <v>6</v>
      </c>
      <c r="Y63" s="27">
        <v>3</v>
      </c>
      <c r="Z63" s="27">
        <v>7</v>
      </c>
      <c r="AA63" s="3">
        <v>30.2</v>
      </c>
      <c r="AB63" s="2">
        <f t="shared" si="50"/>
        <v>0.311867002626535</v>
      </c>
      <c r="AC63" s="29">
        <f t="shared" si="51"/>
        <v>10.2321666666667</v>
      </c>
      <c r="AD63" s="1">
        <f t="shared" si="52"/>
        <v>0.29</v>
      </c>
      <c r="AE63" s="30">
        <f t="shared" si="53"/>
        <v>203.637392133918</v>
      </c>
      <c r="AF63" s="1">
        <f t="shared" si="54"/>
        <v>6498222.2138635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23.697661207</v>
      </c>
      <c r="E64" s="20">
        <f t="shared" si="55"/>
        <v>20.2651283612903</v>
      </c>
      <c r="F64" s="16" t="s">
        <v>110</v>
      </c>
      <c r="G64" s="13">
        <v>7</v>
      </c>
      <c r="H64" s="18">
        <f t="shared" si="40"/>
        <v>23.697661207</v>
      </c>
      <c r="I64" s="18">
        <f t="shared" si="41"/>
        <v>296.847661207</v>
      </c>
      <c r="J64" s="18">
        <f t="shared" si="42"/>
        <v>0.29996540782647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7.16369075152019</v>
      </c>
      <c r="P64" s="18">
        <f t="shared" si="45"/>
        <v>2.14885941782247</v>
      </c>
      <c r="Q64" s="24">
        <f t="shared" si="46"/>
        <v>0.623169231168515</v>
      </c>
      <c r="R64" s="18">
        <f t="shared" si="47"/>
        <v>0.80117865</v>
      </c>
      <c r="S64" s="25">
        <f t="shared" si="48"/>
        <v>0.777815573553433</v>
      </c>
      <c r="T64" s="3">
        <v>0.27</v>
      </c>
      <c r="U64" s="26">
        <f t="shared" si="49"/>
        <v>0.210010204859427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0.331204982804187</v>
      </c>
      <c r="AC64" s="29">
        <f t="shared" si="51"/>
        <v>10.2321666666667</v>
      </c>
      <c r="AD64" s="1">
        <f t="shared" si="52"/>
        <v>0.29</v>
      </c>
      <c r="AE64" s="30">
        <f t="shared" si="53"/>
        <v>203.637392133918</v>
      </c>
      <c r="AF64" s="1">
        <f t="shared" si="54"/>
        <v>6901158.37351919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27.2138389270968</v>
      </c>
      <c r="E65" s="20">
        <f t="shared" si="55"/>
        <v>23.697661207</v>
      </c>
      <c r="F65" s="16" t="s">
        <v>110</v>
      </c>
      <c r="G65" s="13">
        <v>8</v>
      </c>
      <c r="H65" s="18">
        <f t="shared" si="40"/>
        <v>27.2138389270968</v>
      </c>
      <c r="I65" s="18">
        <f t="shared" si="41"/>
        <v>300.363838927097</v>
      </c>
      <c r="J65" s="18">
        <f t="shared" si="42"/>
        <v>0.440382753525078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7.77751633369772</v>
      </c>
      <c r="P65" s="18">
        <f t="shared" si="45"/>
        <v>3.42508405862007</v>
      </c>
      <c r="Q65" s="24">
        <f t="shared" si="46"/>
        <v>0.993274376999821</v>
      </c>
      <c r="R65" s="18">
        <f t="shared" si="47"/>
        <v>0.80117865</v>
      </c>
      <c r="S65" s="25">
        <f t="shared" si="48"/>
        <v>1.23976640790393</v>
      </c>
      <c r="T65" s="3">
        <v>0.27</v>
      </c>
      <c r="U65" s="26">
        <f t="shared" si="49"/>
        <v>0.334736930134062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0.355439385525048</v>
      </c>
      <c r="AC65" s="29">
        <f t="shared" si="51"/>
        <v>10.2321666666667</v>
      </c>
      <c r="AD65" s="1">
        <f t="shared" si="52"/>
        <v>0.29</v>
      </c>
      <c r="AE65" s="30">
        <f t="shared" si="53"/>
        <v>203.637392133918</v>
      </c>
      <c r="AF65" s="1">
        <f t="shared" si="54"/>
        <v>7406118.92649248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27.0063830041936</v>
      </c>
      <c r="E66" s="20">
        <f t="shared" si="55"/>
        <v>27.2138389270968</v>
      </c>
      <c r="F66" s="16" t="s">
        <v>110</v>
      </c>
      <c r="G66" s="13">
        <v>9</v>
      </c>
      <c r="H66" s="18">
        <f t="shared" si="40"/>
        <v>27.0063830041936</v>
      </c>
      <c r="I66" s="18">
        <f t="shared" si="41"/>
        <v>300.156383004194</v>
      </c>
      <c r="J66" s="18">
        <f t="shared" si="42"/>
        <v>0.430625657934826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7.11511727507765</v>
      </c>
      <c r="P66" s="18">
        <f t="shared" si="45"/>
        <v>3.06395205786376</v>
      </c>
      <c r="Q66" s="24">
        <f t="shared" si="46"/>
        <v>0.88854609678049</v>
      </c>
      <c r="R66" s="18">
        <f t="shared" si="47"/>
        <v>0.80117865</v>
      </c>
      <c r="S66" s="25">
        <f t="shared" si="48"/>
        <v>1.10904864574273</v>
      </c>
      <c r="T66" s="3">
        <v>0.27</v>
      </c>
      <c r="U66" s="26">
        <f t="shared" si="49"/>
        <v>0.299443134350538</v>
      </c>
      <c r="V66" s="3">
        <v>229.1</v>
      </c>
      <c r="W66" s="27">
        <v>15.1</v>
      </c>
      <c r="X66" s="27">
        <v>6</v>
      </c>
      <c r="Y66" s="27">
        <v>3</v>
      </c>
      <c r="Z66" s="27">
        <v>7</v>
      </c>
      <c r="AA66" s="3">
        <v>30.2</v>
      </c>
      <c r="AB66" s="2">
        <f t="shared" si="50"/>
        <v>0.348581801004309</v>
      </c>
      <c r="AC66" s="29">
        <f t="shared" si="51"/>
        <v>10.2321666666667</v>
      </c>
      <c r="AD66" s="1">
        <f t="shared" si="52"/>
        <v>0.29</v>
      </c>
      <c r="AE66" s="30">
        <f t="shared" si="53"/>
        <v>203.637392133918</v>
      </c>
      <c r="AF66" s="1">
        <f t="shared" si="54"/>
        <v>7263230.74758669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22.0144349373333</v>
      </c>
      <c r="E67" s="20">
        <f t="shared" si="55"/>
        <v>27.0063830041936</v>
      </c>
      <c r="F67" s="16" t="s">
        <v>110</v>
      </c>
      <c r="G67" s="13">
        <v>10</v>
      </c>
      <c r="H67" s="18">
        <f t="shared" si="40"/>
        <v>22.0144349373333</v>
      </c>
      <c r="I67" s="18">
        <f t="shared" si="41"/>
        <v>295.164434937333</v>
      </c>
      <c r="J67" s="18">
        <f t="shared" si="42"/>
        <v>0.248791678664185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6.81385021721389</v>
      </c>
      <c r="P67" s="18">
        <f t="shared" si="45"/>
        <v>1.69522923370696</v>
      </c>
      <c r="Q67" s="24">
        <f t="shared" si="46"/>
        <v>0.49161647777502</v>
      </c>
      <c r="R67" s="18">
        <f t="shared" si="47"/>
        <v>0.80117865</v>
      </c>
      <c r="S67" s="25">
        <f t="shared" si="48"/>
        <v>0.613616548287975</v>
      </c>
      <c r="T67" s="3">
        <v>0.27</v>
      </c>
      <c r="U67" s="26">
        <f t="shared" si="49"/>
        <v>0.165676468037753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0.307390937739735</v>
      </c>
      <c r="AC67" s="29">
        <f t="shared" si="51"/>
        <v>10.2321666666667</v>
      </c>
      <c r="AD67" s="1">
        <f t="shared" si="52"/>
        <v>0.29</v>
      </c>
      <c r="AE67" s="30">
        <f t="shared" si="53"/>
        <v>203.637392133918</v>
      </c>
      <c r="AF67" s="1">
        <f t="shared" si="54"/>
        <v>6404956.6101506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17.6647008370968</v>
      </c>
      <c r="E68" s="20">
        <f t="shared" si="55"/>
        <v>22.0144349373333</v>
      </c>
      <c r="F68" s="16" t="s">
        <v>110</v>
      </c>
      <c r="G68" s="13">
        <v>11</v>
      </c>
      <c r="H68" s="18">
        <f t="shared" si="40"/>
        <v>17.6647008370968</v>
      </c>
      <c r="I68" s="18">
        <f t="shared" si="41"/>
        <v>290.814700837097</v>
      </c>
      <c r="J68" s="18">
        <f t="shared" si="42"/>
        <v>0.151899195449107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4.86268993433158</v>
      </c>
      <c r="O68" s="18">
        <f t="shared" si="56"/>
        <v>3.01861604917534</v>
      </c>
      <c r="P68" s="18">
        <f t="shared" si="45"/>
        <v>0.458525349239497</v>
      </c>
      <c r="Q68" s="24">
        <f t="shared" si="46"/>
        <v>0.132972351279454</v>
      </c>
      <c r="R68" s="18">
        <f t="shared" si="47"/>
        <v>0.80117865</v>
      </c>
      <c r="S68" s="25">
        <f t="shared" si="48"/>
        <v>0.165970912079914</v>
      </c>
      <c r="T68" s="3">
        <v>0.27</v>
      </c>
      <c r="U68" s="26">
        <f t="shared" si="49"/>
        <v>0.0448121462615768</v>
      </c>
      <c r="V68" s="3">
        <v>220.1</v>
      </c>
      <c r="W68" s="27">
        <v>12.1</v>
      </c>
      <c r="X68" s="27">
        <v>4.5</v>
      </c>
      <c r="Y68" s="27">
        <v>1.5</v>
      </c>
      <c r="Z68" s="27">
        <v>6.8</v>
      </c>
      <c r="AA68" s="3">
        <v>30.2</v>
      </c>
      <c r="AB68" s="2">
        <f t="shared" si="50"/>
        <v>0.283907000018624</v>
      </c>
      <c r="AC68" s="29">
        <f t="shared" si="51"/>
        <v>10.2321666666667</v>
      </c>
      <c r="AD68" s="1">
        <f t="shared" si="52"/>
        <v>0.29</v>
      </c>
      <c r="AE68" s="30">
        <f t="shared" si="53"/>
        <v>203.637392133918</v>
      </c>
      <c r="AF68" s="1">
        <f t="shared" si="54"/>
        <v>5915633.13417178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11.5727211532</v>
      </c>
      <c r="E69" s="20">
        <f t="shared" si="55"/>
        <v>17.6647008370968</v>
      </c>
      <c r="F69" s="16" t="s">
        <v>112</v>
      </c>
      <c r="G69" s="13">
        <v>12</v>
      </c>
      <c r="H69" s="18">
        <f t="shared" si="40"/>
        <v>11.5727211532</v>
      </c>
      <c r="I69" s="18">
        <f t="shared" si="41"/>
        <v>284.7227211532</v>
      </c>
      <c r="J69" s="18">
        <f t="shared" si="42"/>
        <v>0.0742063594810374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5.32277569993585</v>
      </c>
      <c r="P69" s="18">
        <f t="shared" si="45"/>
        <v>0.39498380702637</v>
      </c>
      <c r="Q69" s="24">
        <f t="shared" si="46"/>
        <v>0.114545304037647</v>
      </c>
      <c r="R69" s="18">
        <f t="shared" si="47"/>
        <v>0.80117865</v>
      </c>
      <c r="S69" s="25">
        <f t="shared" si="48"/>
        <v>0.142970989101678</v>
      </c>
      <c r="T69" s="3">
        <v>0.27</v>
      </c>
      <c r="U69" s="26">
        <f t="shared" si="49"/>
        <v>0.0386021670574531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0.233900401059263</v>
      </c>
      <c r="AC69" s="29">
        <f t="shared" si="51"/>
        <v>10.2321666666667</v>
      </c>
      <c r="AD69" s="1">
        <f t="shared" si="52"/>
        <v>0.29</v>
      </c>
      <c r="AE69" s="30">
        <f t="shared" si="53"/>
        <v>203.637392133918</v>
      </c>
      <c r="AF69" s="1">
        <f t="shared" si="54"/>
        <v>4873669.7669007</v>
      </c>
      <c r="AG69" s="1">
        <f>SUM(AF58:AF69)</f>
        <v>72999708.1762455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8.28297992416129</v>
      </c>
      <c r="E70" s="20">
        <f t="shared" si="55"/>
        <v>11.5727211532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6</v>
      </c>
      <c r="E74" s="16"/>
      <c r="F74" s="16"/>
      <c r="G74" s="13">
        <v>1</v>
      </c>
      <c r="H74" s="18">
        <f t="shared" ref="H74:H85" si="57">E75</f>
        <v>6</v>
      </c>
      <c r="I74" s="18">
        <f t="shared" ref="I74:I85" si="58">H74+273.15</f>
        <v>279.15</v>
      </c>
      <c r="J74" s="18">
        <f t="shared" ref="J74:J85" si="59">EXP(($C$16*(I74-$C$14))/($C$17*I74*$C$14))</f>
        <v>0.0374932232426917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0.0195422178185558</v>
      </c>
      <c r="Q74" s="24">
        <f t="shared" ref="Q74:Q85" si="63">P74*$B$76</f>
        <v>0.0050809766328245</v>
      </c>
      <c r="R74" s="18">
        <f t="shared" ref="R74:R85" si="64">L74*$B$76</f>
        <v>0.1355172</v>
      </c>
      <c r="S74" s="25">
        <f t="shared" ref="S74:S85" si="65">Q74/R74</f>
        <v>0.0374932232426917</v>
      </c>
      <c r="T74" s="3">
        <v>0.01</v>
      </c>
      <c r="U74" s="26">
        <f t="shared" ref="U74:U85" si="66">S74*T74</f>
        <v>0.000374932232426917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0.00586493223242692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1.7</v>
      </c>
      <c r="AX74" s="1">
        <f t="shared" ref="AX74:AX85" si="73">AW74*10000*AV74*0.67*AU74*AT74</f>
        <v>905.276282339871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5.07560304964516</v>
      </c>
      <c r="E75" s="20">
        <f t="shared" ref="E75:E86" si="74">D74</f>
        <v>6</v>
      </c>
      <c r="F75" s="16" t="s">
        <v>110</v>
      </c>
      <c r="G75" s="13">
        <v>2</v>
      </c>
      <c r="H75" s="18">
        <f t="shared" si="57"/>
        <v>5.07560304964516</v>
      </c>
      <c r="I75" s="18">
        <f t="shared" si="58"/>
        <v>278.225603049645</v>
      </c>
      <c r="J75" s="18">
        <f t="shared" si="59"/>
        <v>0.0333905162802828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1.02289778218144</v>
      </c>
      <c r="P75" s="18">
        <f t="shared" si="62"/>
        <v>0.0341550850489947</v>
      </c>
      <c r="Q75" s="24">
        <f t="shared" si="63"/>
        <v>0.00888032211273862</v>
      </c>
      <c r="R75" s="18">
        <f t="shared" si="64"/>
        <v>0.1355172</v>
      </c>
      <c r="S75" s="25">
        <f t="shared" si="65"/>
        <v>0.0655291144794802</v>
      </c>
      <c r="T75" s="3">
        <v>0.01</v>
      </c>
      <c r="U75" s="26">
        <f t="shared" si="66"/>
        <v>0.000655291144794802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0.0061452911447948</v>
      </c>
      <c r="AU75" s="29">
        <f t="shared" si="70"/>
        <v>52.122</v>
      </c>
      <c r="AV75" s="1">
        <f t="shared" si="71"/>
        <v>0.26</v>
      </c>
      <c r="AW75" s="2">
        <f t="shared" si="72"/>
        <v>1.7</v>
      </c>
      <c r="AX75" s="1">
        <f t="shared" si="73"/>
        <v>948.550827356093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7.47925246175862</v>
      </c>
      <c r="E76" s="20">
        <f t="shared" si="74"/>
        <v>5.07560304964516</v>
      </c>
      <c r="F76" s="16" t="s">
        <v>110</v>
      </c>
      <c r="G76" s="13">
        <v>3</v>
      </c>
      <c r="H76" s="18">
        <f t="shared" si="57"/>
        <v>7.47925246175862</v>
      </c>
      <c r="I76" s="18">
        <f t="shared" si="58"/>
        <v>280.629252461759</v>
      </c>
      <c r="J76" s="18">
        <f t="shared" si="59"/>
        <v>0.0450611431336169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1.50996269713245</v>
      </c>
      <c r="P76" s="18">
        <f t="shared" si="62"/>
        <v>0.0680406452219075</v>
      </c>
      <c r="Q76" s="24">
        <f t="shared" si="63"/>
        <v>0.017690567757696</v>
      </c>
      <c r="R76" s="18">
        <f t="shared" si="64"/>
        <v>0.1355172</v>
      </c>
      <c r="S76" s="25">
        <f t="shared" si="65"/>
        <v>0.130541125094792</v>
      </c>
      <c r="T76" s="3">
        <v>0.01</v>
      </c>
      <c r="U76" s="26">
        <f t="shared" si="66"/>
        <v>0.00130541125094792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0.005</v>
      </c>
      <c r="AF76" s="3">
        <v>0.49</v>
      </c>
      <c r="AG76" s="26">
        <f t="shared" si="67"/>
        <v>0.00245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0.015</v>
      </c>
      <c r="AR76" s="3">
        <v>0.5</v>
      </c>
      <c r="AS76" s="3">
        <f t="shared" si="68"/>
        <v>0.0075</v>
      </c>
      <c r="AT76" s="2">
        <f t="shared" si="69"/>
        <v>0.0112554112509479</v>
      </c>
      <c r="AU76" s="29">
        <f t="shared" si="70"/>
        <v>52.122</v>
      </c>
      <c r="AV76" s="1">
        <f t="shared" si="71"/>
        <v>0.26</v>
      </c>
      <c r="AW76" s="2">
        <f t="shared" si="72"/>
        <v>1.7</v>
      </c>
      <c r="AX76" s="1">
        <f t="shared" si="73"/>
        <v>1737.31877022016</v>
      </c>
    </row>
    <row r="77" s="1" customFormat="1" spans="1:50">
      <c r="A77" s="13"/>
      <c r="B77" s="13"/>
      <c r="C77" s="16">
        <v>3</v>
      </c>
      <c r="D77" s="19">
        <v>12.4881477936774</v>
      </c>
      <c r="E77" s="20">
        <f t="shared" si="74"/>
        <v>7.47925246175862</v>
      </c>
      <c r="F77" s="16" t="s">
        <v>110</v>
      </c>
      <c r="G77" s="13">
        <v>4</v>
      </c>
      <c r="H77" s="18">
        <f t="shared" si="57"/>
        <v>12.4881477936774</v>
      </c>
      <c r="I77" s="18">
        <f t="shared" si="58"/>
        <v>285.638147793677</v>
      </c>
      <c r="J77" s="18">
        <f t="shared" si="59"/>
        <v>0.0828016043205626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1.96314205191054</v>
      </c>
      <c r="P77" s="18">
        <f t="shared" si="62"/>
        <v>0.162551311407354</v>
      </c>
      <c r="Q77" s="24">
        <f t="shared" si="63"/>
        <v>0.0422633409659121</v>
      </c>
      <c r="R77" s="18">
        <f t="shared" si="64"/>
        <v>0.1355172</v>
      </c>
      <c r="S77" s="25">
        <f t="shared" si="65"/>
        <v>0.31186698785034</v>
      </c>
      <c r="T77" s="3">
        <v>0.01</v>
      </c>
      <c r="U77" s="26">
        <f t="shared" si="66"/>
        <v>0.0031186698785034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0.005</v>
      </c>
      <c r="AF77" s="3">
        <v>0.49</v>
      </c>
      <c r="AG77" s="26">
        <f t="shared" si="67"/>
        <v>0.00245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0.0130686698785034</v>
      </c>
      <c r="AU77" s="29">
        <f t="shared" si="70"/>
        <v>52.122</v>
      </c>
      <c r="AV77" s="1">
        <f t="shared" si="71"/>
        <v>0.26</v>
      </c>
      <c r="AW77" s="2">
        <f t="shared" si="72"/>
        <v>1.7</v>
      </c>
      <c r="AX77" s="1">
        <f t="shared" si="73"/>
        <v>2017.20265706174</v>
      </c>
    </row>
    <row r="78" s="1" customFormat="1" spans="1:50">
      <c r="A78" s="13"/>
      <c r="B78" s="13"/>
      <c r="C78" s="16">
        <v>4</v>
      </c>
      <c r="D78" s="19">
        <v>17.2852161226667</v>
      </c>
      <c r="E78" s="20">
        <f t="shared" si="74"/>
        <v>12.4881477936774</v>
      </c>
      <c r="F78" s="16" t="s">
        <v>110</v>
      </c>
      <c r="G78" s="13">
        <v>5</v>
      </c>
      <c r="H78" s="18">
        <f t="shared" si="57"/>
        <v>17.2852161226667</v>
      </c>
      <c r="I78" s="18">
        <f t="shared" si="58"/>
        <v>290.435216122667</v>
      </c>
      <c r="J78" s="18">
        <f t="shared" si="59"/>
        <v>0.145397373558848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1.71056120347803</v>
      </c>
      <c r="O78" s="18">
        <f t="shared" si="75"/>
        <v>0.61124953702516</v>
      </c>
      <c r="P78" s="18">
        <f t="shared" si="62"/>
        <v>0.08887407727252</v>
      </c>
      <c r="Q78" s="24">
        <f t="shared" si="63"/>
        <v>0.0231072600908552</v>
      </c>
      <c r="R78" s="18">
        <f t="shared" si="64"/>
        <v>0.1355172</v>
      </c>
      <c r="S78" s="25">
        <f t="shared" si="65"/>
        <v>0.170511640521315</v>
      </c>
      <c r="T78" s="3">
        <v>0.01</v>
      </c>
      <c r="U78" s="26">
        <f t="shared" si="66"/>
        <v>0.00170511640521315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0.01</v>
      </c>
      <c r="AF78" s="3">
        <v>0.49</v>
      </c>
      <c r="AG78" s="26">
        <f t="shared" si="67"/>
        <v>0.0049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0.02</v>
      </c>
      <c r="AR78" s="3">
        <v>0.5</v>
      </c>
      <c r="AS78" s="3">
        <f t="shared" si="68"/>
        <v>0.01</v>
      </c>
      <c r="AT78" s="2">
        <f t="shared" si="69"/>
        <v>0.0166051164052132</v>
      </c>
      <c r="AU78" s="29">
        <f t="shared" si="70"/>
        <v>52.122</v>
      </c>
      <c r="AV78" s="1">
        <f t="shared" si="71"/>
        <v>0.26</v>
      </c>
      <c r="AW78" s="2">
        <f t="shared" si="72"/>
        <v>1.7</v>
      </c>
      <c r="AX78" s="1">
        <f t="shared" si="73"/>
        <v>2563.06764535484</v>
      </c>
    </row>
    <row r="79" s="1" customFormat="1" spans="1:50">
      <c r="A79" s="13"/>
      <c r="B79" s="13"/>
      <c r="C79" s="16">
        <v>5</v>
      </c>
      <c r="D79" s="19">
        <v>20.2651283612903</v>
      </c>
      <c r="E79" s="20">
        <f t="shared" si="74"/>
        <v>17.2852161226667</v>
      </c>
      <c r="F79" s="16" t="s">
        <v>112</v>
      </c>
      <c r="G79" s="13">
        <v>6</v>
      </c>
      <c r="H79" s="18">
        <f t="shared" si="57"/>
        <v>20.2651283612903</v>
      </c>
      <c r="I79" s="18">
        <f t="shared" si="58"/>
        <v>293.41512836129</v>
      </c>
      <c r="J79" s="18">
        <f t="shared" si="59"/>
        <v>0.204373101439613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1.04359545975264</v>
      </c>
      <c r="P79" s="18">
        <f t="shared" si="62"/>
        <v>0.213282840757946</v>
      </c>
      <c r="Q79" s="24">
        <f t="shared" si="63"/>
        <v>0.0554535385970659</v>
      </c>
      <c r="R79" s="18">
        <f t="shared" si="64"/>
        <v>0.1355172</v>
      </c>
      <c r="S79" s="25">
        <f t="shared" si="65"/>
        <v>0.409199264721127</v>
      </c>
      <c r="T79" s="3">
        <v>0.01</v>
      </c>
      <c r="U79" s="26">
        <f t="shared" si="66"/>
        <v>0.00409199264721127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0.01</v>
      </c>
      <c r="AF79" s="3">
        <v>0.49</v>
      </c>
      <c r="AG79" s="26">
        <f t="shared" si="67"/>
        <v>0.0049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0.02</v>
      </c>
      <c r="AR79" s="3">
        <v>0.5</v>
      </c>
      <c r="AS79" s="3">
        <f t="shared" si="68"/>
        <v>0.01</v>
      </c>
      <c r="AT79" s="2">
        <f t="shared" si="69"/>
        <v>0.0189919926472113</v>
      </c>
      <c r="AU79" s="29">
        <f t="shared" si="70"/>
        <v>52.122</v>
      </c>
      <c r="AV79" s="1">
        <f t="shared" si="71"/>
        <v>0.26</v>
      </c>
      <c r="AW79" s="2">
        <f t="shared" si="72"/>
        <v>1.7</v>
      </c>
      <c r="AX79" s="1">
        <f t="shared" si="73"/>
        <v>2931.49175754058</v>
      </c>
    </row>
    <row r="80" s="1" customFormat="1" spans="1:50">
      <c r="A80" s="13"/>
      <c r="B80" s="13"/>
      <c r="C80" s="16">
        <v>6</v>
      </c>
      <c r="D80" s="19">
        <v>23.697661207</v>
      </c>
      <c r="E80" s="20">
        <f t="shared" si="74"/>
        <v>20.2651283612903</v>
      </c>
      <c r="F80" s="16" t="s">
        <v>110</v>
      </c>
      <c r="G80" s="13">
        <v>7</v>
      </c>
      <c r="H80" s="18">
        <f t="shared" si="57"/>
        <v>23.697661207</v>
      </c>
      <c r="I80" s="18">
        <f t="shared" si="58"/>
        <v>296.847661207</v>
      </c>
      <c r="J80" s="18">
        <f t="shared" si="59"/>
        <v>0.29996540782647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1.35153261899469</v>
      </c>
      <c r="P80" s="18">
        <f t="shared" si="62"/>
        <v>0.40541303324752</v>
      </c>
      <c r="Q80" s="24">
        <f t="shared" si="63"/>
        <v>0.105407388644355</v>
      </c>
      <c r="R80" s="18">
        <f t="shared" si="64"/>
        <v>0.1355172</v>
      </c>
      <c r="S80" s="25">
        <f t="shared" si="65"/>
        <v>0.777815573553433</v>
      </c>
      <c r="T80" s="3">
        <v>0.01</v>
      </c>
      <c r="U80" s="26">
        <f t="shared" si="66"/>
        <v>0.00777815573553433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0.01</v>
      </c>
      <c r="AF80" s="3">
        <v>0.49</v>
      </c>
      <c r="AG80" s="26">
        <f t="shared" si="67"/>
        <v>0.0049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0.02</v>
      </c>
      <c r="AR80" s="3">
        <v>0.5</v>
      </c>
      <c r="AS80" s="3">
        <f t="shared" si="68"/>
        <v>0.01</v>
      </c>
      <c r="AT80" s="2">
        <f t="shared" si="69"/>
        <v>0.0226781557355343</v>
      </c>
      <c r="AU80" s="29">
        <f t="shared" si="70"/>
        <v>52.122</v>
      </c>
      <c r="AV80" s="1">
        <f t="shared" si="71"/>
        <v>0.26</v>
      </c>
      <c r="AW80" s="2">
        <f t="shared" si="72"/>
        <v>1.7</v>
      </c>
      <c r="AX80" s="1">
        <f t="shared" si="73"/>
        <v>3500.46610957921</v>
      </c>
    </row>
    <row r="81" s="1" customFormat="1" spans="1:50">
      <c r="A81" s="13"/>
      <c r="B81" s="13"/>
      <c r="C81" s="16">
        <v>7</v>
      </c>
      <c r="D81" s="19">
        <v>27.2138389270968</v>
      </c>
      <c r="E81" s="20">
        <f t="shared" si="74"/>
        <v>23.697661207</v>
      </c>
      <c r="F81" s="16" t="s">
        <v>110</v>
      </c>
      <c r="G81" s="13">
        <v>8</v>
      </c>
      <c r="H81" s="18">
        <f t="shared" si="57"/>
        <v>27.2138389270968</v>
      </c>
      <c r="I81" s="18">
        <f t="shared" si="58"/>
        <v>300.363838927097</v>
      </c>
      <c r="J81" s="18">
        <f t="shared" si="59"/>
        <v>0.440382753525078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1.46733958574717</v>
      </c>
      <c r="P81" s="18">
        <f t="shared" si="62"/>
        <v>0.646191047127687</v>
      </c>
      <c r="Q81" s="24">
        <f t="shared" si="63"/>
        <v>0.168009672253199</v>
      </c>
      <c r="R81" s="18">
        <f t="shared" si="64"/>
        <v>0.1355172</v>
      </c>
      <c r="S81" s="25">
        <f t="shared" si="65"/>
        <v>1.23976640790393</v>
      </c>
      <c r="T81" s="3">
        <v>0.01</v>
      </c>
      <c r="U81" s="26">
        <f t="shared" si="66"/>
        <v>0.0123976640790393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0.01</v>
      </c>
      <c r="AF81" s="3">
        <v>0.49</v>
      </c>
      <c r="AG81" s="26">
        <f t="shared" si="67"/>
        <v>0.0049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0.02</v>
      </c>
      <c r="AR81" s="3">
        <v>0.5</v>
      </c>
      <c r="AS81" s="3">
        <f t="shared" si="68"/>
        <v>0.01</v>
      </c>
      <c r="AT81" s="2">
        <f t="shared" si="69"/>
        <v>0.0272976640790393</v>
      </c>
      <c r="AU81" s="29">
        <f t="shared" si="70"/>
        <v>52.122</v>
      </c>
      <c r="AV81" s="1">
        <f t="shared" si="71"/>
        <v>0.26</v>
      </c>
      <c r="AW81" s="2">
        <f t="shared" si="72"/>
        <v>1.7</v>
      </c>
      <c r="AX81" s="1">
        <f t="shared" si="73"/>
        <v>4213.50611988393</v>
      </c>
    </row>
    <row r="82" s="1" customFormat="1" spans="1:50">
      <c r="A82" s="13"/>
      <c r="B82" s="13"/>
      <c r="C82" s="16">
        <v>8</v>
      </c>
      <c r="D82" s="19">
        <v>27.0063830041936</v>
      </c>
      <c r="E82" s="20">
        <f t="shared" si="74"/>
        <v>27.2138389270968</v>
      </c>
      <c r="F82" s="16" t="s">
        <v>110</v>
      </c>
      <c r="G82" s="13">
        <v>9</v>
      </c>
      <c r="H82" s="18">
        <f t="shared" si="57"/>
        <v>27.0063830041936</v>
      </c>
      <c r="I82" s="18">
        <f t="shared" si="58"/>
        <v>300.156383004194</v>
      </c>
      <c r="J82" s="18">
        <f t="shared" si="59"/>
        <v>0.430625657934826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1.34236853861949</v>
      </c>
      <c r="P82" s="18">
        <f t="shared" si="62"/>
        <v>0.578058335134027</v>
      </c>
      <c r="Q82" s="24">
        <f t="shared" si="63"/>
        <v>0.150295167134847</v>
      </c>
      <c r="R82" s="18">
        <f t="shared" si="64"/>
        <v>0.1355172</v>
      </c>
      <c r="S82" s="25">
        <f t="shared" si="65"/>
        <v>1.10904864574273</v>
      </c>
      <c r="T82" s="3">
        <v>0.01</v>
      </c>
      <c r="U82" s="26">
        <f t="shared" si="66"/>
        <v>0.0110904864574273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0.01</v>
      </c>
      <c r="AF82" s="3">
        <v>0.49</v>
      </c>
      <c r="AG82" s="26">
        <f t="shared" si="67"/>
        <v>0.0049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0.02</v>
      </c>
      <c r="AR82" s="3">
        <v>0.5</v>
      </c>
      <c r="AS82" s="3">
        <f t="shared" si="68"/>
        <v>0.01</v>
      </c>
      <c r="AT82" s="2">
        <f t="shared" si="69"/>
        <v>0.0259904864574273</v>
      </c>
      <c r="AU82" s="29">
        <f t="shared" si="70"/>
        <v>52.122</v>
      </c>
      <c r="AV82" s="1">
        <f t="shared" si="71"/>
        <v>0.26</v>
      </c>
      <c r="AW82" s="2">
        <f t="shared" si="72"/>
        <v>1.7</v>
      </c>
      <c r="AX82" s="1">
        <f t="shared" si="73"/>
        <v>4011.73790658591</v>
      </c>
    </row>
    <row r="83" s="1" customFormat="1" spans="1:50">
      <c r="A83" s="13"/>
      <c r="B83" s="13"/>
      <c r="C83" s="16">
        <v>9</v>
      </c>
      <c r="D83" s="19">
        <v>22.0144349373333</v>
      </c>
      <c r="E83" s="20">
        <f t="shared" si="74"/>
        <v>27.0063830041936</v>
      </c>
      <c r="F83" s="16" t="s">
        <v>110</v>
      </c>
      <c r="G83" s="13">
        <v>10</v>
      </c>
      <c r="H83" s="18">
        <f t="shared" si="57"/>
        <v>22.0144349373333</v>
      </c>
      <c r="I83" s="18">
        <f t="shared" si="58"/>
        <v>295.164434937333</v>
      </c>
      <c r="J83" s="18">
        <f t="shared" si="59"/>
        <v>0.248791678664185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1.28553020348546</v>
      </c>
      <c r="P83" s="18">
        <f t="shared" si="62"/>
        <v>0.319829217298659</v>
      </c>
      <c r="Q83" s="24">
        <f t="shared" si="63"/>
        <v>0.0831555964976513</v>
      </c>
      <c r="R83" s="18">
        <f t="shared" si="64"/>
        <v>0.1355172</v>
      </c>
      <c r="S83" s="25">
        <f t="shared" si="65"/>
        <v>0.613616548287976</v>
      </c>
      <c r="T83" s="3">
        <v>0.01</v>
      </c>
      <c r="U83" s="26">
        <f t="shared" si="66"/>
        <v>0.00613616548287976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0.0160861654828798</v>
      </c>
      <c r="AU83" s="29">
        <f t="shared" si="70"/>
        <v>52.122</v>
      </c>
      <c r="AV83" s="1">
        <f t="shared" si="71"/>
        <v>0.26</v>
      </c>
      <c r="AW83" s="2">
        <f t="shared" si="72"/>
        <v>1.7</v>
      </c>
      <c r="AX83" s="1">
        <f t="shared" si="73"/>
        <v>2482.96544756825</v>
      </c>
    </row>
    <row r="84" s="1" customFormat="1" spans="1:50">
      <c r="A84" s="13"/>
      <c r="B84" s="13"/>
      <c r="C84" s="16">
        <v>10</v>
      </c>
      <c r="D84" s="19">
        <v>17.6647008370968</v>
      </c>
      <c r="E84" s="20">
        <f t="shared" si="74"/>
        <v>22.0144349373333</v>
      </c>
      <c r="F84" s="16" t="s">
        <v>110</v>
      </c>
      <c r="G84" s="13">
        <v>11</v>
      </c>
      <c r="H84" s="18">
        <f t="shared" si="57"/>
        <v>17.6647008370968</v>
      </c>
      <c r="I84" s="18">
        <f t="shared" si="58"/>
        <v>290.814700837097</v>
      </c>
      <c r="J84" s="18">
        <f t="shared" si="59"/>
        <v>0.151899195449107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0.91741593687746</v>
      </c>
      <c r="O84" s="18">
        <f t="shared" si="75"/>
        <v>0.56950504930934</v>
      </c>
      <c r="P84" s="18">
        <f t="shared" si="62"/>
        <v>0.0865073587942927</v>
      </c>
      <c r="Q84" s="24">
        <f t="shared" si="63"/>
        <v>0.0224919132865161</v>
      </c>
      <c r="R84" s="18">
        <f t="shared" si="64"/>
        <v>0.1355172</v>
      </c>
      <c r="S84" s="25">
        <f t="shared" si="65"/>
        <v>0.165970912079914</v>
      </c>
      <c r="T84" s="3">
        <v>0.01</v>
      </c>
      <c r="U84" s="26">
        <f t="shared" si="66"/>
        <v>0.00165970912079914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0.005</v>
      </c>
      <c r="AF84" s="3">
        <v>0.49</v>
      </c>
      <c r="AG84" s="26">
        <f t="shared" si="67"/>
        <v>0.00245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0.015</v>
      </c>
      <c r="AR84" s="3">
        <v>0.5</v>
      </c>
      <c r="AS84" s="3">
        <f t="shared" si="68"/>
        <v>0.0075</v>
      </c>
      <c r="AT84" s="2">
        <f t="shared" si="69"/>
        <v>0.0116097091207991</v>
      </c>
      <c r="AU84" s="29">
        <f t="shared" si="70"/>
        <v>52.122</v>
      </c>
      <c r="AV84" s="1">
        <f t="shared" si="71"/>
        <v>0.26</v>
      </c>
      <c r="AW84" s="2">
        <f t="shared" si="72"/>
        <v>1.7</v>
      </c>
      <c r="AX84" s="1">
        <f t="shared" si="73"/>
        <v>1792.00609579342</v>
      </c>
    </row>
    <row r="85" s="1" customFormat="1" spans="1:51">
      <c r="A85" s="13"/>
      <c r="B85" s="13"/>
      <c r="C85" s="16">
        <v>11</v>
      </c>
      <c r="D85" s="19">
        <v>11.5727211532</v>
      </c>
      <c r="E85" s="20">
        <f t="shared" si="74"/>
        <v>17.6647008370968</v>
      </c>
      <c r="F85" s="16" t="s">
        <v>112</v>
      </c>
      <c r="G85" s="13">
        <v>12</v>
      </c>
      <c r="H85" s="18">
        <f t="shared" si="57"/>
        <v>11.5727211532</v>
      </c>
      <c r="I85" s="18">
        <f t="shared" si="58"/>
        <v>284.7227211532</v>
      </c>
      <c r="J85" s="18">
        <f t="shared" si="59"/>
        <v>0.0742063594810374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1.00421769051505</v>
      </c>
      <c r="P85" s="18">
        <f t="shared" si="62"/>
        <v>0.0745193389395768</v>
      </c>
      <c r="Q85" s="24">
        <f t="shared" si="63"/>
        <v>0.01937502812429</v>
      </c>
      <c r="R85" s="18">
        <f t="shared" si="64"/>
        <v>0.1355172</v>
      </c>
      <c r="S85" s="25">
        <f t="shared" si="65"/>
        <v>0.142970989101678</v>
      </c>
      <c r="T85" s="3">
        <v>0.01</v>
      </c>
      <c r="U85" s="26">
        <f t="shared" si="66"/>
        <v>0.00142970989101678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0.00691970989101678</v>
      </c>
      <c r="AU85" s="29">
        <f t="shared" si="70"/>
        <v>52.122</v>
      </c>
      <c r="AV85" s="1">
        <f t="shared" si="71"/>
        <v>0.26</v>
      </c>
      <c r="AW85" s="2">
        <f t="shared" si="72"/>
        <v>1.7</v>
      </c>
      <c r="AX85" s="1">
        <f t="shared" si="73"/>
        <v>1068.08552882766</v>
      </c>
      <c r="AY85" s="1">
        <f>SUM(AX74:AX85)</f>
        <v>28171.6751481117</v>
      </c>
    </row>
    <row r="86" s="1" customFormat="1" spans="1:46">
      <c r="A86" s="13"/>
      <c r="B86" s="13"/>
      <c r="C86" s="16">
        <v>12</v>
      </c>
      <c r="D86" s="19">
        <v>8.28297992416129</v>
      </c>
      <c r="E86" s="20">
        <f t="shared" si="74"/>
        <v>11.5727211532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6</v>
      </c>
      <c r="E90" s="16"/>
      <c r="F90" s="16"/>
      <c r="G90" s="13">
        <v>1</v>
      </c>
      <c r="H90" s="18">
        <f t="shared" ref="H90:H101" si="76">E91</f>
        <v>6</v>
      </c>
      <c r="I90" s="18">
        <f t="shared" ref="I90:I101" si="77">H90+273.15</f>
        <v>279.15</v>
      </c>
      <c r="J90" s="18">
        <f t="shared" ref="J90:J101" si="78">EXP(($C$16*(I90-$C$14))/($C$17*I90*$C$14))</f>
        <v>0.0374932232426917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0.0106743206571943</v>
      </c>
      <c r="Q90" s="24">
        <f t="shared" ref="Q90:Q101" si="82">P90*$B$76</f>
        <v>0.00277532337087053</v>
      </c>
      <c r="R90" s="18">
        <f t="shared" ref="R90:R101" si="83">L90*$B$76</f>
        <v>0.074022</v>
      </c>
      <c r="S90" s="25">
        <f t="shared" ref="S90:S101" si="84">Q90/R90</f>
        <v>0.0374932232426917</v>
      </c>
      <c r="T90" s="3">
        <v>0.01</v>
      </c>
      <c r="U90" s="26">
        <f t="shared" ref="U90:U101" si="85">S90*T90</f>
        <v>0.000374932232426917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0.00586493223242692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0.26</v>
      </c>
      <c r="AX90" s="1">
        <f t="shared" ref="AX90:AX101" si="92">AW90*10000*AV90*0.67*AU90*AT90</f>
        <v>75.6261451880565</v>
      </c>
      <c r="AZ90" s="2">
        <f t="shared" ref="AZ90:AZ101" si="93">$E$10</f>
        <v>0.69</v>
      </c>
      <c r="BA90" s="1">
        <f t="shared" ref="BA90:BA101" si="94">AZ90*10000*AV90*0.67*AU90*AT90</f>
        <v>200.700154537534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5.07560304964516</v>
      </c>
      <c r="E91" s="20">
        <f t="shared" ref="E91:E102" si="95">D90</f>
        <v>6</v>
      </c>
      <c r="F91" s="16" t="s">
        <v>110</v>
      </c>
      <c r="G91" s="13">
        <v>2</v>
      </c>
      <c r="H91" s="18">
        <f t="shared" si="76"/>
        <v>5.07560304964516</v>
      </c>
      <c r="I91" s="18">
        <f t="shared" si="77"/>
        <v>278.225603049645</v>
      </c>
      <c r="J91" s="18">
        <f t="shared" si="78"/>
        <v>0.0333905162802828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0.558725679342806</v>
      </c>
      <c r="P91" s="18">
        <f t="shared" si="81"/>
        <v>0.018656138892308</v>
      </c>
      <c r="Q91" s="24">
        <f t="shared" si="82"/>
        <v>0.00485059611200009</v>
      </c>
      <c r="R91" s="18">
        <f t="shared" si="83"/>
        <v>0.074022</v>
      </c>
      <c r="S91" s="25">
        <f t="shared" si="84"/>
        <v>0.0655291144794802</v>
      </c>
      <c r="T91" s="3">
        <v>0.01</v>
      </c>
      <c r="U91" s="26">
        <f t="shared" si="85"/>
        <v>0.000655291144794802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0.0061452911447948</v>
      </c>
      <c r="AU91" s="29">
        <f t="shared" si="89"/>
        <v>28.47</v>
      </c>
      <c r="AV91" s="1">
        <f t="shared" si="90"/>
        <v>0.26</v>
      </c>
      <c r="AW91" s="2">
        <f t="shared" si="91"/>
        <v>0.26</v>
      </c>
      <c r="AX91" s="1">
        <f t="shared" si="92"/>
        <v>79.2412703031042</v>
      </c>
      <c r="AZ91" s="2">
        <f t="shared" si="93"/>
        <v>0.69</v>
      </c>
      <c r="BA91" s="1">
        <f t="shared" si="94"/>
        <v>210.294140419776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7.47925246175862</v>
      </c>
      <c r="E92" s="20">
        <f t="shared" si="95"/>
        <v>5.07560304964516</v>
      </c>
      <c r="F92" s="16" t="s">
        <v>110</v>
      </c>
      <c r="G92" s="13">
        <v>3</v>
      </c>
      <c r="H92" s="18">
        <f t="shared" si="76"/>
        <v>7.47925246175862</v>
      </c>
      <c r="I92" s="18">
        <f t="shared" si="77"/>
        <v>280.629252461759</v>
      </c>
      <c r="J92" s="18">
        <f t="shared" si="78"/>
        <v>0.0450611431336169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0.824769540450498</v>
      </c>
      <c r="P92" s="18">
        <f t="shared" si="81"/>
        <v>0.0371650583144873</v>
      </c>
      <c r="Q92" s="24">
        <f t="shared" si="82"/>
        <v>0.0096629151617667</v>
      </c>
      <c r="R92" s="18">
        <f t="shared" si="83"/>
        <v>0.074022</v>
      </c>
      <c r="S92" s="25">
        <f t="shared" si="84"/>
        <v>0.130541125094792</v>
      </c>
      <c r="T92" s="3">
        <v>0.01</v>
      </c>
      <c r="U92" s="26">
        <f t="shared" si="85"/>
        <v>0.00130541125094792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0.005</v>
      </c>
      <c r="AF92" s="3">
        <v>0.49</v>
      </c>
      <c r="AG92" s="26">
        <f t="shared" si="86"/>
        <v>0.00245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0.015</v>
      </c>
      <c r="AR92" s="3">
        <v>0.5</v>
      </c>
      <c r="AS92" s="3">
        <f t="shared" si="87"/>
        <v>0.0075</v>
      </c>
      <c r="AT92" s="2">
        <f t="shared" si="88"/>
        <v>0.0112554112509479</v>
      </c>
      <c r="AU92" s="29">
        <f t="shared" si="89"/>
        <v>28.47</v>
      </c>
      <c r="AV92" s="1">
        <f t="shared" si="90"/>
        <v>0.26</v>
      </c>
      <c r="AW92" s="2">
        <f t="shared" si="91"/>
        <v>0.26</v>
      </c>
      <c r="AX92" s="1">
        <f t="shared" si="92"/>
        <v>145.134390591798</v>
      </c>
      <c r="AZ92" s="2">
        <f t="shared" si="93"/>
        <v>0.69</v>
      </c>
      <c r="BA92" s="1">
        <f t="shared" si="94"/>
        <v>385.164344262848</v>
      </c>
    </row>
    <row r="93" s="1" customFormat="1" spans="1:53">
      <c r="A93" s="13"/>
      <c r="B93" s="13"/>
      <c r="C93" s="16">
        <v>3</v>
      </c>
      <c r="D93" s="19">
        <v>12.4881477936774</v>
      </c>
      <c r="E93" s="20">
        <f t="shared" si="95"/>
        <v>7.47925246175862</v>
      </c>
      <c r="F93" s="16" t="s">
        <v>110</v>
      </c>
      <c r="G93" s="13">
        <v>4</v>
      </c>
      <c r="H93" s="18">
        <f t="shared" si="76"/>
        <v>12.4881477936774</v>
      </c>
      <c r="I93" s="18">
        <f t="shared" si="77"/>
        <v>285.638147793677</v>
      </c>
      <c r="J93" s="18">
        <f t="shared" si="78"/>
        <v>0.0828016043205626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1.07230448213601</v>
      </c>
      <c r="P93" s="18">
        <f t="shared" si="81"/>
        <v>0.0887885314409917</v>
      </c>
      <c r="Q93" s="24">
        <f t="shared" si="82"/>
        <v>0.0230850181746578</v>
      </c>
      <c r="R93" s="18">
        <f t="shared" si="83"/>
        <v>0.074022</v>
      </c>
      <c r="S93" s="25">
        <f t="shared" si="84"/>
        <v>0.31186698785034</v>
      </c>
      <c r="T93" s="3">
        <v>0.01</v>
      </c>
      <c r="U93" s="26">
        <f t="shared" si="85"/>
        <v>0.0031186698785034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0.0130686698785034</v>
      </c>
      <c r="AU93" s="29">
        <f t="shared" si="89"/>
        <v>28.47</v>
      </c>
      <c r="AV93" s="1">
        <f t="shared" si="90"/>
        <v>0.26</v>
      </c>
      <c r="AW93" s="2">
        <f t="shared" si="91"/>
        <v>0.26</v>
      </c>
      <c r="AX93" s="1">
        <f t="shared" si="92"/>
        <v>168.515694040254</v>
      </c>
      <c r="AZ93" s="2">
        <f t="shared" si="93"/>
        <v>0.69</v>
      </c>
      <c r="BA93" s="1">
        <f t="shared" si="94"/>
        <v>447.214726491443</v>
      </c>
    </row>
    <row r="94" s="1" customFormat="1" spans="1:53">
      <c r="A94" s="13"/>
      <c r="B94" s="13"/>
      <c r="C94" s="16">
        <v>4</v>
      </c>
      <c r="D94" s="19">
        <v>17.2852161226667</v>
      </c>
      <c r="E94" s="20">
        <f t="shared" si="95"/>
        <v>12.4881477936774</v>
      </c>
      <c r="F94" s="16" t="s">
        <v>110</v>
      </c>
      <c r="G94" s="13">
        <v>5</v>
      </c>
      <c r="H94" s="18">
        <f t="shared" si="76"/>
        <v>17.2852161226667</v>
      </c>
      <c r="I94" s="18">
        <f t="shared" si="77"/>
        <v>290.435216122667</v>
      </c>
      <c r="J94" s="18">
        <f t="shared" si="78"/>
        <v>0.145397373558848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0.934340153160268</v>
      </c>
      <c r="O94" s="18">
        <f t="shared" si="96"/>
        <v>0.333875797534751</v>
      </c>
      <c r="P94" s="18">
        <f t="shared" si="81"/>
        <v>0.0485446640564185</v>
      </c>
      <c r="Q94" s="24">
        <f t="shared" si="82"/>
        <v>0.0126216126546688</v>
      </c>
      <c r="R94" s="18">
        <f t="shared" si="83"/>
        <v>0.074022</v>
      </c>
      <c r="S94" s="25">
        <f t="shared" si="84"/>
        <v>0.170511640521315</v>
      </c>
      <c r="T94" s="3">
        <v>0.01</v>
      </c>
      <c r="U94" s="26">
        <f t="shared" si="85"/>
        <v>0.00170511640521315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0.01</v>
      </c>
      <c r="AF94" s="3">
        <v>0.49</v>
      </c>
      <c r="AG94" s="26">
        <f t="shared" si="86"/>
        <v>0.0049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0.02</v>
      </c>
      <c r="AR94" s="3">
        <v>0.5</v>
      </c>
      <c r="AS94" s="3">
        <f t="shared" si="87"/>
        <v>0.01</v>
      </c>
      <c r="AT94" s="2">
        <f t="shared" si="88"/>
        <v>0.0166051164052132</v>
      </c>
      <c r="AU94" s="29">
        <f t="shared" si="89"/>
        <v>28.47</v>
      </c>
      <c r="AV94" s="1">
        <f t="shared" si="90"/>
        <v>0.26</v>
      </c>
      <c r="AW94" s="2">
        <f t="shared" si="91"/>
        <v>0.26</v>
      </c>
      <c r="AX94" s="1">
        <f t="shared" si="92"/>
        <v>214.116872004433</v>
      </c>
      <c r="AZ94" s="2">
        <f t="shared" si="93"/>
        <v>0.69</v>
      </c>
      <c r="BA94" s="1">
        <f t="shared" si="94"/>
        <v>568.233237242534</v>
      </c>
    </row>
    <row r="95" s="1" customFormat="1" spans="1:53">
      <c r="A95" s="13"/>
      <c r="B95" s="13"/>
      <c r="C95" s="16">
        <v>5</v>
      </c>
      <c r="D95" s="19">
        <v>20.2651283612903</v>
      </c>
      <c r="E95" s="20">
        <f t="shared" si="95"/>
        <v>17.2852161226667</v>
      </c>
      <c r="F95" s="16" t="s">
        <v>112</v>
      </c>
      <c r="G95" s="13">
        <v>6</v>
      </c>
      <c r="H95" s="18">
        <f t="shared" si="76"/>
        <v>20.2651283612903</v>
      </c>
      <c r="I95" s="18">
        <f t="shared" si="77"/>
        <v>293.41512836129</v>
      </c>
      <c r="J95" s="18">
        <f t="shared" si="78"/>
        <v>0.204373101439613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0.570031133478332</v>
      </c>
      <c r="P95" s="18">
        <f t="shared" si="81"/>
        <v>0.116499030666105</v>
      </c>
      <c r="Q95" s="24">
        <f t="shared" si="82"/>
        <v>0.0302897479731872</v>
      </c>
      <c r="R95" s="18">
        <f t="shared" si="83"/>
        <v>0.074022</v>
      </c>
      <c r="S95" s="25">
        <f t="shared" si="84"/>
        <v>0.409199264721127</v>
      </c>
      <c r="T95" s="3">
        <v>0.01</v>
      </c>
      <c r="U95" s="26">
        <f t="shared" si="85"/>
        <v>0.00409199264721127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0.01</v>
      </c>
      <c r="AF95" s="3">
        <v>0.49</v>
      </c>
      <c r="AG95" s="26">
        <f t="shared" si="86"/>
        <v>0.0049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0.02</v>
      </c>
      <c r="AR95" s="3">
        <v>0.5</v>
      </c>
      <c r="AS95" s="3">
        <f t="shared" si="87"/>
        <v>0.01</v>
      </c>
      <c r="AT95" s="2">
        <f t="shared" si="88"/>
        <v>0.0189919926472113</v>
      </c>
      <c r="AU95" s="29">
        <f t="shared" si="89"/>
        <v>28.47</v>
      </c>
      <c r="AV95" s="1">
        <f t="shared" si="90"/>
        <v>0.26</v>
      </c>
      <c r="AW95" s="2">
        <f t="shared" si="91"/>
        <v>0.26</v>
      </c>
      <c r="AX95" s="1">
        <f t="shared" si="92"/>
        <v>244.894763729292</v>
      </c>
      <c r="AZ95" s="2">
        <f t="shared" si="93"/>
        <v>0.69</v>
      </c>
      <c r="BA95" s="1">
        <f t="shared" si="94"/>
        <v>649.913026820045</v>
      </c>
    </row>
    <row r="96" s="1" customFormat="1" spans="1:53">
      <c r="A96" s="13"/>
      <c r="B96" s="13"/>
      <c r="C96" s="16">
        <v>6</v>
      </c>
      <c r="D96" s="19">
        <v>23.697661207</v>
      </c>
      <c r="E96" s="20">
        <f t="shared" si="95"/>
        <v>20.2651283612903</v>
      </c>
      <c r="F96" s="16" t="s">
        <v>110</v>
      </c>
      <c r="G96" s="13">
        <v>7</v>
      </c>
      <c r="H96" s="18">
        <f t="shared" si="76"/>
        <v>23.697661207</v>
      </c>
      <c r="I96" s="18">
        <f t="shared" si="77"/>
        <v>296.847661207</v>
      </c>
      <c r="J96" s="18">
        <f t="shared" si="78"/>
        <v>0.29996540782647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0.738232102812228</v>
      </c>
      <c r="P96" s="18">
        <f t="shared" si="81"/>
        <v>0.221444093790662</v>
      </c>
      <c r="Q96" s="24">
        <f t="shared" si="82"/>
        <v>0.0575754643855722</v>
      </c>
      <c r="R96" s="18">
        <f t="shared" si="83"/>
        <v>0.074022</v>
      </c>
      <c r="S96" s="25">
        <f t="shared" si="84"/>
        <v>0.777815573553433</v>
      </c>
      <c r="T96" s="3">
        <v>0.01</v>
      </c>
      <c r="U96" s="26">
        <f t="shared" si="85"/>
        <v>0.00777815573553433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0.01</v>
      </c>
      <c r="AF96" s="3">
        <v>0.49</v>
      </c>
      <c r="AG96" s="26">
        <f t="shared" si="86"/>
        <v>0.0049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0.02</v>
      </c>
      <c r="AR96" s="3">
        <v>0.5</v>
      </c>
      <c r="AS96" s="3">
        <f t="shared" si="87"/>
        <v>0.01</v>
      </c>
      <c r="AT96" s="2">
        <f t="shared" si="88"/>
        <v>0.0226781557355343</v>
      </c>
      <c r="AU96" s="29">
        <f t="shared" si="89"/>
        <v>28.47</v>
      </c>
      <c r="AV96" s="1">
        <f t="shared" si="90"/>
        <v>0.26</v>
      </c>
      <c r="AW96" s="2">
        <f t="shared" si="91"/>
        <v>0.26</v>
      </c>
      <c r="AX96" s="1">
        <f t="shared" si="92"/>
        <v>292.426481719667</v>
      </c>
      <c r="AZ96" s="2">
        <f t="shared" si="93"/>
        <v>0.69</v>
      </c>
      <c r="BA96" s="1">
        <f t="shared" si="94"/>
        <v>776.054893794501</v>
      </c>
    </row>
    <row r="97" s="1" customFormat="1" spans="1:53">
      <c r="A97" s="13"/>
      <c r="B97" s="13"/>
      <c r="C97" s="16">
        <v>7</v>
      </c>
      <c r="D97" s="19">
        <v>27.2138389270968</v>
      </c>
      <c r="E97" s="20">
        <f t="shared" si="95"/>
        <v>23.697661207</v>
      </c>
      <c r="F97" s="16" t="s">
        <v>110</v>
      </c>
      <c r="G97" s="13">
        <v>8</v>
      </c>
      <c r="H97" s="18">
        <f t="shared" si="76"/>
        <v>27.2138389270968</v>
      </c>
      <c r="I97" s="18">
        <f t="shared" si="77"/>
        <v>300.363838927097</v>
      </c>
      <c r="J97" s="18">
        <f t="shared" si="78"/>
        <v>0.440382753525078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0.801488009021565</v>
      </c>
      <c r="P97" s="18">
        <f t="shared" si="81"/>
        <v>0.352961496330249</v>
      </c>
      <c r="Q97" s="24">
        <f t="shared" si="82"/>
        <v>0.0917699890458649</v>
      </c>
      <c r="R97" s="18">
        <f t="shared" si="83"/>
        <v>0.074022</v>
      </c>
      <c r="S97" s="25">
        <f t="shared" si="84"/>
        <v>1.23976640790393</v>
      </c>
      <c r="T97" s="3">
        <v>0.01</v>
      </c>
      <c r="U97" s="26">
        <f t="shared" si="85"/>
        <v>0.0123976640790393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0.01</v>
      </c>
      <c r="AF97" s="3">
        <v>0.49</v>
      </c>
      <c r="AG97" s="26">
        <f t="shared" si="86"/>
        <v>0.0049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0.02</v>
      </c>
      <c r="AR97" s="3">
        <v>0.5</v>
      </c>
      <c r="AS97" s="3">
        <f t="shared" si="87"/>
        <v>0.01</v>
      </c>
      <c r="AT97" s="2">
        <f t="shared" si="88"/>
        <v>0.0272976640790393</v>
      </c>
      <c r="AU97" s="29">
        <f t="shared" si="89"/>
        <v>28.47</v>
      </c>
      <c r="AV97" s="1">
        <f t="shared" si="90"/>
        <v>0.26</v>
      </c>
      <c r="AW97" s="2">
        <f t="shared" si="91"/>
        <v>0.26</v>
      </c>
      <c r="AX97" s="1">
        <f t="shared" si="92"/>
        <v>351.993343677897</v>
      </c>
      <c r="AZ97" s="2">
        <f t="shared" si="93"/>
        <v>0.69</v>
      </c>
      <c r="BA97" s="1">
        <f t="shared" si="94"/>
        <v>934.136181299033</v>
      </c>
    </row>
    <row r="98" s="1" customFormat="1" spans="1:53">
      <c r="A98" s="13"/>
      <c r="B98" s="13"/>
      <c r="C98" s="16">
        <v>8</v>
      </c>
      <c r="D98" s="19">
        <v>27.0063830041936</v>
      </c>
      <c r="E98" s="20">
        <f t="shared" si="95"/>
        <v>27.2138389270968</v>
      </c>
      <c r="F98" s="16" t="s">
        <v>110</v>
      </c>
      <c r="G98" s="13">
        <v>9</v>
      </c>
      <c r="H98" s="18">
        <f t="shared" si="76"/>
        <v>27.0063830041936</v>
      </c>
      <c r="I98" s="18">
        <f t="shared" si="77"/>
        <v>300.156383004194</v>
      </c>
      <c r="J98" s="18">
        <f t="shared" si="78"/>
        <v>0.430625657934826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0.733226512691316</v>
      </c>
      <c r="P98" s="18">
        <f t="shared" si="81"/>
        <v>0.315746149442956</v>
      </c>
      <c r="Q98" s="24">
        <f t="shared" si="82"/>
        <v>0.0820939988551685</v>
      </c>
      <c r="R98" s="18">
        <f t="shared" si="83"/>
        <v>0.074022</v>
      </c>
      <c r="S98" s="25">
        <f t="shared" si="84"/>
        <v>1.10904864574273</v>
      </c>
      <c r="T98" s="3">
        <v>0.01</v>
      </c>
      <c r="U98" s="26">
        <f t="shared" si="85"/>
        <v>0.0110904864574273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0.01</v>
      </c>
      <c r="AF98" s="3">
        <v>0.49</v>
      </c>
      <c r="AG98" s="26">
        <f t="shared" si="86"/>
        <v>0.0049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0.02</v>
      </c>
      <c r="AR98" s="3">
        <v>0.5</v>
      </c>
      <c r="AS98" s="3">
        <f t="shared" si="87"/>
        <v>0.01</v>
      </c>
      <c r="AT98" s="2">
        <f t="shared" si="88"/>
        <v>0.0259904864574273</v>
      </c>
      <c r="AU98" s="29">
        <f t="shared" si="89"/>
        <v>28.47</v>
      </c>
      <c r="AV98" s="1">
        <f t="shared" si="90"/>
        <v>0.26</v>
      </c>
      <c r="AW98" s="2">
        <f t="shared" si="91"/>
        <v>0.26</v>
      </c>
      <c r="AX98" s="1">
        <f t="shared" si="92"/>
        <v>335.137768765704</v>
      </c>
      <c r="AZ98" s="2">
        <f t="shared" si="93"/>
        <v>0.69</v>
      </c>
      <c r="BA98" s="1">
        <f t="shared" si="94"/>
        <v>889.404078647444</v>
      </c>
    </row>
    <row r="99" s="1" customFormat="1" spans="1:53">
      <c r="A99" s="13"/>
      <c r="B99" s="13"/>
      <c r="C99" s="16">
        <v>9</v>
      </c>
      <c r="D99" s="19">
        <v>22.0144349373333</v>
      </c>
      <c r="E99" s="20">
        <f t="shared" si="95"/>
        <v>27.0063830041936</v>
      </c>
      <c r="F99" s="16" t="s">
        <v>110</v>
      </c>
      <c r="G99" s="13">
        <v>10</v>
      </c>
      <c r="H99" s="18">
        <f t="shared" si="76"/>
        <v>22.0144349373333</v>
      </c>
      <c r="I99" s="18">
        <f t="shared" si="77"/>
        <v>295.164434937333</v>
      </c>
      <c r="J99" s="18">
        <f t="shared" si="78"/>
        <v>0.248791678664185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0.70218036324836</v>
      </c>
      <c r="P99" s="18">
        <f t="shared" si="81"/>
        <v>0.174696631297587</v>
      </c>
      <c r="Q99" s="24">
        <f t="shared" si="82"/>
        <v>0.0454211241373725</v>
      </c>
      <c r="R99" s="18">
        <f t="shared" si="83"/>
        <v>0.074022</v>
      </c>
      <c r="S99" s="25">
        <f t="shared" si="84"/>
        <v>0.613616548287976</v>
      </c>
      <c r="T99" s="3">
        <v>0.01</v>
      </c>
      <c r="U99" s="26">
        <f t="shared" si="85"/>
        <v>0.00613616548287976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0.0160861654828798</v>
      </c>
      <c r="AU99" s="29">
        <f t="shared" si="89"/>
        <v>28.47</v>
      </c>
      <c r="AV99" s="1">
        <f t="shared" si="90"/>
        <v>0.26</v>
      </c>
      <c r="AW99" s="2">
        <f t="shared" si="91"/>
        <v>0.26</v>
      </c>
      <c r="AX99" s="1">
        <f t="shared" si="92"/>
        <v>207.425190627303</v>
      </c>
      <c r="AZ99" s="2">
        <f t="shared" si="93"/>
        <v>0.69</v>
      </c>
      <c r="BA99" s="1">
        <f t="shared" si="94"/>
        <v>550.474544357073</v>
      </c>
    </row>
    <row r="100" s="1" customFormat="1" spans="1:53">
      <c r="A100" s="13"/>
      <c r="B100" s="13"/>
      <c r="C100" s="16">
        <v>10</v>
      </c>
      <c r="D100" s="19">
        <v>17.6647008370968</v>
      </c>
      <c r="E100" s="20">
        <f t="shared" si="95"/>
        <v>22.0144349373333</v>
      </c>
      <c r="F100" s="16" t="s">
        <v>110</v>
      </c>
      <c r="G100" s="13">
        <v>11</v>
      </c>
      <c r="H100" s="18">
        <f t="shared" si="76"/>
        <v>17.6647008370968</v>
      </c>
      <c r="I100" s="18">
        <f t="shared" si="77"/>
        <v>290.814700837097</v>
      </c>
      <c r="J100" s="18">
        <f t="shared" si="78"/>
        <v>0.151899195449107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0.501109545353235</v>
      </c>
      <c r="O100" s="18">
        <f t="shared" si="96"/>
        <v>0.311074186597539</v>
      </c>
      <c r="P100" s="18">
        <f t="shared" si="81"/>
        <v>0.0472519186691515</v>
      </c>
      <c r="Q100" s="24">
        <f t="shared" si="82"/>
        <v>0.0122854988539794</v>
      </c>
      <c r="R100" s="18">
        <f t="shared" si="83"/>
        <v>0.074022</v>
      </c>
      <c r="S100" s="25">
        <f t="shared" si="84"/>
        <v>0.165970912079914</v>
      </c>
      <c r="T100" s="3">
        <v>0.01</v>
      </c>
      <c r="U100" s="26">
        <f t="shared" si="85"/>
        <v>0.00165970912079914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0.005</v>
      </c>
      <c r="AF100" s="3">
        <v>0.49</v>
      </c>
      <c r="AG100" s="26">
        <f t="shared" si="86"/>
        <v>0.00245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0.0116097091207991</v>
      </c>
      <c r="AU100" s="29">
        <f t="shared" si="89"/>
        <v>28.47</v>
      </c>
      <c r="AV100" s="1">
        <f t="shared" si="90"/>
        <v>0.26</v>
      </c>
      <c r="AW100" s="2">
        <f t="shared" si="91"/>
        <v>0.26</v>
      </c>
      <c r="AX100" s="1">
        <f t="shared" si="92"/>
        <v>149.702931383632</v>
      </c>
      <c r="AZ100" s="2">
        <f t="shared" si="93"/>
        <v>0.69</v>
      </c>
      <c r="BA100" s="1">
        <f t="shared" si="94"/>
        <v>397.288548671947</v>
      </c>
    </row>
    <row r="101" s="1" customFormat="1" spans="1:54">
      <c r="A101" s="13"/>
      <c r="B101" s="13"/>
      <c r="C101" s="16">
        <v>11</v>
      </c>
      <c r="D101" s="19">
        <v>11.5727211532</v>
      </c>
      <c r="E101" s="20">
        <f t="shared" si="95"/>
        <v>17.6647008370968</v>
      </c>
      <c r="F101" s="16" t="s">
        <v>112</v>
      </c>
      <c r="G101" s="13">
        <v>12</v>
      </c>
      <c r="H101" s="18">
        <f t="shared" si="76"/>
        <v>11.5727211532</v>
      </c>
      <c r="I101" s="18">
        <f t="shared" si="77"/>
        <v>284.7227211532</v>
      </c>
      <c r="J101" s="18">
        <f t="shared" si="78"/>
        <v>0.0742063594810374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0.548522267928387</v>
      </c>
      <c r="P101" s="18">
        <f t="shared" si="81"/>
        <v>0.0407038405972478</v>
      </c>
      <c r="Q101" s="24">
        <f t="shared" si="82"/>
        <v>0.0105829985552844</v>
      </c>
      <c r="R101" s="18">
        <f t="shared" si="83"/>
        <v>0.074022</v>
      </c>
      <c r="S101" s="25">
        <f t="shared" si="84"/>
        <v>0.142970989101678</v>
      </c>
      <c r="T101" s="3">
        <v>0.01</v>
      </c>
      <c r="U101" s="26">
        <f t="shared" si="85"/>
        <v>0.00142970989101678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0.00691970989101678</v>
      </c>
      <c r="AU101" s="29">
        <f t="shared" si="89"/>
        <v>28.47</v>
      </c>
      <c r="AV101" s="1">
        <f t="shared" si="90"/>
        <v>0.26</v>
      </c>
      <c r="AW101" s="2">
        <f t="shared" si="91"/>
        <v>0.26</v>
      </c>
      <c r="AX101" s="1">
        <f t="shared" si="92"/>
        <v>89.2271153593055</v>
      </c>
      <c r="AY101" s="1">
        <f>SUM(AX90:AX101)</f>
        <v>2353.44196739044</v>
      </c>
      <c r="AZ101" s="2">
        <f t="shared" si="93"/>
        <v>0.69</v>
      </c>
      <c r="BA101" s="1">
        <f t="shared" si="94"/>
        <v>236.79503691508</v>
      </c>
      <c r="BB101" s="1">
        <f>SUM(BA90:BA101)</f>
        <v>6245.67291345926</v>
      </c>
    </row>
    <row r="102" s="1" customFormat="1" spans="1:46">
      <c r="A102" s="13"/>
      <c r="B102" s="13"/>
      <c r="C102" s="16">
        <v>12</v>
      </c>
      <c r="D102" s="19">
        <v>8.28297992416129</v>
      </c>
      <c r="E102" s="20">
        <f t="shared" si="95"/>
        <v>11.5727211532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K11" sqref="K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1117.57516214262</v>
      </c>
      <c r="F2" s="3">
        <v>734.672</v>
      </c>
      <c r="G2" s="7">
        <f>(F2+F3+F4)/3</f>
        <v>1194.134</v>
      </c>
      <c r="H2" s="3">
        <v>0.18</v>
      </c>
      <c r="I2" s="21">
        <f>(H2+H3+H4)/3</f>
        <v>0.136666666666667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2834.03769863014</v>
      </c>
      <c r="F5" s="3">
        <v>91.104</v>
      </c>
      <c r="G5" s="7">
        <f>(F5+F6)/2</f>
        <v>92.50925</v>
      </c>
      <c r="H5" s="3">
        <v>0.18</v>
      </c>
      <c r="I5" s="21">
        <f>(H5+H6)/2</f>
        <v>0.155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8966.98360461288</v>
      </c>
      <c r="F7" s="3">
        <v>108.2955</v>
      </c>
      <c r="G7" s="3"/>
      <c r="H7" s="3">
        <v>0.45</v>
      </c>
      <c r="M7" s="2"/>
    </row>
    <row r="8" s="1" customFormat="1" spans="1:13">
      <c r="A8" s="4" t="s">
        <v>49</v>
      </c>
      <c r="B8" s="5"/>
      <c r="C8" s="3"/>
      <c r="D8" s="3"/>
      <c r="E8" s="12">
        <v>76.3106131512798</v>
      </c>
      <c r="F8" s="3">
        <v>625.464</v>
      </c>
      <c r="G8" s="3"/>
      <c r="H8" s="3">
        <v>0.3</v>
      </c>
      <c r="M8" s="2"/>
    </row>
    <row r="9" s="1" customFormat="1" spans="1:13">
      <c r="A9" s="4" t="s">
        <v>50</v>
      </c>
      <c r="B9" s="5"/>
      <c r="C9" s="3"/>
      <c r="D9" s="3"/>
      <c r="E9" s="12">
        <v>10.2588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9.83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209090203.410552</v>
      </c>
      <c r="J14" s="14" t="s">
        <v>35</v>
      </c>
      <c r="K14" s="14">
        <f>I14/(10000*1000)</f>
        <v>20.9090203410552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172972074.669893</v>
      </c>
      <c r="J15" s="14" t="s">
        <v>35</v>
      </c>
      <c r="K15" s="14">
        <f>I15/(10000*1000)</f>
        <v>17.2972074669893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1194.134</v>
      </c>
      <c r="C27" s="16" t="s">
        <v>109</v>
      </c>
      <c r="D27" s="17">
        <v>-4</v>
      </c>
      <c r="E27" s="16"/>
      <c r="F27" s="16"/>
      <c r="G27" s="13">
        <v>1</v>
      </c>
      <c r="H27" s="18">
        <f t="shared" ref="H27:H38" si="0">E28</f>
        <v>-4</v>
      </c>
      <c r="I27" s="18">
        <f t="shared" ref="I27:I38" si="1">H27+273.15</f>
        <v>269.15</v>
      </c>
      <c r="J27" s="18">
        <f t="shared" ref="J27:J38" si="2">EXP(($C$16*(I27-$C$14))/($C$17*I27*$C$14))</f>
        <v>0.0102597002578668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110</v>
      </c>
      <c r="N27" s="13"/>
      <c r="O27" s="18">
        <f>L27</f>
        <v>0.995111666666667</v>
      </c>
      <c r="P27" s="18">
        <f t="shared" ref="P27:P38" si="5">O27*J27</f>
        <v>0.0102095474231063</v>
      </c>
      <c r="Q27" s="24">
        <f t="shared" ref="Q27:Q38" si="6">P27*$B$29</f>
        <v>0.00139530481449119</v>
      </c>
      <c r="R27" s="18">
        <f t="shared" ref="R27:R38" si="7">L27*$B$29</f>
        <v>0.135998594444444</v>
      </c>
      <c r="S27" s="25">
        <f t="shared" ref="S27:S38" si="8">Q27/R27</f>
        <v>0.0102597002578668</v>
      </c>
      <c r="T27" s="3">
        <v>0.01</v>
      </c>
      <c r="U27" s="26">
        <f t="shared" ref="U27:U38" si="9">S27*T27</f>
        <v>0.000102597002578668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0.0220025970025787</v>
      </c>
      <c r="AR27" s="29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93.131263511885</v>
      </c>
      <c r="AU27" s="1">
        <f t="shared" ref="AU27:AU38" si="17">AT27*10000*AS27*0.67*AR27*AQ27</f>
        <v>186714.764852951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-5.26111570596774</v>
      </c>
      <c r="E28" s="20">
        <f t="shared" ref="E28:E39" si="18">D27</f>
        <v>-4</v>
      </c>
      <c r="F28" s="16" t="s">
        <v>110</v>
      </c>
      <c r="G28" s="13">
        <v>2</v>
      </c>
      <c r="H28" s="18">
        <f t="shared" si="0"/>
        <v>-5.26111570596774</v>
      </c>
      <c r="I28" s="18">
        <f t="shared" si="1"/>
        <v>267.888884294032</v>
      </c>
      <c r="J28" s="18">
        <f t="shared" si="2"/>
        <v>0.00865312813943948</v>
      </c>
      <c r="K28" s="18">
        <f t="shared" si="3"/>
        <v>99.5111666666667</v>
      </c>
      <c r="L28" s="18">
        <f t="shared" si="4"/>
        <v>0.995111666666667</v>
      </c>
      <c r="M28" s="13" t="s">
        <v>110</v>
      </c>
      <c r="N28" s="13"/>
      <c r="O28" s="18">
        <f t="shared" ref="O28:O38" si="19">L28+O27-P27-N28</f>
        <v>1.98001378591023</v>
      </c>
      <c r="P28" s="18">
        <f t="shared" si="5"/>
        <v>0.0171333130073379</v>
      </c>
      <c r="Q28" s="24">
        <f t="shared" si="6"/>
        <v>0.00234155277766951</v>
      </c>
      <c r="R28" s="18">
        <f t="shared" si="7"/>
        <v>0.135998594444444</v>
      </c>
      <c r="S28" s="25">
        <f t="shared" si="8"/>
        <v>0.0172174777778754</v>
      </c>
      <c r="T28" s="3">
        <v>0.01</v>
      </c>
      <c r="U28" s="26">
        <f t="shared" si="9"/>
        <v>0.000172174777778754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0.0220721747777788</v>
      </c>
      <c r="AR28" s="29">
        <f t="shared" si="15"/>
        <v>99.5111666666667</v>
      </c>
      <c r="AS28" s="1">
        <f t="shared" si="16"/>
        <v>0.136666666666667</v>
      </c>
      <c r="AT28" s="2">
        <f t="shared" ref="AT28:AT38" si="20">$E$2/12</f>
        <v>93.131263511885</v>
      </c>
      <c r="AU28" s="1">
        <f t="shared" si="17"/>
        <v>187305.204151273</v>
      </c>
    </row>
    <row r="29" s="1" customFormat="1" spans="1:47">
      <c r="A29" s="13" t="s">
        <v>73</v>
      </c>
      <c r="B29" s="13">
        <f>I2</f>
        <v>0.136666666666667</v>
      </c>
      <c r="C29" s="16">
        <v>2</v>
      </c>
      <c r="D29" s="19">
        <v>-2.32269480486207</v>
      </c>
      <c r="E29" s="20">
        <f t="shared" si="18"/>
        <v>-5.26111570596774</v>
      </c>
      <c r="F29" s="16" t="s">
        <v>110</v>
      </c>
      <c r="G29" s="13">
        <v>3</v>
      </c>
      <c r="H29" s="18">
        <f t="shared" si="0"/>
        <v>-2.32269480486207</v>
      </c>
      <c r="I29" s="18">
        <f t="shared" si="1"/>
        <v>270.827305195138</v>
      </c>
      <c r="J29" s="18">
        <f t="shared" si="2"/>
        <v>0.0128362294712873</v>
      </c>
      <c r="K29" s="18">
        <f t="shared" si="3"/>
        <v>99.5111666666667</v>
      </c>
      <c r="L29" s="18">
        <f t="shared" si="4"/>
        <v>0.995111666666667</v>
      </c>
      <c r="M29" s="13" t="s">
        <v>110</v>
      </c>
      <c r="N29" s="13"/>
      <c r="O29" s="18">
        <f t="shared" si="19"/>
        <v>2.95799213956956</v>
      </c>
      <c r="P29" s="18">
        <f t="shared" si="5"/>
        <v>0.0379694658777789</v>
      </c>
      <c r="Q29" s="24">
        <f t="shared" si="6"/>
        <v>0.00518916033662979</v>
      </c>
      <c r="R29" s="18">
        <f t="shared" si="7"/>
        <v>0.135998594444444</v>
      </c>
      <c r="S29" s="25">
        <f t="shared" si="8"/>
        <v>0.0381559850513717</v>
      </c>
      <c r="T29" s="3">
        <v>0.01</v>
      </c>
      <c r="U29" s="26">
        <f t="shared" si="9"/>
        <v>0.000381559850513717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0.0222815598505137</v>
      </c>
      <c r="AR29" s="29">
        <f t="shared" si="15"/>
        <v>99.5111666666667</v>
      </c>
      <c r="AS29" s="1">
        <f t="shared" si="16"/>
        <v>0.136666666666667</v>
      </c>
      <c r="AT29" s="2">
        <f t="shared" si="20"/>
        <v>93.131263511885</v>
      </c>
      <c r="AU29" s="1">
        <f t="shared" si="17"/>
        <v>189082.052793951</v>
      </c>
    </row>
    <row r="30" s="1" customFormat="1" spans="1:47">
      <c r="A30" s="13"/>
      <c r="B30" s="13"/>
      <c r="C30" s="16">
        <v>3</v>
      </c>
      <c r="D30" s="19">
        <v>2.83422542858065</v>
      </c>
      <c r="E30" s="20">
        <f t="shared" si="18"/>
        <v>-2.32269480486207</v>
      </c>
      <c r="F30" s="16" t="s">
        <v>110</v>
      </c>
      <c r="G30" s="13">
        <v>4</v>
      </c>
      <c r="H30" s="18">
        <f t="shared" si="0"/>
        <v>2.83422542858065</v>
      </c>
      <c r="I30" s="18">
        <f t="shared" si="1"/>
        <v>275.984225428581</v>
      </c>
      <c r="J30" s="18">
        <f t="shared" si="2"/>
        <v>0.0251298231274614</v>
      </c>
      <c r="K30" s="18">
        <f t="shared" si="3"/>
        <v>99.5111666666667</v>
      </c>
      <c r="L30" s="18">
        <f t="shared" si="4"/>
        <v>0.995111666666667</v>
      </c>
      <c r="M30" s="13" t="s">
        <v>110</v>
      </c>
      <c r="N30" s="13"/>
      <c r="O30" s="18">
        <f t="shared" si="19"/>
        <v>3.91513434035844</v>
      </c>
      <c r="P30" s="18">
        <f t="shared" si="5"/>
        <v>0.098386633493458</v>
      </c>
      <c r="Q30" s="24">
        <f t="shared" si="6"/>
        <v>0.0134461732441059</v>
      </c>
      <c r="R30" s="18">
        <f t="shared" si="7"/>
        <v>0.135998594444444</v>
      </c>
      <c r="S30" s="25">
        <f t="shared" si="8"/>
        <v>0.0988699427301706</v>
      </c>
      <c r="T30" s="3">
        <v>0.01</v>
      </c>
      <c r="U30" s="26">
        <f t="shared" si="9"/>
        <v>0.000988699427301706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0.0228886994273017</v>
      </c>
      <c r="AR30" s="29">
        <f t="shared" si="15"/>
        <v>99.5111666666667</v>
      </c>
      <c r="AS30" s="1">
        <f t="shared" si="16"/>
        <v>0.136666666666667</v>
      </c>
      <c r="AT30" s="2">
        <f t="shared" si="20"/>
        <v>93.131263511885</v>
      </c>
      <c r="AU30" s="1">
        <f t="shared" si="17"/>
        <v>194234.259294829</v>
      </c>
    </row>
    <row r="31" s="1" customFormat="1" spans="1:47">
      <c r="A31" s="13"/>
      <c r="B31" s="13"/>
      <c r="C31" s="16">
        <v>4</v>
      </c>
      <c r="D31" s="19">
        <v>7.93209727513333</v>
      </c>
      <c r="E31" s="20">
        <f t="shared" si="18"/>
        <v>2.83422542858065</v>
      </c>
      <c r="F31" s="16" t="s">
        <v>110</v>
      </c>
      <c r="G31" s="13">
        <v>5</v>
      </c>
      <c r="H31" s="18">
        <f t="shared" si="0"/>
        <v>7.93209727513333</v>
      </c>
      <c r="I31" s="18">
        <f t="shared" si="1"/>
        <v>281.082097275133</v>
      </c>
      <c r="J31" s="18">
        <f t="shared" si="2"/>
        <v>0.0476517168627993</v>
      </c>
      <c r="K31" s="18">
        <f t="shared" si="3"/>
        <v>99.5111666666667</v>
      </c>
      <c r="L31" s="18">
        <f t="shared" si="4"/>
        <v>0.995111666666667</v>
      </c>
      <c r="M31" s="13" t="s">
        <v>112</v>
      </c>
      <c r="N31" s="18">
        <f>(O30-P30)*C22/100</f>
        <v>3.62591032152174</v>
      </c>
      <c r="O31" s="18">
        <f t="shared" si="19"/>
        <v>1.18594905200992</v>
      </c>
      <c r="P31" s="18">
        <f t="shared" si="5"/>
        <v>0.0565125084400817</v>
      </c>
      <c r="Q31" s="24">
        <f t="shared" si="6"/>
        <v>0.00772337615347784</v>
      </c>
      <c r="R31" s="18">
        <f t="shared" si="7"/>
        <v>0.135998594444444</v>
      </c>
      <c r="S31" s="25">
        <f t="shared" si="8"/>
        <v>0.0567901174642863</v>
      </c>
      <c r="T31" s="3">
        <v>0.01</v>
      </c>
      <c r="U31" s="26">
        <f t="shared" si="9"/>
        <v>0.000567901174642863</v>
      </c>
      <c r="V31" s="25"/>
      <c r="W31" s="3"/>
      <c r="X31" s="26"/>
      <c r="Y31" s="28">
        <v>0.02</v>
      </c>
      <c r="Z31" s="3">
        <v>0.21</v>
      </c>
      <c r="AA31" s="27">
        <f t="shared" si="10"/>
        <v>0.0042</v>
      </c>
      <c r="AB31" s="3">
        <v>0.01</v>
      </c>
      <c r="AC31" s="3">
        <v>0.29</v>
      </c>
      <c r="AD31" s="27">
        <f t="shared" si="11"/>
        <v>0.0029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0.0224679011746429</v>
      </c>
      <c r="AR31" s="29">
        <f t="shared" si="15"/>
        <v>99.5111666666667</v>
      </c>
      <c r="AS31" s="1">
        <f t="shared" si="16"/>
        <v>0.136666666666667</v>
      </c>
      <c r="AT31" s="2">
        <f t="shared" si="20"/>
        <v>93.131263511885</v>
      </c>
      <c r="AU31" s="1">
        <f t="shared" si="17"/>
        <v>190663.351424885</v>
      </c>
    </row>
    <row r="32" s="1" customFormat="1" spans="1:47">
      <c r="A32" s="13"/>
      <c r="B32" s="13"/>
      <c r="C32" s="16">
        <v>5</v>
      </c>
      <c r="D32" s="19">
        <v>12.1614925472258</v>
      </c>
      <c r="E32" s="20">
        <f t="shared" si="18"/>
        <v>7.93209727513333</v>
      </c>
      <c r="F32" s="16" t="s">
        <v>112</v>
      </c>
      <c r="G32" s="13">
        <v>6</v>
      </c>
      <c r="H32" s="18">
        <f t="shared" si="0"/>
        <v>12.1614925472258</v>
      </c>
      <c r="I32" s="18">
        <f t="shared" si="1"/>
        <v>285.311492547226</v>
      </c>
      <c r="J32" s="18">
        <f t="shared" si="2"/>
        <v>0.0796323175082618</v>
      </c>
      <c r="K32" s="18">
        <f t="shared" si="3"/>
        <v>99.5111666666667</v>
      </c>
      <c r="L32" s="18">
        <f t="shared" si="4"/>
        <v>0.995111666666667</v>
      </c>
      <c r="M32" s="13" t="s">
        <v>110</v>
      </c>
      <c r="N32" s="13"/>
      <c r="O32" s="18">
        <f t="shared" si="19"/>
        <v>2.1245482102365</v>
      </c>
      <c r="P32" s="18">
        <f t="shared" si="5"/>
        <v>0.169182697639162</v>
      </c>
      <c r="Q32" s="24">
        <f t="shared" si="6"/>
        <v>0.0231216353440189</v>
      </c>
      <c r="R32" s="18">
        <f t="shared" si="7"/>
        <v>0.135998594444444</v>
      </c>
      <c r="S32" s="25">
        <f t="shared" si="8"/>
        <v>0.170013781675252</v>
      </c>
      <c r="T32" s="3">
        <v>0.01</v>
      </c>
      <c r="U32" s="26">
        <f t="shared" si="9"/>
        <v>0.00170013781675252</v>
      </c>
      <c r="V32" s="25"/>
      <c r="W32" s="3"/>
      <c r="X32" s="26"/>
      <c r="Y32" s="28">
        <v>0.02</v>
      </c>
      <c r="Z32" s="3">
        <v>0.21</v>
      </c>
      <c r="AA32" s="27">
        <f t="shared" si="10"/>
        <v>0.0042</v>
      </c>
      <c r="AB32" s="3">
        <v>0.01</v>
      </c>
      <c r="AC32" s="3">
        <v>0.29</v>
      </c>
      <c r="AD32" s="27">
        <f t="shared" si="11"/>
        <v>0.0029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0.0236001378167525</v>
      </c>
      <c r="AR32" s="29">
        <f t="shared" si="15"/>
        <v>99.5111666666667</v>
      </c>
      <c r="AS32" s="1">
        <f t="shared" si="16"/>
        <v>0.136666666666667</v>
      </c>
      <c r="AT32" s="2">
        <f t="shared" si="20"/>
        <v>93.131263511885</v>
      </c>
      <c r="AU32" s="1">
        <f t="shared" si="17"/>
        <v>200271.548964685</v>
      </c>
    </row>
    <row r="33" s="1" customFormat="1" spans="1:47">
      <c r="A33" s="13"/>
      <c r="B33" s="13"/>
      <c r="C33" s="16">
        <v>6</v>
      </c>
      <c r="D33" s="19">
        <v>15.5238279843333</v>
      </c>
      <c r="E33" s="20">
        <f t="shared" si="18"/>
        <v>12.1614925472258</v>
      </c>
      <c r="F33" s="16" t="s">
        <v>110</v>
      </c>
      <c r="G33" s="13">
        <v>7</v>
      </c>
      <c r="H33" s="18">
        <f t="shared" si="0"/>
        <v>15.5238279843333</v>
      </c>
      <c r="I33" s="18">
        <f t="shared" si="1"/>
        <v>288.673827984333</v>
      </c>
      <c r="J33" s="18">
        <f t="shared" si="2"/>
        <v>0.118500075238292</v>
      </c>
      <c r="K33" s="18">
        <f t="shared" si="3"/>
        <v>99.5111666666667</v>
      </c>
      <c r="L33" s="18">
        <f t="shared" si="4"/>
        <v>0.995111666666667</v>
      </c>
      <c r="M33" s="13" t="s">
        <v>110</v>
      </c>
      <c r="N33" s="13"/>
      <c r="O33" s="18">
        <f t="shared" si="19"/>
        <v>2.95047717926401</v>
      </c>
      <c r="P33" s="18">
        <f t="shared" si="5"/>
        <v>0.349631767731648</v>
      </c>
      <c r="Q33" s="24">
        <f t="shared" si="6"/>
        <v>0.0477830082566586</v>
      </c>
      <c r="R33" s="18">
        <f t="shared" si="7"/>
        <v>0.135998594444444</v>
      </c>
      <c r="S33" s="25">
        <f t="shared" si="8"/>
        <v>0.351349280129347</v>
      </c>
      <c r="T33" s="3">
        <v>0.01</v>
      </c>
      <c r="U33" s="26">
        <f t="shared" si="9"/>
        <v>0.00351349280129347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0.0329634928012935</v>
      </c>
      <c r="AR33" s="29">
        <f t="shared" si="15"/>
        <v>99.5111666666667</v>
      </c>
      <c r="AS33" s="1">
        <f t="shared" si="16"/>
        <v>0.136666666666667</v>
      </c>
      <c r="AT33" s="2">
        <f t="shared" si="20"/>
        <v>93.131263511885</v>
      </c>
      <c r="AU33" s="1">
        <f t="shared" si="17"/>
        <v>279729.288610981</v>
      </c>
    </row>
    <row r="34" s="1" customFormat="1" spans="1:47">
      <c r="A34" s="13"/>
      <c r="B34" s="13"/>
      <c r="C34" s="16">
        <v>7</v>
      </c>
      <c r="D34" s="19">
        <v>17.3010072190323</v>
      </c>
      <c r="E34" s="20">
        <f t="shared" si="18"/>
        <v>15.5238279843333</v>
      </c>
      <c r="F34" s="16" t="s">
        <v>110</v>
      </c>
      <c r="G34" s="13">
        <v>8</v>
      </c>
      <c r="H34" s="18">
        <f t="shared" si="0"/>
        <v>17.3010072190323</v>
      </c>
      <c r="I34" s="18">
        <f t="shared" si="1"/>
        <v>290.451007219032</v>
      </c>
      <c r="J34" s="18">
        <f t="shared" si="2"/>
        <v>0.14566262533111</v>
      </c>
      <c r="K34" s="18">
        <f t="shared" si="3"/>
        <v>99.5111666666667</v>
      </c>
      <c r="L34" s="18">
        <f t="shared" si="4"/>
        <v>0.995111666666667</v>
      </c>
      <c r="M34" s="13" t="s">
        <v>110</v>
      </c>
      <c r="N34" s="13"/>
      <c r="O34" s="18">
        <f t="shared" si="19"/>
        <v>3.59595707819902</v>
      </c>
      <c r="P34" s="18">
        <f t="shared" si="5"/>
        <v>0.523796548588457</v>
      </c>
      <c r="Q34" s="24">
        <f t="shared" si="6"/>
        <v>0.0715855283070892</v>
      </c>
      <c r="R34" s="18">
        <f t="shared" si="7"/>
        <v>0.135998594444444</v>
      </c>
      <c r="S34" s="25">
        <f t="shared" si="8"/>
        <v>0.526369618741405</v>
      </c>
      <c r="T34" s="3">
        <v>0.01</v>
      </c>
      <c r="U34" s="26">
        <f t="shared" si="9"/>
        <v>0.00526369618741405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0.034713696187414</v>
      </c>
      <c r="AR34" s="29">
        <f t="shared" si="15"/>
        <v>99.5111666666667</v>
      </c>
      <c r="AS34" s="1">
        <f t="shared" si="16"/>
        <v>0.136666666666667</v>
      </c>
      <c r="AT34" s="2">
        <f t="shared" si="20"/>
        <v>93.131263511885</v>
      </c>
      <c r="AU34" s="1">
        <f t="shared" si="17"/>
        <v>294581.572350307</v>
      </c>
    </row>
    <row r="35" s="1" customFormat="1" spans="1:47">
      <c r="A35" s="13"/>
      <c r="B35" s="13"/>
      <c r="C35" s="16">
        <v>8</v>
      </c>
      <c r="D35" s="19">
        <v>17.9124538112903</v>
      </c>
      <c r="E35" s="20">
        <f t="shared" si="18"/>
        <v>17.3010072190323</v>
      </c>
      <c r="F35" s="16" t="s">
        <v>110</v>
      </c>
      <c r="G35" s="13">
        <v>9</v>
      </c>
      <c r="H35" s="18">
        <f t="shared" si="0"/>
        <v>17.9124538112903</v>
      </c>
      <c r="I35" s="18">
        <f t="shared" si="1"/>
        <v>291.06245381129</v>
      </c>
      <c r="J35" s="18">
        <f t="shared" si="2"/>
        <v>0.156290471949397</v>
      </c>
      <c r="K35" s="18">
        <f t="shared" si="3"/>
        <v>99.5111666666667</v>
      </c>
      <c r="L35" s="18">
        <f t="shared" si="4"/>
        <v>0.995111666666667</v>
      </c>
      <c r="M35" s="13" t="s">
        <v>110</v>
      </c>
      <c r="N35" s="13"/>
      <c r="O35" s="18">
        <f t="shared" si="19"/>
        <v>4.06727219627723</v>
      </c>
      <c r="P35" s="18">
        <f t="shared" si="5"/>
        <v>0.635675891102829</v>
      </c>
      <c r="Q35" s="24">
        <f t="shared" si="6"/>
        <v>0.0868757051173867</v>
      </c>
      <c r="R35" s="18">
        <f t="shared" si="7"/>
        <v>0.135998594444444</v>
      </c>
      <c r="S35" s="25">
        <f t="shared" si="8"/>
        <v>0.638798551354701</v>
      </c>
      <c r="T35" s="3">
        <v>0.01</v>
      </c>
      <c r="U35" s="26">
        <f t="shared" si="9"/>
        <v>0.00638798551354701</v>
      </c>
      <c r="V35" s="25"/>
      <c r="W35" s="3"/>
      <c r="X35" s="26"/>
      <c r="Y35" s="28">
        <v>0.02</v>
      </c>
      <c r="Z35" s="3">
        <v>0.21</v>
      </c>
      <c r="AA35" s="27">
        <f t="shared" si="10"/>
        <v>0.0042</v>
      </c>
      <c r="AB35" s="3">
        <v>0.01</v>
      </c>
      <c r="AC35" s="3">
        <v>0.29</v>
      </c>
      <c r="AD35" s="27">
        <f t="shared" si="11"/>
        <v>0.0029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0.028287985513547</v>
      </c>
      <c r="AR35" s="29">
        <f t="shared" si="15"/>
        <v>99.5111666666667</v>
      </c>
      <c r="AS35" s="1">
        <f t="shared" si="16"/>
        <v>0.136666666666667</v>
      </c>
      <c r="AT35" s="2">
        <f t="shared" si="20"/>
        <v>93.131263511885</v>
      </c>
      <c r="AU35" s="1">
        <f t="shared" si="17"/>
        <v>240052.77934721</v>
      </c>
    </row>
    <row r="36" s="1" customFormat="1" spans="1:47">
      <c r="A36" s="13"/>
      <c r="B36" s="13"/>
      <c r="C36" s="16">
        <v>9</v>
      </c>
      <c r="D36" s="19">
        <v>13.0204657115667</v>
      </c>
      <c r="E36" s="20">
        <f t="shared" si="18"/>
        <v>17.9124538112903</v>
      </c>
      <c r="F36" s="16" t="s">
        <v>110</v>
      </c>
      <c r="G36" s="13">
        <v>10</v>
      </c>
      <c r="H36" s="18">
        <f t="shared" si="0"/>
        <v>13.0204657115667</v>
      </c>
      <c r="I36" s="18">
        <f t="shared" si="1"/>
        <v>286.170465711567</v>
      </c>
      <c r="J36" s="18">
        <f t="shared" si="2"/>
        <v>0.088221941007691</v>
      </c>
      <c r="K36" s="18">
        <f t="shared" si="3"/>
        <v>99.5111666666667</v>
      </c>
      <c r="L36" s="18">
        <f t="shared" si="4"/>
        <v>0.995111666666667</v>
      </c>
      <c r="M36" s="13" t="s">
        <v>110</v>
      </c>
      <c r="N36" s="13"/>
      <c r="O36" s="18">
        <f t="shared" si="19"/>
        <v>4.42670797184107</v>
      </c>
      <c r="P36" s="18">
        <f t="shared" si="5"/>
        <v>0.390532769550038</v>
      </c>
      <c r="Q36" s="24">
        <f t="shared" si="6"/>
        <v>0.0533728118385053</v>
      </c>
      <c r="R36" s="18">
        <f t="shared" si="7"/>
        <v>0.135998594444444</v>
      </c>
      <c r="S36" s="25">
        <f t="shared" si="8"/>
        <v>0.392451201841708</v>
      </c>
      <c r="T36" s="3">
        <v>0.01</v>
      </c>
      <c r="U36" s="26">
        <f t="shared" si="9"/>
        <v>0.00392451201841708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0.0258245120184171</v>
      </c>
      <c r="AR36" s="29">
        <f t="shared" si="15"/>
        <v>99.5111666666667</v>
      </c>
      <c r="AS36" s="1">
        <f t="shared" si="16"/>
        <v>0.136666666666667</v>
      </c>
      <c r="AT36" s="2">
        <f t="shared" si="20"/>
        <v>93.131263511885</v>
      </c>
      <c r="AU36" s="1">
        <f t="shared" si="17"/>
        <v>219147.661905357</v>
      </c>
    </row>
    <row r="37" s="1" customFormat="1" spans="1:47">
      <c r="A37" s="13"/>
      <c r="B37" s="13"/>
      <c r="C37" s="16">
        <v>10</v>
      </c>
      <c r="D37" s="19">
        <v>9.57947696609677</v>
      </c>
      <c r="E37" s="20">
        <f t="shared" si="18"/>
        <v>13.0204657115667</v>
      </c>
      <c r="F37" s="16" t="s">
        <v>110</v>
      </c>
      <c r="G37" s="13">
        <v>11</v>
      </c>
      <c r="H37" s="18">
        <f t="shared" si="0"/>
        <v>9.57947696609677</v>
      </c>
      <c r="I37" s="18">
        <f t="shared" si="1"/>
        <v>282.729476966097</v>
      </c>
      <c r="J37" s="18">
        <f t="shared" si="2"/>
        <v>0.0583090732651857</v>
      </c>
      <c r="K37" s="18">
        <f t="shared" si="3"/>
        <v>99.5111666666667</v>
      </c>
      <c r="L37" s="18">
        <f t="shared" si="4"/>
        <v>0.995111666666667</v>
      </c>
      <c r="M37" s="13" t="s">
        <v>112</v>
      </c>
      <c r="N37" s="18">
        <f>(O36-P36)*C22/100</f>
        <v>3.83436644217648</v>
      </c>
      <c r="O37" s="18">
        <f t="shared" si="19"/>
        <v>1.19692042678122</v>
      </c>
      <c r="P37" s="18">
        <f t="shared" si="5"/>
        <v>0.0697913208577834</v>
      </c>
      <c r="Q37" s="24">
        <f t="shared" si="6"/>
        <v>0.00953814718389706</v>
      </c>
      <c r="R37" s="18">
        <f t="shared" si="7"/>
        <v>0.135998594444444</v>
      </c>
      <c r="S37" s="25">
        <f t="shared" si="8"/>
        <v>0.0701341600099654</v>
      </c>
      <c r="T37" s="3">
        <v>0.01</v>
      </c>
      <c r="U37" s="26">
        <f t="shared" si="9"/>
        <v>0.000701341600099654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0.0226013416000997</v>
      </c>
      <c r="AR37" s="29">
        <f t="shared" si="15"/>
        <v>99.5111666666667</v>
      </c>
      <c r="AS37" s="1">
        <f t="shared" si="16"/>
        <v>0.136666666666667</v>
      </c>
      <c r="AT37" s="2">
        <f t="shared" si="20"/>
        <v>93.131263511885</v>
      </c>
      <c r="AU37" s="1">
        <f t="shared" si="17"/>
        <v>191795.731282504</v>
      </c>
    </row>
    <row r="38" s="1" customFormat="1" spans="1:48">
      <c r="A38" s="13"/>
      <c r="B38" s="13"/>
      <c r="C38" s="16">
        <v>11</v>
      </c>
      <c r="D38" s="19">
        <v>3.8585371393</v>
      </c>
      <c r="E38" s="20">
        <f t="shared" si="18"/>
        <v>9.57947696609677</v>
      </c>
      <c r="F38" s="16" t="s">
        <v>112</v>
      </c>
      <c r="G38" s="13">
        <v>12</v>
      </c>
      <c r="H38" s="18">
        <f t="shared" si="0"/>
        <v>3.8585371393</v>
      </c>
      <c r="I38" s="18">
        <f t="shared" si="1"/>
        <v>277.0085371393</v>
      </c>
      <c r="J38" s="18">
        <f t="shared" si="2"/>
        <v>0.0286316641923964</v>
      </c>
      <c r="K38" s="18">
        <f t="shared" si="3"/>
        <v>99.5111666666667</v>
      </c>
      <c r="L38" s="18">
        <f t="shared" si="4"/>
        <v>0.995111666666667</v>
      </c>
      <c r="M38" s="13" t="s">
        <v>110</v>
      </c>
      <c r="N38" s="13"/>
      <c r="O38" s="18">
        <f t="shared" si="19"/>
        <v>2.1222407725901</v>
      </c>
      <c r="P38" s="18">
        <f t="shared" si="5"/>
        <v>0.0607632851362117</v>
      </c>
      <c r="Q38" s="24">
        <f t="shared" si="6"/>
        <v>0.00830431563528226</v>
      </c>
      <c r="R38" s="18">
        <f t="shared" si="7"/>
        <v>0.135998594444444</v>
      </c>
      <c r="S38" s="25">
        <f t="shared" si="8"/>
        <v>0.0610617754485292</v>
      </c>
      <c r="T38" s="3">
        <v>0.01</v>
      </c>
      <c r="U38" s="26">
        <f t="shared" si="9"/>
        <v>0.000610617754485292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0.0225106177544853</v>
      </c>
      <c r="AR38" s="29">
        <f t="shared" si="15"/>
        <v>99.5111666666667</v>
      </c>
      <c r="AS38" s="1">
        <f t="shared" si="16"/>
        <v>0.136666666666667</v>
      </c>
      <c r="AT38" s="2">
        <f t="shared" si="20"/>
        <v>93.131263511885</v>
      </c>
      <c r="AU38" s="1">
        <f t="shared" si="17"/>
        <v>191025.845732246</v>
      </c>
      <c r="AV38" s="1">
        <f>SUM(AU27:AU38)</f>
        <v>2564604.06071118</v>
      </c>
    </row>
    <row r="39" s="1" customFormat="1" spans="1:46">
      <c r="A39" s="13"/>
      <c r="B39" s="13"/>
      <c r="C39" s="16">
        <v>12</v>
      </c>
      <c r="D39" s="19">
        <v>-0.327163529</v>
      </c>
      <c r="E39" s="20">
        <f t="shared" si="18"/>
        <v>3.8585371393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-4</v>
      </c>
      <c r="E42" s="16"/>
      <c r="F42" s="16"/>
      <c r="G42" s="13">
        <v>1</v>
      </c>
      <c r="H42" s="18">
        <f t="shared" ref="H42:H53" si="21">E43</f>
        <v>-4</v>
      </c>
      <c r="I42" s="18">
        <f t="shared" ref="I42:I53" si="22">H42+273.15</f>
        <v>269.15</v>
      </c>
      <c r="J42" s="18">
        <f t="shared" ref="J42:J53" si="23">EXP(($C$16*(I42-$C$14))/($C$17*I42*$C$14))</f>
        <v>0.0102597002578668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0.00079093098006672</v>
      </c>
      <c r="Q42" s="24">
        <f t="shared" ref="Q42:Q53" si="27">P42*$B$44</f>
        <v>0.000122594301910342</v>
      </c>
      <c r="R42" s="18">
        <f t="shared" ref="R42:R53" si="28">L42*$B$44</f>
        <v>0.0119491114583333</v>
      </c>
      <c r="S42" s="25">
        <f t="shared" ref="S42:S53" si="29">Q42/R42</f>
        <v>0.0102597002578668</v>
      </c>
      <c r="T42" s="3">
        <v>0.01</v>
      </c>
      <c r="U42" s="26">
        <f t="shared" ref="U42:U53" si="30">S42*T42</f>
        <v>0.000102597002578668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0.0149025970025787</v>
      </c>
      <c r="AR42" s="29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236.169808219178</v>
      </c>
      <c r="AU42" s="1">
        <f t="shared" ref="AU42:AU53" si="37">AT42*10000*AS42*0.67*AR42*AQ42</f>
        <v>28177.1295762406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-5.26111570596774</v>
      </c>
      <c r="E43" s="20">
        <f t="shared" ref="E43:E54" si="38">D42</f>
        <v>-4</v>
      </c>
      <c r="F43" s="16" t="s">
        <v>110</v>
      </c>
      <c r="G43" s="13">
        <v>2</v>
      </c>
      <c r="H43" s="18">
        <f t="shared" si="21"/>
        <v>-5.26111570596774</v>
      </c>
      <c r="I43" s="18">
        <f t="shared" si="22"/>
        <v>267.888884294032</v>
      </c>
      <c r="J43" s="18">
        <f t="shared" si="23"/>
        <v>0.00865312813943948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0.153391152353267</v>
      </c>
      <c r="P43" s="18">
        <f t="shared" si="26"/>
        <v>0.0013273132967691</v>
      </c>
      <c r="Q43" s="24">
        <f t="shared" si="27"/>
        <v>0.00020573356099921</v>
      </c>
      <c r="R43" s="18">
        <f t="shared" si="28"/>
        <v>0.0119491114583333</v>
      </c>
      <c r="S43" s="25">
        <f t="shared" si="29"/>
        <v>0.0172174777778754</v>
      </c>
      <c r="T43" s="3">
        <v>0.01</v>
      </c>
      <c r="U43" s="26">
        <f t="shared" si="30"/>
        <v>0.000172174777778754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0.0149721747777788</v>
      </c>
      <c r="AR43" s="29">
        <f t="shared" si="34"/>
        <v>7.70910416666667</v>
      </c>
      <c r="AS43" s="1">
        <f t="shared" si="35"/>
        <v>0.155</v>
      </c>
      <c r="AT43" s="2">
        <f t="shared" si="36"/>
        <v>236.169808219178</v>
      </c>
      <c r="AU43" s="1">
        <f t="shared" si="37"/>
        <v>28308.6839614997</v>
      </c>
    </row>
    <row r="44" s="1" customFormat="1" spans="1:47">
      <c r="A44" s="13" t="s">
        <v>73</v>
      </c>
      <c r="B44" s="13">
        <f>I5</f>
        <v>0.155</v>
      </c>
      <c r="C44" s="16">
        <v>2</v>
      </c>
      <c r="D44" s="19">
        <v>-2.32269480486207</v>
      </c>
      <c r="E44" s="20">
        <f t="shared" si="38"/>
        <v>-5.26111570596774</v>
      </c>
      <c r="F44" s="16" t="s">
        <v>110</v>
      </c>
      <c r="G44" s="13">
        <v>3</v>
      </c>
      <c r="H44" s="18">
        <f t="shared" si="21"/>
        <v>-2.32269480486207</v>
      </c>
      <c r="I44" s="18">
        <f t="shared" si="22"/>
        <v>270.827305195138</v>
      </c>
      <c r="J44" s="18">
        <f t="shared" si="23"/>
        <v>0.0128362294712873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0.229154880723164</v>
      </c>
      <c r="P44" s="18">
        <f t="shared" si="26"/>
        <v>0.00294148463342801</v>
      </c>
      <c r="Q44" s="24">
        <f t="shared" si="27"/>
        <v>0.000455930118181341</v>
      </c>
      <c r="R44" s="18">
        <f t="shared" si="28"/>
        <v>0.0119491114583333</v>
      </c>
      <c r="S44" s="25">
        <f t="shared" si="29"/>
        <v>0.0381559850513717</v>
      </c>
      <c r="T44" s="3">
        <v>0.01</v>
      </c>
      <c r="U44" s="26">
        <f t="shared" si="30"/>
        <v>0.000381559850513717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0.0151815598505137</v>
      </c>
      <c r="AR44" s="29">
        <f t="shared" si="34"/>
        <v>7.70910416666667</v>
      </c>
      <c r="AS44" s="1">
        <f t="shared" si="35"/>
        <v>0.155</v>
      </c>
      <c r="AT44" s="2">
        <f t="shared" si="36"/>
        <v>236.169808219178</v>
      </c>
      <c r="AU44" s="1">
        <f t="shared" si="37"/>
        <v>28704.5794101093</v>
      </c>
    </row>
    <row r="45" s="1" customFormat="1" spans="1:47">
      <c r="A45" s="13"/>
      <c r="B45" s="13"/>
      <c r="C45" s="16">
        <v>3</v>
      </c>
      <c r="D45" s="19">
        <v>2.83422542858065</v>
      </c>
      <c r="E45" s="20">
        <f t="shared" si="38"/>
        <v>-2.32269480486207</v>
      </c>
      <c r="F45" s="16" t="s">
        <v>110</v>
      </c>
      <c r="G45" s="13">
        <v>4</v>
      </c>
      <c r="H45" s="18">
        <f t="shared" si="21"/>
        <v>2.83422542858065</v>
      </c>
      <c r="I45" s="18">
        <f t="shared" si="22"/>
        <v>275.984225428581</v>
      </c>
      <c r="J45" s="18">
        <f t="shared" si="23"/>
        <v>0.0251298231274614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0.303304437756403</v>
      </c>
      <c r="P45" s="18">
        <f t="shared" si="26"/>
        <v>0.00762198687459253</v>
      </c>
      <c r="Q45" s="24">
        <f t="shared" si="27"/>
        <v>0.00118140796556184</v>
      </c>
      <c r="R45" s="18">
        <f t="shared" si="28"/>
        <v>0.0119491114583333</v>
      </c>
      <c r="S45" s="25">
        <f t="shared" si="29"/>
        <v>0.0988699427301706</v>
      </c>
      <c r="T45" s="3">
        <v>0.01</v>
      </c>
      <c r="U45" s="26">
        <f t="shared" si="30"/>
        <v>0.000988699427301706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0.0157886994273017</v>
      </c>
      <c r="AR45" s="29">
        <f t="shared" si="34"/>
        <v>7.70910416666667</v>
      </c>
      <c r="AS45" s="1">
        <f t="shared" si="35"/>
        <v>0.155</v>
      </c>
      <c r="AT45" s="2">
        <f t="shared" si="36"/>
        <v>236.169808219178</v>
      </c>
      <c r="AU45" s="1">
        <f t="shared" si="37"/>
        <v>29852.5303694662</v>
      </c>
    </row>
    <row r="46" s="1" customFormat="1" spans="1:47">
      <c r="A46" s="13"/>
      <c r="B46" s="13"/>
      <c r="C46" s="16">
        <v>4</v>
      </c>
      <c r="D46" s="19">
        <v>7.93209727513333</v>
      </c>
      <c r="E46" s="20">
        <f t="shared" si="38"/>
        <v>2.83422542858065</v>
      </c>
      <c r="F46" s="16" t="s">
        <v>110</v>
      </c>
      <c r="G46" s="13">
        <v>5</v>
      </c>
      <c r="H46" s="18">
        <f t="shared" si="21"/>
        <v>7.93209727513333</v>
      </c>
      <c r="I46" s="18">
        <f t="shared" si="22"/>
        <v>281.082097275133</v>
      </c>
      <c r="J46" s="18">
        <f t="shared" si="23"/>
        <v>0.0476517168627993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0.28089832833772</v>
      </c>
      <c r="O46" s="18">
        <f t="shared" si="39"/>
        <v>0.0918751642107572</v>
      </c>
      <c r="P46" s="18">
        <f t="shared" si="26"/>
        <v>0.00437800931169419</v>
      </c>
      <c r="Q46" s="24">
        <f t="shared" si="27"/>
        <v>0.0006785914433126</v>
      </c>
      <c r="R46" s="18">
        <f t="shared" si="28"/>
        <v>0.0119491114583333</v>
      </c>
      <c r="S46" s="25">
        <f t="shared" si="29"/>
        <v>0.0567901174642863</v>
      </c>
      <c r="T46" s="3">
        <v>0.01</v>
      </c>
      <c r="U46" s="26">
        <f t="shared" si="30"/>
        <v>0.000567901174642863</v>
      </c>
      <c r="V46" s="25"/>
      <c r="W46" s="3"/>
      <c r="X46" s="26"/>
      <c r="Y46" s="28">
        <v>0.02</v>
      </c>
      <c r="Z46" s="3">
        <v>0.49</v>
      </c>
      <c r="AA46" s="27">
        <f t="shared" si="31"/>
        <v>0.0098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</v>
      </c>
      <c r="AO46" s="3">
        <v>0.5</v>
      </c>
      <c r="AP46" s="3">
        <f t="shared" si="32"/>
        <v>0.005</v>
      </c>
      <c r="AQ46" s="1">
        <f t="shared" si="33"/>
        <v>0.0153679011746429</v>
      </c>
      <c r="AR46" s="29">
        <f t="shared" si="34"/>
        <v>7.70910416666667</v>
      </c>
      <c r="AS46" s="1">
        <f t="shared" si="35"/>
        <v>0.155</v>
      </c>
      <c r="AT46" s="2">
        <f t="shared" si="36"/>
        <v>236.169808219178</v>
      </c>
      <c r="AU46" s="1">
        <f t="shared" si="37"/>
        <v>29056.9048225516</v>
      </c>
    </row>
    <row r="47" s="1" customFormat="1" spans="1:47">
      <c r="A47" s="13"/>
      <c r="B47" s="13"/>
      <c r="C47" s="16">
        <v>5</v>
      </c>
      <c r="D47" s="19">
        <v>12.1614925472258</v>
      </c>
      <c r="E47" s="20">
        <f t="shared" si="38"/>
        <v>7.93209727513333</v>
      </c>
      <c r="F47" s="16" t="s">
        <v>112</v>
      </c>
      <c r="G47" s="13">
        <v>6</v>
      </c>
      <c r="H47" s="18">
        <f t="shared" si="21"/>
        <v>12.1614925472258</v>
      </c>
      <c r="I47" s="18">
        <f t="shared" si="22"/>
        <v>285.311492547226</v>
      </c>
      <c r="J47" s="18">
        <f t="shared" si="23"/>
        <v>0.0796323175082618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0.16458819656573</v>
      </c>
      <c r="P47" s="18">
        <f t="shared" si="26"/>
        <v>0.0131065395270344</v>
      </c>
      <c r="Q47" s="24">
        <f t="shared" si="27"/>
        <v>0.00203151362669033</v>
      </c>
      <c r="R47" s="18">
        <f t="shared" si="28"/>
        <v>0.0119491114583333</v>
      </c>
      <c r="S47" s="25">
        <f t="shared" si="29"/>
        <v>0.170013781675252</v>
      </c>
      <c r="T47" s="3">
        <v>0.01</v>
      </c>
      <c r="U47" s="26">
        <f t="shared" si="30"/>
        <v>0.00170013781675252</v>
      </c>
      <c r="V47" s="25"/>
      <c r="W47" s="3"/>
      <c r="X47" s="26"/>
      <c r="Y47" s="28">
        <v>0.02</v>
      </c>
      <c r="Z47" s="3">
        <v>0.49</v>
      </c>
      <c r="AA47" s="27">
        <f t="shared" si="31"/>
        <v>0.0098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</v>
      </c>
      <c r="AO47" s="3">
        <v>0.5</v>
      </c>
      <c r="AP47" s="3">
        <f t="shared" si="32"/>
        <v>0.005</v>
      </c>
      <c r="AQ47" s="1">
        <f t="shared" si="33"/>
        <v>0.0165001378167525</v>
      </c>
      <c r="AR47" s="29">
        <f t="shared" si="34"/>
        <v>7.70910416666667</v>
      </c>
      <c r="AS47" s="1">
        <f t="shared" si="35"/>
        <v>0.155</v>
      </c>
      <c r="AT47" s="2">
        <f t="shared" si="36"/>
        <v>236.169808219178</v>
      </c>
      <c r="AU47" s="1">
        <f t="shared" si="37"/>
        <v>31197.684618863</v>
      </c>
    </row>
    <row r="48" s="1" customFormat="1" spans="1:47">
      <c r="A48" s="13"/>
      <c r="B48" s="13"/>
      <c r="C48" s="16">
        <v>6</v>
      </c>
      <c r="D48" s="19">
        <v>15.5238279843333</v>
      </c>
      <c r="E48" s="20">
        <f t="shared" si="38"/>
        <v>12.1614925472258</v>
      </c>
      <c r="F48" s="16" t="s">
        <v>110</v>
      </c>
      <c r="G48" s="13">
        <v>7</v>
      </c>
      <c r="H48" s="18">
        <f t="shared" si="21"/>
        <v>15.5238279843333</v>
      </c>
      <c r="I48" s="18">
        <f t="shared" si="22"/>
        <v>288.673827984333</v>
      </c>
      <c r="J48" s="18">
        <f t="shared" si="23"/>
        <v>0.118500075238292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0.228572698705362</v>
      </c>
      <c r="P48" s="18">
        <f t="shared" si="26"/>
        <v>0.0270858819940048</v>
      </c>
      <c r="Q48" s="24">
        <f t="shared" si="27"/>
        <v>0.00419831170907075</v>
      </c>
      <c r="R48" s="18">
        <f t="shared" si="28"/>
        <v>0.0119491114583333</v>
      </c>
      <c r="S48" s="25">
        <f t="shared" si="29"/>
        <v>0.351349280129347</v>
      </c>
      <c r="T48" s="3">
        <v>0.01</v>
      </c>
      <c r="U48" s="26">
        <f t="shared" si="30"/>
        <v>0.00351349280129347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0.0306134928012935</v>
      </c>
      <c r="AR48" s="29">
        <f t="shared" si="34"/>
        <v>7.70910416666667</v>
      </c>
      <c r="AS48" s="1">
        <f t="shared" si="35"/>
        <v>0.155</v>
      </c>
      <c r="AT48" s="2">
        <f t="shared" si="36"/>
        <v>236.169808219178</v>
      </c>
      <c r="AU48" s="1">
        <f t="shared" si="37"/>
        <v>57882.5525037075</v>
      </c>
    </row>
    <row r="49" s="1" customFormat="1" spans="1:47">
      <c r="A49" s="13"/>
      <c r="B49" s="13"/>
      <c r="C49" s="16">
        <v>7</v>
      </c>
      <c r="D49" s="19">
        <v>17.3010072190323</v>
      </c>
      <c r="E49" s="20">
        <f t="shared" si="38"/>
        <v>15.5238279843333</v>
      </c>
      <c r="F49" s="16" t="s">
        <v>110</v>
      </c>
      <c r="G49" s="13">
        <v>8</v>
      </c>
      <c r="H49" s="18">
        <f t="shared" si="21"/>
        <v>17.3010072190323</v>
      </c>
      <c r="I49" s="18">
        <f t="shared" si="22"/>
        <v>290.451007219032</v>
      </c>
      <c r="J49" s="18">
        <f t="shared" si="23"/>
        <v>0.14566262533111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0.278577858378024</v>
      </c>
      <c r="P49" s="18">
        <f t="shared" si="26"/>
        <v>0.0405783822104611</v>
      </c>
      <c r="Q49" s="24">
        <f t="shared" si="27"/>
        <v>0.00628964924262147</v>
      </c>
      <c r="R49" s="18">
        <f t="shared" si="28"/>
        <v>0.0119491114583333</v>
      </c>
      <c r="S49" s="25">
        <f t="shared" si="29"/>
        <v>0.526369618741405</v>
      </c>
      <c r="T49" s="3">
        <v>0.01</v>
      </c>
      <c r="U49" s="26">
        <f t="shared" si="30"/>
        <v>0.00526369618741405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0.032363696187414</v>
      </c>
      <c r="AR49" s="29">
        <f t="shared" si="34"/>
        <v>7.70910416666667</v>
      </c>
      <c r="AS49" s="1">
        <f t="shared" si="35"/>
        <v>0.155</v>
      </c>
      <c r="AT49" s="2">
        <f t="shared" si="36"/>
        <v>236.169808219178</v>
      </c>
      <c r="AU49" s="1">
        <f t="shared" si="37"/>
        <v>61191.7547579831</v>
      </c>
    </row>
    <row r="50" s="1" customFormat="1" spans="1:47">
      <c r="A50" s="13"/>
      <c r="B50" s="13"/>
      <c r="C50" s="16">
        <v>8</v>
      </c>
      <c r="D50" s="19">
        <v>17.9124538112903</v>
      </c>
      <c r="E50" s="20">
        <f t="shared" si="38"/>
        <v>17.3010072190323</v>
      </c>
      <c r="F50" s="16" t="s">
        <v>110</v>
      </c>
      <c r="G50" s="13">
        <v>9</v>
      </c>
      <c r="H50" s="18">
        <f t="shared" si="21"/>
        <v>17.9124538112903</v>
      </c>
      <c r="I50" s="18">
        <f t="shared" si="22"/>
        <v>291.06245381129</v>
      </c>
      <c r="J50" s="18">
        <f t="shared" si="23"/>
        <v>0.156290471949397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0.315090517834229</v>
      </c>
      <c r="P50" s="18">
        <f t="shared" si="26"/>
        <v>0.0492456457390916</v>
      </c>
      <c r="Q50" s="24">
        <f t="shared" si="27"/>
        <v>0.0076330750895592</v>
      </c>
      <c r="R50" s="18">
        <f t="shared" si="28"/>
        <v>0.0119491114583333</v>
      </c>
      <c r="S50" s="25">
        <f t="shared" si="29"/>
        <v>0.638798551354701</v>
      </c>
      <c r="T50" s="3">
        <v>0.01</v>
      </c>
      <c r="U50" s="26">
        <f t="shared" si="30"/>
        <v>0.00638798551354701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0.021187985513547</v>
      </c>
      <c r="AR50" s="29">
        <f t="shared" si="34"/>
        <v>7.70910416666667</v>
      </c>
      <c r="AS50" s="1">
        <f t="shared" si="35"/>
        <v>0.155</v>
      </c>
      <c r="AT50" s="2">
        <f t="shared" si="36"/>
        <v>236.169808219178</v>
      </c>
      <c r="AU50" s="1">
        <f t="shared" si="37"/>
        <v>40061.2465848347</v>
      </c>
    </row>
    <row r="51" s="1" customFormat="1" spans="1:47">
      <c r="A51" s="13"/>
      <c r="B51" s="13"/>
      <c r="C51" s="16">
        <v>9</v>
      </c>
      <c r="D51" s="19">
        <v>13.0204657115667</v>
      </c>
      <c r="E51" s="20">
        <f t="shared" si="38"/>
        <v>17.9124538112903</v>
      </c>
      <c r="F51" s="16" t="s">
        <v>110</v>
      </c>
      <c r="G51" s="13">
        <v>10</v>
      </c>
      <c r="H51" s="18">
        <f t="shared" si="21"/>
        <v>13.0204657115667</v>
      </c>
      <c r="I51" s="18">
        <f t="shared" si="22"/>
        <v>286.170465711567</v>
      </c>
      <c r="J51" s="18">
        <f t="shared" si="23"/>
        <v>0.088221941007691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0.342935913761804</v>
      </c>
      <c r="P51" s="18">
        <f t="shared" si="26"/>
        <v>0.0302544719533125</v>
      </c>
      <c r="Q51" s="24">
        <f t="shared" si="27"/>
        <v>0.00468944315276344</v>
      </c>
      <c r="R51" s="18">
        <f t="shared" si="28"/>
        <v>0.0119491114583333</v>
      </c>
      <c r="S51" s="25">
        <f t="shared" si="29"/>
        <v>0.392451201841708</v>
      </c>
      <c r="T51" s="3">
        <v>0.01</v>
      </c>
      <c r="U51" s="26">
        <f t="shared" si="30"/>
        <v>0.00392451201841708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0.0187245120184171</v>
      </c>
      <c r="AR51" s="29">
        <f t="shared" si="34"/>
        <v>7.70910416666667</v>
      </c>
      <c r="AS51" s="1">
        <f t="shared" si="35"/>
        <v>0.155</v>
      </c>
      <c r="AT51" s="2">
        <f t="shared" si="36"/>
        <v>236.169808219178</v>
      </c>
      <c r="AU51" s="1">
        <f t="shared" si="37"/>
        <v>35403.4267519626</v>
      </c>
    </row>
    <row r="52" s="1" customFormat="1" spans="1:47">
      <c r="A52" s="13"/>
      <c r="B52" s="13"/>
      <c r="C52" s="16">
        <v>10</v>
      </c>
      <c r="D52" s="19">
        <v>9.57947696609677</v>
      </c>
      <c r="E52" s="20">
        <f t="shared" si="38"/>
        <v>13.0204657115667</v>
      </c>
      <c r="F52" s="16" t="s">
        <v>110</v>
      </c>
      <c r="G52" s="13">
        <v>11</v>
      </c>
      <c r="H52" s="18">
        <f t="shared" si="21"/>
        <v>9.57947696609677</v>
      </c>
      <c r="I52" s="18">
        <f t="shared" si="22"/>
        <v>282.729476966097</v>
      </c>
      <c r="J52" s="18">
        <f t="shared" si="23"/>
        <v>0.0583090732651857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0.297047369718067</v>
      </c>
      <c r="O52" s="18">
        <f t="shared" si="39"/>
        <v>0.0927251137570913</v>
      </c>
      <c r="P52" s="18">
        <f t="shared" si="26"/>
        <v>0.00540671545158492</v>
      </c>
      <c r="Q52" s="24">
        <f t="shared" si="27"/>
        <v>0.000838040894995662</v>
      </c>
      <c r="R52" s="18">
        <f t="shared" si="28"/>
        <v>0.0119491114583333</v>
      </c>
      <c r="S52" s="25">
        <f t="shared" si="29"/>
        <v>0.0701341600099655</v>
      </c>
      <c r="T52" s="3">
        <v>0.01</v>
      </c>
      <c r="U52" s="26">
        <f t="shared" si="30"/>
        <v>0.000701341600099655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0.0155013416000997</v>
      </c>
      <c r="AR52" s="29">
        <f t="shared" si="34"/>
        <v>7.70910416666667</v>
      </c>
      <c r="AS52" s="1">
        <f t="shared" si="35"/>
        <v>0.155</v>
      </c>
      <c r="AT52" s="2">
        <f t="shared" si="36"/>
        <v>236.169808219178</v>
      </c>
      <c r="AU52" s="1">
        <f t="shared" si="37"/>
        <v>29309.2077035967</v>
      </c>
    </row>
    <row r="53" s="1" customFormat="1" spans="1:48">
      <c r="A53" s="13"/>
      <c r="B53" s="13"/>
      <c r="C53" s="16">
        <v>11</v>
      </c>
      <c r="D53" s="19">
        <v>3.8585371393</v>
      </c>
      <c r="E53" s="20">
        <f t="shared" si="38"/>
        <v>9.57947696609677</v>
      </c>
      <c r="F53" s="16" t="s">
        <v>112</v>
      </c>
      <c r="G53" s="13">
        <v>12</v>
      </c>
      <c r="H53" s="18">
        <f t="shared" si="21"/>
        <v>3.8585371393</v>
      </c>
      <c r="I53" s="18">
        <f t="shared" si="22"/>
        <v>277.0085371393</v>
      </c>
      <c r="J53" s="18">
        <f t="shared" si="23"/>
        <v>0.0286316641923964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0.164409439972173</v>
      </c>
      <c r="P53" s="18">
        <f t="shared" si="26"/>
        <v>0.00470731587534321</v>
      </c>
      <c r="Q53" s="24">
        <f t="shared" si="27"/>
        <v>0.000729633960678198</v>
      </c>
      <c r="R53" s="18">
        <f t="shared" si="28"/>
        <v>0.0119491114583333</v>
      </c>
      <c r="S53" s="25">
        <f t="shared" si="29"/>
        <v>0.0610617754485292</v>
      </c>
      <c r="T53" s="3">
        <v>0.01</v>
      </c>
      <c r="U53" s="26">
        <f t="shared" si="30"/>
        <v>0.000610617754485293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0.0154106177544853</v>
      </c>
      <c r="AR53" s="29">
        <f t="shared" si="34"/>
        <v>7.70910416666667</v>
      </c>
      <c r="AS53" s="1">
        <f t="shared" si="35"/>
        <v>0.155</v>
      </c>
      <c r="AT53" s="2">
        <f t="shared" si="36"/>
        <v>236.169808219178</v>
      </c>
      <c r="AU53" s="1">
        <f t="shared" si="37"/>
        <v>29137.6713228513</v>
      </c>
      <c r="AV53" s="1">
        <f>SUM(AU42:AU53)</f>
        <v>428283.372383667</v>
      </c>
    </row>
    <row r="54" s="1" customFormat="1" spans="1:46">
      <c r="A54" s="13"/>
      <c r="B54" s="13"/>
      <c r="C54" s="16">
        <v>12</v>
      </c>
      <c r="D54" s="19">
        <v>-0.327163529</v>
      </c>
      <c r="E54" s="20">
        <f t="shared" si="38"/>
        <v>3.8585371393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108.2955</v>
      </c>
      <c r="C58" s="16" t="s">
        <v>109</v>
      </c>
      <c r="D58" s="17">
        <v>-4</v>
      </c>
      <c r="E58" s="16"/>
      <c r="F58" s="16"/>
      <c r="G58" s="13">
        <v>1</v>
      </c>
      <c r="H58" s="18">
        <f t="shared" ref="H58:H69" si="40">E59</f>
        <v>-4</v>
      </c>
      <c r="I58" s="18">
        <f t="shared" ref="I58:I69" si="41">H58+273.15</f>
        <v>269.15</v>
      </c>
      <c r="J58" s="18">
        <f t="shared" ref="J58:J69" si="42">EXP(($C$16*(I58-$C$14))/($C$17*I58*$C$14))</f>
        <v>0.0102597002578668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110</v>
      </c>
      <c r="N58" s="13"/>
      <c r="O58" s="18">
        <f>L58</f>
        <v>2.43664875</v>
      </c>
      <c r="P58" s="18">
        <f t="shared" ref="P58:P69" si="45">O58*J58</f>
        <v>0.0249992858087058</v>
      </c>
      <c r="Q58" s="24">
        <f t="shared" ref="Q58:Q69" si="46">P58*$B$60</f>
        <v>0.0112496786139176</v>
      </c>
      <c r="R58" s="18">
        <f t="shared" ref="R58:R69" si="47">L58*$B$60</f>
        <v>1.0964919375</v>
      </c>
      <c r="S58" s="25">
        <f t="shared" ref="S58:S69" si="48">Q58/R58</f>
        <v>0.0102597002578668</v>
      </c>
      <c r="T58" s="3">
        <v>0.27</v>
      </c>
      <c r="U58" s="26">
        <f t="shared" ref="U58:U69" si="49">S58*T58</f>
        <v>0.00277011906962404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0.227235190899492</v>
      </c>
      <c r="AC58" s="29">
        <f t="shared" ref="AC58:AC69" si="51">$B$58/12</f>
        <v>9.024625</v>
      </c>
      <c r="AD58" s="1">
        <f t="shared" ref="AD58:AD69" si="52">$B$60</f>
        <v>0.45</v>
      </c>
      <c r="AE58" s="30">
        <f t="shared" ref="AE58:AE69" si="53">$E$7/12</f>
        <v>747.24863371774</v>
      </c>
      <c r="AF58" s="1">
        <f t="shared" ref="AF58:AF69" si="54">AE58*10000*AC58*AB58</f>
        <v>15323920.275937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-5.26111570596774</v>
      </c>
      <c r="E59" s="20">
        <f t="shared" ref="E59:E70" si="55">D58</f>
        <v>-4</v>
      </c>
      <c r="F59" s="16" t="s">
        <v>110</v>
      </c>
      <c r="G59" s="13">
        <v>2</v>
      </c>
      <c r="H59" s="18">
        <f t="shared" si="40"/>
        <v>-5.26111570596774</v>
      </c>
      <c r="I59" s="18">
        <f t="shared" si="41"/>
        <v>267.888884294032</v>
      </c>
      <c r="J59" s="18">
        <f t="shared" si="42"/>
        <v>0.00865312813943948</v>
      </c>
      <c r="K59" s="18">
        <f t="shared" si="43"/>
        <v>9.024625</v>
      </c>
      <c r="L59" s="18">
        <f t="shared" si="44"/>
        <v>2.43664875</v>
      </c>
      <c r="M59" s="13" t="s">
        <v>110</v>
      </c>
      <c r="N59" s="13"/>
      <c r="O59" s="18">
        <f t="shared" ref="O59:O69" si="56">L59+O58-P58-N59</f>
        <v>4.84829821419129</v>
      </c>
      <c r="P59" s="18">
        <f t="shared" si="45"/>
        <v>0.0419529457056129</v>
      </c>
      <c r="Q59" s="24">
        <f t="shared" si="46"/>
        <v>0.0188788255675258</v>
      </c>
      <c r="R59" s="18">
        <f t="shared" si="47"/>
        <v>1.0964919375</v>
      </c>
      <c r="S59" s="25">
        <f t="shared" si="48"/>
        <v>0.0172174777778754</v>
      </c>
      <c r="T59" s="3">
        <v>0.27</v>
      </c>
      <c r="U59" s="26">
        <f t="shared" si="49"/>
        <v>0.00464871900002636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0.227801588778508</v>
      </c>
      <c r="AC59" s="29">
        <f t="shared" si="51"/>
        <v>9.024625</v>
      </c>
      <c r="AD59" s="1">
        <f t="shared" si="52"/>
        <v>0.45</v>
      </c>
      <c r="AE59" s="30">
        <f t="shared" si="53"/>
        <v>747.24863371774</v>
      </c>
      <c r="AF59" s="1">
        <f t="shared" si="54"/>
        <v>15362116.1025083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0.45</v>
      </c>
      <c r="C60" s="16">
        <v>2</v>
      </c>
      <c r="D60" s="19">
        <v>-2.32269480486207</v>
      </c>
      <c r="E60" s="20">
        <f t="shared" si="55"/>
        <v>-5.26111570596774</v>
      </c>
      <c r="F60" s="16" t="s">
        <v>110</v>
      </c>
      <c r="G60" s="13">
        <v>3</v>
      </c>
      <c r="H60" s="18">
        <f t="shared" si="40"/>
        <v>-2.32269480486207</v>
      </c>
      <c r="I60" s="18">
        <f t="shared" si="41"/>
        <v>270.827305195138</v>
      </c>
      <c r="J60" s="18">
        <f t="shared" si="42"/>
        <v>0.0128362294712873</v>
      </c>
      <c r="K60" s="18">
        <f t="shared" si="43"/>
        <v>9.024625</v>
      </c>
      <c r="L60" s="18">
        <f t="shared" si="44"/>
        <v>2.43664875</v>
      </c>
      <c r="M60" s="13" t="s">
        <v>110</v>
      </c>
      <c r="N60" s="13"/>
      <c r="O60" s="18">
        <f t="shared" si="56"/>
        <v>7.24299401848568</v>
      </c>
      <c r="P60" s="18">
        <f t="shared" si="45"/>
        <v>0.0929727332804435</v>
      </c>
      <c r="Q60" s="24">
        <f t="shared" si="46"/>
        <v>0.0418377299761996</v>
      </c>
      <c r="R60" s="18">
        <f t="shared" si="47"/>
        <v>1.0964919375</v>
      </c>
      <c r="S60" s="25">
        <f t="shared" si="48"/>
        <v>0.0381559850513717</v>
      </c>
      <c r="T60" s="3">
        <v>0.27</v>
      </c>
      <c r="U60" s="26">
        <f t="shared" si="49"/>
        <v>0.0103021159638704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0.229506087963107</v>
      </c>
      <c r="AC60" s="29">
        <f t="shared" si="51"/>
        <v>9.024625</v>
      </c>
      <c r="AD60" s="1">
        <f t="shared" si="52"/>
        <v>0.45</v>
      </c>
      <c r="AE60" s="30">
        <f t="shared" si="53"/>
        <v>747.24863371774</v>
      </c>
      <c r="AF60" s="1">
        <f t="shared" si="54"/>
        <v>15477061.3691803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2.83422542858065</v>
      </c>
      <c r="E61" s="20">
        <f t="shared" si="55"/>
        <v>-2.32269480486207</v>
      </c>
      <c r="F61" s="16" t="s">
        <v>110</v>
      </c>
      <c r="G61" s="13">
        <v>4</v>
      </c>
      <c r="H61" s="18">
        <f t="shared" si="40"/>
        <v>2.83422542858065</v>
      </c>
      <c r="I61" s="18">
        <f t="shared" si="41"/>
        <v>275.984225428581</v>
      </c>
      <c r="J61" s="18">
        <f t="shared" si="42"/>
        <v>0.0251298231274614</v>
      </c>
      <c r="K61" s="18">
        <f t="shared" si="43"/>
        <v>9.024625</v>
      </c>
      <c r="L61" s="18">
        <f t="shared" si="44"/>
        <v>2.43664875</v>
      </c>
      <c r="M61" s="13" t="s">
        <v>110</v>
      </c>
      <c r="N61" s="13"/>
      <c r="O61" s="18">
        <f t="shared" si="56"/>
        <v>9.58667003520524</v>
      </c>
      <c r="P61" s="18">
        <f t="shared" si="45"/>
        <v>0.240911322366042</v>
      </c>
      <c r="Q61" s="24">
        <f t="shared" si="46"/>
        <v>0.108410095064719</v>
      </c>
      <c r="R61" s="18">
        <f t="shared" si="47"/>
        <v>1.0964919375</v>
      </c>
      <c r="S61" s="25">
        <f t="shared" si="48"/>
        <v>0.0988699427301706</v>
      </c>
      <c r="T61" s="3">
        <v>0.27</v>
      </c>
      <c r="U61" s="26">
        <f t="shared" si="49"/>
        <v>0.0266948845371461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0.23444850768795</v>
      </c>
      <c r="AC61" s="29">
        <f t="shared" si="51"/>
        <v>9.024625</v>
      </c>
      <c r="AD61" s="1">
        <f t="shared" si="52"/>
        <v>0.45</v>
      </c>
      <c r="AE61" s="30">
        <f t="shared" si="53"/>
        <v>747.24863371774</v>
      </c>
      <c r="AF61" s="1">
        <f t="shared" si="54"/>
        <v>15810360.2985138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7.93209727513333</v>
      </c>
      <c r="E62" s="20">
        <f t="shared" si="55"/>
        <v>2.83422542858065</v>
      </c>
      <c r="F62" s="16" t="s">
        <v>110</v>
      </c>
      <c r="G62" s="13">
        <v>5</v>
      </c>
      <c r="H62" s="18">
        <f t="shared" si="40"/>
        <v>7.93209727513333</v>
      </c>
      <c r="I62" s="18">
        <f t="shared" si="41"/>
        <v>281.082097275133</v>
      </c>
      <c r="J62" s="18">
        <f t="shared" si="42"/>
        <v>0.0476517168627993</v>
      </c>
      <c r="K62" s="18">
        <f t="shared" si="43"/>
        <v>9.024625</v>
      </c>
      <c r="L62" s="18">
        <f t="shared" si="44"/>
        <v>2.43664875</v>
      </c>
      <c r="M62" s="13" t="s">
        <v>112</v>
      </c>
      <c r="N62" s="18">
        <f>(O61-P61)*$C$22/100</f>
        <v>8.87847077719724</v>
      </c>
      <c r="O62" s="18">
        <f t="shared" si="56"/>
        <v>2.90393668564196</v>
      </c>
      <c r="P62" s="18">
        <f t="shared" si="45"/>
        <v>0.138377568731706</v>
      </c>
      <c r="Q62" s="24">
        <f t="shared" si="46"/>
        <v>0.0622699059292679</v>
      </c>
      <c r="R62" s="18">
        <f t="shared" si="47"/>
        <v>1.0964919375</v>
      </c>
      <c r="S62" s="25">
        <f t="shared" si="48"/>
        <v>0.0567901174642863</v>
      </c>
      <c r="T62" s="3">
        <v>0.27</v>
      </c>
      <c r="U62" s="26">
        <f t="shared" si="49"/>
        <v>0.0153333317153573</v>
      </c>
      <c r="V62" s="3">
        <v>180.9</v>
      </c>
      <c r="W62" s="27">
        <v>6</v>
      </c>
      <c r="X62" s="27">
        <v>3</v>
      </c>
      <c r="Y62" s="27">
        <v>0.3</v>
      </c>
      <c r="Z62" s="27">
        <v>6</v>
      </c>
      <c r="AA62" s="3">
        <v>30.2</v>
      </c>
      <c r="AB62" s="2">
        <f t="shared" si="50"/>
        <v>0.23102299951218</v>
      </c>
      <c r="AC62" s="29">
        <f t="shared" si="51"/>
        <v>9.024625</v>
      </c>
      <c r="AD62" s="1">
        <f t="shared" si="52"/>
        <v>0.45</v>
      </c>
      <c r="AE62" s="30">
        <f t="shared" si="53"/>
        <v>747.24863371774</v>
      </c>
      <c r="AF62" s="1">
        <f t="shared" si="54"/>
        <v>15579356.4034645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12.1614925472258</v>
      </c>
      <c r="E63" s="20">
        <f t="shared" si="55"/>
        <v>7.93209727513333</v>
      </c>
      <c r="F63" s="16" t="s">
        <v>112</v>
      </c>
      <c r="G63" s="13">
        <v>6</v>
      </c>
      <c r="H63" s="18">
        <f t="shared" si="40"/>
        <v>12.1614925472258</v>
      </c>
      <c r="I63" s="18">
        <f t="shared" si="41"/>
        <v>285.311492547226</v>
      </c>
      <c r="J63" s="18">
        <f t="shared" si="42"/>
        <v>0.0796323175082618</v>
      </c>
      <c r="K63" s="18">
        <f t="shared" si="43"/>
        <v>9.024625</v>
      </c>
      <c r="L63" s="18">
        <f t="shared" si="44"/>
        <v>2.43664875</v>
      </c>
      <c r="M63" s="13" t="s">
        <v>110</v>
      </c>
      <c r="N63" s="13"/>
      <c r="O63" s="18">
        <f t="shared" si="56"/>
        <v>5.20220786691025</v>
      </c>
      <c r="P63" s="18">
        <f t="shared" si="45"/>
        <v>0.414263868601775</v>
      </c>
      <c r="Q63" s="24">
        <f t="shared" si="46"/>
        <v>0.186418740870799</v>
      </c>
      <c r="R63" s="18">
        <f t="shared" si="47"/>
        <v>1.0964919375</v>
      </c>
      <c r="S63" s="25">
        <f t="shared" si="48"/>
        <v>0.170013781675252</v>
      </c>
      <c r="T63" s="3">
        <v>0.27</v>
      </c>
      <c r="U63" s="26">
        <f t="shared" si="49"/>
        <v>0.0459037210523179</v>
      </c>
      <c r="V63" s="3">
        <v>180.9</v>
      </c>
      <c r="W63" s="27">
        <v>6</v>
      </c>
      <c r="X63" s="27">
        <v>3</v>
      </c>
      <c r="Y63" s="27">
        <v>0.3</v>
      </c>
      <c r="Z63" s="27">
        <v>6</v>
      </c>
      <c r="AA63" s="3">
        <v>30.2</v>
      </c>
      <c r="AB63" s="2">
        <f t="shared" si="50"/>
        <v>0.240239971897274</v>
      </c>
      <c r="AC63" s="29">
        <f t="shared" si="51"/>
        <v>9.024625</v>
      </c>
      <c r="AD63" s="1">
        <f t="shared" si="52"/>
        <v>0.45</v>
      </c>
      <c r="AE63" s="30">
        <f t="shared" si="53"/>
        <v>747.24863371774</v>
      </c>
      <c r="AF63" s="1">
        <f t="shared" si="54"/>
        <v>16200915.7202921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15.5238279843333</v>
      </c>
      <c r="E64" s="20">
        <f t="shared" si="55"/>
        <v>12.1614925472258</v>
      </c>
      <c r="F64" s="16" t="s">
        <v>110</v>
      </c>
      <c r="G64" s="13">
        <v>7</v>
      </c>
      <c r="H64" s="18">
        <f t="shared" si="40"/>
        <v>15.5238279843333</v>
      </c>
      <c r="I64" s="18">
        <f t="shared" si="41"/>
        <v>288.673827984333</v>
      </c>
      <c r="J64" s="18">
        <f t="shared" si="42"/>
        <v>0.118500075238292</v>
      </c>
      <c r="K64" s="18">
        <f t="shared" si="43"/>
        <v>9.024625</v>
      </c>
      <c r="L64" s="18">
        <f t="shared" si="44"/>
        <v>2.43664875</v>
      </c>
      <c r="M64" s="13" t="s">
        <v>110</v>
      </c>
      <c r="N64" s="13"/>
      <c r="O64" s="18">
        <f t="shared" si="56"/>
        <v>7.22459274830848</v>
      </c>
      <c r="P64" s="18">
        <f t="shared" si="45"/>
        <v>0.856114784240573</v>
      </c>
      <c r="Q64" s="24">
        <f t="shared" si="46"/>
        <v>0.385251652908258</v>
      </c>
      <c r="R64" s="18">
        <f t="shared" si="47"/>
        <v>1.0964919375</v>
      </c>
      <c r="S64" s="25">
        <f t="shared" si="48"/>
        <v>0.351349280129347</v>
      </c>
      <c r="T64" s="3">
        <v>0.27</v>
      </c>
      <c r="U64" s="26">
        <f t="shared" si="49"/>
        <v>0.0948643056349237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0.319001588148929</v>
      </c>
      <c r="AC64" s="29">
        <f t="shared" si="51"/>
        <v>9.024625</v>
      </c>
      <c r="AD64" s="1">
        <f t="shared" si="52"/>
        <v>0.45</v>
      </c>
      <c r="AE64" s="30">
        <f t="shared" si="53"/>
        <v>747.24863371774</v>
      </c>
      <c r="AF64" s="1">
        <f t="shared" si="54"/>
        <v>21512314.5554231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17.3010072190323</v>
      </c>
      <c r="E65" s="20">
        <f t="shared" si="55"/>
        <v>15.5238279843333</v>
      </c>
      <c r="F65" s="16" t="s">
        <v>110</v>
      </c>
      <c r="G65" s="13">
        <v>8</v>
      </c>
      <c r="H65" s="18">
        <f t="shared" si="40"/>
        <v>17.3010072190323</v>
      </c>
      <c r="I65" s="18">
        <f t="shared" si="41"/>
        <v>290.451007219032</v>
      </c>
      <c r="J65" s="18">
        <f t="shared" si="42"/>
        <v>0.14566262533111</v>
      </c>
      <c r="K65" s="18">
        <f t="shared" si="43"/>
        <v>9.024625</v>
      </c>
      <c r="L65" s="18">
        <f t="shared" si="44"/>
        <v>2.43664875</v>
      </c>
      <c r="M65" s="13" t="s">
        <v>110</v>
      </c>
      <c r="N65" s="13"/>
      <c r="O65" s="18">
        <f t="shared" si="56"/>
        <v>8.8051267140679</v>
      </c>
      <c r="P65" s="18">
        <f t="shared" si="45"/>
        <v>1.28257787354422</v>
      </c>
      <c r="Q65" s="24">
        <f t="shared" si="46"/>
        <v>0.577160043094899</v>
      </c>
      <c r="R65" s="18">
        <f t="shared" si="47"/>
        <v>1.0964919375</v>
      </c>
      <c r="S65" s="25">
        <f t="shared" si="48"/>
        <v>0.526369618741405</v>
      </c>
      <c r="T65" s="3">
        <v>0.27</v>
      </c>
      <c r="U65" s="26">
        <f t="shared" si="49"/>
        <v>0.142119797060179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0.333249118813644</v>
      </c>
      <c r="AC65" s="29">
        <f t="shared" si="51"/>
        <v>9.024625</v>
      </c>
      <c r="AD65" s="1">
        <f t="shared" si="52"/>
        <v>0.45</v>
      </c>
      <c r="AE65" s="30">
        <f t="shared" si="53"/>
        <v>747.24863371774</v>
      </c>
      <c r="AF65" s="1">
        <f t="shared" si="54"/>
        <v>22473116.5472749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17.9124538112903</v>
      </c>
      <c r="E66" s="20">
        <f t="shared" si="55"/>
        <v>17.3010072190323</v>
      </c>
      <c r="F66" s="16" t="s">
        <v>110</v>
      </c>
      <c r="G66" s="13">
        <v>9</v>
      </c>
      <c r="H66" s="18">
        <f t="shared" si="40"/>
        <v>17.9124538112903</v>
      </c>
      <c r="I66" s="18">
        <f t="shared" si="41"/>
        <v>291.06245381129</v>
      </c>
      <c r="J66" s="18">
        <f t="shared" si="42"/>
        <v>0.156290471949397</v>
      </c>
      <c r="K66" s="18">
        <f t="shared" si="43"/>
        <v>9.024625</v>
      </c>
      <c r="L66" s="18">
        <f t="shared" si="44"/>
        <v>2.43664875</v>
      </c>
      <c r="M66" s="13" t="s">
        <v>110</v>
      </c>
      <c r="N66" s="13"/>
      <c r="O66" s="18">
        <f t="shared" si="56"/>
        <v>9.95919759052368</v>
      </c>
      <c r="P66" s="18">
        <f t="shared" si="45"/>
        <v>1.55652769166024</v>
      </c>
      <c r="Q66" s="24">
        <f t="shared" si="46"/>
        <v>0.70043746124711</v>
      </c>
      <c r="R66" s="18">
        <f t="shared" si="47"/>
        <v>1.0964919375</v>
      </c>
      <c r="S66" s="25">
        <f t="shared" si="48"/>
        <v>0.638798551354701</v>
      </c>
      <c r="T66" s="3">
        <v>0.27</v>
      </c>
      <c r="U66" s="26">
        <f t="shared" si="49"/>
        <v>0.172475608865769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0.278401396073029</v>
      </c>
      <c r="AC66" s="29">
        <f t="shared" si="51"/>
        <v>9.024625</v>
      </c>
      <c r="AD66" s="1">
        <f t="shared" si="52"/>
        <v>0.45</v>
      </c>
      <c r="AE66" s="30">
        <f t="shared" si="53"/>
        <v>747.24863371774</v>
      </c>
      <c r="AF66" s="1">
        <f t="shared" si="54"/>
        <v>18774384.289886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13.0204657115667</v>
      </c>
      <c r="E67" s="20">
        <f t="shared" si="55"/>
        <v>17.9124538112903</v>
      </c>
      <c r="F67" s="16" t="s">
        <v>110</v>
      </c>
      <c r="G67" s="13">
        <v>10</v>
      </c>
      <c r="H67" s="18">
        <f t="shared" si="40"/>
        <v>13.0204657115667</v>
      </c>
      <c r="I67" s="18">
        <f t="shared" si="41"/>
        <v>286.170465711567</v>
      </c>
      <c r="J67" s="18">
        <f t="shared" si="42"/>
        <v>0.088221941007691</v>
      </c>
      <c r="K67" s="18">
        <f t="shared" si="43"/>
        <v>9.024625</v>
      </c>
      <c r="L67" s="18">
        <f t="shared" si="44"/>
        <v>2.43664875</v>
      </c>
      <c r="M67" s="13" t="s">
        <v>110</v>
      </c>
      <c r="N67" s="13"/>
      <c r="O67" s="18">
        <f t="shared" si="56"/>
        <v>10.8393186488634</v>
      </c>
      <c r="P67" s="18">
        <f t="shared" si="45"/>
        <v>0.956265730403595</v>
      </c>
      <c r="Q67" s="24">
        <f t="shared" si="46"/>
        <v>0.430319578681618</v>
      </c>
      <c r="R67" s="18">
        <f t="shared" si="47"/>
        <v>1.0964919375</v>
      </c>
      <c r="S67" s="25">
        <f t="shared" si="48"/>
        <v>0.392451201841708</v>
      </c>
      <c r="T67" s="3">
        <v>0.27</v>
      </c>
      <c r="U67" s="26">
        <f t="shared" si="49"/>
        <v>0.105961824497261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0.258347490085924</v>
      </c>
      <c r="AC67" s="29">
        <f t="shared" si="51"/>
        <v>9.024625</v>
      </c>
      <c r="AD67" s="1">
        <f t="shared" si="52"/>
        <v>0.45</v>
      </c>
      <c r="AE67" s="30">
        <f t="shared" si="53"/>
        <v>747.24863371774</v>
      </c>
      <c r="AF67" s="1">
        <f t="shared" si="54"/>
        <v>17422021.3246644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9.57947696609677</v>
      </c>
      <c r="E68" s="20">
        <f t="shared" si="55"/>
        <v>13.0204657115667</v>
      </c>
      <c r="F68" s="16" t="s">
        <v>110</v>
      </c>
      <c r="G68" s="13">
        <v>11</v>
      </c>
      <c r="H68" s="18">
        <f t="shared" si="40"/>
        <v>9.57947696609677</v>
      </c>
      <c r="I68" s="18">
        <f t="shared" si="41"/>
        <v>282.729476966097</v>
      </c>
      <c r="J68" s="18">
        <f t="shared" si="42"/>
        <v>0.0583090732651857</v>
      </c>
      <c r="K68" s="18">
        <f t="shared" si="43"/>
        <v>9.024625</v>
      </c>
      <c r="L68" s="18">
        <f t="shared" si="44"/>
        <v>2.43664875</v>
      </c>
      <c r="M68" s="13" t="s">
        <v>112</v>
      </c>
      <c r="N68" s="18">
        <f>(O67-P67)*$C$22/100</f>
        <v>9.38890027253685</v>
      </c>
      <c r="O68" s="18">
        <f t="shared" si="56"/>
        <v>2.93080139592299</v>
      </c>
      <c r="P68" s="18">
        <f t="shared" si="45"/>
        <v>0.170892313320582</v>
      </c>
      <c r="Q68" s="24">
        <f t="shared" si="46"/>
        <v>0.0769015409942621</v>
      </c>
      <c r="R68" s="18">
        <f t="shared" si="47"/>
        <v>1.0964919375</v>
      </c>
      <c r="S68" s="25">
        <f t="shared" si="48"/>
        <v>0.0701341600099655</v>
      </c>
      <c r="T68" s="3">
        <v>0.27</v>
      </c>
      <c r="U68" s="26">
        <f t="shared" si="49"/>
        <v>0.0189362232026907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0.232109271295611</v>
      </c>
      <c r="AC68" s="29">
        <f t="shared" si="51"/>
        <v>9.024625</v>
      </c>
      <c r="AD68" s="1">
        <f t="shared" si="52"/>
        <v>0.45</v>
      </c>
      <c r="AE68" s="30">
        <f t="shared" si="53"/>
        <v>747.24863371774</v>
      </c>
      <c r="AF68" s="1">
        <f t="shared" si="54"/>
        <v>15652610.6478507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3.8585371393</v>
      </c>
      <c r="E69" s="20">
        <f t="shared" si="55"/>
        <v>9.57947696609677</v>
      </c>
      <c r="F69" s="16" t="s">
        <v>112</v>
      </c>
      <c r="G69" s="13">
        <v>12</v>
      </c>
      <c r="H69" s="18">
        <f t="shared" si="40"/>
        <v>3.8585371393</v>
      </c>
      <c r="I69" s="18">
        <f t="shared" si="41"/>
        <v>277.0085371393</v>
      </c>
      <c r="J69" s="18">
        <f t="shared" si="42"/>
        <v>0.0286316641923964</v>
      </c>
      <c r="K69" s="18">
        <f t="shared" si="43"/>
        <v>9.024625</v>
      </c>
      <c r="L69" s="18">
        <f t="shared" si="44"/>
        <v>2.43664875</v>
      </c>
      <c r="M69" s="13" t="s">
        <v>110</v>
      </c>
      <c r="N69" s="13"/>
      <c r="O69" s="18">
        <f t="shared" si="56"/>
        <v>5.19655783260241</v>
      </c>
      <c r="P69" s="18">
        <f t="shared" si="45"/>
        <v>0.148786098819439</v>
      </c>
      <c r="Q69" s="24">
        <f t="shared" si="46"/>
        <v>0.0669537444687478</v>
      </c>
      <c r="R69" s="18">
        <f t="shared" si="47"/>
        <v>1.0964919375</v>
      </c>
      <c r="S69" s="25">
        <f t="shared" si="48"/>
        <v>0.0610617754485292</v>
      </c>
      <c r="T69" s="3">
        <v>0.27</v>
      </c>
      <c r="U69" s="26">
        <f t="shared" si="49"/>
        <v>0.0164866793711029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0.231370733830388</v>
      </c>
      <c r="AC69" s="29">
        <f t="shared" si="51"/>
        <v>9.024625</v>
      </c>
      <c r="AD69" s="1">
        <f t="shared" si="52"/>
        <v>0.45</v>
      </c>
      <c r="AE69" s="30">
        <f t="shared" si="53"/>
        <v>747.24863371774</v>
      </c>
      <c r="AF69" s="1">
        <f t="shared" si="54"/>
        <v>15602806.349524</v>
      </c>
      <c r="AG69" s="1">
        <f>SUM(AF58:AF69)</f>
        <v>205190983.884519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-0.327163529</v>
      </c>
      <c r="E70" s="20">
        <f t="shared" si="55"/>
        <v>3.8585371393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-4</v>
      </c>
      <c r="E74" s="16"/>
      <c r="F74" s="16"/>
      <c r="G74" s="13">
        <v>1</v>
      </c>
      <c r="H74" s="18">
        <f t="shared" ref="H74:H85" si="57">E75</f>
        <v>-4</v>
      </c>
      <c r="I74" s="18">
        <f t="shared" ref="I74:I85" si="58">H74+273.15</f>
        <v>269.15</v>
      </c>
      <c r="J74" s="18">
        <f t="shared" ref="J74:J85" si="59">EXP(($C$16*(I74-$C$14))/($C$17*I74*$C$14))</f>
        <v>0.0102597002578668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0.00534756096840533</v>
      </c>
      <c r="Q74" s="24">
        <f t="shared" ref="Q74:Q85" si="63">P74*$B$76</f>
        <v>0.0016042682905216</v>
      </c>
      <c r="R74" s="18">
        <f t="shared" ref="R74:R85" si="64">L74*$B$76</f>
        <v>0.156366</v>
      </c>
      <c r="S74" s="25">
        <f t="shared" ref="S74:S85" si="65">Q74/R74</f>
        <v>0.0102597002578668</v>
      </c>
      <c r="T74" s="3">
        <v>0.01</v>
      </c>
      <c r="U74" s="26">
        <f t="shared" ref="U74:U85" si="66">S74*T74</f>
        <v>0.000102597002578668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0.00559259700257867</v>
      </c>
      <c r="AU74" s="29">
        <f t="shared" ref="AU74:AU85" si="70">$B$74/12</f>
        <v>52.122</v>
      </c>
      <c r="AV74" s="1">
        <f t="shared" ref="AV74:AV85" si="71">$B$76</f>
        <v>0.3</v>
      </c>
      <c r="AW74" s="2">
        <f t="shared" ref="AW74:AW85" si="72">$E$8</f>
        <v>76.3106131512798</v>
      </c>
      <c r="AX74" s="1">
        <f t="shared" ref="AX74:AX85" si="73">AW74*10000*AV74*0.67*AU74*AT74</f>
        <v>44711.125050746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-5.26111570596774</v>
      </c>
      <c r="E75" s="20">
        <f t="shared" ref="E75:E86" si="74">D74</f>
        <v>-4</v>
      </c>
      <c r="F75" s="16" t="s">
        <v>110</v>
      </c>
      <c r="G75" s="13">
        <v>2</v>
      </c>
      <c r="H75" s="18">
        <f t="shared" si="57"/>
        <v>-5.26111570596774</v>
      </c>
      <c r="I75" s="18">
        <f t="shared" si="58"/>
        <v>267.888884294032</v>
      </c>
      <c r="J75" s="18">
        <f t="shared" si="59"/>
        <v>0.00865312813943948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1.03709243903159</v>
      </c>
      <c r="P75" s="18">
        <f t="shared" si="62"/>
        <v>0.00897409376738422</v>
      </c>
      <c r="Q75" s="24">
        <f t="shared" si="63"/>
        <v>0.00269222813021526</v>
      </c>
      <c r="R75" s="18">
        <f t="shared" si="64"/>
        <v>0.156366</v>
      </c>
      <c r="S75" s="25">
        <f t="shared" si="65"/>
        <v>0.0172174777778754</v>
      </c>
      <c r="T75" s="3">
        <v>0.01</v>
      </c>
      <c r="U75" s="26">
        <f t="shared" si="66"/>
        <v>0.000172174777778754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0.00566217477777875</v>
      </c>
      <c r="AU75" s="29">
        <f t="shared" si="70"/>
        <v>52.122</v>
      </c>
      <c r="AV75" s="1">
        <f t="shared" si="71"/>
        <v>0.3</v>
      </c>
      <c r="AW75" s="2">
        <f t="shared" si="72"/>
        <v>76.3106131512798</v>
      </c>
      <c r="AX75" s="1">
        <f t="shared" si="73"/>
        <v>45267.3783631677</v>
      </c>
    </row>
    <row r="76" s="1" customFormat="1" spans="1:50">
      <c r="A76" s="13" t="s">
        <v>73</v>
      </c>
      <c r="B76" s="13">
        <f>H8</f>
        <v>0.3</v>
      </c>
      <c r="C76" s="16">
        <v>2</v>
      </c>
      <c r="D76" s="19">
        <v>-2.32269480486207</v>
      </c>
      <c r="E76" s="20">
        <f t="shared" si="74"/>
        <v>-5.26111570596774</v>
      </c>
      <c r="F76" s="16" t="s">
        <v>110</v>
      </c>
      <c r="G76" s="13">
        <v>3</v>
      </c>
      <c r="H76" s="18">
        <f t="shared" si="57"/>
        <v>-2.32269480486207</v>
      </c>
      <c r="I76" s="18">
        <f t="shared" si="58"/>
        <v>270.827305195138</v>
      </c>
      <c r="J76" s="18">
        <f t="shared" si="59"/>
        <v>0.0128362294712873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1.54933834526421</v>
      </c>
      <c r="P76" s="18">
        <f t="shared" si="62"/>
        <v>0.019887662528476</v>
      </c>
      <c r="Q76" s="24">
        <f t="shared" si="63"/>
        <v>0.00596629875854279</v>
      </c>
      <c r="R76" s="18">
        <f t="shared" si="64"/>
        <v>0.156366</v>
      </c>
      <c r="S76" s="25">
        <f t="shared" si="65"/>
        <v>0.0381559850513717</v>
      </c>
      <c r="T76" s="3">
        <v>0.01</v>
      </c>
      <c r="U76" s="26">
        <f t="shared" si="66"/>
        <v>0.000381559850513717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0.00587155985051372</v>
      </c>
      <c r="AU76" s="29">
        <f t="shared" si="70"/>
        <v>52.122</v>
      </c>
      <c r="AV76" s="1">
        <f t="shared" si="71"/>
        <v>0.3</v>
      </c>
      <c r="AW76" s="2">
        <f t="shared" si="72"/>
        <v>76.3106131512798</v>
      </c>
      <c r="AX76" s="1">
        <f t="shared" si="73"/>
        <v>46941.3488220611</v>
      </c>
    </row>
    <row r="77" s="1" customFormat="1" spans="1:50">
      <c r="A77" s="13"/>
      <c r="B77" s="13"/>
      <c r="C77" s="16">
        <v>3</v>
      </c>
      <c r="D77" s="19">
        <v>2.83422542858065</v>
      </c>
      <c r="E77" s="20">
        <f t="shared" si="74"/>
        <v>-2.32269480486207</v>
      </c>
      <c r="F77" s="16" t="s">
        <v>110</v>
      </c>
      <c r="G77" s="13">
        <v>4</v>
      </c>
      <c r="H77" s="18">
        <f t="shared" si="57"/>
        <v>2.83422542858065</v>
      </c>
      <c r="I77" s="18">
        <f t="shared" si="58"/>
        <v>275.984225428581</v>
      </c>
      <c r="J77" s="18">
        <f t="shared" si="59"/>
        <v>0.0251298231274614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2.05067068273573</v>
      </c>
      <c r="P77" s="18">
        <f t="shared" si="62"/>
        <v>0.0515329915498195</v>
      </c>
      <c r="Q77" s="24">
        <f t="shared" si="63"/>
        <v>0.0154598974649459</v>
      </c>
      <c r="R77" s="18">
        <f t="shared" si="64"/>
        <v>0.156366</v>
      </c>
      <c r="S77" s="25">
        <f t="shared" si="65"/>
        <v>0.0988699427301706</v>
      </c>
      <c r="T77" s="3">
        <v>0.01</v>
      </c>
      <c r="U77" s="26">
        <f t="shared" si="66"/>
        <v>0.000988699427301706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0.00647869942730171</v>
      </c>
      <c r="AU77" s="29">
        <f t="shared" si="70"/>
        <v>52.122</v>
      </c>
      <c r="AV77" s="1">
        <f t="shared" si="71"/>
        <v>0.3</v>
      </c>
      <c r="AW77" s="2">
        <f t="shared" si="72"/>
        <v>76.3106131512798</v>
      </c>
      <c r="AX77" s="1">
        <f t="shared" si="73"/>
        <v>51795.2464886564</v>
      </c>
    </row>
    <row r="78" s="1" customFormat="1" spans="1:50">
      <c r="A78" s="13"/>
      <c r="B78" s="13"/>
      <c r="C78" s="16">
        <v>4</v>
      </c>
      <c r="D78" s="19">
        <v>7.93209727513333</v>
      </c>
      <c r="E78" s="20">
        <f t="shared" si="74"/>
        <v>2.83422542858065</v>
      </c>
      <c r="F78" s="16" t="s">
        <v>110</v>
      </c>
      <c r="G78" s="13">
        <v>5</v>
      </c>
      <c r="H78" s="18">
        <f t="shared" si="57"/>
        <v>7.93209727513333</v>
      </c>
      <c r="I78" s="18">
        <f t="shared" si="58"/>
        <v>281.082097275133</v>
      </c>
      <c r="J78" s="18">
        <f t="shared" si="59"/>
        <v>0.0476517168627993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1.89918080662662</v>
      </c>
      <c r="O78" s="18">
        <f t="shared" si="75"/>
        <v>0.621176884559296</v>
      </c>
      <c r="P78" s="18">
        <f t="shared" si="62"/>
        <v>0.0296001450247353</v>
      </c>
      <c r="Q78" s="24">
        <f t="shared" si="63"/>
        <v>0.0088800435074206</v>
      </c>
      <c r="R78" s="18">
        <f t="shared" si="64"/>
        <v>0.156366</v>
      </c>
      <c r="S78" s="25">
        <f t="shared" si="65"/>
        <v>0.0567901174642863</v>
      </c>
      <c r="T78" s="3">
        <v>0.01</v>
      </c>
      <c r="U78" s="26">
        <f t="shared" si="66"/>
        <v>0.000567901174642863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0.001</v>
      </c>
      <c r="AF78" s="3">
        <v>0.49</v>
      </c>
      <c r="AG78" s="26">
        <f t="shared" si="67"/>
        <v>0.00049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</v>
      </c>
      <c r="AR78" s="3">
        <v>0.5</v>
      </c>
      <c r="AS78" s="3">
        <f t="shared" si="68"/>
        <v>0.005</v>
      </c>
      <c r="AT78" s="2">
        <f t="shared" si="69"/>
        <v>0.00605790117464286</v>
      </c>
      <c r="AU78" s="29">
        <f t="shared" si="70"/>
        <v>52.122</v>
      </c>
      <c r="AV78" s="1">
        <f t="shared" si="71"/>
        <v>0.3</v>
      </c>
      <c r="AW78" s="2">
        <f t="shared" si="72"/>
        <v>76.3106131512798</v>
      </c>
      <c r="AX78" s="1">
        <f t="shared" si="73"/>
        <v>48431.0914660275</v>
      </c>
    </row>
    <row r="79" s="1" customFormat="1" spans="1:50">
      <c r="A79" s="13"/>
      <c r="B79" s="13"/>
      <c r="C79" s="16">
        <v>5</v>
      </c>
      <c r="D79" s="19">
        <v>12.1614925472258</v>
      </c>
      <c r="E79" s="20">
        <f t="shared" si="74"/>
        <v>7.93209727513333</v>
      </c>
      <c r="F79" s="16" t="s">
        <v>112</v>
      </c>
      <c r="G79" s="13">
        <v>6</v>
      </c>
      <c r="H79" s="18">
        <f t="shared" si="57"/>
        <v>12.1614925472258</v>
      </c>
      <c r="I79" s="18">
        <f t="shared" si="58"/>
        <v>285.311492547226</v>
      </c>
      <c r="J79" s="18">
        <f t="shared" si="59"/>
        <v>0.0796323175082618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1.11279673953456</v>
      </c>
      <c r="P79" s="18">
        <f t="shared" si="62"/>
        <v>0.0886145832847746</v>
      </c>
      <c r="Q79" s="24">
        <f t="shared" si="63"/>
        <v>0.0265843749854324</v>
      </c>
      <c r="R79" s="18">
        <f t="shared" si="64"/>
        <v>0.156366</v>
      </c>
      <c r="S79" s="25">
        <f t="shared" si="65"/>
        <v>0.170013781675252</v>
      </c>
      <c r="T79" s="3">
        <v>0.01</v>
      </c>
      <c r="U79" s="26">
        <f t="shared" si="66"/>
        <v>0.00170013781675252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0.001</v>
      </c>
      <c r="AF79" s="3">
        <v>0.49</v>
      </c>
      <c r="AG79" s="26">
        <f t="shared" si="67"/>
        <v>0.00049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</v>
      </c>
      <c r="AR79" s="3">
        <v>0.5</v>
      </c>
      <c r="AS79" s="3">
        <f t="shared" si="68"/>
        <v>0.005</v>
      </c>
      <c r="AT79" s="2">
        <f t="shared" si="69"/>
        <v>0.00719013781675252</v>
      </c>
      <c r="AU79" s="29">
        <f t="shared" si="70"/>
        <v>52.122</v>
      </c>
      <c r="AV79" s="1">
        <f t="shared" si="71"/>
        <v>0.3</v>
      </c>
      <c r="AW79" s="2">
        <f t="shared" si="72"/>
        <v>76.3106131512798</v>
      </c>
      <c r="AX79" s="1">
        <f t="shared" si="73"/>
        <v>57482.9816825154</v>
      </c>
    </row>
    <row r="80" s="1" customFormat="1" spans="1:50">
      <c r="A80" s="13"/>
      <c r="B80" s="13"/>
      <c r="C80" s="16">
        <v>6</v>
      </c>
      <c r="D80" s="19">
        <v>15.5238279843333</v>
      </c>
      <c r="E80" s="20">
        <f t="shared" si="74"/>
        <v>12.1614925472258</v>
      </c>
      <c r="F80" s="16" t="s">
        <v>110</v>
      </c>
      <c r="G80" s="13">
        <v>7</v>
      </c>
      <c r="H80" s="18">
        <f t="shared" si="57"/>
        <v>15.5238279843333</v>
      </c>
      <c r="I80" s="18">
        <f t="shared" si="58"/>
        <v>288.673827984333</v>
      </c>
      <c r="J80" s="18">
        <f t="shared" si="59"/>
        <v>0.118500075238292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1.54540215624979</v>
      </c>
      <c r="P80" s="18">
        <f t="shared" si="62"/>
        <v>0.183130271789018</v>
      </c>
      <c r="Q80" s="24">
        <f t="shared" si="63"/>
        <v>0.0549390815367055</v>
      </c>
      <c r="R80" s="18">
        <f t="shared" si="64"/>
        <v>0.156366</v>
      </c>
      <c r="S80" s="25">
        <f t="shared" si="65"/>
        <v>0.351349280129347</v>
      </c>
      <c r="T80" s="3">
        <v>0.01</v>
      </c>
      <c r="U80" s="26">
        <f t="shared" si="66"/>
        <v>0.00351349280129347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0.0134634928012935</v>
      </c>
      <c r="AU80" s="29">
        <f t="shared" si="70"/>
        <v>52.122</v>
      </c>
      <c r="AV80" s="1">
        <f t="shared" si="71"/>
        <v>0.3</v>
      </c>
      <c r="AW80" s="2">
        <f t="shared" si="72"/>
        <v>76.3106131512798</v>
      </c>
      <c r="AX80" s="1">
        <f t="shared" si="73"/>
        <v>107636.56132936</v>
      </c>
    </row>
    <row r="81" s="1" customFormat="1" spans="1:50">
      <c r="A81" s="13"/>
      <c r="B81" s="13"/>
      <c r="C81" s="16">
        <v>7</v>
      </c>
      <c r="D81" s="19">
        <v>17.3010072190323</v>
      </c>
      <c r="E81" s="20">
        <f t="shared" si="74"/>
        <v>15.5238279843333</v>
      </c>
      <c r="F81" s="16" t="s">
        <v>110</v>
      </c>
      <c r="G81" s="13">
        <v>8</v>
      </c>
      <c r="H81" s="18">
        <f t="shared" si="57"/>
        <v>17.3010072190323</v>
      </c>
      <c r="I81" s="18">
        <f t="shared" si="58"/>
        <v>290.451007219032</v>
      </c>
      <c r="J81" s="18">
        <f t="shared" si="59"/>
        <v>0.14566262533111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1.88349188446077</v>
      </c>
      <c r="P81" s="18">
        <f t="shared" si="62"/>
        <v>0.274354372680395</v>
      </c>
      <c r="Q81" s="24">
        <f t="shared" si="63"/>
        <v>0.0823063118041185</v>
      </c>
      <c r="R81" s="18">
        <f t="shared" si="64"/>
        <v>0.156366</v>
      </c>
      <c r="S81" s="25">
        <f t="shared" si="65"/>
        <v>0.526369618741405</v>
      </c>
      <c r="T81" s="3">
        <v>0.01</v>
      </c>
      <c r="U81" s="26">
        <f t="shared" si="66"/>
        <v>0.00526369618741405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0.015213696187414</v>
      </c>
      <c r="AU81" s="29">
        <f t="shared" si="70"/>
        <v>52.122</v>
      </c>
      <c r="AV81" s="1">
        <f t="shared" si="71"/>
        <v>0.3</v>
      </c>
      <c r="AW81" s="2">
        <f t="shared" si="72"/>
        <v>76.3106131512798</v>
      </c>
      <c r="AX81" s="1">
        <f t="shared" si="73"/>
        <v>121628.909146482</v>
      </c>
    </row>
    <row r="82" s="1" customFormat="1" spans="1:50">
      <c r="A82" s="13"/>
      <c r="B82" s="13"/>
      <c r="C82" s="16">
        <v>8</v>
      </c>
      <c r="D82" s="19">
        <v>17.9124538112903</v>
      </c>
      <c r="E82" s="20">
        <f t="shared" si="74"/>
        <v>17.3010072190323</v>
      </c>
      <c r="F82" s="16" t="s">
        <v>110</v>
      </c>
      <c r="G82" s="13">
        <v>9</v>
      </c>
      <c r="H82" s="18">
        <f t="shared" si="57"/>
        <v>17.9124538112903</v>
      </c>
      <c r="I82" s="18">
        <f t="shared" si="58"/>
        <v>291.06245381129</v>
      </c>
      <c r="J82" s="18">
        <f t="shared" si="59"/>
        <v>0.156290471949397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2.13035751178037</v>
      </c>
      <c r="P82" s="18">
        <f t="shared" si="62"/>
        <v>0.332954580937097</v>
      </c>
      <c r="Q82" s="24">
        <f t="shared" si="63"/>
        <v>0.0998863742811292</v>
      </c>
      <c r="R82" s="18">
        <f t="shared" si="64"/>
        <v>0.156366</v>
      </c>
      <c r="S82" s="25">
        <f t="shared" si="65"/>
        <v>0.638798551354701</v>
      </c>
      <c r="T82" s="3">
        <v>0.01</v>
      </c>
      <c r="U82" s="26">
        <f t="shared" si="66"/>
        <v>0.00638798551354701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0.011877985513547</v>
      </c>
      <c r="AU82" s="29">
        <f t="shared" si="70"/>
        <v>52.122</v>
      </c>
      <c r="AV82" s="1">
        <f t="shared" si="71"/>
        <v>0.3</v>
      </c>
      <c r="AW82" s="2">
        <f t="shared" si="72"/>
        <v>76.3106131512798</v>
      </c>
      <c r="AX82" s="1">
        <f t="shared" si="73"/>
        <v>94960.9091093597</v>
      </c>
    </row>
    <row r="83" s="1" customFormat="1" spans="1:50">
      <c r="A83" s="13"/>
      <c r="B83" s="13"/>
      <c r="C83" s="16">
        <v>9</v>
      </c>
      <c r="D83" s="19">
        <v>13.0204657115667</v>
      </c>
      <c r="E83" s="20">
        <f t="shared" si="74"/>
        <v>17.9124538112903</v>
      </c>
      <c r="F83" s="16" t="s">
        <v>110</v>
      </c>
      <c r="G83" s="13">
        <v>10</v>
      </c>
      <c r="H83" s="18">
        <f t="shared" si="57"/>
        <v>13.0204657115667</v>
      </c>
      <c r="I83" s="18">
        <f t="shared" si="58"/>
        <v>286.170465711567</v>
      </c>
      <c r="J83" s="18">
        <f t="shared" si="59"/>
        <v>0.088221941007691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2.31862293084327</v>
      </c>
      <c r="P83" s="18">
        <f t="shared" si="62"/>
        <v>0.204553415423935</v>
      </c>
      <c r="Q83" s="24">
        <f t="shared" si="63"/>
        <v>0.0613660246271805</v>
      </c>
      <c r="R83" s="18">
        <f t="shared" si="64"/>
        <v>0.156366</v>
      </c>
      <c r="S83" s="25">
        <f t="shared" si="65"/>
        <v>0.392451201841708</v>
      </c>
      <c r="T83" s="3">
        <v>0.01</v>
      </c>
      <c r="U83" s="26">
        <f t="shared" si="66"/>
        <v>0.00392451201841708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0.00941451201841708</v>
      </c>
      <c r="AU83" s="29">
        <f t="shared" si="70"/>
        <v>52.122</v>
      </c>
      <c r="AV83" s="1">
        <f t="shared" si="71"/>
        <v>0.3</v>
      </c>
      <c r="AW83" s="2">
        <f t="shared" si="72"/>
        <v>76.3106131512798</v>
      </c>
      <c r="AX83" s="1">
        <f t="shared" si="73"/>
        <v>75266.1820533665</v>
      </c>
    </row>
    <row r="84" s="1" customFormat="1" spans="1:50">
      <c r="A84" s="13"/>
      <c r="B84" s="13"/>
      <c r="C84" s="16">
        <v>10</v>
      </c>
      <c r="D84" s="19">
        <v>9.57947696609677</v>
      </c>
      <c r="E84" s="20">
        <f t="shared" si="74"/>
        <v>13.0204657115667</v>
      </c>
      <c r="F84" s="16" t="s">
        <v>110</v>
      </c>
      <c r="G84" s="13">
        <v>11</v>
      </c>
      <c r="H84" s="18">
        <f t="shared" si="57"/>
        <v>9.57947696609677</v>
      </c>
      <c r="I84" s="18">
        <f t="shared" si="58"/>
        <v>282.729476966097</v>
      </c>
      <c r="J84" s="18">
        <f t="shared" si="59"/>
        <v>0.0583090732651857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2.00836603964837</v>
      </c>
      <c r="O84" s="18">
        <f t="shared" si="75"/>
        <v>0.626923475770967</v>
      </c>
      <c r="P84" s="18">
        <f t="shared" si="62"/>
        <v>0.0365553268803942</v>
      </c>
      <c r="Q84" s="24">
        <f t="shared" si="63"/>
        <v>0.0109665980641183</v>
      </c>
      <c r="R84" s="18">
        <f t="shared" si="64"/>
        <v>0.156366</v>
      </c>
      <c r="S84" s="25">
        <f t="shared" si="65"/>
        <v>0.0701341600099655</v>
      </c>
      <c r="T84" s="3">
        <v>0.01</v>
      </c>
      <c r="U84" s="26">
        <f t="shared" si="66"/>
        <v>0.000701341600099655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0.00619134160009965</v>
      </c>
      <c r="AU84" s="29">
        <f t="shared" si="70"/>
        <v>52.122</v>
      </c>
      <c r="AV84" s="1">
        <f t="shared" si="71"/>
        <v>0.3</v>
      </c>
      <c r="AW84" s="2">
        <f t="shared" si="72"/>
        <v>76.3106131512798</v>
      </c>
      <c r="AX84" s="1">
        <f t="shared" si="73"/>
        <v>49497.9073919153</v>
      </c>
    </row>
    <row r="85" s="1" customFormat="1" spans="1:51">
      <c r="A85" s="13"/>
      <c r="B85" s="13"/>
      <c r="C85" s="16">
        <v>11</v>
      </c>
      <c r="D85" s="19">
        <v>3.8585371393</v>
      </c>
      <c r="E85" s="20">
        <f t="shared" si="74"/>
        <v>9.57947696609677</v>
      </c>
      <c r="F85" s="16" t="s">
        <v>112</v>
      </c>
      <c r="G85" s="13">
        <v>12</v>
      </c>
      <c r="H85" s="18">
        <f t="shared" si="57"/>
        <v>3.8585371393</v>
      </c>
      <c r="I85" s="18">
        <f t="shared" si="58"/>
        <v>277.0085371393</v>
      </c>
      <c r="J85" s="18">
        <f t="shared" si="59"/>
        <v>0.0286316641923964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1.11158814889057</v>
      </c>
      <c r="P85" s="18">
        <f t="shared" si="62"/>
        <v>0.0318266185992824</v>
      </c>
      <c r="Q85" s="24">
        <f t="shared" si="63"/>
        <v>0.00954798557978472</v>
      </c>
      <c r="R85" s="18">
        <f t="shared" si="64"/>
        <v>0.156366</v>
      </c>
      <c r="S85" s="25">
        <f t="shared" si="65"/>
        <v>0.0610617754485292</v>
      </c>
      <c r="T85" s="3">
        <v>0.01</v>
      </c>
      <c r="U85" s="26">
        <f t="shared" si="66"/>
        <v>0.000610617754485292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0.00610061775448529</v>
      </c>
      <c r="AU85" s="29">
        <f t="shared" si="70"/>
        <v>52.122</v>
      </c>
      <c r="AV85" s="1">
        <f t="shared" si="71"/>
        <v>0.3</v>
      </c>
      <c r="AW85" s="2">
        <f t="shared" si="72"/>
        <v>76.3106131512798</v>
      </c>
      <c r="AX85" s="1">
        <f t="shared" si="73"/>
        <v>48772.5976289415</v>
      </c>
      <c r="AY85" s="1">
        <f>SUM(AX74:AX85)</f>
        <v>792392.238532598</v>
      </c>
    </row>
    <row r="86" s="1" customFormat="1" spans="1:46">
      <c r="A86" s="13"/>
      <c r="B86" s="13"/>
      <c r="C86" s="16">
        <v>12</v>
      </c>
      <c r="D86" s="19">
        <v>-0.327163529</v>
      </c>
      <c r="E86" s="20">
        <f t="shared" si="74"/>
        <v>3.8585371393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-4</v>
      </c>
      <c r="E90" s="16"/>
      <c r="F90" s="16"/>
      <c r="G90" s="13">
        <v>1</v>
      </c>
      <c r="H90" s="18">
        <f t="shared" ref="H90:H101" si="76">E91</f>
        <v>-4</v>
      </c>
      <c r="I90" s="18">
        <f t="shared" ref="I90:I101" si="77">H90+273.15</f>
        <v>269.15</v>
      </c>
      <c r="J90" s="18">
        <f t="shared" ref="J90:J101" si="78">EXP(($C$16*(I90-$C$14))/($C$17*I90*$C$14))</f>
        <v>0.0102597002578668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0.00292093666341468</v>
      </c>
      <c r="Q90" s="24">
        <f t="shared" ref="Q90:Q101" si="82">P90*$B$76</f>
        <v>0.000876280999024403</v>
      </c>
      <c r="R90" s="18">
        <f t="shared" ref="R90:R101" si="83">L90*$B$76</f>
        <v>0.08541</v>
      </c>
      <c r="S90" s="25">
        <f t="shared" ref="S90:S101" si="84">Q90/R90</f>
        <v>0.0102597002578668</v>
      </c>
      <c r="T90" s="3">
        <v>0.01</v>
      </c>
      <c r="U90" s="26">
        <f t="shared" ref="U90:U101" si="85">S90*T90</f>
        <v>0.000102597002578668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0.00559259700257867</v>
      </c>
      <c r="AU90" s="29">
        <f t="shared" ref="AU90:AU101" si="89">$B$90/12</f>
        <v>28.47</v>
      </c>
      <c r="AV90" s="1">
        <f t="shared" ref="AV90:AV101" si="90">$B$76</f>
        <v>0.3</v>
      </c>
      <c r="AW90" s="2">
        <f t="shared" ref="AW90:AW101" si="91">$E$9</f>
        <v>10.2588</v>
      </c>
      <c r="AX90" s="1">
        <f t="shared" ref="AX90:AX101" si="92">AW90*10000*AV90*0.67*AU90*AT90</f>
        <v>3283.1718335921</v>
      </c>
      <c r="AZ90" s="2">
        <f t="shared" ref="AZ90:AZ101" si="93">$E$10</f>
        <v>9.83</v>
      </c>
      <c r="BA90" s="1">
        <f t="shared" ref="BA90:BA101" si="94">AZ90*10000*AV90*0.67*AU90*AT90</f>
        <v>3145.94096036675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-5.26111570596774</v>
      </c>
      <c r="E91" s="20">
        <f t="shared" ref="E91:E102" si="95">D90</f>
        <v>-4</v>
      </c>
      <c r="F91" s="16" t="s">
        <v>110</v>
      </c>
      <c r="G91" s="13">
        <v>2</v>
      </c>
      <c r="H91" s="18">
        <f t="shared" si="76"/>
        <v>-5.26111570596774</v>
      </c>
      <c r="I91" s="18">
        <f t="shared" si="77"/>
        <v>267.888884294032</v>
      </c>
      <c r="J91" s="18">
        <f t="shared" si="78"/>
        <v>0.00865312813943948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0.566479063336585</v>
      </c>
      <c r="P91" s="18">
        <f t="shared" si="81"/>
        <v>0.00490181592336113</v>
      </c>
      <c r="Q91" s="24">
        <f t="shared" si="82"/>
        <v>0.00147054477700834</v>
      </c>
      <c r="R91" s="18">
        <f t="shared" si="83"/>
        <v>0.08541</v>
      </c>
      <c r="S91" s="25">
        <f t="shared" si="84"/>
        <v>0.0172174777778754</v>
      </c>
      <c r="T91" s="3">
        <v>0.01</v>
      </c>
      <c r="U91" s="26">
        <f t="shared" si="85"/>
        <v>0.000172174777778754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0.00566217477777875</v>
      </c>
      <c r="AU91" s="29">
        <f t="shared" si="89"/>
        <v>28.47</v>
      </c>
      <c r="AV91" s="1">
        <f t="shared" si="90"/>
        <v>0.3</v>
      </c>
      <c r="AW91" s="2">
        <f t="shared" si="91"/>
        <v>10.2588</v>
      </c>
      <c r="AX91" s="1">
        <f t="shared" si="92"/>
        <v>3324.0179363375</v>
      </c>
      <c r="AZ91" s="2">
        <f t="shared" si="93"/>
        <v>9.83</v>
      </c>
      <c r="BA91" s="1">
        <f t="shared" si="94"/>
        <v>3185.07976704855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-2.32269480486207</v>
      </c>
      <c r="E92" s="20">
        <f t="shared" si="95"/>
        <v>-5.26111570596774</v>
      </c>
      <c r="F92" s="16" t="s">
        <v>110</v>
      </c>
      <c r="G92" s="13">
        <v>3</v>
      </c>
      <c r="H92" s="18">
        <f t="shared" si="76"/>
        <v>-2.32269480486207</v>
      </c>
      <c r="I92" s="18">
        <f t="shared" si="77"/>
        <v>270.827305195138</v>
      </c>
      <c r="J92" s="18">
        <f t="shared" si="78"/>
        <v>0.0128362294712873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0.846277247413224</v>
      </c>
      <c r="P92" s="18">
        <f t="shared" si="81"/>
        <v>0.0108630089441255</v>
      </c>
      <c r="Q92" s="24">
        <f t="shared" si="82"/>
        <v>0.00325890268323766</v>
      </c>
      <c r="R92" s="18">
        <f t="shared" si="83"/>
        <v>0.08541</v>
      </c>
      <c r="S92" s="25">
        <f t="shared" si="84"/>
        <v>0.0381559850513717</v>
      </c>
      <c r="T92" s="3">
        <v>0.01</v>
      </c>
      <c r="U92" s="26">
        <f t="shared" si="85"/>
        <v>0.000381559850513717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0.00587155985051372</v>
      </c>
      <c r="AU92" s="29">
        <f t="shared" si="89"/>
        <v>28.47</v>
      </c>
      <c r="AV92" s="1">
        <f t="shared" si="90"/>
        <v>0.3</v>
      </c>
      <c r="AW92" s="2">
        <f t="shared" si="91"/>
        <v>10.2588</v>
      </c>
      <c r="AX92" s="1">
        <f t="shared" si="92"/>
        <v>3446.93885712995</v>
      </c>
      <c r="AZ92" s="2">
        <f t="shared" si="93"/>
        <v>9.83</v>
      </c>
      <c r="BA92" s="1">
        <f t="shared" si="94"/>
        <v>3302.86280711072</v>
      </c>
    </row>
    <row r="93" s="1" customFormat="1" spans="1:53">
      <c r="A93" s="13"/>
      <c r="B93" s="13"/>
      <c r="C93" s="16">
        <v>3</v>
      </c>
      <c r="D93" s="19">
        <v>2.83422542858065</v>
      </c>
      <c r="E93" s="20">
        <f t="shared" si="95"/>
        <v>-2.32269480486207</v>
      </c>
      <c r="F93" s="16" t="s">
        <v>110</v>
      </c>
      <c r="G93" s="13">
        <v>4</v>
      </c>
      <c r="H93" s="18">
        <f t="shared" si="76"/>
        <v>2.83422542858065</v>
      </c>
      <c r="I93" s="18">
        <f t="shared" si="77"/>
        <v>275.984225428581</v>
      </c>
      <c r="J93" s="18">
        <f t="shared" si="78"/>
        <v>0.0251298231274614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1.1201142384691</v>
      </c>
      <c r="P93" s="18">
        <f t="shared" si="81"/>
        <v>0.0281482726952796</v>
      </c>
      <c r="Q93" s="24">
        <f t="shared" si="82"/>
        <v>0.00844448180858387</v>
      </c>
      <c r="R93" s="18">
        <f t="shared" si="83"/>
        <v>0.08541</v>
      </c>
      <c r="S93" s="25">
        <f t="shared" si="84"/>
        <v>0.0988699427301706</v>
      </c>
      <c r="T93" s="3">
        <v>0.01</v>
      </c>
      <c r="U93" s="26">
        <f t="shared" si="85"/>
        <v>0.000988699427301706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0.00647869942730171</v>
      </c>
      <c r="AU93" s="29">
        <f t="shared" si="89"/>
        <v>28.47</v>
      </c>
      <c r="AV93" s="1">
        <f t="shared" si="90"/>
        <v>0.3</v>
      </c>
      <c r="AW93" s="2">
        <f t="shared" si="91"/>
        <v>10.2588</v>
      </c>
      <c r="AX93" s="1">
        <f t="shared" si="92"/>
        <v>3803.36424530833</v>
      </c>
      <c r="AZ93" s="2">
        <f t="shared" si="93"/>
        <v>9.83</v>
      </c>
      <c r="BA93" s="1">
        <f t="shared" si="94"/>
        <v>3644.39023388514</v>
      </c>
    </row>
    <row r="94" s="1" customFormat="1" spans="1:53">
      <c r="A94" s="13"/>
      <c r="B94" s="13"/>
      <c r="C94" s="16">
        <v>4</v>
      </c>
      <c r="D94" s="19">
        <v>7.93209727513333</v>
      </c>
      <c r="E94" s="20">
        <f t="shared" si="95"/>
        <v>2.83422542858065</v>
      </c>
      <c r="F94" s="16" t="s">
        <v>110</v>
      </c>
      <c r="G94" s="13">
        <v>5</v>
      </c>
      <c r="H94" s="18">
        <f t="shared" si="76"/>
        <v>7.93209727513333</v>
      </c>
      <c r="I94" s="18">
        <f t="shared" si="77"/>
        <v>281.082097275133</v>
      </c>
      <c r="J94" s="18">
        <f t="shared" si="78"/>
        <v>0.0476517168627993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1.03736766748513</v>
      </c>
      <c r="O94" s="18">
        <f t="shared" si="96"/>
        <v>0.339298298288691</v>
      </c>
      <c r="P94" s="18">
        <f t="shared" si="81"/>
        <v>0.0161681464420823</v>
      </c>
      <c r="Q94" s="24">
        <f t="shared" si="82"/>
        <v>0.0048504439326247</v>
      </c>
      <c r="R94" s="18">
        <f t="shared" si="83"/>
        <v>0.08541</v>
      </c>
      <c r="S94" s="25">
        <f t="shared" si="84"/>
        <v>0.0567901174642863</v>
      </c>
      <c r="T94" s="3">
        <v>0.01</v>
      </c>
      <c r="U94" s="26">
        <f t="shared" si="85"/>
        <v>0.000567901174642863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0.001</v>
      </c>
      <c r="AF94" s="3">
        <v>0.49</v>
      </c>
      <c r="AG94" s="26">
        <f t="shared" si="86"/>
        <v>0.00049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</v>
      </c>
      <c r="AR94" s="3">
        <v>0.5</v>
      </c>
      <c r="AS94" s="3">
        <f t="shared" si="87"/>
        <v>0.005</v>
      </c>
      <c r="AT94" s="2">
        <f t="shared" si="88"/>
        <v>0.00605790117464286</v>
      </c>
      <c r="AU94" s="29">
        <f t="shared" si="89"/>
        <v>28.47</v>
      </c>
      <c r="AV94" s="1">
        <f t="shared" si="90"/>
        <v>0.3</v>
      </c>
      <c r="AW94" s="2">
        <f t="shared" si="91"/>
        <v>10.2588</v>
      </c>
      <c r="AX94" s="1">
        <f t="shared" si="92"/>
        <v>3556.33178970367</v>
      </c>
      <c r="AZ94" s="2">
        <f t="shared" si="93"/>
        <v>9.83</v>
      </c>
      <c r="BA94" s="1">
        <f t="shared" si="94"/>
        <v>3407.6833053366</v>
      </c>
    </row>
    <row r="95" s="1" customFormat="1" spans="1:53">
      <c r="A95" s="13"/>
      <c r="B95" s="13"/>
      <c r="C95" s="16">
        <v>5</v>
      </c>
      <c r="D95" s="19">
        <v>12.1614925472258</v>
      </c>
      <c r="E95" s="20">
        <f t="shared" si="95"/>
        <v>7.93209727513333</v>
      </c>
      <c r="F95" s="16" t="s">
        <v>112</v>
      </c>
      <c r="G95" s="13">
        <v>6</v>
      </c>
      <c r="H95" s="18">
        <f t="shared" si="76"/>
        <v>12.1614925472258</v>
      </c>
      <c r="I95" s="18">
        <f t="shared" si="77"/>
        <v>285.311492547226</v>
      </c>
      <c r="J95" s="18">
        <f t="shared" si="78"/>
        <v>0.0796323175082618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0.607830151846609</v>
      </c>
      <c r="P95" s="18">
        <f t="shared" si="81"/>
        <v>0.0484029236429441</v>
      </c>
      <c r="Q95" s="24">
        <f t="shared" si="82"/>
        <v>0.0145208770928832</v>
      </c>
      <c r="R95" s="18">
        <f t="shared" si="83"/>
        <v>0.08541</v>
      </c>
      <c r="S95" s="25">
        <f t="shared" si="84"/>
        <v>0.170013781675252</v>
      </c>
      <c r="T95" s="3">
        <v>0.01</v>
      </c>
      <c r="U95" s="26">
        <f t="shared" si="85"/>
        <v>0.00170013781675252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0.001</v>
      </c>
      <c r="AF95" s="3">
        <v>0.49</v>
      </c>
      <c r="AG95" s="26">
        <f t="shared" si="86"/>
        <v>0.00049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</v>
      </c>
      <c r="AR95" s="3">
        <v>0.5</v>
      </c>
      <c r="AS95" s="3">
        <f t="shared" si="87"/>
        <v>0.005</v>
      </c>
      <c r="AT95" s="2">
        <f t="shared" si="88"/>
        <v>0.00719013781675252</v>
      </c>
      <c r="AU95" s="29">
        <f t="shared" si="89"/>
        <v>28.47</v>
      </c>
      <c r="AV95" s="1">
        <f t="shared" si="90"/>
        <v>0.3</v>
      </c>
      <c r="AW95" s="2">
        <f t="shared" si="91"/>
        <v>10.2588</v>
      </c>
      <c r="AX95" s="1">
        <f t="shared" si="92"/>
        <v>4221.01895572355</v>
      </c>
      <c r="AZ95" s="2">
        <f t="shared" si="93"/>
        <v>9.83</v>
      </c>
      <c r="BA95" s="1">
        <f t="shared" si="94"/>
        <v>4044.58770370438</v>
      </c>
    </row>
    <row r="96" s="1" customFormat="1" spans="1:53">
      <c r="A96" s="13"/>
      <c r="B96" s="13"/>
      <c r="C96" s="16">
        <v>6</v>
      </c>
      <c r="D96" s="19">
        <v>15.5238279843333</v>
      </c>
      <c r="E96" s="20">
        <f t="shared" si="95"/>
        <v>12.1614925472258</v>
      </c>
      <c r="F96" s="16" t="s">
        <v>110</v>
      </c>
      <c r="G96" s="13">
        <v>7</v>
      </c>
      <c r="H96" s="18">
        <f t="shared" si="76"/>
        <v>15.5238279843333</v>
      </c>
      <c r="I96" s="18">
        <f t="shared" si="77"/>
        <v>288.673827984333</v>
      </c>
      <c r="J96" s="18">
        <f t="shared" si="78"/>
        <v>0.118500075238292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0.844127228203665</v>
      </c>
      <c r="P96" s="18">
        <f t="shared" si="81"/>
        <v>0.100029140052825</v>
      </c>
      <c r="Q96" s="24">
        <f t="shared" si="82"/>
        <v>0.0300087420158475</v>
      </c>
      <c r="R96" s="18">
        <f t="shared" si="83"/>
        <v>0.08541</v>
      </c>
      <c r="S96" s="25">
        <f t="shared" si="84"/>
        <v>0.351349280129347</v>
      </c>
      <c r="T96" s="3">
        <v>0.01</v>
      </c>
      <c r="U96" s="26">
        <f t="shared" si="85"/>
        <v>0.00351349280129347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0.0134634928012935</v>
      </c>
      <c r="AU96" s="29">
        <f t="shared" si="89"/>
        <v>28.47</v>
      </c>
      <c r="AV96" s="1">
        <f t="shared" si="90"/>
        <v>0.3</v>
      </c>
      <c r="AW96" s="2">
        <f t="shared" si="91"/>
        <v>10.2588</v>
      </c>
      <c r="AX96" s="1">
        <f t="shared" si="92"/>
        <v>7903.83435934958</v>
      </c>
      <c r="AZ96" s="2">
        <f t="shared" si="93"/>
        <v>9.83</v>
      </c>
      <c r="BA96" s="1">
        <f t="shared" si="94"/>
        <v>7573.46782785573</v>
      </c>
    </row>
    <row r="97" s="1" customFormat="1" spans="1:53">
      <c r="A97" s="13"/>
      <c r="B97" s="13"/>
      <c r="C97" s="16">
        <v>7</v>
      </c>
      <c r="D97" s="19">
        <v>17.3010072190323</v>
      </c>
      <c r="E97" s="20">
        <f t="shared" si="95"/>
        <v>15.5238279843333</v>
      </c>
      <c r="F97" s="16" t="s">
        <v>110</v>
      </c>
      <c r="G97" s="13">
        <v>8</v>
      </c>
      <c r="H97" s="18">
        <f t="shared" si="76"/>
        <v>17.3010072190323</v>
      </c>
      <c r="I97" s="18">
        <f t="shared" si="77"/>
        <v>290.451007219032</v>
      </c>
      <c r="J97" s="18">
        <f t="shared" si="78"/>
        <v>0.14566262533111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1.02879808815084</v>
      </c>
      <c r="P97" s="18">
        <f t="shared" si="81"/>
        <v>0.149857430455678</v>
      </c>
      <c r="Q97" s="24">
        <f t="shared" si="82"/>
        <v>0.0449572291367034</v>
      </c>
      <c r="R97" s="18">
        <f t="shared" si="83"/>
        <v>0.08541</v>
      </c>
      <c r="S97" s="25">
        <f t="shared" si="84"/>
        <v>0.526369618741405</v>
      </c>
      <c r="T97" s="3">
        <v>0.01</v>
      </c>
      <c r="U97" s="26">
        <f t="shared" si="85"/>
        <v>0.00526369618741405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0.015213696187414</v>
      </c>
      <c r="AU97" s="29">
        <f t="shared" si="89"/>
        <v>28.47</v>
      </c>
      <c r="AV97" s="1">
        <f t="shared" si="90"/>
        <v>0.3</v>
      </c>
      <c r="AW97" s="2">
        <f t="shared" si="91"/>
        <v>10.2588</v>
      </c>
      <c r="AX97" s="1">
        <f t="shared" si="92"/>
        <v>8931.30307517501</v>
      </c>
      <c r="AZ97" s="2">
        <f t="shared" si="93"/>
        <v>9.83</v>
      </c>
      <c r="BA97" s="1">
        <f t="shared" si="94"/>
        <v>8557.99013812242</v>
      </c>
    </row>
    <row r="98" s="1" customFormat="1" spans="1:53">
      <c r="A98" s="13"/>
      <c r="B98" s="13"/>
      <c r="C98" s="16">
        <v>8</v>
      </c>
      <c r="D98" s="19">
        <v>17.9124538112903</v>
      </c>
      <c r="E98" s="20">
        <f t="shared" si="95"/>
        <v>17.3010072190323</v>
      </c>
      <c r="F98" s="16" t="s">
        <v>110</v>
      </c>
      <c r="G98" s="13">
        <v>9</v>
      </c>
      <c r="H98" s="18">
        <f t="shared" si="76"/>
        <v>17.9124538112903</v>
      </c>
      <c r="I98" s="18">
        <f t="shared" si="77"/>
        <v>291.06245381129</v>
      </c>
      <c r="J98" s="18">
        <f t="shared" si="78"/>
        <v>0.156290471949397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1.16364065769516</v>
      </c>
      <c r="P98" s="18">
        <f t="shared" si="81"/>
        <v>0.181865947570684</v>
      </c>
      <c r="Q98" s="24">
        <f t="shared" si="82"/>
        <v>0.0545597842712051</v>
      </c>
      <c r="R98" s="18">
        <f t="shared" si="83"/>
        <v>0.08541</v>
      </c>
      <c r="S98" s="25">
        <f t="shared" si="84"/>
        <v>0.638798551354701</v>
      </c>
      <c r="T98" s="3">
        <v>0.01</v>
      </c>
      <c r="U98" s="26">
        <f t="shared" si="85"/>
        <v>0.00638798551354701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0.011877985513547</v>
      </c>
      <c r="AU98" s="29">
        <f t="shared" si="89"/>
        <v>28.47</v>
      </c>
      <c r="AV98" s="1">
        <f t="shared" si="90"/>
        <v>0.3</v>
      </c>
      <c r="AW98" s="2">
        <f t="shared" si="91"/>
        <v>10.2588</v>
      </c>
      <c r="AX98" s="1">
        <f t="shared" si="92"/>
        <v>6973.05160016204</v>
      </c>
      <c r="AZ98" s="2">
        <f t="shared" si="93"/>
        <v>9.83</v>
      </c>
      <c r="BA98" s="1">
        <f t="shared" si="94"/>
        <v>6681.59016937584</v>
      </c>
    </row>
    <row r="99" s="1" customFormat="1" spans="1:53">
      <c r="A99" s="13"/>
      <c r="B99" s="13"/>
      <c r="C99" s="16">
        <v>9</v>
      </c>
      <c r="D99" s="19">
        <v>13.0204657115667</v>
      </c>
      <c r="E99" s="20">
        <f t="shared" si="95"/>
        <v>17.9124538112903</v>
      </c>
      <c r="F99" s="16" t="s">
        <v>110</v>
      </c>
      <c r="G99" s="13">
        <v>10</v>
      </c>
      <c r="H99" s="18">
        <f t="shared" si="76"/>
        <v>13.0204657115667</v>
      </c>
      <c r="I99" s="18">
        <f t="shared" si="77"/>
        <v>286.170465711567</v>
      </c>
      <c r="J99" s="18">
        <f t="shared" si="78"/>
        <v>0.088221941007691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1.26647471012448</v>
      </c>
      <c r="P99" s="18">
        <f t="shared" si="81"/>
        <v>0.111730857164334</v>
      </c>
      <c r="Q99" s="24">
        <f t="shared" si="82"/>
        <v>0.0335192571493003</v>
      </c>
      <c r="R99" s="18">
        <f t="shared" si="83"/>
        <v>0.08541</v>
      </c>
      <c r="S99" s="25">
        <f t="shared" si="84"/>
        <v>0.392451201841708</v>
      </c>
      <c r="T99" s="3">
        <v>0.01</v>
      </c>
      <c r="U99" s="26">
        <f t="shared" si="85"/>
        <v>0.00392451201841708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0.00941451201841708</v>
      </c>
      <c r="AU99" s="29">
        <f t="shared" si="89"/>
        <v>28.47</v>
      </c>
      <c r="AV99" s="1">
        <f t="shared" si="90"/>
        <v>0.3</v>
      </c>
      <c r="AW99" s="2">
        <f t="shared" si="91"/>
        <v>10.2588</v>
      </c>
      <c r="AX99" s="1">
        <f t="shared" si="92"/>
        <v>5526.85285058612</v>
      </c>
      <c r="AZ99" s="2">
        <f t="shared" si="93"/>
        <v>9.83</v>
      </c>
      <c r="BA99" s="1">
        <f t="shared" si="94"/>
        <v>5295.84001260007</v>
      </c>
    </row>
    <row r="100" s="1" customFormat="1" spans="1:53">
      <c r="A100" s="13"/>
      <c r="B100" s="13"/>
      <c r="C100" s="16">
        <v>10</v>
      </c>
      <c r="D100" s="19">
        <v>9.57947696609677</v>
      </c>
      <c r="E100" s="20">
        <f t="shared" si="95"/>
        <v>13.0204657115667</v>
      </c>
      <c r="F100" s="16" t="s">
        <v>110</v>
      </c>
      <c r="G100" s="13">
        <v>11</v>
      </c>
      <c r="H100" s="18">
        <f t="shared" si="76"/>
        <v>9.57947696609677</v>
      </c>
      <c r="I100" s="18">
        <f t="shared" si="77"/>
        <v>282.729476966097</v>
      </c>
      <c r="J100" s="18">
        <f t="shared" si="78"/>
        <v>0.0583090732651857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1.09700666031214</v>
      </c>
      <c r="O100" s="18">
        <f t="shared" si="96"/>
        <v>0.342437192648007</v>
      </c>
      <c r="P100" s="18">
        <f t="shared" si="81"/>
        <v>0.0199671953548371</v>
      </c>
      <c r="Q100" s="24">
        <f t="shared" si="82"/>
        <v>0.00599015860645114</v>
      </c>
      <c r="R100" s="18">
        <f t="shared" si="83"/>
        <v>0.08541</v>
      </c>
      <c r="S100" s="25">
        <f t="shared" si="84"/>
        <v>0.0701341600099654</v>
      </c>
      <c r="T100" s="3">
        <v>0.01</v>
      </c>
      <c r="U100" s="26">
        <f t="shared" si="85"/>
        <v>0.000701341600099654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0.00619134160009965</v>
      </c>
      <c r="AU100" s="29">
        <f t="shared" si="89"/>
        <v>28.47</v>
      </c>
      <c r="AV100" s="1">
        <f t="shared" si="90"/>
        <v>0.3</v>
      </c>
      <c r="AW100" s="2">
        <f t="shared" si="91"/>
        <v>10.2588</v>
      </c>
      <c r="AX100" s="1">
        <f t="shared" si="92"/>
        <v>3634.66889250587</v>
      </c>
      <c r="AZ100" s="2">
        <f t="shared" si="93"/>
        <v>9.83</v>
      </c>
      <c r="BA100" s="1">
        <f t="shared" si="94"/>
        <v>3482.74605346948</v>
      </c>
    </row>
    <row r="101" s="1" customFormat="1" spans="1:54">
      <c r="A101" s="13"/>
      <c r="B101" s="13"/>
      <c r="C101" s="16">
        <v>11</v>
      </c>
      <c r="D101" s="19">
        <v>3.8585371393</v>
      </c>
      <c r="E101" s="20">
        <f t="shared" si="95"/>
        <v>9.57947696609677</v>
      </c>
      <c r="F101" s="16" t="s">
        <v>112</v>
      </c>
      <c r="G101" s="13">
        <v>12</v>
      </c>
      <c r="H101" s="18">
        <f t="shared" si="76"/>
        <v>3.8585371393</v>
      </c>
      <c r="I101" s="18">
        <f t="shared" si="77"/>
        <v>277.0085371393</v>
      </c>
      <c r="J101" s="18">
        <f t="shared" si="78"/>
        <v>0.0286316641923964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0.60716999729317</v>
      </c>
      <c r="P101" s="18">
        <f t="shared" si="81"/>
        <v>0.0173842874701963</v>
      </c>
      <c r="Q101" s="24">
        <f t="shared" si="82"/>
        <v>0.00521528624105888</v>
      </c>
      <c r="R101" s="18">
        <f t="shared" si="83"/>
        <v>0.08541</v>
      </c>
      <c r="S101" s="25">
        <f t="shared" si="84"/>
        <v>0.0610617754485292</v>
      </c>
      <c r="T101" s="3">
        <v>0.01</v>
      </c>
      <c r="U101" s="26">
        <f t="shared" si="85"/>
        <v>0.000610617754485292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0.00610061775448529</v>
      </c>
      <c r="AU101" s="29">
        <f t="shared" si="89"/>
        <v>28.47</v>
      </c>
      <c r="AV101" s="1">
        <f t="shared" si="90"/>
        <v>0.3</v>
      </c>
      <c r="AW101" s="2">
        <f t="shared" si="91"/>
        <v>10.2588</v>
      </c>
      <c r="AX101" s="1">
        <f t="shared" si="92"/>
        <v>3581.40884633789</v>
      </c>
      <c r="AY101" s="1">
        <f>SUM(AX90:AX101)</f>
        <v>58185.9632419116</v>
      </c>
      <c r="AZ101" s="2">
        <f t="shared" si="93"/>
        <v>9.83</v>
      </c>
      <c r="BA101" s="1">
        <f t="shared" si="94"/>
        <v>3431.71218461238</v>
      </c>
      <c r="BB101" s="1">
        <f>SUM(BA90:BA101)</f>
        <v>55753.891163488</v>
      </c>
    </row>
    <row r="102" s="1" customFormat="1" spans="1:46">
      <c r="A102" s="13"/>
      <c r="B102" s="13"/>
      <c r="C102" s="16">
        <v>12</v>
      </c>
      <c r="D102" s="19">
        <v>-0.327163529</v>
      </c>
      <c r="E102" s="20">
        <f t="shared" si="95"/>
        <v>3.8585371393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F15" sqref="F1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631.9096</v>
      </c>
      <c r="F2" s="3">
        <v>1069.523</v>
      </c>
      <c r="G2" s="7">
        <f>(F2+F3+F4)/3</f>
        <v>1305.751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501.909205479452</v>
      </c>
      <c r="F5" s="3">
        <v>91.104</v>
      </c>
      <c r="G5" s="7">
        <f>(F5+F6)/2</f>
        <v>92.50925</v>
      </c>
      <c r="H5" s="3">
        <v>0.13</v>
      </c>
      <c r="I5" s="21">
        <f>(H5+H6)/2</f>
        <v>0.13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2726.41315068493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12">
        <v>12.8915337043307</v>
      </c>
      <c r="F8" s="3">
        <v>625.464</v>
      </c>
      <c r="G8" s="3"/>
      <c r="H8" s="3">
        <v>0.3</v>
      </c>
      <c r="M8" s="2"/>
    </row>
    <row r="9" s="1" customFormat="1" spans="1:13">
      <c r="A9" s="4" t="s">
        <v>50</v>
      </c>
      <c r="B9" s="5"/>
      <c r="C9" s="3"/>
      <c r="D9" s="3"/>
      <c r="E9" s="12">
        <v>0.1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12">
        <v>0.367583122716088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73488537.2375123</v>
      </c>
      <c r="J14" s="14" t="s">
        <v>35</v>
      </c>
      <c r="K14" s="14">
        <f>I14/(10000*1000)</f>
        <v>7.34885372375123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52083897.632265</v>
      </c>
      <c r="J15" s="14" t="s">
        <v>35</v>
      </c>
      <c r="K15" s="14">
        <f>I15/(10000*1000)</f>
        <v>5.2083897632265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1305.751</v>
      </c>
      <c r="C27" s="16" t="s">
        <v>109</v>
      </c>
      <c r="D27" s="17">
        <v>5</v>
      </c>
      <c r="E27" s="16"/>
      <c r="F27" s="16"/>
      <c r="G27" s="13">
        <v>1</v>
      </c>
      <c r="H27" s="18">
        <f t="shared" ref="H27:H38" si="0">E28</f>
        <v>5</v>
      </c>
      <c r="I27" s="18">
        <f t="shared" ref="I27:I38" si="1">H27+273.15</f>
        <v>278.15</v>
      </c>
      <c r="J27" s="18">
        <f t="shared" ref="J27:J38" si="2">EXP(($C$16*(I27-$C$14))/($C$17*I27*$C$14))</f>
        <v>0.0330744063381255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110</v>
      </c>
      <c r="N27" s="13"/>
      <c r="O27" s="18">
        <f>L27</f>
        <v>1.08812583333333</v>
      </c>
      <c r="P27" s="18">
        <f t="shared" ref="P27:P38" si="5">O27*J27</f>
        <v>0.0359891159586781</v>
      </c>
      <c r="Q27" s="24">
        <f t="shared" ref="Q27:Q38" si="6">P27*$B$29</f>
        <v>0.00431869391504137</v>
      </c>
      <c r="R27" s="18">
        <f t="shared" ref="R27:R38" si="7">L27*$B$29</f>
        <v>0.1305751</v>
      </c>
      <c r="S27" s="25">
        <f t="shared" ref="S27:S38" si="8">Q27/R27</f>
        <v>0.0330744063381255</v>
      </c>
      <c r="T27" s="3">
        <v>0.01</v>
      </c>
      <c r="U27" s="26">
        <f t="shared" ref="U27:U38" si="9">S27*T27</f>
        <v>0.000330744063381255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0.0222307440633813</v>
      </c>
      <c r="AR27" s="29">
        <f t="shared" ref="AR27:AR38" si="15">$B$27/12</f>
        <v>108.812583333333</v>
      </c>
      <c r="AS27" s="1">
        <f t="shared" ref="AS27:AS38" si="16">$B$29</f>
        <v>0.12</v>
      </c>
      <c r="AT27" s="2">
        <f>$E$2/12</f>
        <v>52.6591333333333</v>
      </c>
      <c r="AU27" s="1">
        <f t="shared" ref="AU27:AU38" si="17">AT27*10000*AS27*0.67*AR27*AQ27</f>
        <v>102414.836447478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4.94497473116129</v>
      </c>
      <c r="E28" s="20">
        <f t="shared" ref="E28:E39" si="18">D27</f>
        <v>5</v>
      </c>
      <c r="F28" s="16" t="s">
        <v>110</v>
      </c>
      <c r="G28" s="13">
        <v>2</v>
      </c>
      <c r="H28" s="18">
        <f t="shared" si="0"/>
        <v>4.94497473116129</v>
      </c>
      <c r="I28" s="18">
        <f t="shared" si="1"/>
        <v>278.094974731161</v>
      </c>
      <c r="J28" s="18">
        <f t="shared" si="2"/>
        <v>0.0328461122759939</v>
      </c>
      <c r="K28" s="18">
        <f t="shared" si="3"/>
        <v>108.812583333333</v>
      </c>
      <c r="L28" s="18">
        <f t="shared" si="4"/>
        <v>1.08812583333333</v>
      </c>
      <c r="M28" s="13" t="s">
        <v>110</v>
      </c>
      <c r="N28" s="13"/>
      <c r="O28" s="18">
        <f t="shared" ref="O28:O38" si="19">L28+O27-P27-N28</f>
        <v>2.14026255070799</v>
      </c>
      <c r="P28" s="18">
        <f t="shared" si="5"/>
        <v>0.0702993040406597</v>
      </c>
      <c r="Q28" s="24">
        <f t="shared" si="6"/>
        <v>0.00843591648487916</v>
      </c>
      <c r="R28" s="18">
        <f t="shared" si="7"/>
        <v>0.1305751</v>
      </c>
      <c r="S28" s="25">
        <f t="shared" si="8"/>
        <v>0.0646058588879439</v>
      </c>
      <c r="T28" s="3">
        <v>0.01</v>
      </c>
      <c r="U28" s="26">
        <f t="shared" si="9"/>
        <v>0.000646058588879439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0.0225460585888794</v>
      </c>
      <c r="AR28" s="29">
        <f t="shared" si="15"/>
        <v>108.812583333333</v>
      </c>
      <c r="AS28" s="1">
        <f t="shared" si="16"/>
        <v>0.12</v>
      </c>
      <c r="AT28" s="2">
        <f t="shared" ref="AT28:AT38" si="20">$E$2/12</f>
        <v>52.6591333333333</v>
      </c>
      <c r="AU28" s="1">
        <f t="shared" si="17"/>
        <v>103867.459241674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6.85362386982758</v>
      </c>
      <c r="E29" s="20">
        <f t="shared" si="18"/>
        <v>4.94497473116129</v>
      </c>
      <c r="F29" s="16" t="s">
        <v>110</v>
      </c>
      <c r="G29" s="13">
        <v>3</v>
      </c>
      <c r="H29" s="18">
        <f t="shared" si="0"/>
        <v>6.85362386982758</v>
      </c>
      <c r="I29" s="18">
        <f t="shared" si="1"/>
        <v>280.003623869828</v>
      </c>
      <c r="J29" s="18">
        <f t="shared" si="2"/>
        <v>0.0416998018626202</v>
      </c>
      <c r="K29" s="18">
        <f t="shared" si="3"/>
        <v>108.812583333333</v>
      </c>
      <c r="L29" s="18">
        <f t="shared" si="4"/>
        <v>1.08812583333333</v>
      </c>
      <c r="M29" s="13" t="s">
        <v>110</v>
      </c>
      <c r="N29" s="13"/>
      <c r="O29" s="18">
        <f t="shared" si="19"/>
        <v>3.15808908000066</v>
      </c>
      <c r="P29" s="18">
        <f t="shared" si="5"/>
        <v>0.131691688900532</v>
      </c>
      <c r="Q29" s="24">
        <f t="shared" si="6"/>
        <v>0.0158030026680639</v>
      </c>
      <c r="R29" s="18">
        <f t="shared" si="7"/>
        <v>0.1305751</v>
      </c>
      <c r="S29" s="25">
        <f t="shared" si="8"/>
        <v>0.121026157882045</v>
      </c>
      <c r="T29" s="3">
        <v>0.01</v>
      </c>
      <c r="U29" s="26">
        <f t="shared" si="9"/>
        <v>0.00121026157882045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0.0231102615788205</v>
      </c>
      <c r="AR29" s="29">
        <f t="shared" si="15"/>
        <v>108.812583333333</v>
      </c>
      <c r="AS29" s="1">
        <f t="shared" si="16"/>
        <v>0.12</v>
      </c>
      <c r="AT29" s="2">
        <f t="shared" si="20"/>
        <v>52.6591333333333</v>
      </c>
      <c r="AU29" s="1">
        <f t="shared" si="17"/>
        <v>106466.686544784</v>
      </c>
    </row>
    <row r="30" s="1" customFormat="1" spans="1:47">
      <c r="A30" s="13"/>
      <c r="B30" s="13"/>
      <c r="C30" s="16">
        <v>3</v>
      </c>
      <c r="D30" s="19">
        <v>11.8625867681613</v>
      </c>
      <c r="E30" s="20">
        <f t="shared" si="18"/>
        <v>6.85362386982758</v>
      </c>
      <c r="F30" s="16" t="s">
        <v>110</v>
      </c>
      <c r="G30" s="13">
        <v>4</v>
      </c>
      <c r="H30" s="18">
        <f t="shared" si="0"/>
        <v>11.8625867681613</v>
      </c>
      <c r="I30" s="18">
        <f t="shared" si="1"/>
        <v>285.012586768161</v>
      </c>
      <c r="J30" s="18">
        <f t="shared" si="2"/>
        <v>0.0768326431820401</v>
      </c>
      <c r="K30" s="18">
        <f t="shared" si="3"/>
        <v>108.812583333333</v>
      </c>
      <c r="L30" s="18">
        <f t="shared" si="4"/>
        <v>1.08812583333333</v>
      </c>
      <c r="M30" s="13" t="s">
        <v>110</v>
      </c>
      <c r="N30" s="13"/>
      <c r="O30" s="18">
        <f t="shared" si="19"/>
        <v>4.11452322443346</v>
      </c>
      <c r="P30" s="18">
        <f t="shared" si="5"/>
        <v>0.316129694767113</v>
      </c>
      <c r="Q30" s="24">
        <f t="shared" si="6"/>
        <v>0.0379355633720536</v>
      </c>
      <c r="R30" s="18">
        <f t="shared" si="7"/>
        <v>0.1305751</v>
      </c>
      <c r="S30" s="25">
        <f t="shared" si="8"/>
        <v>0.290526780159874</v>
      </c>
      <c r="T30" s="3">
        <v>0.01</v>
      </c>
      <c r="U30" s="26">
        <f t="shared" si="9"/>
        <v>0.00290526780159874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0.0248052678015987</v>
      </c>
      <c r="AR30" s="29">
        <f t="shared" si="15"/>
        <v>108.812583333333</v>
      </c>
      <c r="AS30" s="1">
        <f t="shared" si="16"/>
        <v>0.12</v>
      </c>
      <c r="AT30" s="2">
        <f t="shared" si="20"/>
        <v>52.6591333333333</v>
      </c>
      <c r="AU30" s="1">
        <f t="shared" si="17"/>
        <v>114275.412361085</v>
      </c>
    </row>
    <row r="31" s="1" customFormat="1" spans="1:47">
      <c r="A31" s="13"/>
      <c r="B31" s="13"/>
      <c r="C31" s="16">
        <v>4</v>
      </c>
      <c r="D31" s="19">
        <v>16.8451873376667</v>
      </c>
      <c r="E31" s="20">
        <f t="shared" si="18"/>
        <v>11.8625867681613</v>
      </c>
      <c r="F31" s="16" t="s">
        <v>110</v>
      </c>
      <c r="G31" s="13">
        <v>5</v>
      </c>
      <c r="H31" s="18">
        <f t="shared" si="0"/>
        <v>16.8451873376667</v>
      </c>
      <c r="I31" s="18">
        <f t="shared" si="1"/>
        <v>289.995187337667</v>
      </c>
      <c r="J31" s="18">
        <f t="shared" si="2"/>
        <v>0.13818606599241</v>
      </c>
      <c r="K31" s="18">
        <f t="shared" si="3"/>
        <v>108.812583333333</v>
      </c>
      <c r="L31" s="18">
        <f t="shared" si="4"/>
        <v>1.08812583333333</v>
      </c>
      <c r="M31" s="13" t="s">
        <v>112</v>
      </c>
      <c r="N31" s="18">
        <f>(O30-P30)*C22/100</f>
        <v>3.60847385318303</v>
      </c>
      <c r="O31" s="18">
        <f t="shared" si="19"/>
        <v>1.27804550981665</v>
      </c>
      <c r="P31" s="18">
        <f t="shared" si="5"/>
        <v>0.176608081160827</v>
      </c>
      <c r="Q31" s="24">
        <f t="shared" si="6"/>
        <v>0.0211929697392992</v>
      </c>
      <c r="R31" s="18">
        <f t="shared" si="7"/>
        <v>0.1305751</v>
      </c>
      <c r="S31" s="25">
        <f t="shared" si="8"/>
        <v>0.162304832539276</v>
      </c>
      <c r="T31" s="3">
        <v>0.01</v>
      </c>
      <c r="U31" s="26">
        <f t="shared" si="9"/>
        <v>0.00162304832539276</v>
      </c>
      <c r="V31" s="25"/>
      <c r="W31" s="3"/>
      <c r="X31" s="26"/>
      <c r="Y31" s="28">
        <v>0.02</v>
      </c>
      <c r="Z31" s="3">
        <v>0.21</v>
      </c>
      <c r="AA31" s="27">
        <f t="shared" si="10"/>
        <v>0.0042</v>
      </c>
      <c r="AB31" s="3">
        <v>0.01</v>
      </c>
      <c r="AC31" s="3">
        <v>0.29</v>
      </c>
      <c r="AD31" s="27">
        <f t="shared" si="11"/>
        <v>0.0029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0.0235230483253928</v>
      </c>
      <c r="AR31" s="29">
        <f t="shared" si="15"/>
        <v>108.812583333333</v>
      </c>
      <c r="AS31" s="1">
        <f t="shared" si="16"/>
        <v>0.12</v>
      </c>
      <c r="AT31" s="2">
        <f t="shared" si="20"/>
        <v>52.6591333333333</v>
      </c>
      <c r="AU31" s="1">
        <f t="shared" si="17"/>
        <v>108368.354209049</v>
      </c>
    </row>
    <row r="32" s="1" customFormat="1" spans="1:47">
      <c r="A32" s="13"/>
      <c r="B32" s="13"/>
      <c r="C32" s="16">
        <v>5</v>
      </c>
      <c r="D32" s="19">
        <v>19.5688022287097</v>
      </c>
      <c r="E32" s="20">
        <f t="shared" si="18"/>
        <v>16.8451873376667</v>
      </c>
      <c r="F32" s="16" t="s">
        <v>112</v>
      </c>
      <c r="G32" s="13">
        <v>6</v>
      </c>
      <c r="H32" s="18">
        <f t="shared" si="0"/>
        <v>19.5688022287097</v>
      </c>
      <c r="I32" s="18">
        <f t="shared" si="1"/>
        <v>292.71880222871</v>
      </c>
      <c r="J32" s="18">
        <f t="shared" si="2"/>
        <v>0.188860297757029</v>
      </c>
      <c r="K32" s="18">
        <f t="shared" si="3"/>
        <v>108.812583333333</v>
      </c>
      <c r="L32" s="18">
        <f t="shared" si="4"/>
        <v>1.08812583333333</v>
      </c>
      <c r="M32" s="13" t="s">
        <v>110</v>
      </c>
      <c r="N32" s="13"/>
      <c r="O32" s="18">
        <f t="shared" si="19"/>
        <v>2.18956326198916</v>
      </c>
      <c r="P32" s="18">
        <f t="shared" si="5"/>
        <v>0.413521569617124</v>
      </c>
      <c r="Q32" s="24">
        <f t="shared" si="6"/>
        <v>0.0496225883540549</v>
      </c>
      <c r="R32" s="18">
        <f t="shared" si="7"/>
        <v>0.1305751</v>
      </c>
      <c r="S32" s="25">
        <f t="shared" si="8"/>
        <v>0.380031019344844</v>
      </c>
      <c r="T32" s="3">
        <v>0.01</v>
      </c>
      <c r="U32" s="26">
        <f t="shared" si="9"/>
        <v>0.00380031019344844</v>
      </c>
      <c r="V32" s="25"/>
      <c r="W32" s="3"/>
      <c r="X32" s="26"/>
      <c r="Y32" s="28">
        <v>0.02</v>
      </c>
      <c r="Z32" s="3">
        <v>0.21</v>
      </c>
      <c r="AA32" s="27">
        <f t="shared" si="10"/>
        <v>0.0042</v>
      </c>
      <c r="AB32" s="3">
        <v>0.01</v>
      </c>
      <c r="AC32" s="3">
        <v>0.29</v>
      </c>
      <c r="AD32" s="27">
        <f t="shared" si="11"/>
        <v>0.0029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0.0257003101934484</v>
      </c>
      <c r="AR32" s="29">
        <f t="shared" si="15"/>
        <v>108.812583333333</v>
      </c>
      <c r="AS32" s="1">
        <f t="shared" si="16"/>
        <v>0.12</v>
      </c>
      <c r="AT32" s="2">
        <f t="shared" si="20"/>
        <v>52.6591333333333</v>
      </c>
      <c r="AU32" s="1">
        <f t="shared" si="17"/>
        <v>118398.784026626</v>
      </c>
    </row>
    <row r="33" s="1" customFormat="1" spans="1:47">
      <c r="A33" s="13"/>
      <c r="B33" s="13"/>
      <c r="C33" s="16">
        <v>6</v>
      </c>
      <c r="D33" s="19">
        <v>22.9275340036667</v>
      </c>
      <c r="E33" s="20">
        <f t="shared" si="18"/>
        <v>19.5688022287097</v>
      </c>
      <c r="F33" s="16" t="s">
        <v>110</v>
      </c>
      <c r="G33" s="13">
        <v>7</v>
      </c>
      <c r="H33" s="18">
        <f t="shared" si="0"/>
        <v>22.9275340036667</v>
      </c>
      <c r="I33" s="18">
        <f t="shared" si="1"/>
        <v>296.077534003667</v>
      </c>
      <c r="J33" s="18">
        <f t="shared" si="2"/>
        <v>0.275434392403472</v>
      </c>
      <c r="K33" s="18">
        <f t="shared" si="3"/>
        <v>108.812583333333</v>
      </c>
      <c r="L33" s="18">
        <f t="shared" si="4"/>
        <v>1.08812583333333</v>
      </c>
      <c r="M33" s="13" t="s">
        <v>110</v>
      </c>
      <c r="N33" s="13"/>
      <c r="O33" s="18">
        <f t="shared" si="19"/>
        <v>2.86416752570537</v>
      </c>
      <c r="P33" s="18">
        <f t="shared" si="5"/>
        <v>0.788890242184414</v>
      </c>
      <c r="Q33" s="24">
        <f t="shared" si="6"/>
        <v>0.0946668290621296</v>
      </c>
      <c r="R33" s="18">
        <f t="shared" si="7"/>
        <v>0.1305751</v>
      </c>
      <c r="S33" s="25">
        <f t="shared" si="8"/>
        <v>0.724999092952099</v>
      </c>
      <c r="T33" s="3">
        <v>0.01</v>
      </c>
      <c r="U33" s="26">
        <f t="shared" si="9"/>
        <v>0.00724999092952099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0.036699990929521</v>
      </c>
      <c r="AR33" s="29">
        <f t="shared" si="15"/>
        <v>108.812583333333</v>
      </c>
      <c r="AS33" s="1">
        <f t="shared" si="16"/>
        <v>0.12</v>
      </c>
      <c r="AT33" s="2">
        <f t="shared" si="20"/>
        <v>52.6591333333333</v>
      </c>
      <c r="AU33" s="1">
        <f t="shared" si="17"/>
        <v>169073.223908059</v>
      </c>
    </row>
    <row r="34" s="1" customFormat="1" spans="1:47">
      <c r="A34" s="13"/>
      <c r="B34" s="13"/>
      <c r="C34" s="16">
        <v>7</v>
      </c>
      <c r="D34" s="19">
        <v>24.9210464548387</v>
      </c>
      <c r="E34" s="20">
        <f t="shared" si="18"/>
        <v>22.9275340036667</v>
      </c>
      <c r="F34" s="16" t="s">
        <v>110</v>
      </c>
      <c r="G34" s="13">
        <v>8</v>
      </c>
      <c r="H34" s="18">
        <f t="shared" si="0"/>
        <v>24.9210464548387</v>
      </c>
      <c r="I34" s="18">
        <f t="shared" si="1"/>
        <v>298.071046454839</v>
      </c>
      <c r="J34" s="18">
        <f t="shared" si="2"/>
        <v>0.343192707380327</v>
      </c>
      <c r="K34" s="18">
        <f t="shared" si="3"/>
        <v>108.812583333333</v>
      </c>
      <c r="L34" s="18">
        <f t="shared" si="4"/>
        <v>1.08812583333333</v>
      </c>
      <c r="M34" s="13" t="s">
        <v>110</v>
      </c>
      <c r="N34" s="13"/>
      <c r="O34" s="18">
        <f t="shared" si="19"/>
        <v>3.16340311685429</v>
      </c>
      <c r="P34" s="18">
        <f t="shared" si="5"/>
        <v>1.08565688020859</v>
      </c>
      <c r="Q34" s="24">
        <f t="shared" si="6"/>
        <v>0.13027882562503</v>
      </c>
      <c r="R34" s="18">
        <f t="shared" si="7"/>
        <v>0.1305751</v>
      </c>
      <c r="S34" s="25">
        <f t="shared" si="8"/>
        <v>0.997731004035459</v>
      </c>
      <c r="T34" s="3">
        <v>0.01</v>
      </c>
      <c r="U34" s="26">
        <f t="shared" si="9"/>
        <v>0.00997731004035459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0.0394273100403546</v>
      </c>
      <c r="AR34" s="29">
        <f t="shared" si="15"/>
        <v>108.812583333333</v>
      </c>
      <c r="AS34" s="1">
        <f t="shared" si="16"/>
        <v>0.12</v>
      </c>
      <c r="AT34" s="2">
        <f t="shared" si="20"/>
        <v>52.6591333333333</v>
      </c>
      <c r="AU34" s="1">
        <f t="shared" si="17"/>
        <v>181637.712972382</v>
      </c>
    </row>
    <row r="35" s="1" customFormat="1" spans="1:47">
      <c r="A35" s="13"/>
      <c r="B35" s="13"/>
      <c r="C35" s="16">
        <v>8</v>
      </c>
      <c r="D35" s="19">
        <v>23.8033130245161</v>
      </c>
      <c r="E35" s="20">
        <f t="shared" si="18"/>
        <v>24.9210464548387</v>
      </c>
      <c r="F35" s="16" t="s">
        <v>110</v>
      </c>
      <c r="G35" s="13">
        <v>9</v>
      </c>
      <c r="H35" s="18">
        <f t="shared" si="0"/>
        <v>23.8033130245161</v>
      </c>
      <c r="I35" s="18">
        <f t="shared" si="1"/>
        <v>296.953313024516</v>
      </c>
      <c r="J35" s="18">
        <f t="shared" si="2"/>
        <v>0.303486510412727</v>
      </c>
      <c r="K35" s="18">
        <f t="shared" si="3"/>
        <v>108.812583333333</v>
      </c>
      <c r="L35" s="18">
        <f t="shared" si="4"/>
        <v>1.08812583333333</v>
      </c>
      <c r="M35" s="13" t="s">
        <v>110</v>
      </c>
      <c r="N35" s="13"/>
      <c r="O35" s="18">
        <f t="shared" si="19"/>
        <v>3.16587206997903</v>
      </c>
      <c r="P35" s="18">
        <f t="shared" si="5"/>
        <v>0.960799466931053</v>
      </c>
      <c r="Q35" s="24">
        <f t="shared" si="6"/>
        <v>0.115295936031726</v>
      </c>
      <c r="R35" s="18">
        <f t="shared" si="7"/>
        <v>0.1305751</v>
      </c>
      <c r="S35" s="25">
        <f t="shared" si="8"/>
        <v>0.882985623076118</v>
      </c>
      <c r="T35" s="3">
        <v>0.01</v>
      </c>
      <c r="U35" s="26">
        <f t="shared" si="9"/>
        <v>0.00882985623076118</v>
      </c>
      <c r="V35" s="25"/>
      <c r="W35" s="3"/>
      <c r="X35" s="26"/>
      <c r="Y35" s="28">
        <v>0.02</v>
      </c>
      <c r="Z35" s="3">
        <v>0.21</v>
      </c>
      <c r="AA35" s="27">
        <f t="shared" si="10"/>
        <v>0.0042</v>
      </c>
      <c r="AB35" s="3">
        <v>0.01</v>
      </c>
      <c r="AC35" s="3">
        <v>0.29</v>
      </c>
      <c r="AD35" s="27">
        <f t="shared" si="11"/>
        <v>0.0029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0.0307298562307612</v>
      </c>
      <c r="AR35" s="29">
        <f t="shared" si="15"/>
        <v>108.812583333333</v>
      </c>
      <c r="AS35" s="1">
        <f t="shared" si="16"/>
        <v>0.12</v>
      </c>
      <c r="AT35" s="2">
        <f t="shared" si="20"/>
        <v>52.6591333333333</v>
      </c>
      <c r="AU35" s="1">
        <f t="shared" si="17"/>
        <v>141569.404557719</v>
      </c>
    </row>
    <row r="36" s="1" customFormat="1" spans="1:47">
      <c r="A36" s="13"/>
      <c r="B36" s="13"/>
      <c r="C36" s="16">
        <v>9</v>
      </c>
      <c r="D36" s="19">
        <v>20.670883713</v>
      </c>
      <c r="E36" s="20">
        <f t="shared" si="18"/>
        <v>23.8033130245161</v>
      </c>
      <c r="F36" s="16" t="s">
        <v>110</v>
      </c>
      <c r="G36" s="13">
        <v>10</v>
      </c>
      <c r="H36" s="18">
        <f t="shared" si="0"/>
        <v>20.670883713</v>
      </c>
      <c r="I36" s="18">
        <f t="shared" si="1"/>
        <v>293.820883713</v>
      </c>
      <c r="J36" s="18">
        <f t="shared" si="2"/>
        <v>0.213956678761005</v>
      </c>
      <c r="K36" s="18">
        <f t="shared" si="3"/>
        <v>108.812583333333</v>
      </c>
      <c r="L36" s="18">
        <f t="shared" si="4"/>
        <v>1.08812583333333</v>
      </c>
      <c r="M36" s="13" t="s">
        <v>110</v>
      </c>
      <c r="N36" s="13"/>
      <c r="O36" s="18">
        <f t="shared" si="19"/>
        <v>3.29319843638131</v>
      </c>
      <c r="P36" s="18">
        <f t="shared" si="5"/>
        <v>0.70460179994908</v>
      </c>
      <c r="Q36" s="24">
        <f t="shared" si="6"/>
        <v>0.0845522159938897</v>
      </c>
      <c r="R36" s="18">
        <f t="shared" si="7"/>
        <v>0.1305751</v>
      </c>
      <c r="S36" s="25">
        <f t="shared" si="8"/>
        <v>0.647537057171617</v>
      </c>
      <c r="T36" s="3">
        <v>0.01</v>
      </c>
      <c r="U36" s="26">
        <f t="shared" si="9"/>
        <v>0.00647537057171617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0.0283753705717162</v>
      </c>
      <c r="AR36" s="29">
        <f t="shared" si="15"/>
        <v>108.812583333333</v>
      </c>
      <c r="AS36" s="1">
        <f t="shared" si="16"/>
        <v>0.12</v>
      </c>
      <c r="AT36" s="2">
        <f t="shared" si="20"/>
        <v>52.6591333333333</v>
      </c>
      <c r="AU36" s="1">
        <f t="shared" si="17"/>
        <v>130722.522285063</v>
      </c>
    </row>
    <row r="37" s="1" customFormat="1" spans="1:47">
      <c r="A37" s="13"/>
      <c r="B37" s="13"/>
      <c r="C37" s="16">
        <v>10</v>
      </c>
      <c r="D37" s="19">
        <v>17.2577290857742</v>
      </c>
      <c r="E37" s="20">
        <f t="shared" si="18"/>
        <v>20.670883713</v>
      </c>
      <c r="F37" s="16" t="s">
        <v>110</v>
      </c>
      <c r="G37" s="13">
        <v>11</v>
      </c>
      <c r="H37" s="18">
        <f t="shared" si="0"/>
        <v>17.2577290857742</v>
      </c>
      <c r="I37" s="18">
        <f t="shared" si="1"/>
        <v>290.407729085774</v>
      </c>
      <c r="J37" s="18">
        <f t="shared" si="2"/>
        <v>0.144936741718673</v>
      </c>
      <c r="K37" s="18">
        <f t="shared" si="3"/>
        <v>108.812583333333</v>
      </c>
      <c r="L37" s="18">
        <f t="shared" si="4"/>
        <v>1.08812583333333</v>
      </c>
      <c r="M37" s="13" t="s">
        <v>112</v>
      </c>
      <c r="N37" s="18">
        <f>(O36-P36)*C22/100</f>
        <v>2.45916680461062</v>
      </c>
      <c r="O37" s="18">
        <f t="shared" si="19"/>
        <v>1.21755566515495</v>
      </c>
      <c r="P37" s="18">
        <f t="shared" si="5"/>
        <v>0.176468550968669</v>
      </c>
      <c r="Q37" s="24">
        <f t="shared" si="6"/>
        <v>0.0211762261162403</v>
      </c>
      <c r="R37" s="18">
        <f t="shared" si="7"/>
        <v>0.1305751</v>
      </c>
      <c r="S37" s="25">
        <f t="shared" si="8"/>
        <v>0.162176602707869</v>
      </c>
      <c r="T37" s="3">
        <v>0.01</v>
      </c>
      <c r="U37" s="26">
        <f t="shared" si="9"/>
        <v>0.00162176602707869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0.0235217660270787</v>
      </c>
      <c r="AR37" s="29">
        <f t="shared" si="15"/>
        <v>108.812583333333</v>
      </c>
      <c r="AS37" s="1">
        <f t="shared" si="16"/>
        <v>0.12</v>
      </c>
      <c r="AT37" s="2">
        <f t="shared" si="20"/>
        <v>52.6591333333333</v>
      </c>
      <c r="AU37" s="1">
        <f t="shared" si="17"/>
        <v>108362.446787699</v>
      </c>
    </row>
    <row r="38" s="1" customFormat="1" spans="1:48">
      <c r="A38" s="13"/>
      <c r="B38" s="13"/>
      <c r="C38" s="16">
        <v>11</v>
      </c>
      <c r="D38" s="19">
        <v>11.5612993631333</v>
      </c>
      <c r="E38" s="20">
        <f t="shared" si="18"/>
        <v>17.2577290857742</v>
      </c>
      <c r="F38" s="16" t="s">
        <v>112</v>
      </c>
      <c r="G38" s="13">
        <v>12</v>
      </c>
      <c r="H38" s="18">
        <f t="shared" si="0"/>
        <v>11.5612993631333</v>
      </c>
      <c r="I38" s="18">
        <f t="shared" si="1"/>
        <v>284.711299363133</v>
      </c>
      <c r="J38" s="18">
        <f t="shared" si="2"/>
        <v>0.0741046254239422</v>
      </c>
      <c r="K38" s="18">
        <f t="shared" si="3"/>
        <v>108.812583333333</v>
      </c>
      <c r="L38" s="18">
        <f t="shared" si="4"/>
        <v>1.08812583333333</v>
      </c>
      <c r="M38" s="13" t="s">
        <v>110</v>
      </c>
      <c r="N38" s="13"/>
      <c r="O38" s="18">
        <f t="shared" si="19"/>
        <v>2.12921294751961</v>
      </c>
      <c r="P38" s="18">
        <f t="shared" si="5"/>
        <v>0.157784527923749</v>
      </c>
      <c r="Q38" s="24">
        <f t="shared" si="6"/>
        <v>0.0189341433508498</v>
      </c>
      <c r="R38" s="18">
        <f t="shared" si="7"/>
        <v>0.1305751</v>
      </c>
      <c r="S38" s="25">
        <f t="shared" si="8"/>
        <v>0.145005773312445</v>
      </c>
      <c r="T38" s="3">
        <v>0.01</v>
      </c>
      <c r="U38" s="26">
        <f t="shared" si="9"/>
        <v>0.00145005773312445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0.0233500577331244</v>
      </c>
      <c r="AR38" s="29">
        <f t="shared" si="15"/>
        <v>108.812583333333</v>
      </c>
      <c r="AS38" s="1">
        <f t="shared" si="16"/>
        <v>0.12</v>
      </c>
      <c r="AT38" s="2">
        <f t="shared" si="20"/>
        <v>52.6591333333333</v>
      </c>
      <c r="AU38" s="1">
        <f t="shared" si="17"/>
        <v>107571.403681276</v>
      </c>
      <c r="AV38" s="1">
        <f>SUM(AU27:AU38)</f>
        <v>1492728.24702289</v>
      </c>
    </row>
    <row r="39" s="1" customFormat="1" spans="1:46">
      <c r="A39" s="13"/>
      <c r="B39" s="13"/>
      <c r="C39" s="16">
        <v>12</v>
      </c>
      <c r="D39" s="19">
        <v>8.23624972858065</v>
      </c>
      <c r="E39" s="20">
        <f t="shared" si="18"/>
        <v>11.5612993631333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5</v>
      </c>
      <c r="E42" s="16"/>
      <c r="F42" s="16"/>
      <c r="G42" s="13">
        <v>1</v>
      </c>
      <c r="H42" s="18">
        <f t="shared" ref="H42:H53" si="21">E43</f>
        <v>5</v>
      </c>
      <c r="I42" s="18">
        <f t="shared" ref="I42:I53" si="22">H42+273.15</f>
        <v>278.15</v>
      </c>
      <c r="J42" s="18">
        <f t="shared" ref="J42:J53" si="23">EXP(($C$16*(I42-$C$14))/($C$17*I42*$C$14))</f>
        <v>0.0330744063381255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0.0025497404371127</v>
      </c>
      <c r="Q42" s="24">
        <f t="shared" ref="Q42:Q53" si="27">P42*$B$44</f>
        <v>0.000331466256824651</v>
      </c>
      <c r="R42" s="18">
        <f t="shared" ref="R42:R53" si="28">L42*$B$44</f>
        <v>0.0100218354166667</v>
      </c>
      <c r="S42" s="25">
        <f t="shared" ref="S42:S53" si="29">Q42/R42</f>
        <v>0.0330744063381255</v>
      </c>
      <c r="T42" s="3">
        <v>0.01</v>
      </c>
      <c r="U42" s="26">
        <f t="shared" ref="U42:U53" si="30">S42*T42</f>
        <v>0.000330744063381255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0.0151307440633813</v>
      </c>
      <c r="AR42" s="29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41.8257671232877</v>
      </c>
      <c r="AU42" s="1">
        <f t="shared" ref="AU42:AU53" si="37">AT42*10000*AS42*0.67*AR42*AQ42</f>
        <v>4249.38684682427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4.94497473116129</v>
      </c>
      <c r="E43" s="20">
        <f t="shared" ref="E43:E54" si="38">D42</f>
        <v>5</v>
      </c>
      <c r="F43" s="16" t="s">
        <v>110</v>
      </c>
      <c r="G43" s="13">
        <v>2</v>
      </c>
      <c r="H43" s="18">
        <f t="shared" si="21"/>
        <v>4.94497473116129</v>
      </c>
      <c r="I43" s="18">
        <f t="shared" si="22"/>
        <v>278.094974731161</v>
      </c>
      <c r="J43" s="18">
        <f t="shared" si="23"/>
        <v>0.0328461122759939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0.151632342896221</v>
      </c>
      <c r="P43" s="18">
        <f t="shared" si="26"/>
        <v>0.00498053295944127</v>
      </c>
      <c r="Q43" s="24">
        <f t="shared" si="27"/>
        <v>0.000647469284727365</v>
      </c>
      <c r="R43" s="18">
        <f t="shared" si="28"/>
        <v>0.0100218354166667</v>
      </c>
      <c r="S43" s="25">
        <f t="shared" si="29"/>
        <v>0.0646058588879439</v>
      </c>
      <c r="T43" s="3">
        <v>0.01</v>
      </c>
      <c r="U43" s="26">
        <f t="shared" si="30"/>
        <v>0.000646058588879439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0.0154460585888794</v>
      </c>
      <c r="AR43" s="29">
        <f t="shared" si="34"/>
        <v>7.70910416666667</v>
      </c>
      <c r="AS43" s="1">
        <f t="shared" si="35"/>
        <v>0.13</v>
      </c>
      <c r="AT43" s="2">
        <f t="shared" si="36"/>
        <v>41.8257671232877</v>
      </c>
      <c r="AU43" s="1">
        <f t="shared" si="37"/>
        <v>4337.94120949487</v>
      </c>
    </row>
    <row r="44" s="1" customFormat="1" spans="1:47">
      <c r="A44" s="13" t="s">
        <v>73</v>
      </c>
      <c r="B44" s="13">
        <f>I5</f>
        <v>0.13</v>
      </c>
      <c r="C44" s="16">
        <v>2</v>
      </c>
      <c r="D44" s="19">
        <v>6.85362386982758</v>
      </c>
      <c r="E44" s="20">
        <f t="shared" si="38"/>
        <v>4.94497473116129</v>
      </c>
      <c r="F44" s="16" t="s">
        <v>110</v>
      </c>
      <c r="G44" s="13">
        <v>3</v>
      </c>
      <c r="H44" s="18">
        <f t="shared" si="21"/>
        <v>6.85362386982758</v>
      </c>
      <c r="I44" s="18">
        <f t="shared" si="22"/>
        <v>280.003623869828</v>
      </c>
      <c r="J44" s="18">
        <f t="shared" si="23"/>
        <v>0.0416998018626202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0.223742851603446</v>
      </c>
      <c r="P44" s="18">
        <f t="shared" si="26"/>
        <v>0.00933003258004133</v>
      </c>
      <c r="Q44" s="24">
        <f t="shared" si="27"/>
        <v>0.00121290423540537</v>
      </c>
      <c r="R44" s="18">
        <f t="shared" si="28"/>
        <v>0.0100218354166667</v>
      </c>
      <c r="S44" s="25">
        <f t="shared" si="29"/>
        <v>0.121026157882045</v>
      </c>
      <c r="T44" s="3">
        <v>0.01</v>
      </c>
      <c r="U44" s="26">
        <f t="shared" si="30"/>
        <v>0.00121026157882045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0.0160102615788205</v>
      </c>
      <c r="AR44" s="29">
        <f t="shared" si="34"/>
        <v>7.70910416666667</v>
      </c>
      <c r="AS44" s="1">
        <f t="shared" si="35"/>
        <v>0.13</v>
      </c>
      <c r="AT44" s="2">
        <f t="shared" si="36"/>
        <v>41.8257671232877</v>
      </c>
      <c r="AU44" s="1">
        <f t="shared" si="37"/>
        <v>4496.39453831672</v>
      </c>
    </row>
    <row r="45" s="1" customFormat="1" spans="1:47">
      <c r="A45" s="13"/>
      <c r="B45" s="13"/>
      <c r="C45" s="16">
        <v>3</v>
      </c>
      <c r="D45" s="19">
        <v>11.8625867681613</v>
      </c>
      <c r="E45" s="20">
        <f t="shared" si="38"/>
        <v>6.85362386982758</v>
      </c>
      <c r="F45" s="16" t="s">
        <v>110</v>
      </c>
      <c r="G45" s="13">
        <v>4</v>
      </c>
      <c r="H45" s="18">
        <f t="shared" si="21"/>
        <v>11.8625867681613</v>
      </c>
      <c r="I45" s="18">
        <f t="shared" si="22"/>
        <v>285.012586768161</v>
      </c>
      <c r="J45" s="18">
        <f t="shared" si="23"/>
        <v>0.0768326431820401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0.291503860690071</v>
      </c>
      <c r="P45" s="18">
        <f t="shared" si="26"/>
        <v>0.0223970121145874</v>
      </c>
      <c r="Q45" s="24">
        <f t="shared" si="27"/>
        <v>0.00291161157489636</v>
      </c>
      <c r="R45" s="18">
        <f t="shared" si="28"/>
        <v>0.0100218354166667</v>
      </c>
      <c r="S45" s="25">
        <f t="shared" si="29"/>
        <v>0.290526780159874</v>
      </c>
      <c r="T45" s="3">
        <v>0.01</v>
      </c>
      <c r="U45" s="26">
        <f t="shared" si="30"/>
        <v>0.00290526780159874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0.0177052678015987</v>
      </c>
      <c r="AR45" s="29">
        <f t="shared" si="34"/>
        <v>7.70910416666667</v>
      </c>
      <c r="AS45" s="1">
        <f t="shared" si="35"/>
        <v>0.13</v>
      </c>
      <c r="AT45" s="2">
        <f t="shared" si="36"/>
        <v>41.8257671232877</v>
      </c>
      <c r="AU45" s="1">
        <f t="shared" si="37"/>
        <v>4972.42778018426</v>
      </c>
    </row>
    <row r="46" s="1" customFormat="1" spans="1:47">
      <c r="A46" s="13"/>
      <c r="B46" s="13"/>
      <c r="C46" s="16">
        <v>4</v>
      </c>
      <c r="D46" s="19">
        <v>16.8451873376667</v>
      </c>
      <c r="E46" s="20">
        <f t="shared" si="38"/>
        <v>11.8625867681613</v>
      </c>
      <c r="F46" s="16" t="s">
        <v>110</v>
      </c>
      <c r="G46" s="13">
        <v>5</v>
      </c>
      <c r="H46" s="18">
        <f t="shared" si="21"/>
        <v>16.8451873376667</v>
      </c>
      <c r="I46" s="18">
        <f t="shared" si="22"/>
        <v>289.995187337667</v>
      </c>
      <c r="J46" s="18">
        <f t="shared" si="23"/>
        <v>0.13818606599241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0.25565150614671</v>
      </c>
      <c r="O46" s="18">
        <f t="shared" si="39"/>
        <v>0.0905463840954408</v>
      </c>
      <c r="P46" s="18">
        <f t="shared" si="26"/>
        <v>0.0125122486079867</v>
      </c>
      <c r="Q46" s="24">
        <f t="shared" si="27"/>
        <v>0.00162659231903827</v>
      </c>
      <c r="R46" s="18">
        <f t="shared" si="28"/>
        <v>0.0100218354166667</v>
      </c>
      <c r="S46" s="25">
        <f t="shared" si="29"/>
        <v>0.162304832539276</v>
      </c>
      <c r="T46" s="3">
        <v>0.01</v>
      </c>
      <c r="U46" s="26">
        <f t="shared" si="30"/>
        <v>0.00162304832539276</v>
      </c>
      <c r="V46" s="25"/>
      <c r="W46" s="3"/>
      <c r="X46" s="26"/>
      <c r="Y46" s="28">
        <v>0.02</v>
      </c>
      <c r="Z46" s="3">
        <v>0.49</v>
      </c>
      <c r="AA46" s="27">
        <f t="shared" si="31"/>
        <v>0.0098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</v>
      </c>
      <c r="AO46" s="3">
        <v>0.5</v>
      </c>
      <c r="AP46" s="3">
        <f t="shared" si="32"/>
        <v>0.005</v>
      </c>
      <c r="AQ46" s="1">
        <f t="shared" si="33"/>
        <v>0.0164230483253928</v>
      </c>
      <c r="AR46" s="29">
        <f t="shared" si="34"/>
        <v>7.70910416666667</v>
      </c>
      <c r="AS46" s="1">
        <f t="shared" si="35"/>
        <v>0.13</v>
      </c>
      <c r="AT46" s="2">
        <f t="shared" si="36"/>
        <v>41.8257671232877</v>
      </c>
      <c r="AU46" s="1">
        <f t="shared" si="37"/>
        <v>4612.32344201637</v>
      </c>
    </row>
    <row r="47" s="1" customFormat="1" spans="1:47">
      <c r="A47" s="13"/>
      <c r="B47" s="13"/>
      <c r="C47" s="16">
        <v>5</v>
      </c>
      <c r="D47" s="19">
        <v>19.5688022287097</v>
      </c>
      <c r="E47" s="20">
        <f t="shared" si="38"/>
        <v>16.8451873376667</v>
      </c>
      <c r="F47" s="16" t="s">
        <v>112</v>
      </c>
      <c r="G47" s="13">
        <v>6</v>
      </c>
      <c r="H47" s="18">
        <f t="shared" si="21"/>
        <v>19.5688022287097</v>
      </c>
      <c r="I47" s="18">
        <f t="shared" si="22"/>
        <v>292.71880222871</v>
      </c>
      <c r="J47" s="18">
        <f t="shared" si="23"/>
        <v>0.188860297757029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0.155125177154121</v>
      </c>
      <c r="P47" s="18">
        <f t="shared" si="26"/>
        <v>0.0292969871469391</v>
      </c>
      <c r="Q47" s="24">
        <f t="shared" si="27"/>
        <v>0.00380860832910209</v>
      </c>
      <c r="R47" s="18">
        <f t="shared" si="28"/>
        <v>0.0100218354166667</v>
      </c>
      <c r="S47" s="25">
        <f t="shared" si="29"/>
        <v>0.380031019344843</v>
      </c>
      <c r="T47" s="3">
        <v>0.01</v>
      </c>
      <c r="U47" s="26">
        <f t="shared" si="30"/>
        <v>0.00380031019344843</v>
      </c>
      <c r="V47" s="25"/>
      <c r="W47" s="3"/>
      <c r="X47" s="26"/>
      <c r="Y47" s="28">
        <v>0.02</v>
      </c>
      <c r="Z47" s="3">
        <v>0.49</v>
      </c>
      <c r="AA47" s="27">
        <f t="shared" si="31"/>
        <v>0.0098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</v>
      </c>
      <c r="AO47" s="3">
        <v>0.5</v>
      </c>
      <c r="AP47" s="3">
        <f t="shared" si="32"/>
        <v>0.005</v>
      </c>
      <c r="AQ47" s="1">
        <f t="shared" si="33"/>
        <v>0.0186003101934484</v>
      </c>
      <c r="AR47" s="29">
        <f t="shared" si="34"/>
        <v>7.70910416666667</v>
      </c>
      <c r="AS47" s="1">
        <f t="shared" si="35"/>
        <v>0.13</v>
      </c>
      <c r="AT47" s="2">
        <f t="shared" si="36"/>
        <v>41.8257671232877</v>
      </c>
      <c r="AU47" s="1">
        <f t="shared" si="37"/>
        <v>5223.795548441</v>
      </c>
    </row>
    <row r="48" s="1" customFormat="1" spans="1:47">
      <c r="A48" s="13"/>
      <c r="B48" s="13"/>
      <c r="C48" s="16">
        <v>6</v>
      </c>
      <c r="D48" s="19">
        <v>22.9275340036667</v>
      </c>
      <c r="E48" s="20">
        <f t="shared" si="38"/>
        <v>19.5688022287097</v>
      </c>
      <c r="F48" s="16" t="s">
        <v>110</v>
      </c>
      <c r="G48" s="13">
        <v>7</v>
      </c>
      <c r="H48" s="18">
        <f t="shared" si="21"/>
        <v>22.9275340036667</v>
      </c>
      <c r="I48" s="18">
        <f t="shared" si="22"/>
        <v>296.077534003667</v>
      </c>
      <c r="J48" s="18">
        <f t="shared" si="23"/>
        <v>0.275434392403472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0.202919231673848</v>
      </c>
      <c r="P48" s="18">
        <f t="shared" si="26"/>
        <v>0.0558909352830658</v>
      </c>
      <c r="Q48" s="24">
        <f t="shared" si="27"/>
        <v>0.00726582158679855</v>
      </c>
      <c r="R48" s="18">
        <f t="shared" si="28"/>
        <v>0.0100218354166667</v>
      </c>
      <c r="S48" s="25">
        <f t="shared" si="29"/>
        <v>0.724999092952099</v>
      </c>
      <c r="T48" s="3">
        <v>0.01</v>
      </c>
      <c r="U48" s="26">
        <f t="shared" si="30"/>
        <v>0.00724999092952099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0.034349990929521</v>
      </c>
      <c r="AR48" s="29">
        <f t="shared" si="34"/>
        <v>7.70910416666667</v>
      </c>
      <c r="AS48" s="1">
        <f t="shared" si="35"/>
        <v>0.13</v>
      </c>
      <c r="AT48" s="2">
        <f t="shared" si="36"/>
        <v>41.8257671232877</v>
      </c>
      <c r="AU48" s="1">
        <f t="shared" si="37"/>
        <v>9647.00738000722</v>
      </c>
    </row>
    <row r="49" s="1" customFormat="1" spans="1:47">
      <c r="A49" s="13"/>
      <c r="B49" s="13"/>
      <c r="C49" s="16">
        <v>7</v>
      </c>
      <c r="D49" s="19">
        <v>24.9210464548387</v>
      </c>
      <c r="E49" s="20">
        <f t="shared" si="38"/>
        <v>22.9275340036667</v>
      </c>
      <c r="F49" s="16" t="s">
        <v>110</v>
      </c>
      <c r="G49" s="13">
        <v>8</v>
      </c>
      <c r="H49" s="18">
        <f t="shared" si="21"/>
        <v>24.9210464548387</v>
      </c>
      <c r="I49" s="18">
        <f t="shared" si="22"/>
        <v>298.071046454839</v>
      </c>
      <c r="J49" s="18">
        <f t="shared" si="23"/>
        <v>0.343192707380327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0.224119338057449</v>
      </c>
      <c r="P49" s="18">
        <f t="shared" si="26"/>
        <v>0.0769161224042227</v>
      </c>
      <c r="Q49" s="24">
        <f t="shared" si="27"/>
        <v>0.00999909591254896</v>
      </c>
      <c r="R49" s="18">
        <f t="shared" si="28"/>
        <v>0.0100218354166667</v>
      </c>
      <c r="S49" s="25">
        <f t="shared" si="29"/>
        <v>0.997731004035459</v>
      </c>
      <c r="T49" s="3">
        <v>0.01</v>
      </c>
      <c r="U49" s="26">
        <f t="shared" si="30"/>
        <v>0.00997731004035459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0.0370773100403546</v>
      </c>
      <c r="AR49" s="29">
        <f t="shared" si="34"/>
        <v>7.70910416666667</v>
      </c>
      <c r="AS49" s="1">
        <f t="shared" si="35"/>
        <v>0.13</v>
      </c>
      <c r="AT49" s="2">
        <f t="shared" si="36"/>
        <v>41.8257671232877</v>
      </c>
      <c r="AU49" s="1">
        <f t="shared" si="37"/>
        <v>10412.9600594076</v>
      </c>
    </row>
    <row r="50" s="1" customFormat="1" spans="1:47">
      <c r="A50" s="13"/>
      <c r="B50" s="13"/>
      <c r="C50" s="16">
        <v>8</v>
      </c>
      <c r="D50" s="19">
        <v>23.8033130245161</v>
      </c>
      <c r="E50" s="20">
        <f t="shared" si="38"/>
        <v>24.9210464548387</v>
      </c>
      <c r="F50" s="16" t="s">
        <v>110</v>
      </c>
      <c r="G50" s="13">
        <v>9</v>
      </c>
      <c r="H50" s="18">
        <f t="shared" si="21"/>
        <v>23.8033130245161</v>
      </c>
      <c r="I50" s="18">
        <f t="shared" si="22"/>
        <v>296.953313024516</v>
      </c>
      <c r="J50" s="18">
        <f t="shared" si="23"/>
        <v>0.303486510412727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0.224294257319893</v>
      </c>
      <c r="P50" s="18">
        <f t="shared" si="26"/>
        <v>0.0680702814596286</v>
      </c>
      <c r="Q50" s="24">
        <f t="shared" si="27"/>
        <v>0.00884913658975172</v>
      </c>
      <c r="R50" s="18">
        <f t="shared" si="28"/>
        <v>0.0100218354166667</v>
      </c>
      <c r="S50" s="25">
        <f t="shared" si="29"/>
        <v>0.882985623076118</v>
      </c>
      <c r="T50" s="3">
        <v>0.01</v>
      </c>
      <c r="U50" s="26">
        <f t="shared" si="30"/>
        <v>0.00882985623076118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0.0236298562307612</v>
      </c>
      <c r="AR50" s="29">
        <f t="shared" si="34"/>
        <v>7.70910416666667</v>
      </c>
      <c r="AS50" s="1">
        <f t="shared" si="35"/>
        <v>0.13</v>
      </c>
      <c r="AT50" s="2">
        <f t="shared" si="36"/>
        <v>41.8257671232877</v>
      </c>
      <c r="AU50" s="1">
        <f t="shared" si="37"/>
        <v>6636.31608853649</v>
      </c>
    </row>
    <row r="51" s="1" customFormat="1" spans="1:47">
      <c r="A51" s="13"/>
      <c r="B51" s="13"/>
      <c r="C51" s="16">
        <v>9</v>
      </c>
      <c r="D51" s="19">
        <v>20.670883713</v>
      </c>
      <c r="E51" s="20">
        <f t="shared" si="38"/>
        <v>23.8033130245161</v>
      </c>
      <c r="F51" s="16" t="s">
        <v>110</v>
      </c>
      <c r="G51" s="13">
        <v>10</v>
      </c>
      <c r="H51" s="18">
        <f t="shared" si="21"/>
        <v>20.670883713</v>
      </c>
      <c r="I51" s="18">
        <f t="shared" si="22"/>
        <v>293.820883713</v>
      </c>
      <c r="J51" s="18">
        <f t="shared" si="23"/>
        <v>0.213956678761005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0.233315017526931</v>
      </c>
      <c r="P51" s="18">
        <f t="shared" si="26"/>
        <v>0.0499193062551279</v>
      </c>
      <c r="Q51" s="24">
        <f t="shared" si="27"/>
        <v>0.00648950981316662</v>
      </c>
      <c r="R51" s="18">
        <f t="shared" si="28"/>
        <v>0.0100218354166667</v>
      </c>
      <c r="S51" s="25">
        <f t="shared" si="29"/>
        <v>0.647537057171617</v>
      </c>
      <c r="T51" s="3">
        <v>0.01</v>
      </c>
      <c r="U51" s="26">
        <f t="shared" si="30"/>
        <v>0.00647537057171617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0.0212753705717162</v>
      </c>
      <c r="AR51" s="29">
        <f t="shared" si="34"/>
        <v>7.70910416666667</v>
      </c>
      <c r="AS51" s="1">
        <f t="shared" si="35"/>
        <v>0.13</v>
      </c>
      <c r="AT51" s="2">
        <f t="shared" si="36"/>
        <v>41.8257671232877</v>
      </c>
      <c r="AU51" s="1">
        <f t="shared" si="37"/>
        <v>5975.07164816584</v>
      </c>
    </row>
    <row r="52" s="1" customFormat="1" spans="1:47">
      <c r="A52" s="13"/>
      <c r="B52" s="13"/>
      <c r="C52" s="16">
        <v>10</v>
      </c>
      <c r="D52" s="19">
        <v>17.2577290857742</v>
      </c>
      <c r="E52" s="20">
        <f t="shared" si="38"/>
        <v>20.670883713</v>
      </c>
      <c r="F52" s="16" t="s">
        <v>110</v>
      </c>
      <c r="G52" s="13">
        <v>11</v>
      </c>
      <c r="H52" s="18">
        <f t="shared" si="21"/>
        <v>17.2577290857742</v>
      </c>
      <c r="I52" s="18">
        <f t="shared" si="22"/>
        <v>290.407729085774</v>
      </c>
      <c r="J52" s="18">
        <f t="shared" si="23"/>
        <v>0.144936741718673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0.174225925708213</v>
      </c>
      <c r="O52" s="18">
        <f t="shared" si="39"/>
        <v>0.0862608272302568</v>
      </c>
      <c r="P52" s="18">
        <f t="shared" si="26"/>
        <v>0.0125023632367108</v>
      </c>
      <c r="Q52" s="24">
        <f t="shared" si="27"/>
        <v>0.00162530722077241</v>
      </c>
      <c r="R52" s="18">
        <f t="shared" si="28"/>
        <v>0.0100218354166667</v>
      </c>
      <c r="S52" s="25">
        <f t="shared" si="29"/>
        <v>0.162176602707869</v>
      </c>
      <c r="T52" s="3">
        <v>0.01</v>
      </c>
      <c r="U52" s="26">
        <f t="shared" si="30"/>
        <v>0.00162176602707869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0.0164217660270787</v>
      </c>
      <c r="AR52" s="29">
        <f t="shared" si="34"/>
        <v>7.70910416666667</v>
      </c>
      <c r="AS52" s="1">
        <f t="shared" si="35"/>
        <v>0.13</v>
      </c>
      <c r="AT52" s="2">
        <f t="shared" si="36"/>
        <v>41.8257671232877</v>
      </c>
      <c r="AU52" s="1">
        <f t="shared" si="37"/>
        <v>4611.96331553702</v>
      </c>
    </row>
    <row r="53" s="1" customFormat="1" spans="1:48">
      <c r="A53" s="13"/>
      <c r="B53" s="13"/>
      <c r="C53" s="16">
        <v>11</v>
      </c>
      <c r="D53" s="19">
        <v>11.5612993631333</v>
      </c>
      <c r="E53" s="20">
        <f t="shared" si="38"/>
        <v>17.2577290857742</v>
      </c>
      <c r="F53" s="16" t="s">
        <v>112</v>
      </c>
      <c r="G53" s="13">
        <v>12</v>
      </c>
      <c r="H53" s="18">
        <f t="shared" si="21"/>
        <v>11.5612993631333</v>
      </c>
      <c r="I53" s="18">
        <f t="shared" si="22"/>
        <v>284.711299363133</v>
      </c>
      <c r="J53" s="18">
        <f t="shared" si="23"/>
        <v>0.0741046254239422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0.150849505660213</v>
      </c>
      <c r="P53" s="18">
        <f t="shared" si="26"/>
        <v>0.0111786461123369</v>
      </c>
      <c r="Q53" s="24">
        <f t="shared" si="27"/>
        <v>0.0014532239946038</v>
      </c>
      <c r="R53" s="18">
        <f t="shared" si="28"/>
        <v>0.0100218354166667</v>
      </c>
      <c r="S53" s="25">
        <f t="shared" si="29"/>
        <v>0.145005773312445</v>
      </c>
      <c r="T53" s="3">
        <v>0.01</v>
      </c>
      <c r="U53" s="26">
        <f t="shared" si="30"/>
        <v>0.00145005773312445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0.0162500577331244</v>
      </c>
      <c r="AR53" s="29">
        <f t="shared" si="34"/>
        <v>7.70910416666667</v>
      </c>
      <c r="AS53" s="1">
        <f t="shared" si="35"/>
        <v>0.13</v>
      </c>
      <c r="AT53" s="2">
        <f t="shared" si="36"/>
        <v>41.8257671232877</v>
      </c>
      <c r="AU53" s="1">
        <f t="shared" si="37"/>
        <v>4563.73997881522</v>
      </c>
      <c r="AV53" s="1">
        <f>SUM(AU42:AU53)</f>
        <v>69739.3278357469</v>
      </c>
    </row>
    <row r="54" s="1" customFormat="1" spans="1:46">
      <c r="A54" s="13"/>
      <c r="B54" s="13"/>
      <c r="C54" s="16">
        <v>12</v>
      </c>
      <c r="D54" s="19">
        <v>8.23624972858065</v>
      </c>
      <c r="E54" s="20">
        <f t="shared" si="38"/>
        <v>11.5612993631333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5</v>
      </c>
      <c r="E58" s="16"/>
      <c r="F58" s="16"/>
      <c r="G58" s="13">
        <v>1</v>
      </c>
      <c r="H58" s="18">
        <f t="shared" ref="H58:H69" si="40">E59</f>
        <v>5</v>
      </c>
      <c r="I58" s="18">
        <f t="shared" ref="I58:I69" si="41">H58+273.15</f>
        <v>278.15</v>
      </c>
      <c r="J58" s="18">
        <f t="shared" ref="J58:J69" si="42">EXP(($C$16*(I58-$C$14))/($C$17*I58*$C$14))</f>
        <v>0.0330744063381255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0.0913741662742442</v>
      </c>
      <c r="Q58" s="24">
        <f t="shared" ref="Q58:Q69" si="46">P58*$B$60</f>
        <v>0.0264985082195308</v>
      </c>
      <c r="R58" s="18">
        <f t="shared" ref="R58:R69" si="47">L58*$B$60</f>
        <v>0.80117865</v>
      </c>
      <c r="S58" s="25">
        <f t="shared" ref="S58:S69" si="48">Q58/R58</f>
        <v>0.0330744063381255</v>
      </c>
      <c r="T58" s="3">
        <v>0.27</v>
      </c>
      <c r="U58" s="26">
        <f t="shared" ref="U58:U69" si="49">S58*T58</f>
        <v>0.00893008971129389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0.228135116430904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227.201095890411</v>
      </c>
      <c r="AF58" s="1">
        <f t="shared" ref="AF58:AF69" si="54">AE58*10000*AC58*AB58</f>
        <v>5303592.74643648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4.94497473116129</v>
      </c>
      <c r="E59" s="20">
        <f t="shared" ref="E59:E70" si="55">D58</f>
        <v>5</v>
      </c>
      <c r="F59" s="16" t="s">
        <v>110</v>
      </c>
      <c r="G59" s="13">
        <v>2</v>
      </c>
      <c r="H59" s="18">
        <f t="shared" si="40"/>
        <v>4.94497473116129</v>
      </c>
      <c r="I59" s="18">
        <f t="shared" si="41"/>
        <v>278.094974731161</v>
      </c>
      <c r="J59" s="18">
        <f t="shared" si="42"/>
        <v>0.0328461122759939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5.43399583372575</v>
      </c>
      <c r="P59" s="18">
        <f t="shared" si="45"/>
        <v>0.178485637261839</v>
      </c>
      <c r="Q59" s="24">
        <f t="shared" si="46"/>
        <v>0.0517608348059334</v>
      </c>
      <c r="R59" s="18">
        <f t="shared" si="47"/>
        <v>0.80117865</v>
      </c>
      <c r="S59" s="25">
        <f t="shared" si="48"/>
        <v>0.0646058588879439</v>
      </c>
      <c r="T59" s="3">
        <v>0.27</v>
      </c>
      <c r="U59" s="26">
        <f t="shared" si="49"/>
        <v>0.0174435818997448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0.22978928796312</v>
      </c>
      <c r="AC59" s="29">
        <f t="shared" si="51"/>
        <v>10.2321666666667</v>
      </c>
      <c r="AD59" s="1">
        <f t="shared" si="52"/>
        <v>0.29</v>
      </c>
      <c r="AE59" s="30">
        <f t="shared" si="53"/>
        <v>227.201095890411</v>
      </c>
      <c r="AF59" s="1">
        <f t="shared" si="54"/>
        <v>5342048.25594714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6.85362386982758</v>
      </c>
      <c r="E60" s="20">
        <f t="shared" si="55"/>
        <v>4.94497473116129</v>
      </c>
      <c r="F60" s="16" t="s">
        <v>110</v>
      </c>
      <c r="G60" s="13">
        <v>3</v>
      </c>
      <c r="H60" s="18">
        <f t="shared" si="40"/>
        <v>6.85362386982758</v>
      </c>
      <c r="I60" s="18">
        <f t="shared" si="41"/>
        <v>280.003623869828</v>
      </c>
      <c r="J60" s="18">
        <f t="shared" si="42"/>
        <v>0.0416998018626202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8.01819519646391</v>
      </c>
      <c r="P60" s="18">
        <f t="shared" si="45"/>
        <v>0.334357150988358</v>
      </c>
      <c r="Q60" s="24">
        <f t="shared" si="46"/>
        <v>0.0969635737866239</v>
      </c>
      <c r="R60" s="18">
        <f t="shared" si="47"/>
        <v>0.80117865</v>
      </c>
      <c r="S60" s="25">
        <f t="shared" si="48"/>
        <v>0.121026157882045</v>
      </c>
      <c r="T60" s="3">
        <v>0.27</v>
      </c>
      <c r="U60" s="26">
        <f t="shared" si="49"/>
        <v>0.0326770626281522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0.23274915326865</v>
      </c>
      <c r="AC60" s="29">
        <f t="shared" si="51"/>
        <v>10.2321666666667</v>
      </c>
      <c r="AD60" s="1">
        <f t="shared" si="52"/>
        <v>0.29</v>
      </c>
      <c r="AE60" s="30">
        <f t="shared" si="53"/>
        <v>227.201095890411</v>
      </c>
      <c r="AF60" s="1">
        <f t="shared" si="54"/>
        <v>5410858.00523267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11.8625867681613</v>
      </c>
      <c r="E61" s="20">
        <f t="shared" si="55"/>
        <v>6.85362386982758</v>
      </c>
      <c r="F61" s="16" t="s">
        <v>110</v>
      </c>
      <c r="G61" s="13">
        <v>4</v>
      </c>
      <c r="H61" s="18">
        <f t="shared" si="40"/>
        <v>11.8625867681613</v>
      </c>
      <c r="I61" s="18">
        <f t="shared" si="41"/>
        <v>285.012586768161</v>
      </c>
      <c r="J61" s="18">
        <f t="shared" si="42"/>
        <v>0.0768326431820401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10.4465230454756</v>
      </c>
      <c r="P61" s="18">
        <f t="shared" si="45"/>
        <v>0.802633977645982</v>
      </c>
      <c r="Q61" s="24">
        <f t="shared" si="46"/>
        <v>0.232763853517335</v>
      </c>
      <c r="R61" s="18">
        <f t="shared" si="47"/>
        <v>0.80117865</v>
      </c>
      <c r="S61" s="25">
        <f t="shared" si="48"/>
        <v>0.290526780159874</v>
      </c>
      <c r="T61" s="3">
        <v>0.27</v>
      </c>
      <c r="U61" s="26">
        <f t="shared" si="49"/>
        <v>0.0784422306431661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0.241641325413967</v>
      </c>
      <c r="AC61" s="29">
        <f t="shared" si="51"/>
        <v>10.2321666666667</v>
      </c>
      <c r="AD61" s="1">
        <f t="shared" si="52"/>
        <v>0.29</v>
      </c>
      <c r="AE61" s="30">
        <f t="shared" si="53"/>
        <v>227.201095890411</v>
      </c>
      <c r="AF61" s="1">
        <f t="shared" si="54"/>
        <v>5617579.62015885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16.8451873376667</v>
      </c>
      <c r="E62" s="20">
        <f t="shared" si="55"/>
        <v>11.8625867681613</v>
      </c>
      <c r="F62" s="16" t="s">
        <v>110</v>
      </c>
      <c r="G62" s="13">
        <v>5</v>
      </c>
      <c r="H62" s="18">
        <f t="shared" si="40"/>
        <v>16.8451873376667</v>
      </c>
      <c r="I62" s="18">
        <f t="shared" si="41"/>
        <v>289.995187337667</v>
      </c>
      <c r="J62" s="18">
        <f t="shared" si="42"/>
        <v>0.13818606599241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9.16169461443809</v>
      </c>
      <c r="O62" s="18">
        <f t="shared" si="56"/>
        <v>3.24487945339148</v>
      </c>
      <c r="P62" s="18">
        <f t="shared" si="45"/>
        <v>0.44839712628377</v>
      </c>
      <c r="Q62" s="24">
        <f t="shared" si="46"/>
        <v>0.130035166622293</v>
      </c>
      <c r="R62" s="18">
        <f t="shared" si="47"/>
        <v>0.80117865</v>
      </c>
      <c r="S62" s="25">
        <f t="shared" si="48"/>
        <v>0.162304832539276</v>
      </c>
      <c r="T62" s="3">
        <v>0.27</v>
      </c>
      <c r="U62" s="26">
        <f t="shared" si="49"/>
        <v>0.0438223047856046</v>
      </c>
      <c r="V62" s="3">
        <v>180.9</v>
      </c>
      <c r="W62" s="27">
        <v>6</v>
      </c>
      <c r="X62" s="27">
        <v>3</v>
      </c>
      <c r="Y62" s="27">
        <v>0.3</v>
      </c>
      <c r="Z62" s="27">
        <v>6</v>
      </c>
      <c r="AA62" s="3">
        <v>30.2</v>
      </c>
      <c r="AB62" s="2">
        <f t="shared" si="50"/>
        <v>0.234914673819843</v>
      </c>
      <c r="AC62" s="29">
        <f t="shared" si="51"/>
        <v>10.2321666666667</v>
      </c>
      <c r="AD62" s="1">
        <f t="shared" si="52"/>
        <v>0.29</v>
      </c>
      <c r="AE62" s="30">
        <f t="shared" si="53"/>
        <v>227.201095890411</v>
      </c>
      <c r="AF62" s="1">
        <f t="shared" si="54"/>
        <v>5461201.14953787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19.5688022287097</v>
      </c>
      <c r="E63" s="20">
        <f t="shared" si="55"/>
        <v>16.8451873376667</v>
      </c>
      <c r="F63" s="16" t="s">
        <v>112</v>
      </c>
      <c r="G63" s="13">
        <v>6</v>
      </c>
      <c r="H63" s="18">
        <f t="shared" si="40"/>
        <v>19.5688022287097</v>
      </c>
      <c r="I63" s="18">
        <f t="shared" si="41"/>
        <v>292.71880222871</v>
      </c>
      <c r="J63" s="18">
        <f t="shared" si="42"/>
        <v>0.188860297757029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5.55916732710771</v>
      </c>
      <c r="P63" s="18">
        <f t="shared" si="45"/>
        <v>1.04990599667871</v>
      </c>
      <c r="Q63" s="24">
        <f t="shared" si="46"/>
        <v>0.304472739036826</v>
      </c>
      <c r="R63" s="18">
        <f t="shared" si="47"/>
        <v>0.80117865</v>
      </c>
      <c r="S63" s="25">
        <f t="shared" si="48"/>
        <v>0.380031019344844</v>
      </c>
      <c r="T63" s="3">
        <v>0.27</v>
      </c>
      <c r="U63" s="26">
        <f t="shared" si="49"/>
        <v>0.102608375223108</v>
      </c>
      <c r="V63" s="3">
        <v>180.9</v>
      </c>
      <c r="W63" s="27">
        <v>6</v>
      </c>
      <c r="X63" s="27">
        <v>3</v>
      </c>
      <c r="Y63" s="27">
        <v>0.3</v>
      </c>
      <c r="Z63" s="27">
        <v>6</v>
      </c>
      <c r="AA63" s="3">
        <v>30.2</v>
      </c>
      <c r="AB63" s="2">
        <f t="shared" si="50"/>
        <v>0.24633680730585</v>
      </c>
      <c r="AC63" s="29">
        <f t="shared" si="51"/>
        <v>10.2321666666667</v>
      </c>
      <c r="AD63" s="1">
        <f t="shared" si="52"/>
        <v>0.29</v>
      </c>
      <c r="AE63" s="30">
        <f t="shared" si="53"/>
        <v>227.201095890411</v>
      </c>
      <c r="AF63" s="1">
        <f t="shared" si="54"/>
        <v>5726738.28057207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22.9275340036667</v>
      </c>
      <c r="E64" s="20">
        <f t="shared" si="55"/>
        <v>19.5688022287097</v>
      </c>
      <c r="F64" s="16" t="s">
        <v>110</v>
      </c>
      <c r="G64" s="13">
        <v>7</v>
      </c>
      <c r="H64" s="18">
        <f t="shared" si="40"/>
        <v>22.9275340036667</v>
      </c>
      <c r="I64" s="18">
        <f t="shared" si="41"/>
        <v>296.077534003667</v>
      </c>
      <c r="J64" s="18">
        <f t="shared" si="42"/>
        <v>0.275434392403472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7.271946330429</v>
      </c>
      <c r="P64" s="18">
        <f t="shared" si="45"/>
        <v>2.00294411911237</v>
      </c>
      <c r="Q64" s="24">
        <f t="shared" si="46"/>
        <v>0.580853794542587</v>
      </c>
      <c r="R64" s="18">
        <f t="shared" si="47"/>
        <v>0.80117865</v>
      </c>
      <c r="S64" s="25">
        <f t="shared" si="48"/>
        <v>0.724999092952099</v>
      </c>
      <c r="T64" s="3">
        <v>0.27</v>
      </c>
      <c r="U64" s="26">
        <f t="shared" si="49"/>
        <v>0.195749755097067</v>
      </c>
      <c r="V64" s="3">
        <v>229.1</v>
      </c>
      <c r="W64" s="27">
        <v>15.1</v>
      </c>
      <c r="X64" s="27">
        <v>6</v>
      </c>
      <c r="Y64" s="27">
        <v>3</v>
      </c>
      <c r="Z64" s="27">
        <v>7</v>
      </c>
      <c r="AA64" s="3">
        <v>30.2</v>
      </c>
      <c r="AB64" s="2">
        <f t="shared" si="50"/>
        <v>0.32843417741536</v>
      </c>
      <c r="AC64" s="29">
        <f t="shared" si="51"/>
        <v>10.2321666666667</v>
      </c>
      <c r="AD64" s="1">
        <f t="shared" si="52"/>
        <v>0.29</v>
      </c>
      <c r="AE64" s="30">
        <f t="shared" si="53"/>
        <v>227.201095890411</v>
      </c>
      <c r="AF64" s="1">
        <f t="shared" si="54"/>
        <v>7635304.6750236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24.9210464548387</v>
      </c>
      <c r="E65" s="20">
        <f t="shared" si="55"/>
        <v>22.9275340036667</v>
      </c>
      <c r="F65" s="16" t="s">
        <v>110</v>
      </c>
      <c r="G65" s="13">
        <v>8</v>
      </c>
      <c r="H65" s="18">
        <f t="shared" si="40"/>
        <v>24.9210464548387</v>
      </c>
      <c r="I65" s="18">
        <f t="shared" si="41"/>
        <v>298.071046454839</v>
      </c>
      <c r="J65" s="18">
        <f t="shared" si="42"/>
        <v>0.343192707380327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8.03168721131663</v>
      </c>
      <c r="P65" s="18">
        <f t="shared" si="45"/>
        <v>2.7564164788837</v>
      </c>
      <c r="Q65" s="24">
        <f t="shared" si="46"/>
        <v>0.799360778876273</v>
      </c>
      <c r="R65" s="18">
        <f t="shared" si="47"/>
        <v>0.80117865</v>
      </c>
      <c r="S65" s="25">
        <f t="shared" si="48"/>
        <v>0.997731004035459</v>
      </c>
      <c r="T65" s="3">
        <v>0.27</v>
      </c>
      <c r="U65" s="26">
        <f t="shared" si="49"/>
        <v>0.269387371089574</v>
      </c>
      <c r="V65" s="3">
        <v>229.1</v>
      </c>
      <c r="W65" s="27">
        <v>15.1</v>
      </c>
      <c r="X65" s="27">
        <v>6</v>
      </c>
      <c r="Y65" s="27">
        <v>3</v>
      </c>
      <c r="Z65" s="27">
        <v>7</v>
      </c>
      <c r="AA65" s="3">
        <v>30.2</v>
      </c>
      <c r="AB65" s="2">
        <f t="shared" si="50"/>
        <v>0.342741966202704</v>
      </c>
      <c r="AC65" s="29">
        <f t="shared" si="51"/>
        <v>10.2321666666667</v>
      </c>
      <c r="AD65" s="1">
        <f t="shared" si="52"/>
        <v>0.29</v>
      </c>
      <c r="AE65" s="30">
        <f t="shared" si="53"/>
        <v>227.201095890411</v>
      </c>
      <c r="AF65" s="1">
        <f t="shared" si="54"/>
        <v>7967926.35123576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23.8033130245161</v>
      </c>
      <c r="E66" s="20">
        <f t="shared" si="55"/>
        <v>24.9210464548387</v>
      </c>
      <c r="F66" s="16" t="s">
        <v>110</v>
      </c>
      <c r="G66" s="13">
        <v>9</v>
      </c>
      <c r="H66" s="18">
        <f t="shared" si="40"/>
        <v>23.8033130245161</v>
      </c>
      <c r="I66" s="18">
        <f t="shared" si="41"/>
        <v>296.953313024516</v>
      </c>
      <c r="J66" s="18">
        <f t="shared" si="42"/>
        <v>0.303486510412727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8.03795573243293</v>
      </c>
      <c r="P66" s="18">
        <f t="shared" si="45"/>
        <v>2.43941113608804</v>
      </c>
      <c r="Q66" s="24">
        <f t="shared" si="46"/>
        <v>0.707429229465533</v>
      </c>
      <c r="R66" s="18">
        <f t="shared" si="47"/>
        <v>0.80117865</v>
      </c>
      <c r="S66" s="25">
        <f t="shared" si="48"/>
        <v>0.882985623076118</v>
      </c>
      <c r="T66" s="3">
        <v>0.27</v>
      </c>
      <c r="U66" s="26">
        <f t="shared" si="49"/>
        <v>0.238406118230552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0.272722308772196</v>
      </c>
      <c r="AC66" s="29">
        <f t="shared" si="51"/>
        <v>10.2321666666667</v>
      </c>
      <c r="AD66" s="1">
        <f t="shared" si="52"/>
        <v>0.29</v>
      </c>
      <c r="AE66" s="30">
        <f t="shared" si="53"/>
        <v>227.201095890411</v>
      </c>
      <c r="AF66" s="1">
        <f t="shared" si="54"/>
        <v>6340137.7272565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20.670883713</v>
      </c>
      <c r="E67" s="20">
        <f t="shared" si="55"/>
        <v>23.8033130245161</v>
      </c>
      <c r="F67" s="16" t="s">
        <v>110</v>
      </c>
      <c r="G67" s="13">
        <v>10</v>
      </c>
      <c r="H67" s="18">
        <f t="shared" si="40"/>
        <v>20.670883713</v>
      </c>
      <c r="I67" s="18">
        <f t="shared" si="41"/>
        <v>293.820883713</v>
      </c>
      <c r="J67" s="18">
        <f t="shared" si="42"/>
        <v>0.213956678761005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8.36122959634488</v>
      </c>
      <c r="P67" s="18">
        <f t="shared" si="45"/>
        <v>1.78894091479217</v>
      </c>
      <c r="Q67" s="24">
        <f t="shared" si="46"/>
        <v>0.518792865289729</v>
      </c>
      <c r="R67" s="18">
        <f t="shared" si="47"/>
        <v>0.80117865</v>
      </c>
      <c r="S67" s="25">
        <f t="shared" si="48"/>
        <v>0.647537057171617</v>
      </c>
      <c r="T67" s="3">
        <v>0.27</v>
      </c>
      <c r="U67" s="26">
        <f t="shared" si="49"/>
        <v>0.174835005436337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0.26037044155628</v>
      </c>
      <c r="AC67" s="29">
        <f t="shared" si="51"/>
        <v>10.2321666666667</v>
      </c>
      <c r="AD67" s="1">
        <f t="shared" si="52"/>
        <v>0.29</v>
      </c>
      <c r="AE67" s="30">
        <f t="shared" si="53"/>
        <v>227.201095890411</v>
      </c>
      <c r="AF67" s="1">
        <f t="shared" si="54"/>
        <v>6052986.52319748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17.2577290857742</v>
      </c>
      <c r="E68" s="20">
        <f t="shared" si="55"/>
        <v>20.670883713</v>
      </c>
      <c r="F68" s="16" t="s">
        <v>110</v>
      </c>
      <c r="G68" s="13">
        <v>11</v>
      </c>
      <c r="H68" s="18">
        <f t="shared" si="40"/>
        <v>17.2577290857742</v>
      </c>
      <c r="I68" s="18">
        <f t="shared" si="41"/>
        <v>290.407729085774</v>
      </c>
      <c r="J68" s="18">
        <f t="shared" si="42"/>
        <v>0.144936741718673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6.24367424747508</v>
      </c>
      <c r="O68" s="18">
        <f t="shared" si="56"/>
        <v>3.09129943407764</v>
      </c>
      <c r="P68" s="18">
        <f t="shared" si="45"/>
        <v>0.44804286765199</v>
      </c>
      <c r="Q68" s="24">
        <f t="shared" si="46"/>
        <v>0.129932431619077</v>
      </c>
      <c r="R68" s="18">
        <f t="shared" si="47"/>
        <v>0.80117865</v>
      </c>
      <c r="S68" s="25">
        <f t="shared" si="48"/>
        <v>0.162176602707869</v>
      </c>
      <c r="T68" s="3">
        <v>0.27</v>
      </c>
      <c r="U68" s="26">
        <f t="shared" si="49"/>
        <v>0.0437876827311248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0.234907946754658</v>
      </c>
      <c r="AC68" s="29">
        <f t="shared" si="51"/>
        <v>10.2321666666667</v>
      </c>
      <c r="AD68" s="1">
        <f t="shared" si="52"/>
        <v>0.29</v>
      </c>
      <c r="AE68" s="30">
        <f t="shared" si="53"/>
        <v>227.201095890411</v>
      </c>
      <c r="AF68" s="1">
        <f t="shared" si="54"/>
        <v>5461044.76145225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11.5612993631333</v>
      </c>
      <c r="E69" s="20">
        <f t="shared" si="55"/>
        <v>17.2577290857742</v>
      </c>
      <c r="F69" s="16" t="s">
        <v>112</v>
      </c>
      <c r="G69" s="13">
        <v>12</v>
      </c>
      <c r="H69" s="18">
        <f t="shared" si="40"/>
        <v>11.5612993631333</v>
      </c>
      <c r="I69" s="18">
        <f t="shared" si="41"/>
        <v>284.711299363133</v>
      </c>
      <c r="J69" s="18">
        <f t="shared" si="42"/>
        <v>0.0741046254239422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5.40594156642564</v>
      </c>
      <c r="P69" s="18">
        <f t="shared" si="45"/>
        <v>0.400605274843692</v>
      </c>
      <c r="Q69" s="24">
        <f t="shared" si="46"/>
        <v>0.116175529704671</v>
      </c>
      <c r="R69" s="18">
        <f t="shared" si="47"/>
        <v>0.80117865</v>
      </c>
      <c r="S69" s="25">
        <f t="shared" si="48"/>
        <v>0.145005773312445</v>
      </c>
      <c r="T69" s="3">
        <v>0.27</v>
      </c>
      <c r="U69" s="26">
        <f t="shared" si="49"/>
        <v>0.0391515587943601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0.234007147873744</v>
      </c>
      <c r="AC69" s="29">
        <f t="shared" si="51"/>
        <v>10.2321666666667</v>
      </c>
      <c r="AD69" s="1">
        <f t="shared" si="52"/>
        <v>0.29</v>
      </c>
      <c r="AE69" s="30">
        <f t="shared" si="53"/>
        <v>227.201095890411</v>
      </c>
      <c r="AF69" s="1">
        <f t="shared" si="54"/>
        <v>5440103.35407248</v>
      </c>
      <c r="AG69" s="1">
        <f>SUM(AF58:AF69)</f>
        <v>71759521.4501231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8.23624972858065</v>
      </c>
      <c r="E70" s="20">
        <f t="shared" si="55"/>
        <v>11.5612993631333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5</v>
      </c>
      <c r="E74" s="16"/>
      <c r="F74" s="16"/>
      <c r="G74" s="13">
        <v>1</v>
      </c>
      <c r="H74" s="18">
        <f t="shared" ref="H74:H85" si="57">E75</f>
        <v>5</v>
      </c>
      <c r="I74" s="18">
        <f t="shared" ref="I74:I85" si="58">H74+273.15</f>
        <v>278.15</v>
      </c>
      <c r="J74" s="18">
        <f t="shared" ref="J74:J85" si="59">EXP(($C$16*(I74-$C$14))/($C$17*I74*$C$14))</f>
        <v>0.0330744063381255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0.0172390420715578</v>
      </c>
      <c r="Q74" s="24">
        <f t="shared" ref="Q74:Q85" si="63">P74*$B$76</f>
        <v>0.00517171262146733</v>
      </c>
      <c r="R74" s="18">
        <f t="shared" ref="R74:R85" si="64">L74*$B$76</f>
        <v>0.156366</v>
      </c>
      <c r="S74" s="25">
        <f t="shared" ref="S74:S85" si="65">Q74/R74</f>
        <v>0.0330744063381255</v>
      </c>
      <c r="T74" s="3">
        <v>0.01</v>
      </c>
      <c r="U74" s="26">
        <f t="shared" ref="U74:U85" si="66">S74*T74</f>
        <v>0.000330744063381255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0.00582074406338126</v>
      </c>
      <c r="AU74" s="29">
        <f t="shared" ref="AU74:AU85" si="70">$B$74/12</f>
        <v>52.122</v>
      </c>
      <c r="AV74" s="1">
        <f t="shared" ref="AV74:AV85" si="71">$B$76</f>
        <v>0.3</v>
      </c>
      <c r="AW74" s="2">
        <f t="shared" ref="AW74:AW85" si="72">$E$8</f>
        <v>12.8915337043307</v>
      </c>
      <c r="AX74" s="1">
        <f t="shared" ref="AX74:AX85" si="73">AW74*10000*AV74*0.67*AU74*AT74</f>
        <v>7861.40592275788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4.94497473116129</v>
      </c>
      <c r="E75" s="20">
        <f t="shared" ref="E75:E86" si="74">D74</f>
        <v>5</v>
      </c>
      <c r="F75" s="16" t="s">
        <v>110</v>
      </c>
      <c r="G75" s="13">
        <v>2</v>
      </c>
      <c r="H75" s="18">
        <f t="shared" si="57"/>
        <v>4.94497473116129</v>
      </c>
      <c r="I75" s="18">
        <f t="shared" si="58"/>
        <v>278.094974731161</v>
      </c>
      <c r="J75" s="18">
        <f t="shared" si="59"/>
        <v>0.0328461122759939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1.02520095792844</v>
      </c>
      <c r="P75" s="18">
        <f t="shared" si="62"/>
        <v>0.0336738657695741</v>
      </c>
      <c r="Q75" s="24">
        <f t="shared" si="63"/>
        <v>0.0101021597308722</v>
      </c>
      <c r="R75" s="18">
        <f t="shared" si="64"/>
        <v>0.156366</v>
      </c>
      <c r="S75" s="25">
        <f t="shared" si="65"/>
        <v>0.0646058588879439</v>
      </c>
      <c r="T75" s="3">
        <v>0.01</v>
      </c>
      <c r="U75" s="26">
        <f t="shared" si="66"/>
        <v>0.000646058588879439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0.00613605858887944</v>
      </c>
      <c r="AU75" s="29">
        <f t="shared" si="70"/>
        <v>52.122</v>
      </c>
      <c r="AV75" s="1">
        <f t="shared" si="71"/>
        <v>0.3</v>
      </c>
      <c r="AW75" s="2">
        <f t="shared" si="72"/>
        <v>12.8915337043307</v>
      </c>
      <c r="AX75" s="1">
        <f t="shared" si="73"/>
        <v>8287.26479084958</v>
      </c>
    </row>
    <row r="76" s="1" customFormat="1" spans="1:50">
      <c r="A76" s="13" t="s">
        <v>73</v>
      </c>
      <c r="B76" s="13">
        <f>H8</f>
        <v>0.3</v>
      </c>
      <c r="C76" s="16">
        <v>2</v>
      </c>
      <c r="D76" s="19">
        <v>6.85362386982758</v>
      </c>
      <c r="E76" s="20">
        <f t="shared" si="74"/>
        <v>4.94497473116129</v>
      </c>
      <c r="F76" s="16" t="s">
        <v>110</v>
      </c>
      <c r="G76" s="13">
        <v>3</v>
      </c>
      <c r="H76" s="18">
        <f t="shared" si="57"/>
        <v>6.85362386982758</v>
      </c>
      <c r="I76" s="18">
        <f t="shared" si="58"/>
        <v>280.003623869828</v>
      </c>
      <c r="J76" s="18">
        <f t="shared" si="59"/>
        <v>0.0416998018626202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1.51274709215887</v>
      </c>
      <c r="P76" s="18">
        <f t="shared" si="62"/>
        <v>0.0630812540112797</v>
      </c>
      <c r="Q76" s="24">
        <f t="shared" si="63"/>
        <v>0.0189243762033839</v>
      </c>
      <c r="R76" s="18">
        <f t="shared" si="64"/>
        <v>0.156366</v>
      </c>
      <c r="S76" s="25">
        <f t="shared" si="65"/>
        <v>0.121026157882045</v>
      </c>
      <c r="T76" s="3">
        <v>0.01</v>
      </c>
      <c r="U76" s="26">
        <f t="shared" si="66"/>
        <v>0.00121026157882045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0.00670026157882045</v>
      </c>
      <c r="AU76" s="29">
        <f t="shared" si="70"/>
        <v>52.122</v>
      </c>
      <c r="AV76" s="1">
        <f t="shared" si="71"/>
        <v>0.3</v>
      </c>
      <c r="AW76" s="2">
        <f t="shared" si="72"/>
        <v>12.8915337043307</v>
      </c>
      <c r="AX76" s="1">
        <f t="shared" si="73"/>
        <v>9049.26852756489</v>
      </c>
    </row>
    <row r="77" s="1" customFormat="1" spans="1:50">
      <c r="A77" s="13"/>
      <c r="B77" s="13"/>
      <c r="C77" s="16">
        <v>3</v>
      </c>
      <c r="D77" s="19">
        <v>11.8625867681613</v>
      </c>
      <c r="E77" s="20">
        <f t="shared" si="74"/>
        <v>6.85362386982758</v>
      </c>
      <c r="F77" s="16" t="s">
        <v>110</v>
      </c>
      <c r="G77" s="13">
        <v>4</v>
      </c>
      <c r="H77" s="18">
        <f t="shared" si="57"/>
        <v>11.8625867681613</v>
      </c>
      <c r="I77" s="18">
        <f t="shared" si="58"/>
        <v>285.012586768161</v>
      </c>
      <c r="J77" s="18">
        <f t="shared" si="59"/>
        <v>0.0768326431820401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1.97088583814759</v>
      </c>
      <c r="P77" s="18">
        <f t="shared" si="62"/>
        <v>0.15142836835493</v>
      </c>
      <c r="Q77" s="24">
        <f t="shared" si="63"/>
        <v>0.0454285105064789</v>
      </c>
      <c r="R77" s="18">
        <f t="shared" si="64"/>
        <v>0.156366</v>
      </c>
      <c r="S77" s="25">
        <f t="shared" si="65"/>
        <v>0.290526780159874</v>
      </c>
      <c r="T77" s="3">
        <v>0.01</v>
      </c>
      <c r="U77" s="26">
        <f t="shared" si="66"/>
        <v>0.00290526780159874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0.00839526780159874</v>
      </c>
      <c r="AU77" s="29">
        <f t="shared" si="70"/>
        <v>52.122</v>
      </c>
      <c r="AV77" s="1">
        <f t="shared" si="71"/>
        <v>0.3</v>
      </c>
      <c r="AW77" s="2">
        <f t="shared" si="72"/>
        <v>12.8915337043307</v>
      </c>
      <c r="AX77" s="1">
        <f t="shared" si="73"/>
        <v>11338.5174300704</v>
      </c>
    </row>
    <row r="78" s="1" customFormat="1" spans="1:50">
      <c r="A78" s="13"/>
      <c r="B78" s="13"/>
      <c r="C78" s="16">
        <v>4</v>
      </c>
      <c r="D78" s="19">
        <v>16.8451873376667</v>
      </c>
      <c r="E78" s="20">
        <f t="shared" si="74"/>
        <v>11.8625867681613</v>
      </c>
      <c r="F78" s="16" t="s">
        <v>110</v>
      </c>
      <c r="G78" s="13">
        <v>5</v>
      </c>
      <c r="H78" s="18">
        <f t="shared" si="57"/>
        <v>16.8451873376667</v>
      </c>
      <c r="I78" s="18">
        <f t="shared" si="58"/>
        <v>289.995187337667</v>
      </c>
      <c r="J78" s="18">
        <f t="shared" si="59"/>
        <v>0.13818606599241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1.72848459630303</v>
      </c>
      <c r="O78" s="18">
        <f t="shared" si="75"/>
        <v>0.612192873489633</v>
      </c>
      <c r="P78" s="18">
        <f t="shared" si="62"/>
        <v>0.0845965248161215</v>
      </c>
      <c r="Q78" s="24">
        <f t="shared" si="63"/>
        <v>0.0253789574448364</v>
      </c>
      <c r="R78" s="18">
        <f t="shared" si="64"/>
        <v>0.156366</v>
      </c>
      <c r="S78" s="25">
        <f t="shared" si="65"/>
        <v>0.162304832539276</v>
      </c>
      <c r="T78" s="3">
        <v>0.01</v>
      </c>
      <c r="U78" s="26">
        <f t="shared" si="66"/>
        <v>0.00162304832539276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0.001</v>
      </c>
      <c r="AF78" s="3">
        <v>0.49</v>
      </c>
      <c r="AG78" s="26">
        <f t="shared" si="67"/>
        <v>0.00049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</v>
      </c>
      <c r="AR78" s="3">
        <v>0.5</v>
      </c>
      <c r="AS78" s="3">
        <f t="shared" si="68"/>
        <v>0.005</v>
      </c>
      <c r="AT78" s="2">
        <f t="shared" si="69"/>
        <v>0.00711304832539276</v>
      </c>
      <c r="AU78" s="29">
        <f t="shared" si="70"/>
        <v>52.122</v>
      </c>
      <c r="AV78" s="1">
        <f t="shared" si="71"/>
        <v>0.3</v>
      </c>
      <c r="AW78" s="2">
        <f t="shared" si="72"/>
        <v>12.8915337043307</v>
      </c>
      <c r="AX78" s="1">
        <f t="shared" si="73"/>
        <v>9606.77185342912</v>
      </c>
    </row>
    <row r="79" s="1" customFormat="1" spans="1:50">
      <c r="A79" s="13"/>
      <c r="B79" s="13"/>
      <c r="C79" s="16">
        <v>5</v>
      </c>
      <c r="D79" s="19">
        <v>19.5688022287097</v>
      </c>
      <c r="E79" s="20">
        <f t="shared" si="74"/>
        <v>16.8451873376667</v>
      </c>
      <c r="F79" s="16" t="s">
        <v>112</v>
      </c>
      <c r="G79" s="13">
        <v>6</v>
      </c>
      <c r="H79" s="18">
        <f t="shared" si="57"/>
        <v>19.5688022287097</v>
      </c>
      <c r="I79" s="18">
        <f t="shared" si="58"/>
        <v>292.71880222871</v>
      </c>
      <c r="J79" s="18">
        <f t="shared" si="59"/>
        <v>0.188860297757029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1.04881634867351</v>
      </c>
      <c r="P79" s="18">
        <f t="shared" si="62"/>
        <v>0.198079767902919</v>
      </c>
      <c r="Q79" s="24">
        <f t="shared" si="63"/>
        <v>0.0594239303708758</v>
      </c>
      <c r="R79" s="18">
        <f t="shared" si="64"/>
        <v>0.156366</v>
      </c>
      <c r="S79" s="25">
        <f t="shared" si="65"/>
        <v>0.380031019344843</v>
      </c>
      <c r="T79" s="3">
        <v>0.01</v>
      </c>
      <c r="U79" s="26">
        <f t="shared" si="66"/>
        <v>0.00380031019344843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0.001</v>
      </c>
      <c r="AF79" s="3">
        <v>0.49</v>
      </c>
      <c r="AG79" s="26">
        <f t="shared" si="67"/>
        <v>0.00049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</v>
      </c>
      <c r="AR79" s="3">
        <v>0.5</v>
      </c>
      <c r="AS79" s="3">
        <f t="shared" si="68"/>
        <v>0.005</v>
      </c>
      <c r="AT79" s="2">
        <f t="shared" si="69"/>
        <v>0.00929031019344843</v>
      </c>
      <c r="AU79" s="29">
        <f t="shared" si="70"/>
        <v>52.122</v>
      </c>
      <c r="AV79" s="1">
        <f t="shared" si="71"/>
        <v>0.3</v>
      </c>
      <c r="AW79" s="2">
        <f t="shared" si="72"/>
        <v>12.8915337043307</v>
      </c>
      <c r="AX79" s="1">
        <f t="shared" si="73"/>
        <v>12547.3476902208</v>
      </c>
    </row>
    <row r="80" s="1" customFormat="1" spans="1:50">
      <c r="A80" s="13"/>
      <c r="B80" s="13"/>
      <c r="C80" s="16">
        <v>6</v>
      </c>
      <c r="D80" s="19">
        <v>22.9275340036667</v>
      </c>
      <c r="E80" s="20">
        <f t="shared" si="74"/>
        <v>19.5688022287097</v>
      </c>
      <c r="F80" s="16" t="s">
        <v>110</v>
      </c>
      <c r="G80" s="13">
        <v>7</v>
      </c>
      <c r="H80" s="18">
        <f t="shared" si="57"/>
        <v>22.9275340036667</v>
      </c>
      <c r="I80" s="18">
        <f t="shared" si="58"/>
        <v>296.077534003667</v>
      </c>
      <c r="J80" s="18">
        <f t="shared" si="59"/>
        <v>0.275434392403472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1.37195658077059</v>
      </c>
      <c r="P80" s="18">
        <f t="shared" si="62"/>
        <v>0.377884027228493</v>
      </c>
      <c r="Q80" s="24">
        <f t="shared" si="63"/>
        <v>0.113365208168548</v>
      </c>
      <c r="R80" s="18">
        <f t="shared" si="64"/>
        <v>0.156366</v>
      </c>
      <c r="S80" s="25">
        <f t="shared" si="65"/>
        <v>0.724999092952099</v>
      </c>
      <c r="T80" s="3">
        <v>0.01</v>
      </c>
      <c r="U80" s="26">
        <f t="shared" si="66"/>
        <v>0.00724999092952099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0.017199990929521</v>
      </c>
      <c r="AU80" s="29">
        <f t="shared" si="70"/>
        <v>52.122</v>
      </c>
      <c r="AV80" s="1">
        <f t="shared" si="71"/>
        <v>0.3</v>
      </c>
      <c r="AW80" s="2">
        <f t="shared" si="72"/>
        <v>12.8915337043307</v>
      </c>
      <c r="AX80" s="1">
        <f t="shared" si="73"/>
        <v>23230.0388219047</v>
      </c>
    </row>
    <row r="81" s="1" customFormat="1" spans="1:50">
      <c r="A81" s="13"/>
      <c r="B81" s="13"/>
      <c r="C81" s="16">
        <v>7</v>
      </c>
      <c r="D81" s="19">
        <v>24.9210464548387</v>
      </c>
      <c r="E81" s="20">
        <f t="shared" si="74"/>
        <v>22.9275340036667</v>
      </c>
      <c r="F81" s="16" t="s">
        <v>110</v>
      </c>
      <c r="G81" s="13">
        <v>8</v>
      </c>
      <c r="H81" s="18">
        <f t="shared" si="57"/>
        <v>24.9210464548387</v>
      </c>
      <c r="I81" s="18">
        <f t="shared" si="58"/>
        <v>298.071046454839</v>
      </c>
      <c r="J81" s="18">
        <f t="shared" si="59"/>
        <v>0.343192707380327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1.5152925535421</v>
      </c>
      <c r="P81" s="18">
        <f t="shared" si="62"/>
        <v>0.520037353923362</v>
      </c>
      <c r="Q81" s="24">
        <f t="shared" si="63"/>
        <v>0.156011206177009</v>
      </c>
      <c r="R81" s="18">
        <f t="shared" si="64"/>
        <v>0.156366</v>
      </c>
      <c r="S81" s="25">
        <f t="shared" si="65"/>
        <v>0.997731004035459</v>
      </c>
      <c r="T81" s="3">
        <v>0.01</v>
      </c>
      <c r="U81" s="26">
        <f t="shared" si="66"/>
        <v>0.00997731004035459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0.0199273100403546</v>
      </c>
      <c r="AU81" s="29">
        <f t="shared" si="70"/>
        <v>52.122</v>
      </c>
      <c r="AV81" s="1">
        <f t="shared" si="71"/>
        <v>0.3</v>
      </c>
      <c r="AW81" s="2">
        <f t="shared" si="72"/>
        <v>12.8915337043307</v>
      </c>
      <c r="AX81" s="1">
        <f t="shared" si="73"/>
        <v>26913.5133704667</v>
      </c>
    </row>
    <row r="82" s="1" customFormat="1" spans="1:50">
      <c r="A82" s="13"/>
      <c r="B82" s="13"/>
      <c r="C82" s="16">
        <v>8</v>
      </c>
      <c r="D82" s="19">
        <v>23.8033130245161</v>
      </c>
      <c r="E82" s="20">
        <f t="shared" si="74"/>
        <v>24.9210464548387</v>
      </c>
      <c r="F82" s="16" t="s">
        <v>110</v>
      </c>
      <c r="G82" s="13">
        <v>9</v>
      </c>
      <c r="H82" s="18">
        <f t="shared" si="57"/>
        <v>23.8033130245161</v>
      </c>
      <c r="I82" s="18">
        <f t="shared" si="58"/>
        <v>296.953313024516</v>
      </c>
      <c r="J82" s="18">
        <f t="shared" si="59"/>
        <v>0.303486510412727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1.51647519961874</v>
      </c>
      <c r="P82" s="18">
        <f t="shared" si="62"/>
        <v>0.460229766459734</v>
      </c>
      <c r="Q82" s="24">
        <f t="shared" si="63"/>
        <v>0.13806892993792</v>
      </c>
      <c r="R82" s="18">
        <f t="shared" si="64"/>
        <v>0.156366</v>
      </c>
      <c r="S82" s="25">
        <f t="shared" si="65"/>
        <v>0.882985623076118</v>
      </c>
      <c r="T82" s="3">
        <v>0.01</v>
      </c>
      <c r="U82" s="26">
        <f t="shared" si="66"/>
        <v>0.00882985623076118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0.0143198562307612</v>
      </c>
      <c r="AU82" s="29">
        <f t="shared" si="70"/>
        <v>52.122</v>
      </c>
      <c r="AV82" s="1">
        <f t="shared" si="71"/>
        <v>0.3</v>
      </c>
      <c r="AW82" s="2">
        <f t="shared" si="72"/>
        <v>12.8915337043307</v>
      </c>
      <c r="AX82" s="1">
        <f t="shared" si="73"/>
        <v>19340.1739296115</v>
      </c>
    </row>
    <row r="83" s="1" customFormat="1" spans="1:50">
      <c r="A83" s="13"/>
      <c r="B83" s="13"/>
      <c r="C83" s="16">
        <v>9</v>
      </c>
      <c r="D83" s="19">
        <v>20.670883713</v>
      </c>
      <c r="E83" s="20">
        <f t="shared" si="74"/>
        <v>23.8033130245161</v>
      </c>
      <c r="F83" s="16" t="s">
        <v>110</v>
      </c>
      <c r="G83" s="13">
        <v>10</v>
      </c>
      <c r="H83" s="18">
        <f t="shared" si="57"/>
        <v>20.670883713</v>
      </c>
      <c r="I83" s="18">
        <f t="shared" si="58"/>
        <v>293.820883713</v>
      </c>
      <c r="J83" s="18">
        <f t="shared" si="59"/>
        <v>0.213956678761005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1.577465433159</v>
      </c>
      <c r="P83" s="18">
        <f t="shared" si="62"/>
        <v>0.33750926493899</v>
      </c>
      <c r="Q83" s="24">
        <f t="shared" si="63"/>
        <v>0.101252779481697</v>
      </c>
      <c r="R83" s="18">
        <f t="shared" si="64"/>
        <v>0.156366</v>
      </c>
      <c r="S83" s="25">
        <f t="shared" si="65"/>
        <v>0.647537057171617</v>
      </c>
      <c r="T83" s="3">
        <v>0.01</v>
      </c>
      <c r="U83" s="26">
        <f t="shared" si="66"/>
        <v>0.00647537057171617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0.0119653705717162</v>
      </c>
      <c r="AU83" s="29">
        <f t="shared" si="70"/>
        <v>52.122</v>
      </c>
      <c r="AV83" s="1">
        <f t="shared" si="71"/>
        <v>0.3</v>
      </c>
      <c r="AW83" s="2">
        <f t="shared" si="72"/>
        <v>12.8915337043307</v>
      </c>
      <c r="AX83" s="1">
        <f t="shared" si="73"/>
        <v>16160.2424116618</v>
      </c>
    </row>
    <row r="84" s="1" customFormat="1" spans="1:50">
      <c r="A84" s="13"/>
      <c r="B84" s="13"/>
      <c r="C84" s="16">
        <v>10</v>
      </c>
      <c r="D84" s="19">
        <v>17.2577290857742</v>
      </c>
      <c r="E84" s="20">
        <f t="shared" si="74"/>
        <v>20.670883713</v>
      </c>
      <c r="F84" s="16" t="s">
        <v>110</v>
      </c>
      <c r="G84" s="13">
        <v>11</v>
      </c>
      <c r="H84" s="18">
        <f t="shared" si="57"/>
        <v>17.2577290857742</v>
      </c>
      <c r="I84" s="18">
        <f t="shared" si="58"/>
        <v>290.407729085774</v>
      </c>
      <c r="J84" s="18">
        <f t="shared" si="59"/>
        <v>0.144936741718673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1.17795835980901</v>
      </c>
      <c r="O84" s="18">
        <f t="shared" si="75"/>
        <v>0.583217808411001</v>
      </c>
      <c r="P84" s="18">
        <f t="shared" si="62"/>
        <v>0.0845296888633957</v>
      </c>
      <c r="Q84" s="24">
        <f t="shared" si="63"/>
        <v>0.0253589066590187</v>
      </c>
      <c r="R84" s="18">
        <f t="shared" si="64"/>
        <v>0.156366</v>
      </c>
      <c r="S84" s="25">
        <f t="shared" si="65"/>
        <v>0.162176602707869</v>
      </c>
      <c r="T84" s="3">
        <v>0.01</v>
      </c>
      <c r="U84" s="26">
        <f t="shared" si="66"/>
        <v>0.00162176602707869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0.00711176602707869</v>
      </c>
      <c r="AU84" s="29">
        <f t="shared" si="70"/>
        <v>52.122</v>
      </c>
      <c r="AV84" s="1">
        <f t="shared" si="71"/>
        <v>0.3</v>
      </c>
      <c r="AW84" s="2">
        <f t="shared" si="72"/>
        <v>12.8915337043307</v>
      </c>
      <c r="AX84" s="1">
        <f t="shared" si="73"/>
        <v>9605.0400013753</v>
      </c>
    </row>
    <row r="85" s="1" customFormat="1" spans="1:51">
      <c r="A85" s="13"/>
      <c r="B85" s="13"/>
      <c r="C85" s="16">
        <v>11</v>
      </c>
      <c r="D85" s="19">
        <v>11.5612993631333</v>
      </c>
      <c r="E85" s="20">
        <f t="shared" si="74"/>
        <v>17.2577290857742</v>
      </c>
      <c r="F85" s="16" t="s">
        <v>112</v>
      </c>
      <c r="G85" s="13">
        <v>12</v>
      </c>
      <c r="H85" s="18">
        <f t="shared" si="57"/>
        <v>11.5612993631333</v>
      </c>
      <c r="I85" s="18">
        <f t="shared" si="58"/>
        <v>284.711299363133</v>
      </c>
      <c r="J85" s="18">
        <f t="shared" si="59"/>
        <v>0.0741046254239422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1.0199081195476</v>
      </c>
      <c r="P85" s="18">
        <f t="shared" si="62"/>
        <v>0.0755799091659125</v>
      </c>
      <c r="Q85" s="24">
        <f t="shared" si="63"/>
        <v>0.0226739727497738</v>
      </c>
      <c r="R85" s="18">
        <f t="shared" si="64"/>
        <v>0.156366</v>
      </c>
      <c r="S85" s="25">
        <f t="shared" si="65"/>
        <v>0.145005773312445</v>
      </c>
      <c r="T85" s="3">
        <v>0.01</v>
      </c>
      <c r="U85" s="26">
        <f t="shared" si="66"/>
        <v>0.00145005773312445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0.00694005773312445</v>
      </c>
      <c r="AU85" s="29">
        <f t="shared" si="70"/>
        <v>52.122</v>
      </c>
      <c r="AV85" s="1">
        <f t="shared" si="71"/>
        <v>0.3</v>
      </c>
      <c r="AW85" s="2">
        <f t="shared" si="72"/>
        <v>12.8915337043307</v>
      </c>
      <c r="AX85" s="1">
        <f t="shared" si="73"/>
        <v>9373.13346427625</v>
      </c>
      <c r="AY85" s="1">
        <f>SUM(AX74:AX85)</f>
        <v>163312.718214189</v>
      </c>
    </row>
    <row r="86" s="1" customFormat="1" spans="1:46">
      <c r="A86" s="13"/>
      <c r="B86" s="13"/>
      <c r="C86" s="16">
        <v>12</v>
      </c>
      <c r="D86" s="19">
        <v>8.23624972858065</v>
      </c>
      <c r="E86" s="20">
        <f t="shared" si="74"/>
        <v>11.5612993631333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5</v>
      </c>
      <c r="E90" s="16"/>
      <c r="F90" s="16"/>
      <c r="G90" s="13">
        <v>1</v>
      </c>
      <c r="H90" s="18">
        <f t="shared" ref="H90:H101" si="76">E91</f>
        <v>5</v>
      </c>
      <c r="I90" s="18">
        <f t="shared" ref="I90:I101" si="77">H90+273.15</f>
        <v>278.15</v>
      </c>
      <c r="J90" s="18">
        <f t="shared" ref="J90:J101" si="78">EXP(($C$16*(I90-$C$14))/($C$17*I90*$C$14))</f>
        <v>0.0330744063381255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0.00941628348446433</v>
      </c>
      <c r="Q90" s="24">
        <f t="shared" ref="Q90:Q101" si="82">P90*$B$76</f>
        <v>0.0028248850453393</v>
      </c>
      <c r="R90" s="18">
        <f t="shared" ref="R90:R101" si="83">L90*$B$76</f>
        <v>0.08541</v>
      </c>
      <c r="S90" s="25">
        <f t="shared" ref="S90:S101" si="84">Q90/R90</f>
        <v>0.0330744063381255</v>
      </c>
      <c r="T90" s="3">
        <v>0.01</v>
      </c>
      <c r="U90" s="26">
        <f t="shared" ref="U90:U101" si="85">S90*T90</f>
        <v>0.000330744063381255</v>
      </c>
      <c r="V90" s="25"/>
      <c r="W90" s="3"/>
      <c r="X90" s="3"/>
      <c r="Y90" s="28"/>
      <c r="Z90" s="3"/>
      <c r="AA90" s="27"/>
      <c r="AB90" s="3"/>
      <c r="AC90" s="3"/>
      <c r="AD90" s="3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0.00582074406338126</v>
      </c>
      <c r="AU90" s="29">
        <f t="shared" ref="AU90:AU101" si="89">$B$90/12</f>
        <v>28.47</v>
      </c>
      <c r="AV90" s="1">
        <f t="shared" ref="AV90:AV101" si="90">$B$76</f>
        <v>0.3</v>
      </c>
      <c r="AW90" s="2">
        <f t="shared" ref="AW90:AW101" si="91">$E$9</f>
        <v>0.1</v>
      </c>
      <c r="AX90" s="1">
        <f t="shared" ref="AX90:AX101" si="92">AW90*10000*AV90*0.67*AU90*AT90</f>
        <v>33.3090332803773</v>
      </c>
      <c r="AZ90" s="2">
        <f t="shared" ref="AZ90:AZ101" si="93">$E$10</f>
        <v>0.367583122716088</v>
      </c>
      <c r="BA90" s="1">
        <f t="shared" ref="BA90:BA101" si="94">AZ90*10000*AV90*0.67*AU90*AT90</f>
        <v>122.438384678552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4.94497473116129</v>
      </c>
      <c r="E91" s="20">
        <f t="shared" ref="E91:E102" si="95">D90</f>
        <v>5</v>
      </c>
      <c r="F91" s="16" t="s">
        <v>110</v>
      </c>
      <c r="G91" s="13">
        <v>2</v>
      </c>
      <c r="H91" s="18">
        <f t="shared" si="76"/>
        <v>4.94497473116129</v>
      </c>
      <c r="I91" s="18">
        <f t="shared" si="77"/>
        <v>278.094974731161</v>
      </c>
      <c r="J91" s="18">
        <f t="shared" si="78"/>
        <v>0.0328461122759939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0.559983716515536</v>
      </c>
      <c r="P91" s="18">
        <f t="shared" si="81"/>
        <v>0.0183932880253976</v>
      </c>
      <c r="Q91" s="24">
        <f t="shared" si="82"/>
        <v>0.00551798640761929</v>
      </c>
      <c r="R91" s="18">
        <f t="shared" si="83"/>
        <v>0.08541</v>
      </c>
      <c r="S91" s="25">
        <f t="shared" si="84"/>
        <v>0.0646058588879439</v>
      </c>
      <c r="T91" s="3">
        <v>0.01</v>
      </c>
      <c r="U91" s="26">
        <f t="shared" si="85"/>
        <v>0.000646058588879439</v>
      </c>
      <c r="V91" s="25"/>
      <c r="W91" s="3"/>
      <c r="X91" s="3"/>
      <c r="Y91" s="28"/>
      <c r="Z91" s="3"/>
      <c r="AA91" s="27"/>
      <c r="AB91" s="3"/>
      <c r="AC91" s="3"/>
      <c r="AD91" s="3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0.00613605858887944</v>
      </c>
      <c r="AU91" s="29">
        <f t="shared" si="89"/>
        <v>28.47</v>
      </c>
      <c r="AV91" s="1">
        <f t="shared" si="90"/>
        <v>0.3</v>
      </c>
      <c r="AW91" s="2">
        <f t="shared" si="91"/>
        <v>0.1</v>
      </c>
      <c r="AX91" s="1">
        <f t="shared" si="92"/>
        <v>35.1134111931049</v>
      </c>
      <c r="AZ91" s="2">
        <f t="shared" si="93"/>
        <v>0.367583122716088</v>
      </c>
      <c r="BA91" s="1">
        <f t="shared" si="94"/>
        <v>129.070973355755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6.85362386982758</v>
      </c>
      <c r="E92" s="20">
        <f t="shared" si="95"/>
        <v>4.94497473116129</v>
      </c>
      <c r="F92" s="16" t="s">
        <v>110</v>
      </c>
      <c r="G92" s="13">
        <v>3</v>
      </c>
      <c r="H92" s="18">
        <f t="shared" si="76"/>
        <v>6.85362386982758</v>
      </c>
      <c r="I92" s="18">
        <f t="shared" si="77"/>
        <v>280.003623869828</v>
      </c>
      <c r="J92" s="18">
        <f t="shared" si="78"/>
        <v>0.0416998018626202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0.826290428490138</v>
      </c>
      <c r="P92" s="18">
        <f t="shared" si="81"/>
        <v>0.0344561471490183</v>
      </c>
      <c r="Q92" s="24">
        <f t="shared" si="82"/>
        <v>0.0103368441447055</v>
      </c>
      <c r="R92" s="18">
        <f t="shared" si="83"/>
        <v>0.08541</v>
      </c>
      <c r="S92" s="25">
        <f t="shared" si="84"/>
        <v>0.121026157882045</v>
      </c>
      <c r="T92" s="3">
        <v>0.01</v>
      </c>
      <c r="U92" s="26">
        <f t="shared" si="85"/>
        <v>0.00121026157882045</v>
      </c>
      <c r="V92" s="25"/>
      <c r="W92" s="3"/>
      <c r="X92" s="3"/>
      <c r="Y92" s="28"/>
      <c r="Z92" s="3"/>
      <c r="AA92" s="27"/>
      <c r="AB92" s="3"/>
      <c r="AC92" s="3"/>
      <c r="AD92" s="3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0.00670026157882045</v>
      </c>
      <c r="AU92" s="29">
        <f t="shared" si="89"/>
        <v>28.47</v>
      </c>
      <c r="AV92" s="1">
        <f t="shared" si="90"/>
        <v>0.3</v>
      </c>
      <c r="AW92" s="2">
        <f t="shared" si="91"/>
        <v>0.1</v>
      </c>
      <c r="AX92" s="1">
        <f t="shared" si="92"/>
        <v>38.3420458769527</v>
      </c>
      <c r="AZ92" s="2">
        <f t="shared" si="93"/>
        <v>0.367583122716088</v>
      </c>
      <c r="BA92" s="1">
        <f t="shared" si="94"/>
        <v>140.938889547738</v>
      </c>
    </row>
    <row r="93" s="1" customFormat="1" spans="1:53">
      <c r="A93" s="13"/>
      <c r="B93" s="13"/>
      <c r="C93" s="16">
        <v>3</v>
      </c>
      <c r="D93" s="19">
        <v>11.8625867681613</v>
      </c>
      <c r="E93" s="20">
        <f t="shared" si="95"/>
        <v>6.85362386982758</v>
      </c>
      <c r="F93" s="16" t="s">
        <v>110</v>
      </c>
      <c r="G93" s="13">
        <v>4</v>
      </c>
      <c r="H93" s="18">
        <f t="shared" si="76"/>
        <v>11.8625867681613</v>
      </c>
      <c r="I93" s="18">
        <f t="shared" si="77"/>
        <v>285.012586768161</v>
      </c>
      <c r="J93" s="18">
        <f t="shared" si="78"/>
        <v>0.0768326431820401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1.07653428134112</v>
      </c>
      <c r="P93" s="18">
        <f t="shared" si="81"/>
        <v>0.0827129743115162</v>
      </c>
      <c r="Q93" s="24">
        <f t="shared" si="82"/>
        <v>0.0248138922934549</v>
      </c>
      <c r="R93" s="18">
        <f t="shared" si="83"/>
        <v>0.08541</v>
      </c>
      <c r="S93" s="25">
        <f t="shared" si="84"/>
        <v>0.290526780159874</v>
      </c>
      <c r="T93" s="3">
        <v>0.01</v>
      </c>
      <c r="U93" s="26">
        <f t="shared" si="85"/>
        <v>0.00290526780159874</v>
      </c>
      <c r="V93" s="25"/>
      <c r="W93" s="3"/>
      <c r="X93" s="3"/>
      <c r="Y93" s="28"/>
      <c r="Z93" s="3"/>
      <c r="AA93" s="27"/>
      <c r="AB93" s="3"/>
      <c r="AC93" s="3"/>
      <c r="AD93" s="3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0.00839526780159874</v>
      </c>
      <c r="AU93" s="29">
        <f t="shared" si="89"/>
        <v>28.47</v>
      </c>
      <c r="AV93" s="1">
        <f t="shared" si="90"/>
        <v>0.3</v>
      </c>
      <c r="AW93" s="2">
        <f t="shared" si="91"/>
        <v>0.1</v>
      </c>
      <c r="AX93" s="1">
        <f t="shared" si="92"/>
        <v>48.0416681366148</v>
      </c>
      <c r="AZ93" s="2">
        <f t="shared" si="93"/>
        <v>0.367583122716088</v>
      </c>
      <c r="BA93" s="1">
        <f t="shared" si="94"/>
        <v>176.593063941468</v>
      </c>
    </row>
    <row r="94" s="1" customFormat="1" spans="1:53">
      <c r="A94" s="13"/>
      <c r="B94" s="13"/>
      <c r="C94" s="16">
        <v>4</v>
      </c>
      <c r="D94" s="19">
        <v>16.8451873376667</v>
      </c>
      <c r="E94" s="20">
        <f t="shared" si="95"/>
        <v>11.8625867681613</v>
      </c>
      <c r="F94" s="16" t="s">
        <v>110</v>
      </c>
      <c r="G94" s="13">
        <v>5</v>
      </c>
      <c r="H94" s="18">
        <f t="shared" si="76"/>
        <v>16.8451873376667</v>
      </c>
      <c r="I94" s="18">
        <f t="shared" si="77"/>
        <v>289.995187337667</v>
      </c>
      <c r="J94" s="18">
        <f t="shared" si="78"/>
        <v>0.13818606599241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0.944130241678123</v>
      </c>
      <c r="O94" s="18">
        <f t="shared" si="96"/>
        <v>0.33439106535148</v>
      </c>
      <c r="P94" s="18">
        <f t="shared" si="81"/>
        <v>0.0462081858239319</v>
      </c>
      <c r="Q94" s="24">
        <f t="shared" si="82"/>
        <v>0.0138624557471796</v>
      </c>
      <c r="R94" s="18">
        <f t="shared" si="83"/>
        <v>0.08541</v>
      </c>
      <c r="S94" s="25">
        <f t="shared" si="84"/>
        <v>0.162304832539276</v>
      </c>
      <c r="T94" s="3">
        <v>0.01</v>
      </c>
      <c r="U94" s="26">
        <f t="shared" si="85"/>
        <v>0.00162304832539276</v>
      </c>
      <c r="V94" s="25"/>
      <c r="W94" s="3"/>
      <c r="X94" s="3"/>
      <c r="Y94" s="28"/>
      <c r="Z94" s="3"/>
      <c r="AA94" s="27"/>
      <c r="AB94" s="3"/>
      <c r="AC94" s="3"/>
      <c r="AD94" s="3"/>
      <c r="AE94" s="25">
        <v>0.001</v>
      </c>
      <c r="AF94" s="3">
        <v>0.49</v>
      </c>
      <c r="AG94" s="26">
        <f t="shared" si="86"/>
        <v>0.00049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</v>
      </c>
      <c r="AR94" s="3">
        <v>0.5</v>
      </c>
      <c r="AS94" s="3">
        <f t="shared" si="87"/>
        <v>0.005</v>
      </c>
      <c r="AT94" s="2">
        <f t="shared" si="88"/>
        <v>0.00711304832539276</v>
      </c>
      <c r="AU94" s="29">
        <f t="shared" si="89"/>
        <v>28.47</v>
      </c>
      <c r="AV94" s="1">
        <f t="shared" si="90"/>
        <v>0.3</v>
      </c>
      <c r="AW94" s="2">
        <f t="shared" si="91"/>
        <v>0.1</v>
      </c>
      <c r="AX94" s="1">
        <f t="shared" si="92"/>
        <v>40.7042056506103</v>
      </c>
      <c r="AZ94" s="2">
        <f t="shared" si="93"/>
        <v>0.367583122716088</v>
      </c>
      <c r="BA94" s="1">
        <f t="shared" si="94"/>
        <v>149.621790207292</v>
      </c>
    </row>
    <row r="95" s="1" customFormat="1" spans="1:53">
      <c r="A95" s="13"/>
      <c r="B95" s="13"/>
      <c r="C95" s="16">
        <v>5</v>
      </c>
      <c r="D95" s="19">
        <v>19.5688022287097</v>
      </c>
      <c r="E95" s="20">
        <f t="shared" si="95"/>
        <v>16.8451873376667</v>
      </c>
      <c r="F95" s="16" t="s">
        <v>112</v>
      </c>
      <c r="G95" s="13">
        <v>6</v>
      </c>
      <c r="H95" s="18">
        <f t="shared" si="76"/>
        <v>19.5688022287097</v>
      </c>
      <c r="I95" s="18">
        <f t="shared" si="77"/>
        <v>292.71880222871</v>
      </c>
      <c r="J95" s="18">
        <f t="shared" si="78"/>
        <v>0.188860297757029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0.572882879527548</v>
      </c>
      <c r="P95" s="18">
        <f t="shared" si="81"/>
        <v>0.108194831207477</v>
      </c>
      <c r="Q95" s="24">
        <f t="shared" si="82"/>
        <v>0.0324584493622431</v>
      </c>
      <c r="R95" s="18">
        <f t="shared" si="83"/>
        <v>0.08541</v>
      </c>
      <c r="S95" s="25">
        <f t="shared" si="84"/>
        <v>0.380031019344843</v>
      </c>
      <c r="T95" s="3">
        <v>0.01</v>
      </c>
      <c r="U95" s="26">
        <f t="shared" si="85"/>
        <v>0.00380031019344843</v>
      </c>
      <c r="V95" s="25"/>
      <c r="W95" s="3"/>
      <c r="X95" s="3"/>
      <c r="Y95" s="28"/>
      <c r="Z95" s="3"/>
      <c r="AA95" s="27"/>
      <c r="AB95" s="3"/>
      <c r="AC95" s="3"/>
      <c r="AD95" s="3"/>
      <c r="AE95" s="25">
        <v>0.001</v>
      </c>
      <c r="AF95" s="3">
        <v>0.49</v>
      </c>
      <c r="AG95" s="26">
        <f t="shared" si="86"/>
        <v>0.00049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</v>
      </c>
      <c r="AR95" s="3">
        <v>0.5</v>
      </c>
      <c r="AS95" s="3">
        <f t="shared" si="87"/>
        <v>0.005</v>
      </c>
      <c r="AT95" s="2">
        <f t="shared" si="88"/>
        <v>0.00929031019344843</v>
      </c>
      <c r="AU95" s="29">
        <f t="shared" si="89"/>
        <v>28.47</v>
      </c>
      <c r="AV95" s="1">
        <f t="shared" si="90"/>
        <v>0.3</v>
      </c>
      <c r="AW95" s="2">
        <f t="shared" si="91"/>
        <v>0.1</v>
      </c>
      <c r="AX95" s="1">
        <f t="shared" si="92"/>
        <v>53.1635213727029</v>
      </c>
      <c r="AZ95" s="2">
        <f t="shared" si="93"/>
        <v>0.367583122716088</v>
      </c>
      <c r="BA95" s="1">
        <f t="shared" si="94"/>
        <v>195.420132007616</v>
      </c>
    </row>
    <row r="96" s="1" customFormat="1" spans="1:53">
      <c r="A96" s="13"/>
      <c r="B96" s="13"/>
      <c r="C96" s="16">
        <v>6</v>
      </c>
      <c r="D96" s="19">
        <v>22.9275340036667</v>
      </c>
      <c r="E96" s="20">
        <f t="shared" si="95"/>
        <v>19.5688022287097</v>
      </c>
      <c r="F96" s="16" t="s">
        <v>110</v>
      </c>
      <c r="G96" s="13">
        <v>7</v>
      </c>
      <c r="H96" s="18">
        <f t="shared" si="76"/>
        <v>22.9275340036667</v>
      </c>
      <c r="I96" s="18">
        <f t="shared" si="77"/>
        <v>296.077534003667</v>
      </c>
      <c r="J96" s="18">
        <f t="shared" si="78"/>
        <v>0.275434392403472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0.749388048320071</v>
      </c>
      <c r="P96" s="18">
        <f t="shared" si="81"/>
        <v>0.206407241763463</v>
      </c>
      <c r="Q96" s="24">
        <f t="shared" si="82"/>
        <v>0.0619221725290388</v>
      </c>
      <c r="R96" s="18">
        <f t="shared" si="83"/>
        <v>0.08541</v>
      </c>
      <c r="S96" s="25">
        <f t="shared" si="84"/>
        <v>0.724999092952099</v>
      </c>
      <c r="T96" s="3">
        <v>0.01</v>
      </c>
      <c r="U96" s="26">
        <f t="shared" si="85"/>
        <v>0.00724999092952099</v>
      </c>
      <c r="V96" s="25"/>
      <c r="W96" s="3"/>
      <c r="X96" s="3"/>
      <c r="Y96" s="28"/>
      <c r="Z96" s="3"/>
      <c r="AA96" s="27"/>
      <c r="AB96" s="3"/>
      <c r="AC96" s="3"/>
      <c r="AD96" s="3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0.017199990929521</v>
      </c>
      <c r="AU96" s="29">
        <f t="shared" si="89"/>
        <v>28.47</v>
      </c>
      <c r="AV96" s="1">
        <f t="shared" si="90"/>
        <v>0.3</v>
      </c>
      <c r="AW96" s="2">
        <f t="shared" si="91"/>
        <v>0.1</v>
      </c>
      <c r="AX96" s="1">
        <f t="shared" si="92"/>
        <v>98.4264320944559</v>
      </c>
      <c r="AZ96" s="2">
        <f t="shared" si="93"/>
        <v>0.367583122716088</v>
      </c>
      <c r="BA96" s="1">
        <f t="shared" si="94"/>
        <v>361.798952670831</v>
      </c>
    </row>
    <row r="97" s="1" customFormat="1" spans="1:53">
      <c r="A97" s="13"/>
      <c r="B97" s="13"/>
      <c r="C97" s="16">
        <v>7</v>
      </c>
      <c r="D97" s="19">
        <v>24.9210464548387</v>
      </c>
      <c r="E97" s="20">
        <f t="shared" si="95"/>
        <v>22.9275340036667</v>
      </c>
      <c r="F97" s="16" t="s">
        <v>110</v>
      </c>
      <c r="G97" s="13">
        <v>8</v>
      </c>
      <c r="H97" s="18">
        <f t="shared" si="76"/>
        <v>24.9210464548387</v>
      </c>
      <c r="I97" s="18">
        <f t="shared" si="77"/>
        <v>298.071046454839</v>
      </c>
      <c r="J97" s="18">
        <f t="shared" si="78"/>
        <v>0.343192707380327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0.827680806556609</v>
      </c>
      <c r="P97" s="18">
        <f t="shared" si="81"/>
        <v>0.284054016848895</v>
      </c>
      <c r="Q97" s="24">
        <f t="shared" si="82"/>
        <v>0.0852162050546686</v>
      </c>
      <c r="R97" s="18">
        <f t="shared" si="83"/>
        <v>0.08541</v>
      </c>
      <c r="S97" s="25">
        <f t="shared" si="84"/>
        <v>0.997731004035459</v>
      </c>
      <c r="T97" s="3">
        <v>0.01</v>
      </c>
      <c r="U97" s="26">
        <f t="shared" si="85"/>
        <v>0.00997731004035459</v>
      </c>
      <c r="V97" s="25"/>
      <c r="W97" s="3"/>
      <c r="X97" s="3"/>
      <c r="Y97" s="28"/>
      <c r="Z97" s="3"/>
      <c r="AA97" s="27"/>
      <c r="AB97" s="3"/>
      <c r="AC97" s="3"/>
      <c r="AD97" s="3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0.0199273100403546</v>
      </c>
      <c r="AU97" s="29">
        <f t="shared" si="89"/>
        <v>28.47</v>
      </c>
      <c r="AV97" s="1">
        <f t="shared" si="90"/>
        <v>0.3</v>
      </c>
      <c r="AW97" s="2">
        <f t="shared" si="91"/>
        <v>0.1</v>
      </c>
      <c r="AX97" s="1">
        <f t="shared" si="92"/>
        <v>114.033433886628</v>
      </c>
      <c r="AZ97" s="2">
        <f t="shared" si="93"/>
        <v>0.367583122716088</v>
      </c>
      <c r="BA97" s="1">
        <f t="shared" si="94"/>
        <v>419.167657220853</v>
      </c>
    </row>
    <row r="98" s="1" customFormat="1" spans="1:53">
      <c r="A98" s="13"/>
      <c r="B98" s="13"/>
      <c r="C98" s="16">
        <v>8</v>
      </c>
      <c r="D98" s="19">
        <v>23.8033130245161</v>
      </c>
      <c r="E98" s="20">
        <f t="shared" si="95"/>
        <v>24.9210464548387</v>
      </c>
      <c r="F98" s="16" t="s">
        <v>110</v>
      </c>
      <c r="G98" s="13">
        <v>9</v>
      </c>
      <c r="H98" s="18">
        <f t="shared" si="76"/>
        <v>23.8033130245161</v>
      </c>
      <c r="I98" s="18">
        <f t="shared" si="77"/>
        <v>296.953313024516</v>
      </c>
      <c r="J98" s="18">
        <f t="shared" si="78"/>
        <v>0.303486510412727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0.828326789707713</v>
      </c>
      <c r="P98" s="18">
        <f t="shared" si="81"/>
        <v>0.251386006889771</v>
      </c>
      <c r="Q98" s="24">
        <f t="shared" si="82"/>
        <v>0.0754158020669312</v>
      </c>
      <c r="R98" s="18">
        <f t="shared" si="83"/>
        <v>0.08541</v>
      </c>
      <c r="S98" s="25">
        <f t="shared" si="84"/>
        <v>0.882985623076118</v>
      </c>
      <c r="T98" s="3">
        <v>0.01</v>
      </c>
      <c r="U98" s="26">
        <f t="shared" si="85"/>
        <v>0.00882985623076118</v>
      </c>
      <c r="V98" s="25"/>
      <c r="W98" s="3"/>
      <c r="X98" s="3"/>
      <c r="Y98" s="28"/>
      <c r="Z98" s="3"/>
      <c r="AA98" s="27"/>
      <c r="AB98" s="3"/>
      <c r="AC98" s="3"/>
      <c r="AD98" s="3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0.0143198562307612</v>
      </c>
      <c r="AU98" s="29">
        <f t="shared" si="89"/>
        <v>28.47</v>
      </c>
      <c r="AV98" s="1">
        <f t="shared" si="90"/>
        <v>0.3</v>
      </c>
      <c r="AW98" s="2">
        <f t="shared" si="91"/>
        <v>0.1</v>
      </c>
      <c r="AX98" s="1">
        <f t="shared" si="92"/>
        <v>81.9449476848439</v>
      </c>
      <c r="AZ98" s="2">
        <f t="shared" si="93"/>
        <v>0.367583122716088</v>
      </c>
      <c r="BA98" s="1">
        <f t="shared" si="94"/>
        <v>301.215797608014</v>
      </c>
    </row>
    <row r="99" s="1" customFormat="1" spans="1:53">
      <c r="A99" s="13"/>
      <c r="B99" s="13"/>
      <c r="C99" s="16">
        <v>9</v>
      </c>
      <c r="D99" s="19">
        <v>20.670883713</v>
      </c>
      <c r="E99" s="20">
        <f t="shared" si="95"/>
        <v>23.8033130245161</v>
      </c>
      <c r="F99" s="16" t="s">
        <v>110</v>
      </c>
      <c r="G99" s="13">
        <v>10</v>
      </c>
      <c r="H99" s="18">
        <f t="shared" si="76"/>
        <v>20.670883713</v>
      </c>
      <c r="I99" s="18">
        <f t="shared" si="77"/>
        <v>293.820883713</v>
      </c>
      <c r="J99" s="18">
        <f t="shared" si="78"/>
        <v>0.213956678761005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0.861640782817943</v>
      </c>
      <c r="P99" s="18">
        <f t="shared" si="81"/>
        <v>0.184353800176759</v>
      </c>
      <c r="Q99" s="24">
        <f t="shared" si="82"/>
        <v>0.0553061400530278</v>
      </c>
      <c r="R99" s="18">
        <f t="shared" si="83"/>
        <v>0.08541</v>
      </c>
      <c r="S99" s="25">
        <f t="shared" si="84"/>
        <v>0.647537057171617</v>
      </c>
      <c r="T99" s="3">
        <v>0.01</v>
      </c>
      <c r="U99" s="26">
        <f t="shared" si="85"/>
        <v>0.00647537057171617</v>
      </c>
      <c r="V99" s="25"/>
      <c r="W99" s="3"/>
      <c r="X99" s="3"/>
      <c r="Y99" s="28"/>
      <c r="Z99" s="3"/>
      <c r="AA99" s="27"/>
      <c r="AB99" s="3"/>
      <c r="AC99" s="3"/>
      <c r="AD99" s="3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0.0119653705717162</v>
      </c>
      <c r="AU99" s="29">
        <f t="shared" si="89"/>
        <v>28.47</v>
      </c>
      <c r="AV99" s="1">
        <f t="shared" si="90"/>
        <v>0.3</v>
      </c>
      <c r="AW99" s="2">
        <f t="shared" si="91"/>
        <v>0.1</v>
      </c>
      <c r="AX99" s="1">
        <f t="shared" si="92"/>
        <v>68.4714741355287</v>
      </c>
      <c r="AZ99" s="2">
        <f t="shared" si="93"/>
        <v>0.367583122716088</v>
      </c>
      <c r="BA99" s="1">
        <f t="shared" si="94"/>
        <v>251.689582797115</v>
      </c>
    </row>
    <row r="100" s="1" customFormat="1" spans="1:53">
      <c r="A100" s="13"/>
      <c r="B100" s="13"/>
      <c r="C100" s="16">
        <v>10</v>
      </c>
      <c r="D100" s="19">
        <v>17.2577290857742</v>
      </c>
      <c r="E100" s="20">
        <f t="shared" si="95"/>
        <v>20.670883713</v>
      </c>
      <c r="F100" s="16" t="s">
        <v>110</v>
      </c>
      <c r="G100" s="13">
        <v>11</v>
      </c>
      <c r="H100" s="18">
        <f t="shared" si="76"/>
        <v>17.2577290857742</v>
      </c>
      <c r="I100" s="18">
        <f t="shared" si="77"/>
        <v>290.407729085774</v>
      </c>
      <c r="J100" s="18">
        <f t="shared" si="78"/>
        <v>0.144936741718673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0.643422633509124</v>
      </c>
      <c r="O100" s="18">
        <f t="shared" si="96"/>
        <v>0.318564349132059</v>
      </c>
      <c r="P100" s="18">
        <f t="shared" si="81"/>
        <v>0.0461716787909304</v>
      </c>
      <c r="Q100" s="24">
        <f t="shared" si="82"/>
        <v>0.0138515036372791</v>
      </c>
      <c r="R100" s="18">
        <f t="shared" si="83"/>
        <v>0.08541</v>
      </c>
      <c r="S100" s="25">
        <f t="shared" si="84"/>
        <v>0.162176602707869</v>
      </c>
      <c r="T100" s="3">
        <v>0.01</v>
      </c>
      <c r="U100" s="26">
        <f t="shared" si="85"/>
        <v>0.00162176602707869</v>
      </c>
      <c r="V100" s="25"/>
      <c r="W100" s="3"/>
      <c r="X100" s="3"/>
      <c r="Y100" s="28"/>
      <c r="Z100" s="3"/>
      <c r="AA100" s="27"/>
      <c r="AB100" s="3"/>
      <c r="AC100" s="3"/>
      <c r="AD100" s="3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0.00711176602707869</v>
      </c>
      <c r="AU100" s="29">
        <f t="shared" si="89"/>
        <v>28.47</v>
      </c>
      <c r="AV100" s="1">
        <f t="shared" si="90"/>
        <v>0.3</v>
      </c>
      <c r="AW100" s="2">
        <f t="shared" si="91"/>
        <v>0.1</v>
      </c>
      <c r="AX100" s="1">
        <f t="shared" si="92"/>
        <v>40.696867736977</v>
      </c>
      <c r="AZ100" s="2">
        <f t="shared" si="93"/>
        <v>0.367583122716088</v>
      </c>
      <c r="BA100" s="1">
        <f t="shared" si="94"/>
        <v>149.594817275216</v>
      </c>
    </row>
    <row r="101" s="1" customFormat="1" spans="1:54">
      <c r="A101" s="13"/>
      <c r="B101" s="13"/>
      <c r="C101" s="16">
        <v>11</v>
      </c>
      <c r="D101" s="19">
        <v>11.5612993631333</v>
      </c>
      <c r="E101" s="20">
        <f t="shared" si="95"/>
        <v>17.2577290857742</v>
      </c>
      <c r="F101" s="16" t="s">
        <v>112</v>
      </c>
      <c r="G101" s="13">
        <v>12</v>
      </c>
      <c r="H101" s="18">
        <f t="shared" si="76"/>
        <v>11.5612993631333</v>
      </c>
      <c r="I101" s="18">
        <f t="shared" si="77"/>
        <v>284.711299363133</v>
      </c>
      <c r="J101" s="18">
        <f t="shared" si="78"/>
        <v>0.0741046254239422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0.557092670341129</v>
      </c>
      <c r="P101" s="18">
        <f t="shared" si="81"/>
        <v>0.0412831436620531</v>
      </c>
      <c r="Q101" s="24">
        <f t="shared" si="82"/>
        <v>0.0123849430986159</v>
      </c>
      <c r="R101" s="18">
        <f t="shared" si="83"/>
        <v>0.08541</v>
      </c>
      <c r="S101" s="25">
        <f t="shared" si="84"/>
        <v>0.145005773312445</v>
      </c>
      <c r="T101" s="3">
        <v>0.01</v>
      </c>
      <c r="U101" s="26">
        <f t="shared" si="85"/>
        <v>0.00145005773312445</v>
      </c>
      <c r="V101" s="25"/>
      <c r="W101" s="3"/>
      <c r="X101" s="3"/>
      <c r="Y101" s="28"/>
      <c r="Z101" s="3"/>
      <c r="AA101" s="27"/>
      <c r="AB101" s="3"/>
      <c r="AC101" s="3"/>
      <c r="AD101" s="3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0.00694005773312445</v>
      </c>
      <c r="AU101" s="29">
        <f t="shared" si="89"/>
        <v>28.47</v>
      </c>
      <c r="AV101" s="1">
        <f t="shared" si="90"/>
        <v>0.3</v>
      </c>
      <c r="AW101" s="2">
        <f t="shared" si="91"/>
        <v>0.1</v>
      </c>
      <c r="AX101" s="1">
        <f t="shared" si="92"/>
        <v>39.7142721760727</v>
      </c>
      <c r="AY101" s="1">
        <f>SUM(AX90:AX101)</f>
        <v>691.961313224869</v>
      </c>
      <c r="AZ101" s="2">
        <f t="shared" si="93"/>
        <v>0.367583122716088</v>
      </c>
      <c r="BA101" s="1">
        <f t="shared" si="94"/>
        <v>145.982961828774</v>
      </c>
      <c r="BB101" s="1">
        <f>SUM(BA90:BA101)</f>
        <v>2543.53300313922</v>
      </c>
    </row>
    <row r="102" s="1" customFormat="1" spans="1:46">
      <c r="A102" s="13"/>
      <c r="B102" s="13"/>
      <c r="C102" s="16">
        <v>12</v>
      </c>
      <c r="D102" s="19">
        <v>8.23624972858065</v>
      </c>
      <c r="E102" s="20">
        <f t="shared" si="95"/>
        <v>11.5612993631333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T42" sqref="AT42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3" width="15.6666666666667" style="1"/>
    <col min="14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1117.114</v>
      </c>
      <c r="F2" s="3">
        <v>734.672</v>
      </c>
      <c r="G2" s="7">
        <f>(F2+F3+F4)/3</f>
        <v>1194.134</v>
      </c>
      <c r="H2" s="3">
        <v>0.18</v>
      </c>
      <c r="I2" s="21">
        <f>(H2+H3+H4)/3</f>
        <v>0.136666666666667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1820.46805479452</v>
      </c>
      <c r="F5" s="3">
        <v>91.104</v>
      </c>
      <c r="G5" s="7">
        <f>(F5+F6)/2</f>
        <v>92.50925</v>
      </c>
      <c r="H5" s="3">
        <v>0.18</v>
      </c>
      <c r="I5" s="21">
        <f>(H5+H6)/2</f>
        <v>0.155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5493.4625165308</v>
      </c>
      <c r="F7" s="3">
        <v>122.786</v>
      </c>
      <c r="G7" s="3"/>
      <c r="H7" s="3">
        <v>0.45</v>
      </c>
      <c r="M7" s="2"/>
    </row>
    <row r="8" s="1" customFormat="1" spans="1:13">
      <c r="A8" s="4" t="s">
        <v>49</v>
      </c>
      <c r="B8" s="5"/>
      <c r="C8" s="3"/>
      <c r="D8" s="3"/>
      <c r="E8" s="12">
        <v>13.596</v>
      </c>
      <c r="F8" s="3">
        <v>625.464</v>
      </c>
      <c r="G8" s="3"/>
      <c r="H8" s="3">
        <v>0.3</v>
      </c>
      <c r="M8" s="2"/>
    </row>
    <row r="9" s="1" customFormat="1" spans="1:13">
      <c r="A9" s="4" t="s">
        <v>50</v>
      </c>
      <c r="B9" s="5"/>
      <c r="C9" s="3"/>
      <c r="D9" s="3"/>
      <c r="E9" s="12">
        <v>11.3082298373173</v>
      </c>
      <c r="F9" s="3">
        <v>341.64</v>
      </c>
      <c r="G9" s="3"/>
      <c r="H9" s="3">
        <v>0.33</v>
      </c>
      <c r="M9" s="2"/>
    </row>
    <row r="10" s="1" customFormat="1" spans="1:13">
      <c r="A10" s="4" t="s">
        <v>51</v>
      </c>
      <c r="B10" s="5"/>
      <c r="C10" s="3"/>
      <c r="D10" s="3"/>
      <c r="E10" s="12">
        <v>19.6314070239983</v>
      </c>
      <c r="F10" s="3">
        <v>341.64</v>
      </c>
      <c r="G10" s="3"/>
      <c r="H10" s="3">
        <v>0.33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162765558.257366</v>
      </c>
      <c r="J14" s="14" t="s">
        <v>35</v>
      </c>
      <c r="K14" s="14">
        <f>I14/(10000*1000)</f>
        <v>16.2765558257366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91096295.7137045</v>
      </c>
      <c r="J15" s="14" t="s">
        <v>35</v>
      </c>
      <c r="K15" s="14">
        <f>I15/(10000*1000)</f>
        <v>9.10962957137045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1194.134</v>
      </c>
      <c r="C27" s="16" t="s">
        <v>109</v>
      </c>
      <c r="D27" s="17">
        <v>8</v>
      </c>
      <c r="E27" s="16"/>
      <c r="F27" s="16"/>
      <c r="G27" s="13">
        <v>1</v>
      </c>
      <c r="H27" s="18">
        <f t="shared" ref="H27:H38" si="0">E28</f>
        <v>8</v>
      </c>
      <c r="I27" s="18">
        <f t="shared" ref="I27:I38" si="1">H27+273.15</f>
        <v>281.15</v>
      </c>
      <c r="J27" s="18">
        <f t="shared" ref="J27:J38" si="2">EXP(($C$16*(I27-$C$14))/($C$17*I27*$C$14))</f>
        <v>0.0480520561620816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110</v>
      </c>
      <c r="N27" s="13"/>
      <c r="O27" s="18">
        <f>L27</f>
        <v>0.995111666666667</v>
      </c>
      <c r="P27" s="18">
        <f t="shared" ref="P27:P38" si="5">O27*J27</f>
        <v>0.0478171616942093</v>
      </c>
      <c r="Q27" s="24">
        <f t="shared" ref="Q27:Q38" si="6">P27*$B$29</f>
        <v>0.00653501209820861</v>
      </c>
      <c r="R27" s="18">
        <f t="shared" ref="R27:R38" si="7">L27*$B$29</f>
        <v>0.135998594444444</v>
      </c>
      <c r="S27" s="25">
        <f t="shared" ref="S27:S38" si="8">Q27/R27</f>
        <v>0.0480520561620816</v>
      </c>
      <c r="T27" s="3">
        <v>0.01</v>
      </c>
      <c r="U27" s="26">
        <f t="shared" ref="U27:U38" si="9">S27*T27</f>
        <v>0.000480520561620816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0.0223805205616208</v>
      </c>
      <c r="AR27" s="29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93.0928333333333</v>
      </c>
      <c r="AU27" s="1">
        <f t="shared" ref="AU27:AU38" si="17">AT27*10000*AS27*0.67*AR27*AQ27</f>
        <v>189843.466302784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7.3820171706129</v>
      </c>
      <c r="E28" s="20">
        <f t="shared" ref="E28:E39" si="18">D27</f>
        <v>8</v>
      </c>
      <c r="F28" s="16" t="s">
        <v>110</v>
      </c>
      <c r="G28" s="13">
        <v>2</v>
      </c>
      <c r="H28" s="18">
        <f t="shared" si="0"/>
        <v>7.3820171706129</v>
      </c>
      <c r="I28" s="18">
        <f t="shared" si="1"/>
        <v>280.532017170613</v>
      </c>
      <c r="J28" s="18">
        <f t="shared" si="2"/>
        <v>0.0445224794456665</v>
      </c>
      <c r="K28" s="18">
        <f t="shared" si="3"/>
        <v>99.5111666666667</v>
      </c>
      <c r="L28" s="18">
        <f t="shared" si="4"/>
        <v>0.995111666666667</v>
      </c>
      <c r="M28" s="13" t="s">
        <v>110</v>
      </c>
      <c r="N28" s="13"/>
      <c r="O28" s="18">
        <f t="shared" ref="O28:O38" si="19">L28+O27-P27-N28</f>
        <v>1.94240617163912</v>
      </c>
      <c r="P28" s="18">
        <f t="shared" si="5"/>
        <v>0.0864807388519387</v>
      </c>
      <c r="Q28" s="24">
        <f t="shared" si="6"/>
        <v>0.011819034309765</v>
      </c>
      <c r="R28" s="18">
        <f t="shared" si="7"/>
        <v>0.135998594444444</v>
      </c>
      <c r="S28" s="25">
        <f t="shared" si="8"/>
        <v>0.0869055622085347</v>
      </c>
      <c r="T28" s="3">
        <v>0.01</v>
      </c>
      <c r="U28" s="26">
        <f t="shared" si="9"/>
        <v>0.000869055622085347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0.0227690556220853</v>
      </c>
      <c r="AR28" s="29">
        <f t="shared" si="15"/>
        <v>99.5111666666667</v>
      </c>
      <c r="AS28" s="1">
        <f t="shared" si="16"/>
        <v>0.136666666666667</v>
      </c>
      <c r="AT28" s="2">
        <f t="shared" ref="AT28:AT38" si="20">$E$2/12</f>
        <v>93.0928333333333</v>
      </c>
      <c r="AU28" s="1">
        <f t="shared" si="17"/>
        <v>193139.227116553</v>
      </c>
    </row>
    <row r="29" s="1" customFormat="1" spans="1:47">
      <c r="A29" s="13" t="s">
        <v>73</v>
      </c>
      <c r="B29" s="13">
        <f>I2</f>
        <v>0.136666666666667</v>
      </c>
      <c r="C29" s="16">
        <v>2</v>
      </c>
      <c r="D29" s="19">
        <v>9.44939597775862</v>
      </c>
      <c r="E29" s="20">
        <f t="shared" si="18"/>
        <v>7.3820171706129</v>
      </c>
      <c r="F29" s="16" t="s">
        <v>110</v>
      </c>
      <c r="G29" s="13">
        <v>3</v>
      </c>
      <c r="H29" s="18">
        <f t="shared" si="0"/>
        <v>9.44939597775862</v>
      </c>
      <c r="I29" s="18">
        <f t="shared" si="1"/>
        <v>282.599395977759</v>
      </c>
      <c r="J29" s="18">
        <f t="shared" si="2"/>
        <v>0.0573920386774447</v>
      </c>
      <c r="K29" s="18">
        <f t="shared" si="3"/>
        <v>99.5111666666667</v>
      </c>
      <c r="L29" s="18">
        <f t="shared" si="4"/>
        <v>0.995111666666667</v>
      </c>
      <c r="M29" s="13" t="s">
        <v>110</v>
      </c>
      <c r="N29" s="13"/>
      <c r="O29" s="18">
        <f t="shared" si="19"/>
        <v>2.85103709945385</v>
      </c>
      <c r="P29" s="18">
        <f t="shared" si="5"/>
        <v>0.163626831482685</v>
      </c>
      <c r="Q29" s="24">
        <f t="shared" si="6"/>
        <v>0.022362333635967</v>
      </c>
      <c r="R29" s="18">
        <f t="shared" si="7"/>
        <v>0.135998594444444</v>
      </c>
      <c r="S29" s="25">
        <f t="shared" si="8"/>
        <v>0.164430623178992</v>
      </c>
      <c r="T29" s="3">
        <v>0.01</v>
      </c>
      <c r="U29" s="26">
        <f t="shared" si="9"/>
        <v>0.00164430623178992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0.0235443062317899</v>
      </c>
      <c r="AR29" s="29">
        <f t="shared" si="15"/>
        <v>99.5111666666667</v>
      </c>
      <c r="AS29" s="1">
        <f t="shared" si="16"/>
        <v>0.136666666666667</v>
      </c>
      <c r="AT29" s="2">
        <f t="shared" si="20"/>
        <v>93.0928333333333</v>
      </c>
      <c r="AU29" s="1">
        <f t="shared" si="17"/>
        <v>199715.314683169</v>
      </c>
    </row>
    <row r="30" s="1" customFormat="1" spans="1:47">
      <c r="A30" s="13"/>
      <c r="B30" s="13"/>
      <c r="C30" s="16">
        <v>3</v>
      </c>
      <c r="D30" s="19">
        <v>14.407886643871</v>
      </c>
      <c r="E30" s="20">
        <f t="shared" si="18"/>
        <v>9.44939597775862</v>
      </c>
      <c r="F30" s="16" t="s">
        <v>110</v>
      </c>
      <c r="G30" s="13">
        <v>4</v>
      </c>
      <c r="H30" s="18">
        <f t="shared" si="0"/>
        <v>14.407886643871</v>
      </c>
      <c r="I30" s="18">
        <f t="shared" si="1"/>
        <v>287.557886643871</v>
      </c>
      <c r="J30" s="18">
        <f t="shared" si="2"/>
        <v>0.103961244414112</v>
      </c>
      <c r="K30" s="18">
        <f t="shared" si="3"/>
        <v>99.5111666666667</v>
      </c>
      <c r="L30" s="18">
        <f t="shared" si="4"/>
        <v>0.995111666666667</v>
      </c>
      <c r="M30" s="13" t="s">
        <v>110</v>
      </c>
      <c r="N30" s="13"/>
      <c r="O30" s="18">
        <f t="shared" si="19"/>
        <v>3.68252193463783</v>
      </c>
      <c r="P30" s="18">
        <f t="shared" si="5"/>
        <v>0.382839562907212</v>
      </c>
      <c r="Q30" s="24">
        <f t="shared" si="6"/>
        <v>0.0523214069306524</v>
      </c>
      <c r="R30" s="18">
        <f t="shared" si="7"/>
        <v>0.135998594444444</v>
      </c>
      <c r="S30" s="25">
        <f t="shared" si="8"/>
        <v>0.384720203501998</v>
      </c>
      <c r="T30" s="3">
        <v>0.01</v>
      </c>
      <c r="U30" s="26">
        <f t="shared" si="9"/>
        <v>0.00384720203501998</v>
      </c>
      <c r="V30" s="25"/>
      <c r="W30" s="3"/>
      <c r="X30" s="26"/>
      <c r="Y30" s="28">
        <v>0.04</v>
      </c>
      <c r="Z30" s="3">
        <v>0.21</v>
      </c>
      <c r="AA30" s="27">
        <f t="shared" si="10"/>
        <v>0.0084</v>
      </c>
      <c r="AB30" s="3">
        <v>0.015</v>
      </c>
      <c r="AC30" s="3">
        <v>0.29</v>
      </c>
      <c r="AD30" s="27">
        <f t="shared" si="11"/>
        <v>0.00435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0.03329720203502</v>
      </c>
      <c r="AR30" s="29">
        <f t="shared" si="15"/>
        <v>99.5111666666667</v>
      </c>
      <c r="AS30" s="1">
        <f t="shared" si="16"/>
        <v>0.136666666666667</v>
      </c>
      <c r="AT30" s="2">
        <f t="shared" si="20"/>
        <v>93.0928333333333</v>
      </c>
      <c r="AU30" s="1">
        <f t="shared" si="17"/>
        <v>282444.558655722</v>
      </c>
    </row>
    <row r="31" s="1" customFormat="1" spans="1:47">
      <c r="A31" s="13"/>
      <c r="B31" s="13"/>
      <c r="C31" s="16">
        <v>4</v>
      </c>
      <c r="D31" s="19">
        <v>17.392765108</v>
      </c>
      <c r="E31" s="20">
        <f t="shared" si="18"/>
        <v>14.407886643871</v>
      </c>
      <c r="F31" s="16" t="s">
        <v>110</v>
      </c>
      <c r="G31" s="13">
        <v>5</v>
      </c>
      <c r="H31" s="18">
        <f t="shared" si="0"/>
        <v>17.392765108</v>
      </c>
      <c r="I31" s="18">
        <f t="shared" si="1"/>
        <v>290.542765108</v>
      </c>
      <c r="J31" s="18">
        <f t="shared" si="2"/>
        <v>0.147212959584242</v>
      </c>
      <c r="K31" s="18">
        <f t="shared" si="3"/>
        <v>99.5111666666667</v>
      </c>
      <c r="L31" s="18">
        <f t="shared" si="4"/>
        <v>0.995111666666667</v>
      </c>
      <c r="M31" s="13" t="s">
        <v>112</v>
      </c>
      <c r="N31" s="18">
        <f>(O30-P30)*C22/100</f>
        <v>3.13469825314409</v>
      </c>
      <c r="O31" s="18">
        <f t="shared" si="19"/>
        <v>1.1600957852532</v>
      </c>
      <c r="P31" s="18">
        <f t="shared" si="5"/>
        <v>0.170781133948329</v>
      </c>
      <c r="Q31" s="24">
        <f t="shared" si="6"/>
        <v>0.0233400883062716</v>
      </c>
      <c r="R31" s="18">
        <f t="shared" si="7"/>
        <v>0.135998594444444</v>
      </c>
      <c r="S31" s="25">
        <f t="shared" si="8"/>
        <v>0.171620070057459</v>
      </c>
      <c r="T31" s="3">
        <v>0.01</v>
      </c>
      <c r="U31" s="26">
        <f t="shared" si="9"/>
        <v>0.00171620070057459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0.0311662007005746</v>
      </c>
      <c r="AR31" s="29">
        <f t="shared" si="15"/>
        <v>99.5111666666667</v>
      </c>
      <c r="AS31" s="1">
        <f t="shared" si="16"/>
        <v>0.136666666666667</v>
      </c>
      <c r="AT31" s="2">
        <f t="shared" si="20"/>
        <v>93.0928333333333</v>
      </c>
      <c r="AU31" s="1">
        <f t="shared" si="17"/>
        <v>264368.273123708</v>
      </c>
    </row>
    <row r="32" s="1" customFormat="1" spans="1:47">
      <c r="A32" s="13"/>
      <c r="B32" s="13"/>
      <c r="C32" s="16">
        <v>5</v>
      </c>
      <c r="D32" s="19">
        <v>19.3352830116129</v>
      </c>
      <c r="E32" s="20">
        <f t="shared" si="18"/>
        <v>17.392765108</v>
      </c>
      <c r="F32" s="16" t="s">
        <v>112</v>
      </c>
      <c r="G32" s="13">
        <v>6</v>
      </c>
      <c r="H32" s="18">
        <f t="shared" si="0"/>
        <v>19.3352830116129</v>
      </c>
      <c r="I32" s="18">
        <f t="shared" si="1"/>
        <v>292.485283011613</v>
      </c>
      <c r="J32" s="18">
        <f t="shared" si="2"/>
        <v>0.18391069502237</v>
      </c>
      <c r="K32" s="18">
        <f t="shared" si="3"/>
        <v>99.5111666666667</v>
      </c>
      <c r="L32" s="18">
        <f t="shared" si="4"/>
        <v>0.995111666666667</v>
      </c>
      <c r="M32" s="13" t="s">
        <v>110</v>
      </c>
      <c r="N32" s="13"/>
      <c r="O32" s="18">
        <f t="shared" si="19"/>
        <v>1.98442631797154</v>
      </c>
      <c r="P32" s="18">
        <f t="shared" si="5"/>
        <v>0.364957223358828</v>
      </c>
      <c r="Q32" s="24">
        <f t="shared" si="6"/>
        <v>0.0498774871923732</v>
      </c>
      <c r="R32" s="18">
        <f t="shared" si="7"/>
        <v>0.135998594444444</v>
      </c>
      <c r="S32" s="25">
        <f t="shared" si="8"/>
        <v>0.366750019705153</v>
      </c>
      <c r="T32" s="3">
        <v>0.01</v>
      </c>
      <c r="U32" s="26">
        <f t="shared" si="9"/>
        <v>0.00366750019705153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0.0331175001970515</v>
      </c>
      <c r="AR32" s="29">
        <f t="shared" si="15"/>
        <v>99.5111666666667</v>
      </c>
      <c r="AS32" s="1">
        <f t="shared" si="16"/>
        <v>0.136666666666667</v>
      </c>
      <c r="AT32" s="2">
        <f t="shared" si="20"/>
        <v>93.0928333333333</v>
      </c>
      <c r="AU32" s="1">
        <f t="shared" si="17"/>
        <v>280920.232189455</v>
      </c>
    </row>
    <row r="33" s="1" customFormat="1" spans="1:47">
      <c r="A33" s="13"/>
      <c r="B33" s="13"/>
      <c r="C33" s="16">
        <v>6</v>
      </c>
      <c r="D33" s="19">
        <v>20.6919485896667</v>
      </c>
      <c r="E33" s="20">
        <f t="shared" si="18"/>
        <v>19.3352830116129</v>
      </c>
      <c r="F33" s="16" t="s">
        <v>110</v>
      </c>
      <c r="G33" s="13">
        <v>7</v>
      </c>
      <c r="H33" s="18">
        <f t="shared" si="0"/>
        <v>20.6919485896667</v>
      </c>
      <c r="I33" s="18">
        <f t="shared" si="1"/>
        <v>293.841948589667</v>
      </c>
      <c r="J33" s="18">
        <f t="shared" si="2"/>
        <v>0.214465564218324</v>
      </c>
      <c r="K33" s="18">
        <f t="shared" si="3"/>
        <v>99.5111666666667</v>
      </c>
      <c r="L33" s="18">
        <f t="shared" si="4"/>
        <v>0.995111666666667</v>
      </c>
      <c r="M33" s="13" t="s">
        <v>110</v>
      </c>
      <c r="N33" s="13"/>
      <c r="O33" s="18">
        <f t="shared" si="19"/>
        <v>2.61458076127938</v>
      </c>
      <c r="P33" s="18">
        <f t="shared" si="5"/>
        <v>0.560737538162156</v>
      </c>
      <c r="Q33" s="24">
        <f t="shared" si="6"/>
        <v>0.0766341302154947</v>
      </c>
      <c r="R33" s="18">
        <f t="shared" si="7"/>
        <v>0.135998594444444</v>
      </c>
      <c r="S33" s="25">
        <f t="shared" si="8"/>
        <v>0.563492075256703</v>
      </c>
      <c r="T33" s="3">
        <v>0.01</v>
      </c>
      <c r="U33" s="26">
        <f t="shared" si="9"/>
        <v>0.00563492075256703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0.035084920752567</v>
      </c>
      <c r="AR33" s="29">
        <f t="shared" si="15"/>
        <v>99.5111666666667</v>
      </c>
      <c r="AS33" s="1">
        <f t="shared" si="16"/>
        <v>0.136666666666667</v>
      </c>
      <c r="AT33" s="2">
        <f t="shared" si="20"/>
        <v>93.0928333333333</v>
      </c>
      <c r="AU33" s="1">
        <f t="shared" si="17"/>
        <v>297608.938643178</v>
      </c>
    </row>
    <row r="34" s="1" customFormat="1" spans="1:47">
      <c r="A34" s="13"/>
      <c r="B34" s="13"/>
      <c r="C34" s="16">
        <v>7</v>
      </c>
      <c r="D34" s="19">
        <v>20.6309013283871</v>
      </c>
      <c r="E34" s="20">
        <f t="shared" si="18"/>
        <v>20.6919485896667</v>
      </c>
      <c r="F34" s="16" t="s">
        <v>110</v>
      </c>
      <c r="G34" s="13">
        <v>8</v>
      </c>
      <c r="H34" s="18">
        <f t="shared" si="0"/>
        <v>20.6309013283871</v>
      </c>
      <c r="I34" s="18">
        <f t="shared" si="1"/>
        <v>293.780901328387</v>
      </c>
      <c r="J34" s="18">
        <f t="shared" si="2"/>
        <v>0.212993903071749</v>
      </c>
      <c r="K34" s="18">
        <f t="shared" si="3"/>
        <v>99.5111666666667</v>
      </c>
      <c r="L34" s="18">
        <f t="shared" si="4"/>
        <v>0.995111666666667</v>
      </c>
      <c r="M34" s="13" t="s">
        <v>110</v>
      </c>
      <c r="N34" s="13"/>
      <c r="O34" s="18">
        <f t="shared" si="19"/>
        <v>3.04895488978389</v>
      </c>
      <c r="P34" s="18">
        <f t="shared" si="5"/>
        <v>0.649408802264764</v>
      </c>
      <c r="Q34" s="24">
        <f t="shared" si="6"/>
        <v>0.0887525363095178</v>
      </c>
      <c r="R34" s="18">
        <f t="shared" si="7"/>
        <v>0.135998594444444</v>
      </c>
      <c r="S34" s="25">
        <f t="shared" si="8"/>
        <v>0.652598923335</v>
      </c>
      <c r="T34" s="3">
        <v>0.01</v>
      </c>
      <c r="U34" s="26">
        <f t="shared" si="9"/>
        <v>0.00652598923335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0.03597598923335</v>
      </c>
      <c r="AR34" s="29">
        <f t="shared" si="15"/>
        <v>99.5111666666667</v>
      </c>
      <c r="AS34" s="1">
        <f t="shared" si="16"/>
        <v>0.136666666666667</v>
      </c>
      <c r="AT34" s="2">
        <f t="shared" si="20"/>
        <v>93.0928333333333</v>
      </c>
      <c r="AU34" s="1">
        <f t="shared" si="17"/>
        <v>305167.454926981</v>
      </c>
    </row>
    <row r="35" s="1" customFormat="1" spans="1:47">
      <c r="A35" s="13"/>
      <c r="B35" s="13"/>
      <c r="C35" s="16">
        <v>8</v>
      </c>
      <c r="D35" s="19">
        <v>21.0582356712903</v>
      </c>
      <c r="E35" s="20">
        <f t="shared" si="18"/>
        <v>20.6309013283871</v>
      </c>
      <c r="F35" s="16" t="s">
        <v>110</v>
      </c>
      <c r="G35" s="13">
        <v>9</v>
      </c>
      <c r="H35" s="18">
        <f t="shared" si="0"/>
        <v>21.0582356712903</v>
      </c>
      <c r="I35" s="18">
        <f t="shared" si="1"/>
        <v>294.20823567129</v>
      </c>
      <c r="J35" s="18">
        <f t="shared" si="2"/>
        <v>0.223498217898499</v>
      </c>
      <c r="K35" s="18">
        <f t="shared" si="3"/>
        <v>99.5111666666667</v>
      </c>
      <c r="L35" s="18">
        <f t="shared" si="4"/>
        <v>0.995111666666667</v>
      </c>
      <c r="M35" s="13" t="s">
        <v>110</v>
      </c>
      <c r="N35" s="13"/>
      <c r="O35" s="18">
        <f t="shared" si="19"/>
        <v>3.39465775418579</v>
      </c>
      <c r="P35" s="18">
        <f t="shared" si="5"/>
        <v>0.758699958435844</v>
      </c>
      <c r="Q35" s="24">
        <f t="shared" si="6"/>
        <v>0.103688994319565</v>
      </c>
      <c r="R35" s="18">
        <f t="shared" si="7"/>
        <v>0.135998594444444</v>
      </c>
      <c r="S35" s="25">
        <f t="shared" si="8"/>
        <v>0.762426955536827</v>
      </c>
      <c r="T35" s="3">
        <v>0.01</v>
      </c>
      <c r="U35" s="26">
        <f t="shared" si="9"/>
        <v>0.00762426955536827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0.0370742695553683</v>
      </c>
      <c r="AR35" s="29">
        <f t="shared" si="15"/>
        <v>99.5111666666667</v>
      </c>
      <c r="AS35" s="1">
        <f t="shared" si="16"/>
        <v>0.136666666666667</v>
      </c>
      <c r="AT35" s="2">
        <f t="shared" si="20"/>
        <v>93.0928333333333</v>
      </c>
      <c r="AU35" s="1">
        <f t="shared" si="17"/>
        <v>314483.652140983</v>
      </c>
    </row>
    <row r="36" s="1" customFormat="1" spans="1:47">
      <c r="A36" s="13"/>
      <c r="B36" s="13"/>
      <c r="C36" s="16">
        <v>9</v>
      </c>
      <c r="D36" s="19">
        <v>19.1827989486667</v>
      </c>
      <c r="E36" s="20">
        <f t="shared" si="18"/>
        <v>21.0582356712903</v>
      </c>
      <c r="F36" s="16" t="s">
        <v>110</v>
      </c>
      <c r="G36" s="13">
        <v>10</v>
      </c>
      <c r="H36" s="18">
        <f t="shared" si="0"/>
        <v>19.1827989486667</v>
      </c>
      <c r="I36" s="18">
        <f t="shared" si="1"/>
        <v>292.332798948667</v>
      </c>
      <c r="J36" s="18">
        <f t="shared" si="2"/>
        <v>0.180744771085118</v>
      </c>
      <c r="K36" s="18">
        <f t="shared" si="3"/>
        <v>99.5111666666667</v>
      </c>
      <c r="L36" s="18">
        <f t="shared" si="4"/>
        <v>0.995111666666667</v>
      </c>
      <c r="M36" s="13" t="s">
        <v>110</v>
      </c>
      <c r="N36" s="13"/>
      <c r="O36" s="18">
        <f t="shared" si="19"/>
        <v>3.63106946241661</v>
      </c>
      <c r="P36" s="18">
        <f t="shared" si="5"/>
        <v>0.656296818778653</v>
      </c>
      <c r="Q36" s="24">
        <f t="shared" si="6"/>
        <v>0.0896938985664159</v>
      </c>
      <c r="R36" s="18">
        <f t="shared" si="7"/>
        <v>0.135998594444444</v>
      </c>
      <c r="S36" s="25">
        <f t="shared" si="8"/>
        <v>0.659520776172844</v>
      </c>
      <c r="T36" s="3">
        <v>0.01</v>
      </c>
      <c r="U36" s="26">
        <f t="shared" si="9"/>
        <v>0.00659520776172844</v>
      </c>
      <c r="V36" s="25"/>
      <c r="W36" s="3"/>
      <c r="X36" s="26"/>
      <c r="Y36" s="28">
        <v>0.04</v>
      </c>
      <c r="Z36" s="3">
        <v>0.21</v>
      </c>
      <c r="AA36" s="27">
        <f t="shared" si="10"/>
        <v>0.0084</v>
      </c>
      <c r="AB36" s="3">
        <v>0.015</v>
      </c>
      <c r="AC36" s="3">
        <v>0.29</v>
      </c>
      <c r="AD36" s="27">
        <f t="shared" si="11"/>
        <v>0.00435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0.0360452077617284</v>
      </c>
      <c r="AR36" s="29">
        <f t="shared" si="15"/>
        <v>99.5111666666667</v>
      </c>
      <c r="AS36" s="1">
        <f t="shared" si="16"/>
        <v>0.136666666666667</v>
      </c>
      <c r="AT36" s="2">
        <f t="shared" si="20"/>
        <v>93.0928333333333</v>
      </c>
      <c r="AU36" s="1">
        <f t="shared" si="17"/>
        <v>305754.603260888</v>
      </c>
    </row>
    <row r="37" s="1" customFormat="1" spans="1:47">
      <c r="A37" s="13"/>
      <c r="B37" s="13"/>
      <c r="C37" s="16">
        <v>10</v>
      </c>
      <c r="D37" s="19">
        <v>17.6195904735484</v>
      </c>
      <c r="E37" s="20">
        <f t="shared" si="18"/>
        <v>19.1827989486667</v>
      </c>
      <c r="F37" s="16" t="s">
        <v>110</v>
      </c>
      <c r="G37" s="13">
        <v>11</v>
      </c>
      <c r="H37" s="18">
        <f t="shared" si="0"/>
        <v>17.6195904735484</v>
      </c>
      <c r="I37" s="18">
        <f t="shared" si="1"/>
        <v>290.769590473548</v>
      </c>
      <c r="J37" s="18">
        <f t="shared" si="2"/>
        <v>0.151112231595656</v>
      </c>
      <c r="K37" s="18">
        <f t="shared" si="3"/>
        <v>99.5111666666667</v>
      </c>
      <c r="L37" s="18">
        <f t="shared" si="4"/>
        <v>0.995111666666667</v>
      </c>
      <c r="M37" s="13" t="s">
        <v>112</v>
      </c>
      <c r="N37" s="18">
        <f>(O36-P36)*C22/100</f>
        <v>2.82603401145606</v>
      </c>
      <c r="O37" s="18">
        <f t="shared" si="19"/>
        <v>1.14385029884856</v>
      </c>
      <c r="P37" s="18">
        <f t="shared" si="5"/>
        <v>0.172849771270365</v>
      </c>
      <c r="Q37" s="24">
        <f t="shared" si="6"/>
        <v>0.0236228020736165</v>
      </c>
      <c r="R37" s="18">
        <f t="shared" si="7"/>
        <v>0.135998594444444</v>
      </c>
      <c r="S37" s="25">
        <f t="shared" si="8"/>
        <v>0.173698869242847</v>
      </c>
      <c r="T37" s="3">
        <v>0.01</v>
      </c>
      <c r="U37" s="26">
        <f t="shared" si="9"/>
        <v>0.00173698869242847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0.0236369886924285</v>
      </c>
      <c r="AR37" s="29">
        <f t="shared" si="15"/>
        <v>99.5111666666667</v>
      </c>
      <c r="AS37" s="1">
        <f t="shared" si="16"/>
        <v>0.136666666666667</v>
      </c>
      <c r="AT37" s="2">
        <f t="shared" si="20"/>
        <v>93.0928333333333</v>
      </c>
      <c r="AU37" s="1">
        <f t="shared" si="17"/>
        <v>200501.496557028</v>
      </c>
    </row>
    <row r="38" s="1" customFormat="1" spans="1:48">
      <c r="A38" s="13"/>
      <c r="B38" s="13"/>
      <c r="C38" s="16">
        <v>11</v>
      </c>
      <c r="D38" s="19">
        <v>13.1948666262667</v>
      </c>
      <c r="E38" s="20">
        <f t="shared" si="18"/>
        <v>17.6195904735484</v>
      </c>
      <c r="F38" s="16" t="s">
        <v>112</v>
      </c>
      <c r="G38" s="13">
        <v>12</v>
      </c>
      <c r="H38" s="18">
        <f t="shared" si="0"/>
        <v>13.1948666262667</v>
      </c>
      <c r="I38" s="18">
        <f t="shared" si="1"/>
        <v>286.344866626267</v>
      </c>
      <c r="J38" s="18">
        <f t="shared" si="2"/>
        <v>0.0900692290060733</v>
      </c>
      <c r="K38" s="18">
        <f t="shared" si="3"/>
        <v>99.5111666666667</v>
      </c>
      <c r="L38" s="18">
        <f t="shared" si="4"/>
        <v>0.995111666666667</v>
      </c>
      <c r="M38" s="13" t="s">
        <v>110</v>
      </c>
      <c r="N38" s="13"/>
      <c r="O38" s="18">
        <f t="shared" si="19"/>
        <v>1.96611219424487</v>
      </c>
      <c r="P38" s="18">
        <f t="shared" si="5"/>
        <v>0.177086209475074</v>
      </c>
      <c r="Q38" s="24">
        <f t="shared" si="6"/>
        <v>0.0242017819615935</v>
      </c>
      <c r="R38" s="18">
        <f t="shared" si="7"/>
        <v>0.135998594444444</v>
      </c>
      <c r="S38" s="25">
        <f t="shared" si="8"/>
        <v>0.177956118300031</v>
      </c>
      <c r="T38" s="3">
        <v>0.01</v>
      </c>
      <c r="U38" s="26">
        <f t="shared" si="9"/>
        <v>0.00177956118300031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0.0236795611830003</v>
      </c>
      <c r="AR38" s="29">
        <f t="shared" si="15"/>
        <v>99.5111666666667</v>
      </c>
      <c r="AS38" s="1">
        <f t="shared" si="16"/>
        <v>0.136666666666667</v>
      </c>
      <c r="AT38" s="2">
        <f t="shared" si="20"/>
        <v>93.0928333333333</v>
      </c>
      <c r="AU38" s="1">
        <f t="shared" si="17"/>
        <v>200862.619041068</v>
      </c>
      <c r="AV38" s="1">
        <f>SUM(AU27:AU38)</f>
        <v>3034809.83664151</v>
      </c>
    </row>
    <row r="39" s="1" customFormat="1" spans="1:46">
      <c r="A39" s="13"/>
      <c r="B39" s="13"/>
      <c r="C39" s="16">
        <v>12</v>
      </c>
      <c r="D39" s="19">
        <v>10.4053793106129</v>
      </c>
      <c r="E39" s="20">
        <f t="shared" si="18"/>
        <v>13.1948666262667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8</v>
      </c>
      <c r="E42" s="16"/>
      <c r="F42" s="16"/>
      <c r="G42" s="13">
        <v>1</v>
      </c>
      <c r="H42" s="18">
        <f t="shared" ref="H42:H53" si="21">E43</f>
        <v>8</v>
      </c>
      <c r="I42" s="18">
        <f t="shared" ref="I42:I53" si="22">H42+273.15</f>
        <v>281.15</v>
      </c>
      <c r="J42" s="18">
        <f t="shared" ref="J42:J53" si="23">EXP(($C$16*(I42-$C$14))/($C$17*I42*$C$14))</f>
        <v>0.0480520561620816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0.00370438306376004</v>
      </c>
      <c r="Q42" s="24">
        <f t="shared" ref="Q42:Q53" si="27">P42*$B$44</f>
        <v>0.000574179374882806</v>
      </c>
      <c r="R42" s="18">
        <f t="shared" ref="R42:R53" si="28">L42*$B$44</f>
        <v>0.0119491114583333</v>
      </c>
      <c r="S42" s="25">
        <f t="shared" ref="S42:S53" si="29">Q42/R42</f>
        <v>0.0480520561620816</v>
      </c>
      <c r="T42" s="3">
        <v>0.01</v>
      </c>
      <c r="U42" s="26">
        <f t="shared" ref="U42:U53" si="30">S42*T42</f>
        <v>0.000480520561620816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0.0152805205616208</v>
      </c>
      <c r="AR42" s="29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151.705671232877</v>
      </c>
      <c r="AU42" s="1">
        <f t="shared" ref="AU42:AU53" si="37">AT42*10000*AS42*0.67*AR42*AQ42</f>
        <v>18558.8209064579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7.3820171706129</v>
      </c>
      <c r="E43" s="20">
        <f t="shared" ref="E43:E54" si="38">D42</f>
        <v>8</v>
      </c>
      <c r="F43" s="16" t="s">
        <v>110</v>
      </c>
      <c r="G43" s="13">
        <v>2</v>
      </c>
      <c r="H43" s="18">
        <f t="shared" si="21"/>
        <v>7.3820171706129</v>
      </c>
      <c r="I43" s="18">
        <f t="shared" si="22"/>
        <v>280.532017170613</v>
      </c>
      <c r="J43" s="18">
        <f t="shared" si="23"/>
        <v>0.0445224794456665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0.150477700269573</v>
      </c>
      <c r="P43" s="18">
        <f t="shared" si="26"/>
        <v>0.00669964031728324</v>
      </c>
      <c r="Q43" s="24">
        <f t="shared" si="27"/>
        <v>0.0010384442491789</v>
      </c>
      <c r="R43" s="18">
        <f t="shared" si="28"/>
        <v>0.0119491114583333</v>
      </c>
      <c r="S43" s="25">
        <f t="shared" si="29"/>
        <v>0.0869055622085347</v>
      </c>
      <c r="T43" s="3">
        <v>0.01</v>
      </c>
      <c r="U43" s="26">
        <f t="shared" si="30"/>
        <v>0.000869055622085347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0.0156690556220853</v>
      </c>
      <c r="AR43" s="29">
        <f t="shared" si="34"/>
        <v>7.70910416666667</v>
      </c>
      <c r="AS43" s="1">
        <f t="shared" si="35"/>
        <v>0.155</v>
      </c>
      <c r="AT43" s="2">
        <f t="shared" si="36"/>
        <v>151.705671232877</v>
      </c>
      <c r="AU43" s="1">
        <f t="shared" si="37"/>
        <v>19030.712722837</v>
      </c>
    </row>
    <row r="44" s="1" customFormat="1" spans="1:47">
      <c r="A44" s="13" t="s">
        <v>73</v>
      </c>
      <c r="B44" s="13">
        <f>I5</f>
        <v>0.155</v>
      </c>
      <c r="C44" s="16">
        <v>2</v>
      </c>
      <c r="D44" s="19">
        <v>9.44939597775862</v>
      </c>
      <c r="E44" s="20">
        <f t="shared" si="38"/>
        <v>7.3820171706129</v>
      </c>
      <c r="F44" s="16" t="s">
        <v>110</v>
      </c>
      <c r="G44" s="13">
        <v>3</v>
      </c>
      <c r="H44" s="18">
        <f t="shared" si="21"/>
        <v>9.44939597775862</v>
      </c>
      <c r="I44" s="18">
        <f t="shared" si="22"/>
        <v>282.599395977759</v>
      </c>
      <c r="J44" s="18">
        <f t="shared" si="23"/>
        <v>0.0573920386774447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0.220869101618957</v>
      </c>
      <c r="P44" s="18">
        <f t="shared" si="26"/>
        <v>0.0126761280227676</v>
      </c>
      <c r="Q44" s="24">
        <f t="shared" si="27"/>
        <v>0.00196479984352898</v>
      </c>
      <c r="R44" s="18">
        <f t="shared" si="28"/>
        <v>0.0119491114583333</v>
      </c>
      <c r="S44" s="25">
        <f t="shared" si="29"/>
        <v>0.164430623178992</v>
      </c>
      <c r="T44" s="3">
        <v>0.01</v>
      </c>
      <c r="U44" s="26">
        <f t="shared" si="30"/>
        <v>0.00164430623178992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0.0164443062317899</v>
      </c>
      <c r="AR44" s="29">
        <f t="shared" si="34"/>
        <v>7.70910416666667</v>
      </c>
      <c r="AS44" s="1">
        <f t="shared" si="35"/>
        <v>0.155</v>
      </c>
      <c r="AT44" s="2">
        <f t="shared" si="36"/>
        <v>151.705671232877</v>
      </c>
      <c r="AU44" s="1">
        <f t="shared" si="37"/>
        <v>19972.2864843531</v>
      </c>
    </row>
    <row r="45" s="1" customFormat="1" spans="1:47">
      <c r="A45" s="13"/>
      <c r="B45" s="13"/>
      <c r="C45" s="16">
        <v>3</v>
      </c>
      <c r="D45" s="19">
        <v>14.407886643871</v>
      </c>
      <c r="E45" s="20">
        <f t="shared" si="38"/>
        <v>9.44939597775862</v>
      </c>
      <c r="F45" s="16" t="s">
        <v>110</v>
      </c>
      <c r="G45" s="13">
        <v>4</v>
      </c>
      <c r="H45" s="18">
        <f t="shared" si="21"/>
        <v>14.407886643871</v>
      </c>
      <c r="I45" s="18">
        <f t="shared" si="22"/>
        <v>287.557886643871</v>
      </c>
      <c r="J45" s="18">
        <f t="shared" si="23"/>
        <v>0.103961244414112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0.285284015262856</v>
      </c>
      <c r="P45" s="18">
        <f t="shared" si="26"/>
        <v>0.029658481238181</v>
      </c>
      <c r="Q45" s="24">
        <f t="shared" si="27"/>
        <v>0.00459706459191806</v>
      </c>
      <c r="R45" s="18">
        <f t="shared" si="28"/>
        <v>0.0119491114583333</v>
      </c>
      <c r="S45" s="25">
        <f t="shared" si="29"/>
        <v>0.384720203501998</v>
      </c>
      <c r="T45" s="3">
        <v>0.01</v>
      </c>
      <c r="U45" s="26">
        <f t="shared" si="30"/>
        <v>0.00384720203501998</v>
      </c>
      <c r="V45" s="25"/>
      <c r="W45" s="3"/>
      <c r="X45" s="26"/>
      <c r="Y45" s="28">
        <v>0.04</v>
      </c>
      <c r="Z45" s="3">
        <v>0.49</v>
      </c>
      <c r="AA45" s="27">
        <f t="shared" si="31"/>
        <v>0.0196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0.015</v>
      </c>
      <c r="AO45" s="3">
        <v>0.5</v>
      </c>
      <c r="AP45" s="3">
        <f t="shared" si="32"/>
        <v>0.0075</v>
      </c>
      <c r="AQ45" s="1">
        <f t="shared" si="33"/>
        <v>0.03094720203502</v>
      </c>
      <c r="AR45" s="29">
        <f t="shared" si="34"/>
        <v>7.70910416666667</v>
      </c>
      <c r="AS45" s="1">
        <f t="shared" si="35"/>
        <v>0.155</v>
      </c>
      <c r="AT45" s="2">
        <f t="shared" si="36"/>
        <v>151.705671232877</v>
      </c>
      <c r="AU45" s="1">
        <f t="shared" si="37"/>
        <v>37586.6501280363</v>
      </c>
    </row>
    <row r="46" s="1" customFormat="1" spans="1:47">
      <c r="A46" s="13"/>
      <c r="B46" s="13"/>
      <c r="C46" s="16">
        <v>4</v>
      </c>
      <c r="D46" s="19">
        <v>17.392765108</v>
      </c>
      <c r="E46" s="20">
        <f t="shared" si="38"/>
        <v>14.407886643871</v>
      </c>
      <c r="F46" s="16" t="s">
        <v>110</v>
      </c>
      <c r="G46" s="13">
        <v>5</v>
      </c>
      <c r="H46" s="18">
        <f t="shared" si="21"/>
        <v>17.392765108</v>
      </c>
      <c r="I46" s="18">
        <f t="shared" si="22"/>
        <v>290.542765108</v>
      </c>
      <c r="J46" s="18">
        <f t="shared" si="23"/>
        <v>0.147212959584242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0.242844257323441</v>
      </c>
      <c r="O46" s="18">
        <f t="shared" si="39"/>
        <v>0.0898723183679004</v>
      </c>
      <c r="P46" s="18">
        <f t="shared" si="26"/>
        <v>0.0132303699716359</v>
      </c>
      <c r="Q46" s="24">
        <f t="shared" si="27"/>
        <v>0.00205070734560356</v>
      </c>
      <c r="R46" s="18">
        <f t="shared" si="28"/>
        <v>0.0119491114583333</v>
      </c>
      <c r="S46" s="25">
        <f t="shared" si="29"/>
        <v>0.171620070057459</v>
      </c>
      <c r="T46" s="3">
        <v>0.01</v>
      </c>
      <c r="U46" s="26">
        <f t="shared" si="30"/>
        <v>0.00171620070057459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0.0288162007005746</v>
      </c>
      <c r="AR46" s="29">
        <f t="shared" si="34"/>
        <v>7.70910416666667</v>
      </c>
      <c r="AS46" s="1">
        <f t="shared" si="35"/>
        <v>0.155</v>
      </c>
      <c r="AT46" s="2">
        <f t="shared" si="36"/>
        <v>151.705671232877</v>
      </c>
      <c r="AU46" s="1">
        <f t="shared" si="37"/>
        <v>34998.4613318557</v>
      </c>
    </row>
    <row r="47" s="1" customFormat="1" spans="1:47">
      <c r="A47" s="13"/>
      <c r="B47" s="13"/>
      <c r="C47" s="16">
        <v>5</v>
      </c>
      <c r="D47" s="19">
        <v>19.3352830116129</v>
      </c>
      <c r="E47" s="20">
        <f t="shared" si="38"/>
        <v>17.392765108</v>
      </c>
      <c r="F47" s="16" t="s">
        <v>112</v>
      </c>
      <c r="G47" s="13">
        <v>6</v>
      </c>
      <c r="H47" s="18">
        <f t="shared" si="21"/>
        <v>19.3352830116129</v>
      </c>
      <c r="I47" s="18">
        <f t="shared" si="22"/>
        <v>292.485283011613</v>
      </c>
      <c r="J47" s="18">
        <f t="shared" si="23"/>
        <v>0.18391069502237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0.153732990062931</v>
      </c>
      <c r="P47" s="18">
        <f t="shared" si="26"/>
        <v>0.0282731410503408</v>
      </c>
      <c r="Q47" s="24">
        <f t="shared" si="27"/>
        <v>0.00438233686280282</v>
      </c>
      <c r="R47" s="18">
        <f t="shared" si="28"/>
        <v>0.0119491114583333</v>
      </c>
      <c r="S47" s="25">
        <f t="shared" si="29"/>
        <v>0.366750019705153</v>
      </c>
      <c r="T47" s="3">
        <v>0.01</v>
      </c>
      <c r="U47" s="26">
        <f t="shared" si="30"/>
        <v>0.00366750019705153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0.0307675001970515</v>
      </c>
      <c r="AR47" s="29">
        <f t="shared" si="34"/>
        <v>7.70910416666667</v>
      </c>
      <c r="AS47" s="1">
        <f t="shared" si="35"/>
        <v>0.155</v>
      </c>
      <c r="AT47" s="2">
        <f t="shared" si="36"/>
        <v>151.705671232877</v>
      </c>
      <c r="AU47" s="1">
        <f t="shared" si="37"/>
        <v>37368.3948523754</v>
      </c>
    </row>
    <row r="48" s="1" customFormat="1" spans="1:47">
      <c r="A48" s="13"/>
      <c r="B48" s="13"/>
      <c r="C48" s="16">
        <v>6</v>
      </c>
      <c r="D48" s="19">
        <v>20.6919485896667</v>
      </c>
      <c r="E48" s="20">
        <f t="shared" si="38"/>
        <v>19.3352830116129</v>
      </c>
      <c r="F48" s="16" t="s">
        <v>110</v>
      </c>
      <c r="G48" s="13">
        <v>7</v>
      </c>
      <c r="H48" s="18">
        <f t="shared" si="21"/>
        <v>20.6919485896667</v>
      </c>
      <c r="I48" s="18">
        <f t="shared" si="22"/>
        <v>293.841948589667</v>
      </c>
      <c r="J48" s="18">
        <f t="shared" si="23"/>
        <v>0.214465564218324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0.202550890679257</v>
      </c>
      <c r="P48" s="18">
        <f t="shared" si="26"/>
        <v>0.0434401910524509</v>
      </c>
      <c r="Q48" s="24">
        <f t="shared" si="27"/>
        <v>0.0067332296131299</v>
      </c>
      <c r="R48" s="18">
        <f t="shared" si="28"/>
        <v>0.0119491114583333</v>
      </c>
      <c r="S48" s="25">
        <f t="shared" si="29"/>
        <v>0.563492075256703</v>
      </c>
      <c r="T48" s="3">
        <v>0.01</v>
      </c>
      <c r="U48" s="26">
        <f t="shared" si="30"/>
        <v>0.00563492075256703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0.032734920752567</v>
      </c>
      <c r="AR48" s="29">
        <f t="shared" si="34"/>
        <v>7.70910416666667</v>
      </c>
      <c r="AS48" s="1">
        <f t="shared" si="35"/>
        <v>0.155</v>
      </c>
      <c r="AT48" s="2">
        <f t="shared" si="36"/>
        <v>151.705671232877</v>
      </c>
      <c r="AU48" s="1">
        <f t="shared" si="37"/>
        <v>39757.9080623641</v>
      </c>
    </row>
    <row r="49" s="1" customFormat="1" spans="1:47">
      <c r="A49" s="13"/>
      <c r="B49" s="13"/>
      <c r="C49" s="16">
        <v>7</v>
      </c>
      <c r="D49" s="19">
        <v>20.6309013283871</v>
      </c>
      <c r="E49" s="20">
        <f t="shared" si="38"/>
        <v>20.6919485896667</v>
      </c>
      <c r="F49" s="16" t="s">
        <v>110</v>
      </c>
      <c r="G49" s="13">
        <v>8</v>
      </c>
      <c r="H49" s="18">
        <f t="shared" si="21"/>
        <v>20.6309013283871</v>
      </c>
      <c r="I49" s="18">
        <f t="shared" si="22"/>
        <v>293.780901328387</v>
      </c>
      <c r="J49" s="18">
        <f t="shared" si="23"/>
        <v>0.212993903071749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0.236201741293473</v>
      </c>
      <c r="P49" s="18">
        <f t="shared" si="26"/>
        <v>0.0503095307904403</v>
      </c>
      <c r="Q49" s="24">
        <f t="shared" si="27"/>
        <v>0.00779797727251825</v>
      </c>
      <c r="R49" s="18">
        <f t="shared" si="28"/>
        <v>0.0119491114583333</v>
      </c>
      <c r="S49" s="25">
        <f t="shared" si="29"/>
        <v>0.652598923335</v>
      </c>
      <c r="T49" s="3">
        <v>0.01</v>
      </c>
      <c r="U49" s="26">
        <f t="shared" si="30"/>
        <v>0.00652598923335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0.03362598923335</v>
      </c>
      <c r="AR49" s="29">
        <f t="shared" si="34"/>
        <v>7.70910416666667</v>
      </c>
      <c r="AS49" s="1">
        <f t="shared" si="35"/>
        <v>0.155</v>
      </c>
      <c r="AT49" s="2">
        <f t="shared" si="36"/>
        <v>151.705671232877</v>
      </c>
      <c r="AU49" s="1">
        <f t="shared" si="37"/>
        <v>40840.1473933837</v>
      </c>
    </row>
    <row r="50" s="1" customFormat="1" spans="1:47">
      <c r="A50" s="13"/>
      <c r="B50" s="13"/>
      <c r="C50" s="16">
        <v>8</v>
      </c>
      <c r="D50" s="19">
        <v>21.0582356712903</v>
      </c>
      <c r="E50" s="20">
        <f t="shared" si="38"/>
        <v>20.6309013283871</v>
      </c>
      <c r="F50" s="16" t="s">
        <v>110</v>
      </c>
      <c r="G50" s="13">
        <v>9</v>
      </c>
      <c r="H50" s="18">
        <f t="shared" si="21"/>
        <v>21.0582356712903</v>
      </c>
      <c r="I50" s="18">
        <f t="shared" si="22"/>
        <v>294.20823567129</v>
      </c>
      <c r="J50" s="18">
        <f t="shared" si="23"/>
        <v>0.223498217898499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0.262983252169699</v>
      </c>
      <c r="P50" s="18">
        <f t="shared" si="26"/>
        <v>0.0587762881970793</v>
      </c>
      <c r="Q50" s="24">
        <f t="shared" si="27"/>
        <v>0.0091103246705473</v>
      </c>
      <c r="R50" s="18">
        <f t="shared" si="28"/>
        <v>0.0119491114583333</v>
      </c>
      <c r="S50" s="25">
        <f t="shared" si="29"/>
        <v>0.762426955536827</v>
      </c>
      <c r="T50" s="3">
        <v>0.01</v>
      </c>
      <c r="U50" s="26">
        <f t="shared" si="30"/>
        <v>0.00762426955536827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0.0347242695553683</v>
      </c>
      <c r="AR50" s="29">
        <f t="shared" si="34"/>
        <v>7.70910416666667</v>
      </c>
      <c r="AS50" s="1">
        <f t="shared" si="35"/>
        <v>0.155</v>
      </c>
      <c r="AT50" s="2">
        <f t="shared" si="36"/>
        <v>151.705671232877</v>
      </c>
      <c r="AU50" s="1">
        <f t="shared" si="37"/>
        <v>42174.0540308721</v>
      </c>
    </row>
    <row r="51" s="1" customFormat="1" spans="1:47">
      <c r="A51" s="13"/>
      <c r="B51" s="13"/>
      <c r="C51" s="16">
        <v>9</v>
      </c>
      <c r="D51" s="19">
        <v>19.1827989486667</v>
      </c>
      <c r="E51" s="20">
        <f t="shared" si="38"/>
        <v>21.0582356712903</v>
      </c>
      <c r="F51" s="16" t="s">
        <v>110</v>
      </c>
      <c r="G51" s="13">
        <v>10</v>
      </c>
      <c r="H51" s="18">
        <f t="shared" si="21"/>
        <v>19.1827989486667</v>
      </c>
      <c r="I51" s="18">
        <f t="shared" si="22"/>
        <v>292.332798948667</v>
      </c>
      <c r="J51" s="18">
        <f t="shared" si="23"/>
        <v>0.180744771085118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0.281298005639287</v>
      </c>
      <c r="P51" s="18">
        <f t="shared" si="26"/>
        <v>0.0508431436359731</v>
      </c>
      <c r="Q51" s="24">
        <f t="shared" si="27"/>
        <v>0.00788068726357583</v>
      </c>
      <c r="R51" s="18">
        <f t="shared" si="28"/>
        <v>0.0119491114583333</v>
      </c>
      <c r="S51" s="25">
        <f t="shared" si="29"/>
        <v>0.659520776172844</v>
      </c>
      <c r="T51" s="3">
        <v>0.01</v>
      </c>
      <c r="U51" s="26">
        <f t="shared" si="30"/>
        <v>0.00659520776172844</v>
      </c>
      <c r="V51" s="25"/>
      <c r="W51" s="3"/>
      <c r="X51" s="26"/>
      <c r="Y51" s="28">
        <v>0.04</v>
      </c>
      <c r="Z51" s="3">
        <v>0.49</v>
      </c>
      <c r="AA51" s="27">
        <f t="shared" si="31"/>
        <v>0.0196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0.015</v>
      </c>
      <c r="AO51" s="3">
        <v>0.5</v>
      </c>
      <c r="AP51" s="3">
        <f t="shared" si="32"/>
        <v>0.0075</v>
      </c>
      <c r="AQ51" s="1">
        <f t="shared" si="33"/>
        <v>0.0336952077617284</v>
      </c>
      <c r="AR51" s="29">
        <f t="shared" si="34"/>
        <v>7.70910416666667</v>
      </c>
      <c r="AS51" s="1">
        <f t="shared" si="35"/>
        <v>0.155</v>
      </c>
      <c r="AT51" s="2">
        <f t="shared" si="36"/>
        <v>151.705671232877</v>
      </c>
      <c r="AU51" s="1">
        <f t="shared" si="37"/>
        <v>40924.2161439478</v>
      </c>
    </row>
    <row r="52" s="1" customFormat="1" spans="1:47">
      <c r="A52" s="13"/>
      <c r="B52" s="13"/>
      <c r="C52" s="16">
        <v>10</v>
      </c>
      <c r="D52" s="19">
        <v>17.6195904735484</v>
      </c>
      <c r="E52" s="20">
        <f t="shared" si="38"/>
        <v>19.1827989486667</v>
      </c>
      <c r="F52" s="16" t="s">
        <v>110</v>
      </c>
      <c r="G52" s="13">
        <v>11</v>
      </c>
      <c r="H52" s="18">
        <f t="shared" si="21"/>
        <v>17.6195904735484</v>
      </c>
      <c r="I52" s="18">
        <f t="shared" si="22"/>
        <v>290.769590473548</v>
      </c>
      <c r="J52" s="18">
        <f t="shared" si="23"/>
        <v>0.151112231595656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0.218932118903148</v>
      </c>
      <c r="O52" s="18">
        <f t="shared" si="39"/>
        <v>0.0886137847668323</v>
      </c>
      <c r="P52" s="18">
        <f t="shared" si="26"/>
        <v>0.0133906267662532</v>
      </c>
      <c r="Q52" s="24">
        <f t="shared" si="27"/>
        <v>0.00207554714876924</v>
      </c>
      <c r="R52" s="18">
        <f t="shared" si="28"/>
        <v>0.0119491114583333</v>
      </c>
      <c r="S52" s="25">
        <f t="shared" si="29"/>
        <v>0.173698869242847</v>
      </c>
      <c r="T52" s="3">
        <v>0.01</v>
      </c>
      <c r="U52" s="26">
        <f t="shared" si="30"/>
        <v>0.00173698869242847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0.0165369886924285</v>
      </c>
      <c r="AR52" s="29">
        <f t="shared" si="34"/>
        <v>7.70910416666667</v>
      </c>
      <c r="AS52" s="1">
        <f t="shared" si="35"/>
        <v>0.155</v>
      </c>
      <c r="AT52" s="2">
        <f t="shared" si="36"/>
        <v>151.705671232877</v>
      </c>
      <c r="AU52" s="1">
        <f t="shared" si="37"/>
        <v>20084.8531460204</v>
      </c>
    </row>
    <row r="53" s="1" customFormat="1" spans="1:48">
      <c r="A53" s="13"/>
      <c r="B53" s="13"/>
      <c r="C53" s="16">
        <v>11</v>
      </c>
      <c r="D53" s="19">
        <v>13.1948666262667</v>
      </c>
      <c r="E53" s="20">
        <f t="shared" si="38"/>
        <v>17.6195904735484</v>
      </c>
      <c r="F53" s="16" t="s">
        <v>112</v>
      </c>
      <c r="G53" s="13">
        <v>12</v>
      </c>
      <c r="H53" s="18">
        <f t="shared" si="21"/>
        <v>13.1948666262667</v>
      </c>
      <c r="I53" s="18">
        <f t="shared" si="22"/>
        <v>286.344866626267</v>
      </c>
      <c r="J53" s="18">
        <f t="shared" si="23"/>
        <v>0.0900692290060733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0.152314199667246</v>
      </c>
      <c r="P53" s="18">
        <f t="shared" si="26"/>
        <v>0.0137188225307059</v>
      </c>
      <c r="Q53" s="24">
        <f t="shared" si="27"/>
        <v>0.00212641749225942</v>
      </c>
      <c r="R53" s="18">
        <f t="shared" si="28"/>
        <v>0.0119491114583333</v>
      </c>
      <c r="S53" s="25">
        <f t="shared" si="29"/>
        <v>0.177956118300031</v>
      </c>
      <c r="T53" s="3">
        <v>0.01</v>
      </c>
      <c r="U53" s="26">
        <f t="shared" si="30"/>
        <v>0.00177956118300031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0.0165795611830003</v>
      </c>
      <c r="AR53" s="29">
        <f t="shared" si="34"/>
        <v>7.70910416666667</v>
      </c>
      <c r="AS53" s="1">
        <f t="shared" si="35"/>
        <v>0.155</v>
      </c>
      <c r="AT53" s="2">
        <f t="shared" si="36"/>
        <v>151.705671232877</v>
      </c>
      <c r="AU53" s="1">
        <f t="shared" si="37"/>
        <v>20136.5591873741</v>
      </c>
      <c r="AV53" s="1">
        <f>SUM(AU42:AU53)</f>
        <v>371433.064389878</v>
      </c>
    </row>
    <row r="54" s="1" customFormat="1" spans="1:46">
      <c r="A54" s="13"/>
      <c r="B54" s="13"/>
      <c r="C54" s="16">
        <v>12</v>
      </c>
      <c r="D54" s="19">
        <v>10.4053793106129</v>
      </c>
      <c r="E54" s="20">
        <f t="shared" si="38"/>
        <v>13.1948666262667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8</v>
      </c>
      <c r="E58" s="16"/>
      <c r="F58" s="16"/>
      <c r="G58" s="13">
        <v>1</v>
      </c>
      <c r="H58" s="18">
        <f t="shared" ref="H58:H69" si="40">E59</f>
        <v>8</v>
      </c>
      <c r="I58" s="18">
        <f t="shared" ref="I58:I69" si="41">H58+273.15</f>
        <v>281.15</v>
      </c>
      <c r="J58" s="18">
        <f t="shared" ref="J58:J69" si="42">EXP(($C$16*(I58-$C$14))/($C$17*I58*$C$14))</f>
        <v>0.0480520561620816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0.13275269477814</v>
      </c>
      <c r="Q58" s="24">
        <f t="shared" ref="Q58:Q69" si="46">P58*$B$60</f>
        <v>0.0597387126501632</v>
      </c>
      <c r="R58" s="18">
        <f t="shared" ref="R58:R69" si="47">L58*$B$60</f>
        <v>1.24320825</v>
      </c>
      <c r="S58" s="25">
        <f t="shared" ref="S58:S69" si="48">Q58/R58</f>
        <v>0.0480520561620816</v>
      </c>
      <c r="T58" s="3">
        <v>0.27</v>
      </c>
      <c r="U58" s="26">
        <f t="shared" ref="U58:U69" si="49">S58*T58</f>
        <v>0.012974055163762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0.230311677631874</v>
      </c>
      <c r="AC58" s="29">
        <f t="shared" ref="AC58:AC69" si="51">$B$58/12</f>
        <v>10.2321666666667</v>
      </c>
      <c r="AD58" s="1">
        <f t="shared" ref="AD58:AD69" si="52">$B$60</f>
        <v>0.45</v>
      </c>
      <c r="AE58" s="30">
        <f t="shared" ref="AE58:AE69" si="53">$E$7/12</f>
        <v>457.788543044233</v>
      </c>
      <c r="AF58" s="1">
        <f t="shared" ref="AF58:AF69" si="54">AE58*10000*AC58*AB58</f>
        <v>10788187.4481792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7.3820171706129</v>
      </c>
      <c r="E59" s="20">
        <f t="shared" ref="E59:E70" si="55">D58</f>
        <v>8</v>
      </c>
      <c r="F59" s="16" t="s">
        <v>110</v>
      </c>
      <c r="G59" s="13">
        <v>2</v>
      </c>
      <c r="H59" s="18">
        <f t="shared" si="40"/>
        <v>7.3820171706129</v>
      </c>
      <c r="I59" s="18">
        <f t="shared" si="41"/>
        <v>280.532017170613</v>
      </c>
      <c r="J59" s="18">
        <f t="shared" si="42"/>
        <v>0.0445224794456665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5.39261730522186</v>
      </c>
      <c r="P59" s="18">
        <f t="shared" si="45"/>
        <v>0.240092693130086</v>
      </c>
      <c r="Q59" s="24">
        <f t="shared" si="46"/>
        <v>0.108041711908539</v>
      </c>
      <c r="R59" s="18">
        <f t="shared" si="47"/>
        <v>1.24320825</v>
      </c>
      <c r="S59" s="25">
        <f t="shared" si="48"/>
        <v>0.0869055622085347</v>
      </c>
      <c r="T59" s="3">
        <v>0.27</v>
      </c>
      <c r="U59" s="26">
        <f t="shared" si="49"/>
        <v>0.0234645017963044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0.233474547291586</v>
      </c>
      <c r="AC59" s="29">
        <f t="shared" si="51"/>
        <v>10.2321666666667</v>
      </c>
      <c r="AD59" s="1">
        <f t="shared" si="52"/>
        <v>0.45</v>
      </c>
      <c r="AE59" s="30">
        <f t="shared" si="53"/>
        <v>457.788543044233</v>
      </c>
      <c r="AF59" s="1">
        <f t="shared" si="54"/>
        <v>10936341.5978688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0.45</v>
      </c>
      <c r="C60" s="16">
        <v>2</v>
      </c>
      <c r="D60" s="19">
        <v>9.44939597775862</v>
      </c>
      <c r="E60" s="20">
        <f t="shared" si="55"/>
        <v>7.3820171706129</v>
      </c>
      <c r="F60" s="16" t="s">
        <v>110</v>
      </c>
      <c r="G60" s="13">
        <v>3</v>
      </c>
      <c r="H60" s="18">
        <f t="shared" si="40"/>
        <v>9.44939597775862</v>
      </c>
      <c r="I60" s="18">
        <f t="shared" si="41"/>
        <v>282.599395977759</v>
      </c>
      <c r="J60" s="18">
        <f t="shared" si="42"/>
        <v>0.0573920386774447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7.91520961209177</v>
      </c>
      <c r="P60" s="18">
        <f t="shared" si="45"/>
        <v>0.454270016197253</v>
      </c>
      <c r="Q60" s="24">
        <f t="shared" si="46"/>
        <v>0.204421507288764</v>
      </c>
      <c r="R60" s="18">
        <f t="shared" si="47"/>
        <v>1.24320825</v>
      </c>
      <c r="S60" s="25">
        <f t="shared" si="48"/>
        <v>0.164430623178992</v>
      </c>
      <c r="T60" s="3">
        <v>0.27</v>
      </c>
      <c r="U60" s="26">
        <f t="shared" si="49"/>
        <v>0.0443962682583278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0.239785474879886</v>
      </c>
      <c r="AC60" s="29">
        <f t="shared" si="51"/>
        <v>10.2321666666667</v>
      </c>
      <c r="AD60" s="1">
        <f t="shared" si="52"/>
        <v>0.45</v>
      </c>
      <c r="AE60" s="30">
        <f t="shared" si="53"/>
        <v>457.788543044233</v>
      </c>
      <c r="AF60" s="1">
        <f t="shared" si="54"/>
        <v>11231956.0907791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14.407886643871</v>
      </c>
      <c r="E61" s="20">
        <f t="shared" si="55"/>
        <v>9.44939597775862</v>
      </c>
      <c r="F61" s="16" t="s">
        <v>110</v>
      </c>
      <c r="G61" s="13">
        <v>4</v>
      </c>
      <c r="H61" s="18">
        <f t="shared" si="40"/>
        <v>14.407886643871</v>
      </c>
      <c r="I61" s="18">
        <f t="shared" si="41"/>
        <v>287.557886643871</v>
      </c>
      <c r="J61" s="18">
        <f t="shared" si="42"/>
        <v>0.103961244414112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10.2236245958945</v>
      </c>
      <c r="P61" s="18">
        <f t="shared" si="45"/>
        <v>1.06286073541192</v>
      </c>
      <c r="Q61" s="24">
        <f t="shared" si="46"/>
        <v>0.478287330935363</v>
      </c>
      <c r="R61" s="18">
        <f t="shared" si="47"/>
        <v>1.24320825</v>
      </c>
      <c r="S61" s="25">
        <f t="shared" si="48"/>
        <v>0.384720203501998</v>
      </c>
      <c r="T61" s="3">
        <v>0.27</v>
      </c>
      <c r="U61" s="26">
        <f t="shared" si="49"/>
        <v>0.103874454945539</v>
      </c>
      <c r="V61" s="3">
        <v>220.1</v>
      </c>
      <c r="W61" s="27">
        <v>12.1</v>
      </c>
      <c r="X61" s="27">
        <v>4.5</v>
      </c>
      <c r="Y61" s="27">
        <v>1.5</v>
      </c>
      <c r="Z61" s="27">
        <v>6.8</v>
      </c>
      <c r="AA61" s="3">
        <v>30.2</v>
      </c>
      <c r="AB61" s="2">
        <f t="shared" si="50"/>
        <v>0.30651814816608</v>
      </c>
      <c r="AC61" s="29">
        <f t="shared" si="51"/>
        <v>10.2321666666667</v>
      </c>
      <c r="AD61" s="1">
        <f t="shared" si="52"/>
        <v>0.45</v>
      </c>
      <c r="AE61" s="30">
        <f t="shared" si="53"/>
        <v>457.788543044233</v>
      </c>
      <c r="AF61" s="1">
        <f t="shared" si="54"/>
        <v>14357827.0658508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17.392765108</v>
      </c>
      <c r="E62" s="20">
        <f t="shared" si="55"/>
        <v>14.407886643871</v>
      </c>
      <c r="F62" s="16" t="s">
        <v>110</v>
      </c>
      <c r="G62" s="13">
        <v>5</v>
      </c>
      <c r="H62" s="18">
        <f t="shared" si="40"/>
        <v>17.392765108</v>
      </c>
      <c r="I62" s="18">
        <f t="shared" si="41"/>
        <v>290.542765108</v>
      </c>
      <c r="J62" s="18">
        <f t="shared" si="42"/>
        <v>0.147212959584242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8.70272566745847</v>
      </c>
      <c r="O62" s="18">
        <f t="shared" si="56"/>
        <v>3.22072319302413</v>
      </c>
      <c r="P62" s="18">
        <f t="shared" si="45"/>
        <v>0.474132193246692</v>
      </c>
      <c r="Q62" s="24">
        <f t="shared" si="46"/>
        <v>0.213359486961011</v>
      </c>
      <c r="R62" s="18">
        <f t="shared" si="47"/>
        <v>1.24320825</v>
      </c>
      <c r="S62" s="25">
        <f t="shared" si="48"/>
        <v>0.171620070057459</v>
      </c>
      <c r="T62" s="3">
        <v>0.27</v>
      </c>
      <c r="U62" s="26">
        <f t="shared" si="49"/>
        <v>0.046337418915514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0.289170731803027</v>
      </c>
      <c r="AC62" s="29">
        <f t="shared" si="51"/>
        <v>10.2321666666667</v>
      </c>
      <c r="AD62" s="1">
        <f t="shared" si="52"/>
        <v>0.45</v>
      </c>
      <c r="AE62" s="30">
        <f t="shared" si="53"/>
        <v>457.788543044233</v>
      </c>
      <c r="AF62" s="1">
        <f t="shared" si="54"/>
        <v>13545244.8234282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19.3352830116129</v>
      </c>
      <c r="E63" s="20">
        <f t="shared" si="55"/>
        <v>17.392765108</v>
      </c>
      <c r="F63" s="16" t="s">
        <v>112</v>
      </c>
      <c r="G63" s="13">
        <v>6</v>
      </c>
      <c r="H63" s="18">
        <f t="shared" si="40"/>
        <v>19.3352830116129</v>
      </c>
      <c r="I63" s="18">
        <f t="shared" si="41"/>
        <v>292.485283011613</v>
      </c>
      <c r="J63" s="18">
        <f t="shared" si="42"/>
        <v>0.18391069502237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5.50927599977744</v>
      </c>
      <c r="P63" s="18">
        <f t="shared" si="45"/>
        <v>1.01321477818913</v>
      </c>
      <c r="Q63" s="24">
        <f t="shared" si="46"/>
        <v>0.455946650185109</v>
      </c>
      <c r="R63" s="18">
        <f t="shared" si="47"/>
        <v>1.24320825</v>
      </c>
      <c r="S63" s="25">
        <f t="shared" si="48"/>
        <v>0.366750019705153</v>
      </c>
      <c r="T63" s="3">
        <v>0.27</v>
      </c>
      <c r="U63" s="26">
        <f t="shared" si="49"/>
        <v>0.0990225053203913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0.305055285354098</v>
      </c>
      <c r="AC63" s="29">
        <f t="shared" si="51"/>
        <v>10.2321666666667</v>
      </c>
      <c r="AD63" s="1">
        <f t="shared" si="52"/>
        <v>0.45</v>
      </c>
      <c r="AE63" s="30">
        <f t="shared" si="53"/>
        <v>457.788543044233</v>
      </c>
      <c r="AF63" s="1">
        <f t="shared" si="54"/>
        <v>14289304.1043193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20.6919485896667</v>
      </c>
      <c r="E64" s="20">
        <f t="shared" si="55"/>
        <v>19.3352830116129</v>
      </c>
      <c r="F64" s="16" t="s">
        <v>110</v>
      </c>
      <c r="G64" s="13">
        <v>7</v>
      </c>
      <c r="H64" s="18">
        <f t="shared" si="40"/>
        <v>20.6919485896667</v>
      </c>
      <c r="I64" s="18">
        <f t="shared" si="41"/>
        <v>293.841948589667</v>
      </c>
      <c r="J64" s="18">
        <f t="shared" si="42"/>
        <v>0.214465564218324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7.25874622158831</v>
      </c>
      <c r="P64" s="18">
        <f t="shared" si="45"/>
        <v>1.55675110393056</v>
      </c>
      <c r="Q64" s="24">
        <f t="shared" si="46"/>
        <v>0.700537996768754</v>
      </c>
      <c r="R64" s="18">
        <f t="shared" si="47"/>
        <v>1.24320825</v>
      </c>
      <c r="S64" s="25">
        <f t="shared" si="48"/>
        <v>0.563492075256703</v>
      </c>
      <c r="T64" s="3">
        <v>0.27</v>
      </c>
      <c r="U64" s="26">
        <f t="shared" si="49"/>
        <v>0.15214286031931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0.321071072386272</v>
      </c>
      <c r="AC64" s="29">
        <f t="shared" si="51"/>
        <v>10.2321666666667</v>
      </c>
      <c r="AD64" s="1">
        <f t="shared" si="52"/>
        <v>0.45</v>
      </c>
      <c r="AE64" s="30">
        <f t="shared" si="53"/>
        <v>457.788543044233</v>
      </c>
      <c r="AF64" s="1">
        <f t="shared" si="54"/>
        <v>15039510.5828175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20.6309013283871</v>
      </c>
      <c r="E65" s="20">
        <f t="shared" si="55"/>
        <v>20.6919485896667</v>
      </c>
      <c r="F65" s="16" t="s">
        <v>110</v>
      </c>
      <c r="G65" s="13">
        <v>8</v>
      </c>
      <c r="H65" s="18">
        <f t="shared" si="40"/>
        <v>20.6309013283871</v>
      </c>
      <c r="I65" s="18">
        <f t="shared" si="41"/>
        <v>293.780901328387</v>
      </c>
      <c r="J65" s="18">
        <f t="shared" si="42"/>
        <v>0.212993903071749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8.46468011765774</v>
      </c>
      <c r="P65" s="18">
        <f t="shared" si="45"/>
        <v>1.80292525651375</v>
      </c>
      <c r="Q65" s="24">
        <f t="shared" si="46"/>
        <v>0.811316365431189</v>
      </c>
      <c r="R65" s="18">
        <f t="shared" si="47"/>
        <v>1.24320825</v>
      </c>
      <c r="S65" s="25">
        <f t="shared" si="48"/>
        <v>0.652598923335</v>
      </c>
      <c r="T65" s="3">
        <v>0.27</v>
      </c>
      <c r="U65" s="26">
        <f t="shared" si="49"/>
        <v>0.17620170930045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0.328324815354086</v>
      </c>
      <c r="AC65" s="29">
        <f t="shared" si="51"/>
        <v>10.2321666666667</v>
      </c>
      <c r="AD65" s="1">
        <f t="shared" si="52"/>
        <v>0.45</v>
      </c>
      <c r="AE65" s="30">
        <f t="shared" si="53"/>
        <v>457.788543044233</v>
      </c>
      <c r="AF65" s="1">
        <f t="shared" si="54"/>
        <v>15379288.1383558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21.0582356712903</v>
      </c>
      <c r="E66" s="20">
        <f t="shared" si="55"/>
        <v>20.6309013283871</v>
      </c>
      <c r="F66" s="16" t="s">
        <v>110</v>
      </c>
      <c r="G66" s="13">
        <v>9</v>
      </c>
      <c r="H66" s="18">
        <f t="shared" si="40"/>
        <v>21.0582356712903</v>
      </c>
      <c r="I66" s="18">
        <f t="shared" si="41"/>
        <v>294.20823567129</v>
      </c>
      <c r="J66" s="18">
        <f t="shared" si="42"/>
        <v>0.223498217898499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9.42443986114399</v>
      </c>
      <c r="P66" s="18">
        <f t="shared" si="45"/>
        <v>2.10634551365726</v>
      </c>
      <c r="Q66" s="24">
        <f t="shared" si="46"/>
        <v>0.947855481145766</v>
      </c>
      <c r="R66" s="18">
        <f t="shared" si="47"/>
        <v>1.24320825</v>
      </c>
      <c r="S66" s="25">
        <f t="shared" si="48"/>
        <v>0.762426955536827</v>
      </c>
      <c r="T66" s="3">
        <v>0.27</v>
      </c>
      <c r="U66" s="26">
        <f t="shared" si="49"/>
        <v>0.205855277994943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0.337265366315475</v>
      </c>
      <c r="AC66" s="29">
        <f t="shared" si="51"/>
        <v>10.2321666666667</v>
      </c>
      <c r="AD66" s="1">
        <f t="shared" si="52"/>
        <v>0.45</v>
      </c>
      <c r="AE66" s="30">
        <f t="shared" si="53"/>
        <v>457.788543044233</v>
      </c>
      <c r="AF66" s="1">
        <f t="shared" si="54"/>
        <v>15798078.625461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19.1827989486667</v>
      </c>
      <c r="E67" s="20">
        <f t="shared" si="55"/>
        <v>21.0582356712903</v>
      </c>
      <c r="F67" s="16" t="s">
        <v>110</v>
      </c>
      <c r="G67" s="13">
        <v>10</v>
      </c>
      <c r="H67" s="18">
        <f t="shared" si="40"/>
        <v>19.1827989486667</v>
      </c>
      <c r="I67" s="18">
        <f t="shared" si="41"/>
        <v>292.332798948667</v>
      </c>
      <c r="J67" s="18">
        <f t="shared" si="42"/>
        <v>0.180744771085118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10.0807793474867</v>
      </c>
      <c r="P67" s="18">
        <f t="shared" si="45"/>
        <v>1.82204815552107</v>
      </c>
      <c r="Q67" s="24">
        <f t="shared" si="46"/>
        <v>0.819921669984483</v>
      </c>
      <c r="R67" s="18">
        <f t="shared" si="47"/>
        <v>1.24320825</v>
      </c>
      <c r="S67" s="25">
        <f t="shared" si="48"/>
        <v>0.659520776172844</v>
      </c>
      <c r="T67" s="3">
        <v>0.27</v>
      </c>
      <c r="U67" s="26">
        <f t="shared" si="49"/>
        <v>0.178070609566668</v>
      </c>
      <c r="V67" s="3">
        <v>220.1</v>
      </c>
      <c r="W67" s="27">
        <v>12.1</v>
      </c>
      <c r="X67" s="27">
        <v>4.5</v>
      </c>
      <c r="Y67" s="27">
        <v>1.5</v>
      </c>
      <c r="Z67" s="27">
        <v>6.8</v>
      </c>
      <c r="AA67" s="3">
        <v>30.2</v>
      </c>
      <c r="AB67" s="2">
        <f t="shared" si="50"/>
        <v>0.32888828878435</v>
      </c>
      <c r="AC67" s="29">
        <f t="shared" si="51"/>
        <v>10.2321666666667</v>
      </c>
      <c r="AD67" s="1">
        <f t="shared" si="52"/>
        <v>0.45</v>
      </c>
      <c r="AE67" s="30">
        <f t="shared" si="53"/>
        <v>457.788543044233</v>
      </c>
      <c r="AF67" s="1">
        <f t="shared" si="54"/>
        <v>15405682.1842429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17.6195904735484</v>
      </c>
      <c r="E68" s="20">
        <f t="shared" si="55"/>
        <v>19.1827989486667</v>
      </c>
      <c r="F68" s="16" t="s">
        <v>110</v>
      </c>
      <c r="G68" s="13">
        <v>11</v>
      </c>
      <c r="H68" s="18">
        <f t="shared" si="40"/>
        <v>17.6195904735484</v>
      </c>
      <c r="I68" s="18">
        <f t="shared" si="41"/>
        <v>290.769590473548</v>
      </c>
      <c r="J68" s="18">
        <f t="shared" si="42"/>
        <v>0.151112231595656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7.84579463236737</v>
      </c>
      <c r="O68" s="18">
        <f t="shared" si="56"/>
        <v>3.17562155959828</v>
      </c>
      <c r="P68" s="18">
        <f t="shared" si="45"/>
        <v>0.479875260574174</v>
      </c>
      <c r="Q68" s="24">
        <f t="shared" si="46"/>
        <v>0.215943867258378</v>
      </c>
      <c r="R68" s="18">
        <f t="shared" si="47"/>
        <v>1.24320825</v>
      </c>
      <c r="S68" s="25">
        <f t="shared" si="48"/>
        <v>0.173698869242847</v>
      </c>
      <c r="T68" s="3">
        <v>0.27</v>
      </c>
      <c r="U68" s="26">
        <f t="shared" si="49"/>
        <v>0.0468986946955686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0.240539956450714</v>
      </c>
      <c r="AC68" s="29">
        <f t="shared" si="51"/>
        <v>10.2321666666667</v>
      </c>
      <c r="AD68" s="1">
        <f t="shared" si="52"/>
        <v>0.45</v>
      </c>
      <c r="AE68" s="30">
        <f t="shared" si="53"/>
        <v>457.788543044233</v>
      </c>
      <c r="AF68" s="1">
        <f t="shared" si="54"/>
        <v>11267297.2801446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13.1948666262667</v>
      </c>
      <c r="E69" s="20">
        <f t="shared" si="55"/>
        <v>17.6195904735484</v>
      </c>
      <c r="F69" s="16" t="s">
        <v>112</v>
      </c>
      <c r="G69" s="13">
        <v>12</v>
      </c>
      <c r="H69" s="18">
        <f t="shared" si="40"/>
        <v>13.1948666262667</v>
      </c>
      <c r="I69" s="18">
        <f t="shared" si="41"/>
        <v>286.344866626267</v>
      </c>
      <c r="J69" s="18">
        <f t="shared" si="42"/>
        <v>0.0900692290060733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5.45843129902411</v>
      </c>
      <c r="P69" s="18">
        <f t="shared" si="45"/>
        <v>0.491636698685721</v>
      </c>
      <c r="Q69" s="24">
        <f t="shared" si="46"/>
        <v>0.221236514408574</v>
      </c>
      <c r="R69" s="18">
        <f t="shared" si="47"/>
        <v>1.24320825</v>
      </c>
      <c r="S69" s="25">
        <f t="shared" si="48"/>
        <v>0.177956118300031</v>
      </c>
      <c r="T69" s="3">
        <v>0.27</v>
      </c>
      <c r="U69" s="26">
        <f t="shared" si="49"/>
        <v>0.0480481519410083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0.240886517810214</v>
      </c>
      <c r="AC69" s="29">
        <f t="shared" si="51"/>
        <v>10.2321666666667</v>
      </c>
      <c r="AD69" s="1">
        <f t="shared" si="52"/>
        <v>0.45</v>
      </c>
      <c r="AE69" s="30">
        <f t="shared" si="53"/>
        <v>457.788543044233</v>
      </c>
      <c r="AF69" s="1">
        <f t="shared" si="54"/>
        <v>11283530.7987705</v>
      </c>
      <c r="AG69" s="1">
        <f>SUM(AF58:AF69)</f>
        <v>159322248.740218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10.4053793106129</v>
      </c>
      <c r="E70" s="20">
        <f t="shared" si="55"/>
        <v>13.1948666262667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8</v>
      </c>
      <c r="E74" s="16"/>
      <c r="F74" s="16"/>
      <c r="G74" s="13">
        <v>1</v>
      </c>
      <c r="H74" s="18">
        <f t="shared" ref="H74:H85" si="57">E75</f>
        <v>8</v>
      </c>
      <c r="I74" s="18">
        <f t="shared" ref="I74:I85" si="58">H74+273.15</f>
        <v>281.15</v>
      </c>
      <c r="J74" s="18">
        <f t="shared" ref="J74:J85" si="59">EXP(($C$16*(I74-$C$14))/($C$17*I74*$C$14))</f>
        <v>0.0480520561620816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0.0250456927128002</v>
      </c>
      <c r="Q74" s="24">
        <f t="shared" ref="Q74:Q85" si="63">P74*$B$76</f>
        <v>0.00751370781384005</v>
      </c>
      <c r="R74" s="18">
        <f t="shared" ref="R74:R85" si="64">L74*$B$76</f>
        <v>0.156366</v>
      </c>
      <c r="S74" s="25">
        <f t="shared" ref="S74:S85" si="65">Q74/R74</f>
        <v>0.0480520561620816</v>
      </c>
      <c r="T74" s="3">
        <v>0.01</v>
      </c>
      <c r="U74" s="26">
        <f t="shared" ref="U74:U85" si="66">S74*T74</f>
        <v>0.000480520561620816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0.00597052056162082</v>
      </c>
      <c r="AU74" s="29">
        <f t="shared" ref="AU74:AU85" si="70">$B$74/12</f>
        <v>52.122</v>
      </c>
      <c r="AV74" s="1">
        <f t="shared" ref="AV74:AV85" si="71">$B$76</f>
        <v>0.3</v>
      </c>
      <c r="AW74" s="2">
        <f>$E$8/12</f>
        <v>1.133</v>
      </c>
      <c r="AX74" s="1">
        <f t="shared" ref="AX74:AX85" si="72">AW74*10000*AV74*0.67*AU74*AT74</f>
        <v>708.694785873041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7.3820171706129</v>
      </c>
      <c r="E75" s="20">
        <f t="shared" ref="E75:E86" si="73">D74</f>
        <v>8</v>
      </c>
      <c r="F75" s="16" t="s">
        <v>110</v>
      </c>
      <c r="G75" s="13">
        <v>2</v>
      </c>
      <c r="H75" s="18">
        <f t="shared" si="57"/>
        <v>7.3820171706129</v>
      </c>
      <c r="I75" s="18">
        <f t="shared" si="58"/>
        <v>280.532017170613</v>
      </c>
      <c r="J75" s="18">
        <f t="shared" si="59"/>
        <v>0.0445224794456665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1.0173943072872</v>
      </c>
      <c r="P75" s="18">
        <f t="shared" si="62"/>
        <v>0.0452969171343325</v>
      </c>
      <c r="Q75" s="24">
        <f t="shared" si="63"/>
        <v>0.0135890751402997</v>
      </c>
      <c r="R75" s="18">
        <f t="shared" si="64"/>
        <v>0.156366</v>
      </c>
      <c r="S75" s="25">
        <f t="shared" si="65"/>
        <v>0.0869055622085347</v>
      </c>
      <c r="T75" s="3">
        <v>0.01</v>
      </c>
      <c r="U75" s="26">
        <f t="shared" si="66"/>
        <v>0.000869055622085347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0.00635905562208535</v>
      </c>
      <c r="AU75" s="29">
        <f t="shared" si="70"/>
        <v>52.122</v>
      </c>
      <c r="AV75" s="1">
        <f t="shared" si="71"/>
        <v>0.3</v>
      </c>
      <c r="AW75" s="2">
        <f t="shared" ref="AW75:AW85" si="75">$E$8/12</f>
        <v>1.133</v>
      </c>
      <c r="AX75" s="1">
        <f t="shared" si="72"/>
        <v>754.813506784929</v>
      </c>
    </row>
    <row r="76" s="1" customFormat="1" spans="1:50">
      <c r="A76" s="13" t="s">
        <v>73</v>
      </c>
      <c r="B76" s="13">
        <f>H8</f>
        <v>0.3</v>
      </c>
      <c r="C76" s="16">
        <v>2</v>
      </c>
      <c r="D76" s="19">
        <v>9.44939597775862</v>
      </c>
      <c r="E76" s="20">
        <f t="shared" si="73"/>
        <v>7.3820171706129</v>
      </c>
      <c r="F76" s="16" t="s">
        <v>110</v>
      </c>
      <c r="G76" s="13">
        <v>3</v>
      </c>
      <c r="H76" s="18">
        <f t="shared" si="57"/>
        <v>9.44939597775862</v>
      </c>
      <c r="I76" s="18">
        <f t="shared" si="58"/>
        <v>282.599395977759</v>
      </c>
      <c r="J76" s="18">
        <f t="shared" si="59"/>
        <v>0.0573920386774447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1.49331739015287</v>
      </c>
      <c r="P76" s="18">
        <f t="shared" si="62"/>
        <v>0.0857045294133541</v>
      </c>
      <c r="Q76" s="24">
        <f t="shared" si="63"/>
        <v>0.0257113588240062</v>
      </c>
      <c r="R76" s="18">
        <f t="shared" si="64"/>
        <v>0.156366</v>
      </c>
      <c r="S76" s="25">
        <f t="shared" si="65"/>
        <v>0.164430623178992</v>
      </c>
      <c r="T76" s="3">
        <v>0.01</v>
      </c>
      <c r="U76" s="26">
        <f t="shared" si="66"/>
        <v>0.00164430623178992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0.00713430623178992</v>
      </c>
      <c r="AU76" s="29">
        <f t="shared" si="70"/>
        <v>52.122</v>
      </c>
      <c r="AV76" s="1">
        <f t="shared" si="71"/>
        <v>0.3</v>
      </c>
      <c r="AW76" s="2">
        <f t="shared" si="75"/>
        <v>1.133</v>
      </c>
      <c r="AX76" s="1">
        <f t="shared" si="72"/>
        <v>846.834974456314</v>
      </c>
    </row>
    <row r="77" s="1" customFormat="1" spans="1:50">
      <c r="A77" s="13"/>
      <c r="B77" s="13"/>
      <c r="C77" s="16">
        <v>3</v>
      </c>
      <c r="D77" s="19">
        <v>14.407886643871</v>
      </c>
      <c r="E77" s="20">
        <f t="shared" si="73"/>
        <v>9.44939597775862</v>
      </c>
      <c r="F77" s="16" t="s">
        <v>110</v>
      </c>
      <c r="G77" s="13">
        <v>4</v>
      </c>
      <c r="H77" s="18">
        <f t="shared" si="57"/>
        <v>14.407886643871</v>
      </c>
      <c r="I77" s="18">
        <f t="shared" si="58"/>
        <v>287.557886643871</v>
      </c>
      <c r="J77" s="18">
        <f t="shared" si="59"/>
        <v>0.103961244414112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1.92883286073951</v>
      </c>
      <c r="P77" s="18">
        <f t="shared" si="62"/>
        <v>0.200523864469311</v>
      </c>
      <c r="Q77" s="24">
        <f t="shared" si="63"/>
        <v>0.0601571593407934</v>
      </c>
      <c r="R77" s="18">
        <f t="shared" si="64"/>
        <v>0.156366</v>
      </c>
      <c r="S77" s="25">
        <f t="shared" si="65"/>
        <v>0.384720203501998</v>
      </c>
      <c r="T77" s="3">
        <v>0.01</v>
      </c>
      <c r="U77" s="26">
        <f t="shared" si="66"/>
        <v>0.00384720203501998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0.005</v>
      </c>
      <c r="AF77" s="3">
        <v>0.49</v>
      </c>
      <c r="AG77" s="26">
        <f t="shared" si="67"/>
        <v>0.00245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0.015</v>
      </c>
      <c r="AR77" s="3">
        <v>0.5</v>
      </c>
      <c r="AS77" s="3">
        <f t="shared" si="68"/>
        <v>0.0075</v>
      </c>
      <c r="AT77" s="2">
        <f t="shared" si="69"/>
        <v>0.01379720203502</v>
      </c>
      <c r="AU77" s="29">
        <f t="shared" si="70"/>
        <v>52.122</v>
      </c>
      <c r="AV77" s="1">
        <f t="shared" si="71"/>
        <v>0.3</v>
      </c>
      <c r="AW77" s="2">
        <f t="shared" si="75"/>
        <v>1.133</v>
      </c>
      <c r="AX77" s="1">
        <f t="shared" si="72"/>
        <v>1637.7140051589</v>
      </c>
    </row>
    <row r="78" s="1" customFormat="1" spans="1:50">
      <c r="A78" s="13"/>
      <c r="B78" s="13"/>
      <c r="C78" s="16">
        <v>4</v>
      </c>
      <c r="D78" s="19">
        <v>17.392765108</v>
      </c>
      <c r="E78" s="20">
        <f t="shared" si="73"/>
        <v>14.407886643871</v>
      </c>
      <c r="F78" s="16" t="s">
        <v>110</v>
      </c>
      <c r="G78" s="13">
        <v>5</v>
      </c>
      <c r="H78" s="18">
        <f t="shared" si="57"/>
        <v>17.392765108</v>
      </c>
      <c r="I78" s="18">
        <f t="shared" si="58"/>
        <v>290.542765108</v>
      </c>
      <c r="J78" s="18">
        <f t="shared" si="59"/>
        <v>0.147212959584242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1.64189354645669</v>
      </c>
      <c r="O78" s="18">
        <f t="shared" si="74"/>
        <v>0.60763544981351</v>
      </c>
      <c r="P78" s="18">
        <f t="shared" si="62"/>
        <v>0.089451812915349</v>
      </c>
      <c r="Q78" s="24">
        <f t="shared" si="63"/>
        <v>0.0268355438746047</v>
      </c>
      <c r="R78" s="18">
        <f t="shared" si="64"/>
        <v>0.156366</v>
      </c>
      <c r="S78" s="25">
        <f t="shared" si="65"/>
        <v>0.171620070057459</v>
      </c>
      <c r="T78" s="3">
        <v>0.01</v>
      </c>
      <c r="U78" s="26">
        <f t="shared" si="66"/>
        <v>0.00171620070057459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0.0116662007005746</v>
      </c>
      <c r="AU78" s="29">
        <f t="shared" si="70"/>
        <v>52.122</v>
      </c>
      <c r="AV78" s="1">
        <f t="shared" si="71"/>
        <v>0.3</v>
      </c>
      <c r="AW78" s="2">
        <f t="shared" si="75"/>
        <v>1.133</v>
      </c>
      <c r="AX78" s="1">
        <f t="shared" si="72"/>
        <v>1384.76628999351</v>
      </c>
    </row>
    <row r="79" s="1" customFormat="1" spans="1:50">
      <c r="A79" s="13"/>
      <c r="B79" s="13"/>
      <c r="C79" s="16">
        <v>5</v>
      </c>
      <c r="D79" s="19">
        <v>19.3352830116129</v>
      </c>
      <c r="E79" s="20">
        <f t="shared" si="73"/>
        <v>17.392765108</v>
      </c>
      <c r="F79" s="16" t="s">
        <v>112</v>
      </c>
      <c r="G79" s="13">
        <v>6</v>
      </c>
      <c r="H79" s="18">
        <f t="shared" si="57"/>
        <v>19.3352830116129</v>
      </c>
      <c r="I79" s="18">
        <f t="shared" si="58"/>
        <v>292.485283011613</v>
      </c>
      <c r="J79" s="18">
        <f t="shared" si="59"/>
        <v>0.18391069502237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1.03940363689816</v>
      </c>
      <c r="P79" s="18">
        <f t="shared" si="62"/>
        <v>0.19115744527072</v>
      </c>
      <c r="Q79" s="24">
        <f t="shared" si="63"/>
        <v>0.057347233581216</v>
      </c>
      <c r="R79" s="18">
        <f t="shared" si="64"/>
        <v>0.156366</v>
      </c>
      <c r="S79" s="25">
        <f t="shared" si="65"/>
        <v>0.366750019705153</v>
      </c>
      <c r="T79" s="3">
        <v>0.01</v>
      </c>
      <c r="U79" s="26">
        <f t="shared" si="66"/>
        <v>0.00366750019705153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0.0136175001970515</v>
      </c>
      <c r="AU79" s="29">
        <f t="shared" si="70"/>
        <v>52.122</v>
      </c>
      <c r="AV79" s="1">
        <f t="shared" si="71"/>
        <v>0.3</v>
      </c>
      <c r="AW79" s="2">
        <f t="shared" si="75"/>
        <v>1.133</v>
      </c>
      <c r="AX79" s="1">
        <f t="shared" si="72"/>
        <v>1616.38357772537</v>
      </c>
    </row>
    <row r="80" s="1" customFormat="1" spans="1:50">
      <c r="A80" s="13"/>
      <c r="B80" s="13"/>
      <c r="C80" s="16">
        <v>6</v>
      </c>
      <c r="D80" s="19">
        <v>20.6919485896667</v>
      </c>
      <c r="E80" s="20">
        <f t="shared" si="73"/>
        <v>19.3352830116129</v>
      </c>
      <c r="F80" s="16" t="s">
        <v>110</v>
      </c>
      <c r="G80" s="13">
        <v>7</v>
      </c>
      <c r="H80" s="18">
        <f t="shared" si="57"/>
        <v>20.6919485896667</v>
      </c>
      <c r="I80" s="18">
        <f t="shared" si="58"/>
        <v>293.841948589667</v>
      </c>
      <c r="J80" s="18">
        <f t="shared" si="59"/>
        <v>0.214465564218324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1.36946619162744</v>
      </c>
      <c r="P80" s="18">
        <f t="shared" si="62"/>
        <v>0.293703339465299</v>
      </c>
      <c r="Q80" s="24">
        <f t="shared" si="63"/>
        <v>0.0881110018395896</v>
      </c>
      <c r="R80" s="18">
        <f t="shared" si="64"/>
        <v>0.156366</v>
      </c>
      <c r="S80" s="25">
        <f t="shared" si="65"/>
        <v>0.563492075256703</v>
      </c>
      <c r="T80" s="3">
        <v>0.01</v>
      </c>
      <c r="U80" s="26">
        <f t="shared" si="66"/>
        <v>0.00563492075256703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0.015584920752567</v>
      </c>
      <c r="AU80" s="29">
        <f t="shared" si="70"/>
        <v>52.122</v>
      </c>
      <c r="AV80" s="1">
        <f t="shared" si="71"/>
        <v>0.3</v>
      </c>
      <c r="AW80" s="2">
        <f t="shared" si="75"/>
        <v>1.133</v>
      </c>
      <c r="AX80" s="1">
        <f t="shared" si="72"/>
        <v>1849.91441895151</v>
      </c>
    </row>
    <row r="81" s="1" customFormat="1" spans="1:50">
      <c r="A81" s="13"/>
      <c r="B81" s="13"/>
      <c r="C81" s="16">
        <v>7</v>
      </c>
      <c r="D81" s="19">
        <v>20.6309013283871</v>
      </c>
      <c r="E81" s="20">
        <f t="shared" si="73"/>
        <v>20.6919485896667</v>
      </c>
      <c r="F81" s="16" t="s">
        <v>110</v>
      </c>
      <c r="G81" s="13">
        <v>8</v>
      </c>
      <c r="H81" s="18">
        <f t="shared" si="57"/>
        <v>20.6309013283871</v>
      </c>
      <c r="I81" s="18">
        <f t="shared" si="58"/>
        <v>293.780901328387</v>
      </c>
      <c r="J81" s="18">
        <f t="shared" si="59"/>
        <v>0.212993903071749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1.59698285216214</v>
      </c>
      <c r="P81" s="18">
        <f t="shared" si="62"/>
        <v>0.340147610820669</v>
      </c>
      <c r="Q81" s="24">
        <f t="shared" si="63"/>
        <v>0.102044283246201</v>
      </c>
      <c r="R81" s="18">
        <f t="shared" si="64"/>
        <v>0.156366</v>
      </c>
      <c r="S81" s="25">
        <f t="shared" si="65"/>
        <v>0.652598923335</v>
      </c>
      <c r="T81" s="3">
        <v>0.01</v>
      </c>
      <c r="U81" s="26">
        <f t="shared" si="66"/>
        <v>0.00652598923335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0.01647598923335</v>
      </c>
      <c r="AU81" s="29">
        <f t="shared" si="70"/>
        <v>52.122</v>
      </c>
      <c r="AV81" s="1">
        <f t="shared" si="71"/>
        <v>0.3</v>
      </c>
      <c r="AW81" s="2">
        <f t="shared" si="75"/>
        <v>1.133</v>
      </c>
      <c r="AX81" s="1">
        <f t="shared" si="72"/>
        <v>1955.68335143723</v>
      </c>
    </row>
    <row r="82" s="1" customFormat="1" spans="1:50">
      <c r="A82" s="13"/>
      <c r="B82" s="13"/>
      <c r="C82" s="16">
        <v>8</v>
      </c>
      <c r="D82" s="19">
        <v>21.0582356712903</v>
      </c>
      <c r="E82" s="20">
        <f t="shared" si="73"/>
        <v>20.6309013283871</v>
      </c>
      <c r="F82" s="16" t="s">
        <v>110</v>
      </c>
      <c r="G82" s="13">
        <v>9</v>
      </c>
      <c r="H82" s="18">
        <f t="shared" si="57"/>
        <v>21.0582356712903</v>
      </c>
      <c r="I82" s="18">
        <f t="shared" si="58"/>
        <v>294.20823567129</v>
      </c>
      <c r="J82" s="18">
        <f t="shared" si="59"/>
        <v>0.223498217898499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1.77805524134147</v>
      </c>
      <c r="P82" s="18">
        <f t="shared" si="62"/>
        <v>0.397392177764905</v>
      </c>
      <c r="Q82" s="24">
        <f t="shared" si="63"/>
        <v>0.119217653329471</v>
      </c>
      <c r="R82" s="18">
        <f t="shared" si="64"/>
        <v>0.156366</v>
      </c>
      <c r="S82" s="25">
        <f t="shared" si="65"/>
        <v>0.762426955536827</v>
      </c>
      <c r="T82" s="3">
        <v>0.01</v>
      </c>
      <c r="U82" s="26">
        <f t="shared" si="66"/>
        <v>0.00762426955536827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0.0175742695553683</v>
      </c>
      <c r="AU82" s="29">
        <f t="shared" si="70"/>
        <v>52.122</v>
      </c>
      <c r="AV82" s="1">
        <f t="shared" si="71"/>
        <v>0.3</v>
      </c>
      <c r="AW82" s="2">
        <f t="shared" si="75"/>
        <v>1.133</v>
      </c>
      <c r="AX82" s="1">
        <f t="shared" si="72"/>
        <v>2086.04812107635</v>
      </c>
    </row>
    <row r="83" s="1" customFormat="1" spans="1:50">
      <c r="A83" s="13"/>
      <c r="B83" s="13"/>
      <c r="C83" s="16">
        <v>9</v>
      </c>
      <c r="D83" s="19">
        <v>19.1827989486667</v>
      </c>
      <c r="E83" s="20">
        <f t="shared" si="73"/>
        <v>21.0582356712903</v>
      </c>
      <c r="F83" s="16" t="s">
        <v>110</v>
      </c>
      <c r="G83" s="13">
        <v>10</v>
      </c>
      <c r="H83" s="18">
        <f t="shared" si="57"/>
        <v>19.1827989486667</v>
      </c>
      <c r="I83" s="18">
        <f t="shared" si="58"/>
        <v>292.332798948667</v>
      </c>
      <c r="J83" s="18">
        <f t="shared" si="59"/>
        <v>0.180744771085118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1.90188306357657</v>
      </c>
      <c r="P83" s="18">
        <f t="shared" si="62"/>
        <v>0.34375541895681</v>
      </c>
      <c r="Q83" s="24">
        <f t="shared" si="63"/>
        <v>0.103126625687043</v>
      </c>
      <c r="R83" s="18">
        <f t="shared" si="64"/>
        <v>0.156366</v>
      </c>
      <c r="S83" s="25">
        <f t="shared" si="65"/>
        <v>0.659520776172844</v>
      </c>
      <c r="T83" s="3">
        <v>0.01</v>
      </c>
      <c r="U83" s="26">
        <f t="shared" si="66"/>
        <v>0.00659520776172844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0.005</v>
      </c>
      <c r="AF83" s="3">
        <v>0.49</v>
      </c>
      <c r="AG83" s="26">
        <f t="shared" si="67"/>
        <v>0.00245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0.015</v>
      </c>
      <c r="AR83" s="3">
        <v>0.5</v>
      </c>
      <c r="AS83" s="3">
        <f t="shared" si="68"/>
        <v>0.0075</v>
      </c>
      <c r="AT83" s="2">
        <f t="shared" si="69"/>
        <v>0.0165452077617284</v>
      </c>
      <c r="AU83" s="29">
        <f t="shared" si="70"/>
        <v>52.122</v>
      </c>
      <c r="AV83" s="1">
        <f t="shared" si="71"/>
        <v>0.3</v>
      </c>
      <c r="AW83" s="2">
        <f t="shared" si="75"/>
        <v>1.133</v>
      </c>
      <c r="AX83" s="1">
        <f t="shared" si="72"/>
        <v>1963.89952113991</v>
      </c>
    </row>
    <row r="84" s="1" customFormat="1" spans="1:50">
      <c r="A84" s="13"/>
      <c r="B84" s="13"/>
      <c r="C84" s="16">
        <v>10</v>
      </c>
      <c r="D84" s="19">
        <v>17.6195904735484</v>
      </c>
      <c r="E84" s="20">
        <f t="shared" si="73"/>
        <v>19.1827989486667</v>
      </c>
      <c r="F84" s="16" t="s">
        <v>110</v>
      </c>
      <c r="G84" s="13">
        <v>11</v>
      </c>
      <c r="H84" s="18">
        <f t="shared" si="57"/>
        <v>17.6195904735484</v>
      </c>
      <c r="I84" s="18">
        <f t="shared" si="58"/>
        <v>290.769590473548</v>
      </c>
      <c r="J84" s="18">
        <f t="shared" si="59"/>
        <v>0.151112231595656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1.48022126238877</v>
      </c>
      <c r="O84" s="18">
        <f t="shared" si="74"/>
        <v>0.599126382230988</v>
      </c>
      <c r="P84" s="18">
        <f t="shared" si="62"/>
        <v>0.0905353246267566</v>
      </c>
      <c r="Q84" s="24">
        <f t="shared" si="63"/>
        <v>0.027160597388027</v>
      </c>
      <c r="R84" s="18">
        <f t="shared" si="64"/>
        <v>0.156366</v>
      </c>
      <c r="S84" s="25">
        <f t="shared" si="65"/>
        <v>0.173698869242847</v>
      </c>
      <c r="T84" s="3">
        <v>0.01</v>
      </c>
      <c r="U84" s="26">
        <f t="shared" si="66"/>
        <v>0.00173698869242847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0.00722698869242847</v>
      </c>
      <c r="AU84" s="29">
        <f t="shared" si="70"/>
        <v>52.122</v>
      </c>
      <c r="AV84" s="1">
        <f t="shared" si="71"/>
        <v>0.3</v>
      </c>
      <c r="AW84" s="2">
        <f t="shared" si="75"/>
        <v>1.133</v>
      </c>
      <c r="AX84" s="1">
        <f t="shared" si="72"/>
        <v>857.836289319652</v>
      </c>
    </row>
    <row r="85" s="1" customFormat="1" spans="1:51">
      <c r="A85" s="13"/>
      <c r="B85" s="13"/>
      <c r="C85" s="16">
        <v>11</v>
      </c>
      <c r="D85" s="19">
        <v>13.1948666262667</v>
      </c>
      <c r="E85" s="20">
        <f t="shared" si="73"/>
        <v>17.6195904735484</v>
      </c>
      <c r="F85" s="16" t="s">
        <v>112</v>
      </c>
      <c r="G85" s="13">
        <v>12</v>
      </c>
      <c r="H85" s="18">
        <f t="shared" si="57"/>
        <v>13.1948666262667</v>
      </c>
      <c r="I85" s="18">
        <f t="shared" si="58"/>
        <v>286.344866626267</v>
      </c>
      <c r="J85" s="18">
        <f t="shared" si="59"/>
        <v>0.0900692290060733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1.02981105760423</v>
      </c>
      <c r="P85" s="18">
        <f t="shared" si="62"/>
        <v>0.0927542879803421</v>
      </c>
      <c r="Q85" s="24">
        <f t="shared" si="63"/>
        <v>0.0278262863941026</v>
      </c>
      <c r="R85" s="18">
        <f t="shared" si="64"/>
        <v>0.156366</v>
      </c>
      <c r="S85" s="25">
        <f t="shared" si="65"/>
        <v>0.177956118300031</v>
      </c>
      <c r="T85" s="3">
        <v>0.01</v>
      </c>
      <c r="U85" s="26">
        <f t="shared" si="66"/>
        <v>0.00177956118300031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0.00726956118300031</v>
      </c>
      <c r="AU85" s="29">
        <f t="shared" si="70"/>
        <v>52.122</v>
      </c>
      <c r="AV85" s="1">
        <f t="shared" si="71"/>
        <v>0.3</v>
      </c>
      <c r="AW85" s="2">
        <f t="shared" si="75"/>
        <v>1.133</v>
      </c>
      <c r="AX85" s="1">
        <f t="shared" si="72"/>
        <v>862.889601133673</v>
      </c>
      <c r="AY85" s="1">
        <f>SUM(AX74:AX85)</f>
        <v>16525.4784430504</v>
      </c>
    </row>
    <row r="86" s="1" customFormat="1" spans="1:46">
      <c r="A86" s="13"/>
      <c r="B86" s="13"/>
      <c r="C86" s="16">
        <v>12</v>
      </c>
      <c r="D86" s="19">
        <v>10.4053793106129</v>
      </c>
      <c r="E86" s="20">
        <f t="shared" si="73"/>
        <v>13.1948666262667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8</v>
      </c>
      <c r="E90" s="16"/>
      <c r="F90" s="16"/>
      <c r="G90" s="13">
        <v>1</v>
      </c>
      <c r="H90" s="18">
        <f t="shared" ref="H90:H101" si="76">E91</f>
        <v>8</v>
      </c>
      <c r="I90" s="18">
        <f t="shared" ref="I90:I101" si="77">H90+273.15</f>
        <v>281.15</v>
      </c>
      <c r="J90" s="18">
        <f t="shared" ref="J90:J101" si="78">EXP(($C$16*(I90-$C$14))/($C$17*I90*$C$14))</f>
        <v>0.0480520561620816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0.0136804203893446</v>
      </c>
      <c r="Q90" s="24">
        <f t="shared" ref="Q90:Q101" si="82">P90*$B$76</f>
        <v>0.00410412611680339</v>
      </c>
      <c r="R90" s="18">
        <f t="shared" ref="R90:R101" si="83">L90*$B$76</f>
        <v>0.08541</v>
      </c>
      <c r="S90" s="25">
        <f t="shared" ref="S90:S101" si="84">Q90/R90</f>
        <v>0.0480520561620816</v>
      </c>
      <c r="T90" s="3">
        <v>0.01</v>
      </c>
      <c r="U90" s="26">
        <f t="shared" ref="U90:U101" si="85">S90*T90</f>
        <v>0.000480520561620816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0.00597052056162082</v>
      </c>
      <c r="AU90" s="29">
        <f t="shared" ref="AU90:AU101" si="89">$B$90/12</f>
        <v>28.47</v>
      </c>
      <c r="AV90" s="1">
        <f t="shared" ref="AV90:AV101" si="90">$B$76</f>
        <v>0.3</v>
      </c>
      <c r="AW90" s="2">
        <f>$E$9/12</f>
        <v>0.942352486443108</v>
      </c>
      <c r="AX90" s="1">
        <f t="shared" ref="AX90:AX101" si="91">AW90*10000*AV90*0.67*AU90*AT90</f>
        <v>321.965326557642</v>
      </c>
      <c r="AZ90" s="2">
        <f>$E$10/12</f>
        <v>1.63595058533319</v>
      </c>
      <c r="BA90" s="1">
        <f t="shared" ref="BA90:BA101" si="92">AZ90*10000*AV90*0.67*AU90*AT90</f>
        <v>558.940918622775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7.3820171706129</v>
      </c>
      <c r="E91" s="20">
        <f t="shared" ref="E91:E102" si="93">D90</f>
        <v>8</v>
      </c>
      <c r="F91" s="16" t="s">
        <v>110</v>
      </c>
      <c r="G91" s="13">
        <v>2</v>
      </c>
      <c r="H91" s="18">
        <f t="shared" si="76"/>
        <v>7.3820171706129</v>
      </c>
      <c r="I91" s="18">
        <f t="shared" si="77"/>
        <v>280.532017170613</v>
      </c>
      <c r="J91" s="18">
        <f t="shared" si="78"/>
        <v>0.0445224794456665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0.555719579610655</v>
      </c>
      <c r="P91" s="18">
        <f t="shared" si="81"/>
        <v>0.0247420135607698</v>
      </c>
      <c r="Q91" s="24">
        <f t="shared" si="82"/>
        <v>0.00742260406823095</v>
      </c>
      <c r="R91" s="18">
        <f t="shared" si="83"/>
        <v>0.08541</v>
      </c>
      <c r="S91" s="25">
        <f t="shared" si="84"/>
        <v>0.0869055622085347</v>
      </c>
      <c r="T91" s="3">
        <v>0.01</v>
      </c>
      <c r="U91" s="26">
        <f t="shared" si="85"/>
        <v>0.000869055622085347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0.00635905562208535</v>
      </c>
      <c r="AU91" s="29">
        <f t="shared" si="89"/>
        <v>28.47</v>
      </c>
      <c r="AV91" s="1">
        <f t="shared" si="90"/>
        <v>0.3</v>
      </c>
      <c r="AW91" s="2">
        <f t="shared" ref="AW91:AW101" si="95">$E$9/12</f>
        <v>0.942352486443108</v>
      </c>
      <c r="AX91" s="1">
        <f t="shared" si="91"/>
        <v>342.917405414163</v>
      </c>
      <c r="AZ91" s="2">
        <f t="shared" ref="AZ91:AZ101" si="96">$E$10/12</f>
        <v>1.63595058533319</v>
      </c>
      <c r="BA91" s="1">
        <f t="shared" si="92"/>
        <v>595.314320468031</v>
      </c>
    </row>
    <row r="92" s="1" customFormat="1" spans="1:53">
      <c r="A92" s="13" t="s">
        <v>73</v>
      </c>
      <c r="B92" s="13">
        <f>H9</f>
        <v>0.33</v>
      </c>
      <c r="C92" s="16">
        <v>2</v>
      </c>
      <c r="D92" s="19">
        <v>9.44939597775862</v>
      </c>
      <c r="E92" s="20">
        <f t="shared" si="93"/>
        <v>7.3820171706129</v>
      </c>
      <c r="F92" s="16" t="s">
        <v>110</v>
      </c>
      <c r="G92" s="13">
        <v>3</v>
      </c>
      <c r="H92" s="18">
        <f t="shared" si="76"/>
        <v>9.44939597775862</v>
      </c>
      <c r="I92" s="18">
        <f t="shared" si="77"/>
        <v>282.599395977759</v>
      </c>
      <c r="J92" s="18">
        <f t="shared" si="78"/>
        <v>0.0573920386774447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0.815677566049886</v>
      </c>
      <c r="P92" s="18">
        <f t="shared" si="81"/>
        <v>0.046813398419059</v>
      </c>
      <c r="Q92" s="24">
        <f t="shared" si="82"/>
        <v>0.0140440195257177</v>
      </c>
      <c r="R92" s="18">
        <f t="shared" si="83"/>
        <v>0.08541</v>
      </c>
      <c r="S92" s="25">
        <f t="shared" si="84"/>
        <v>0.164430623178992</v>
      </c>
      <c r="T92" s="3">
        <v>0.01</v>
      </c>
      <c r="U92" s="26">
        <f t="shared" si="85"/>
        <v>0.00164430623178992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0.00713430623178992</v>
      </c>
      <c r="AU92" s="29">
        <f t="shared" si="89"/>
        <v>28.47</v>
      </c>
      <c r="AV92" s="1">
        <f t="shared" si="90"/>
        <v>0.3</v>
      </c>
      <c r="AW92" s="2">
        <f t="shared" si="95"/>
        <v>0.942352486443108</v>
      </c>
      <c r="AX92" s="1">
        <f t="shared" si="91"/>
        <v>384.72344445907</v>
      </c>
      <c r="AZ92" s="2">
        <f t="shared" si="96"/>
        <v>1.63595058533319</v>
      </c>
      <c r="BA92" s="1">
        <f t="shared" si="92"/>
        <v>667.890787373876</v>
      </c>
    </row>
    <row r="93" s="1" customFormat="1" spans="1:53">
      <c r="A93" s="13"/>
      <c r="B93" s="13"/>
      <c r="C93" s="16">
        <v>3</v>
      </c>
      <c r="D93" s="19">
        <v>14.407886643871</v>
      </c>
      <c r="E93" s="20">
        <f t="shared" si="93"/>
        <v>9.44939597775862</v>
      </c>
      <c r="F93" s="16" t="s">
        <v>110</v>
      </c>
      <c r="G93" s="13">
        <v>4</v>
      </c>
      <c r="H93" s="18">
        <f t="shared" si="76"/>
        <v>14.407886643871</v>
      </c>
      <c r="I93" s="18">
        <f t="shared" si="77"/>
        <v>287.557886643871</v>
      </c>
      <c r="J93" s="18">
        <f t="shared" si="78"/>
        <v>0.103961244414112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1.05356416763083</v>
      </c>
      <c r="P93" s="18">
        <f t="shared" si="81"/>
        <v>0.109529841937019</v>
      </c>
      <c r="Q93" s="24">
        <f t="shared" si="82"/>
        <v>0.0328589525811056</v>
      </c>
      <c r="R93" s="18">
        <f t="shared" si="83"/>
        <v>0.08541</v>
      </c>
      <c r="S93" s="25">
        <f t="shared" si="84"/>
        <v>0.384720203501998</v>
      </c>
      <c r="T93" s="3">
        <v>0.01</v>
      </c>
      <c r="U93" s="26">
        <f t="shared" si="85"/>
        <v>0.00384720203501998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0.005</v>
      </c>
      <c r="AF93" s="3">
        <v>0.49</v>
      </c>
      <c r="AG93" s="26">
        <f t="shared" si="86"/>
        <v>0.00245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0.015</v>
      </c>
      <c r="AR93" s="3">
        <v>0.5</v>
      </c>
      <c r="AS93" s="3">
        <f t="shared" si="87"/>
        <v>0.0075</v>
      </c>
      <c r="AT93" s="2">
        <f t="shared" si="88"/>
        <v>0.01379720203502</v>
      </c>
      <c r="AU93" s="29">
        <f t="shared" si="89"/>
        <v>28.47</v>
      </c>
      <c r="AV93" s="1">
        <f t="shared" si="90"/>
        <v>0.3</v>
      </c>
      <c r="AW93" s="2">
        <f t="shared" si="95"/>
        <v>0.942352486443108</v>
      </c>
      <c r="AX93" s="1">
        <f t="shared" si="91"/>
        <v>744.025686360093</v>
      </c>
      <c r="AZ93" s="2">
        <f t="shared" si="96"/>
        <v>1.63595058533319</v>
      </c>
      <c r="BA93" s="1">
        <f t="shared" si="92"/>
        <v>1291.64964767906</v>
      </c>
    </row>
    <row r="94" s="1" customFormat="1" spans="1:53">
      <c r="A94" s="13"/>
      <c r="B94" s="13"/>
      <c r="C94" s="16">
        <v>4</v>
      </c>
      <c r="D94" s="19">
        <v>17.392765108</v>
      </c>
      <c r="E94" s="20">
        <f t="shared" si="93"/>
        <v>14.407886643871</v>
      </c>
      <c r="F94" s="16" t="s">
        <v>110</v>
      </c>
      <c r="G94" s="13">
        <v>5</v>
      </c>
      <c r="H94" s="18">
        <f t="shared" si="76"/>
        <v>17.392765108</v>
      </c>
      <c r="I94" s="18">
        <f t="shared" si="77"/>
        <v>290.542765108</v>
      </c>
      <c r="J94" s="18">
        <f t="shared" si="78"/>
        <v>0.147212959584242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0.896832609409117</v>
      </c>
      <c r="O94" s="18">
        <f t="shared" si="94"/>
        <v>0.33190171628469</v>
      </c>
      <c r="P94" s="18">
        <f t="shared" si="81"/>
        <v>0.0488602339453587</v>
      </c>
      <c r="Q94" s="24">
        <f t="shared" si="82"/>
        <v>0.0146580701836076</v>
      </c>
      <c r="R94" s="18">
        <f t="shared" si="83"/>
        <v>0.08541</v>
      </c>
      <c r="S94" s="25">
        <f t="shared" si="84"/>
        <v>0.171620070057459</v>
      </c>
      <c r="T94" s="3">
        <v>0.01</v>
      </c>
      <c r="U94" s="26">
        <f t="shared" si="85"/>
        <v>0.00171620070057459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0.0116662007005746</v>
      </c>
      <c r="AU94" s="29">
        <f t="shared" si="89"/>
        <v>28.47</v>
      </c>
      <c r="AV94" s="1">
        <f t="shared" si="90"/>
        <v>0.3</v>
      </c>
      <c r="AW94" s="2">
        <f t="shared" si="95"/>
        <v>0.942352486443108</v>
      </c>
      <c r="AX94" s="1">
        <f t="shared" si="91"/>
        <v>629.109652915729</v>
      </c>
      <c r="AZ94" s="2">
        <f t="shared" si="96"/>
        <v>1.63595058533319</v>
      </c>
      <c r="BA94" s="1">
        <f t="shared" si="92"/>
        <v>1092.15216146021</v>
      </c>
    </row>
    <row r="95" s="1" customFormat="1" spans="1:53">
      <c r="A95" s="13"/>
      <c r="B95" s="13"/>
      <c r="C95" s="16">
        <v>5</v>
      </c>
      <c r="D95" s="19">
        <v>19.3352830116129</v>
      </c>
      <c r="E95" s="20">
        <f t="shared" si="93"/>
        <v>17.392765108</v>
      </c>
      <c r="F95" s="16" t="s">
        <v>112</v>
      </c>
      <c r="G95" s="13">
        <v>6</v>
      </c>
      <c r="H95" s="18">
        <f t="shared" si="76"/>
        <v>19.3352830116129</v>
      </c>
      <c r="I95" s="18">
        <f t="shared" si="77"/>
        <v>292.485283011613</v>
      </c>
      <c r="J95" s="18">
        <f t="shared" si="78"/>
        <v>0.18391069502237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0.567741482339332</v>
      </c>
      <c r="P95" s="18">
        <f t="shared" si="81"/>
        <v>0.104413730610057</v>
      </c>
      <c r="Q95" s="24">
        <f t="shared" si="82"/>
        <v>0.0313241191830171</v>
      </c>
      <c r="R95" s="18">
        <f t="shared" si="83"/>
        <v>0.08541</v>
      </c>
      <c r="S95" s="25">
        <f t="shared" si="84"/>
        <v>0.366750019705153</v>
      </c>
      <c r="T95" s="3">
        <v>0.01</v>
      </c>
      <c r="U95" s="26">
        <f t="shared" si="85"/>
        <v>0.00366750019705153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0.0136175001970515</v>
      </c>
      <c r="AU95" s="29">
        <f t="shared" si="89"/>
        <v>28.47</v>
      </c>
      <c r="AV95" s="1">
        <f t="shared" si="90"/>
        <v>0.3</v>
      </c>
      <c r="AW95" s="2">
        <f t="shared" si="95"/>
        <v>0.942352486443108</v>
      </c>
      <c r="AX95" s="1">
        <f t="shared" si="91"/>
        <v>734.33511409803</v>
      </c>
      <c r="AZ95" s="2">
        <f t="shared" si="96"/>
        <v>1.63595058533319</v>
      </c>
      <c r="BA95" s="1">
        <f t="shared" si="92"/>
        <v>1274.82653998591</v>
      </c>
    </row>
    <row r="96" s="1" customFormat="1" spans="1:53">
      <c r="A96" s="13"/>
      <c r="B96" s="13"/>
      <c r="C96" s="16">
        <v>6</v>
      </c>
      <c r="D96" s="19">
        <v>20.6919485896667</v>
      </c>
      <c r="E96" s="20">
        <f t="shared" si="93"/>
        <v>19.3352830116129</v>
      </c>
      <c r="F96" s="16" t="s">
        <v>110</v>
      </c>
      <c r="G96" s="13">
        <v>7</v>
      </c>
      <c r="H96" s="18">
        <f t="shared" si="76"/>
        <v>20.6919485896667</v>
      </c>
      <c r="I96" s="18">
        <f t="shared" si="77"/>
        <v>293.841948589667</v>
      </c>
      <c r="J96" s="18">
        <f t="shared" si="78"/>
        <v>0.214465564218324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0.748027751729275</v>
      </c>
      <c r="P96" s="18">
        <f t="shared" si="81"/>
        <v>0.160426193825583</v>
      </c>
      <c r="Q96" s="24">
        <f t="shared" si="82"/>
        <v>0.048127858147675</v>
      </c>
      <c r="R96" s="18">
        <f t="shared" si="83"/>
        <v>0.08541</v>
      </c>
      <c r="S96" s="25">
        <f t="shared" si="84"/>
        <v>0.563492075256703</v>
      </c>
      <c r="T96" s="3">
        <v>0.01</v>
      </c>
      <c r="U96" s="26">
        <f t="shared" si="85"/>
        <v>0.00563492075256703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0.015584920752567</v>
      </c>
      <c r="AU96" s="29">
        <f t="shared" si="89"/>
        <v>28.47</v>
      </c>
      <c r="AV96" s="1">
        <f t="shared" si="90"/>
        <v>0.3</v>
      </c>
      <c r="AW96" s="2">
        <f t="shared" si="95"/>
        <v>0.942352486443108</v>
      </c>
      <c r="AX96" s="1">
        <f t="shared" si="91"/>
        <v>840.429916903768</v>
      </c>
      <c r="AZ96" s="2">
        <f t="shared" si="96"/>
        <v>1.63595058533319</v>
      </c>
      <c r="BA96" s="1">
        <f t="shared" si="92"/>
        <v>1459.01012017253</v>
      </c>
    </row>
    <row r="97" s="1" customFormat="1" spans="1:53">
      <c r="A97" s="13"/>
      <c r="B97" s="13"/>
      <c r="C97" s="16">
        <v>7</v>
      </c>
      <c r="D97" s="19">
        <v>20.6309013283871</v>
      </c>
      <c r="E97" s="20">
        <f t="shared" si="93"/>
        <v>20.6919485896667</v>
      </c>
      <c r="F97" s="16" t="s">
        <v>110</v>
      </c>
      <c r="G97" s="13">
        <v>8</v>
      </c>
      <c r="H97" s="18">
        <f t="shared" si="76"/>
        <v>20.6309013283871</v>
      </c>
      <c r="I97" s="18">
        <f t="shared" si="77"/>
        <v>293.780901328387</v>
      </c>
      <c r="J97" s="18">
        <f t="shared" si="78"/>
        <v>0.212993903071749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0.872301557903691</v>
      </c>
      <c r="P97" s="18">
        <f t="shared" si="81"/>
        <v>0.185794913473475</v>
      </c>
      <c r="Q97" s="24">
        <f t="shared" si="82"/>
        <v>0.0557384740420424</v>
      </c>
      <c r="R97" s="18">
        <f t="shared" si="83"/>
        <v>0.08541</v>
      </c>
      <c r="S97" s="25">
        <f t="shared" si="84"/>
        <v>0.652598923335</v>
      </c>
      <c r="T97" s="3">
        <v>0.01</v>
      </c>
      <c r="U97" s="26">
        <f t="shared" si="85"/>
        <v>0.00652598923335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0.01647598923335</v>
      </c>
      <c r="AU97" s="29">
        <f t="shared" si="89"/>
        <v>28.47</v>
      </c>
      <c r="AV97" s="1">
        <f t="shared" si="90"/>
        <v>0.3</v>
      </c>
      <c r="AW97" s="2">
        <f t="shared" si="95"/>
        <v>0.942352486443108</v>
      </c>
      <c r="AX97" s="1">
        <f t="shared" si="91"/>
        <v>888.481531740285</v>
      </c>
      <c r="AZ97" s="2">
        <f t="shared" si="96"/>
        <v>1.63595058533319</v>
      </c>
      <c r="BA97" s="1">
        <f t="shared" si="92"/>
        <v>1542.42908340435</v>
      </c>
    </row>
    <row r="98" s="1" customFormat="1" spans="1:53">
      <c r="A98" s="13"/>
      <c r="B98" s="13"/>
      <c r="C98" s="16">
        <v>8</v>
      </c>
      <c r="D98" s="19">
        <v>21.0582356712903</v>
      </c>
      <c r="E98" s="20">
        <f t="shared" si="93"/>
        <v>20.6309013283871</v>
      </c>
      <c r="F98" s="16" t="s">
        <v>110</v>
      </c>
      <c r="G98" s="13">
        <v>9</v>
      </c>
      <c r="H98" s="18">
        <f t="shared" si="76"/>
        <v>21.0582356712903</v>
      </c>
      <c r="I98" s="18">
        <f t="shared" si="77"/>
        <v>294.20823567129</v>
      </c>
      <c r="J98" s="18">
        <f t="shared" si="78"/>
        <v>0.223498217898499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0.971206644430217</v>
      </c>
      <c r="P98" s="18">
        <f t="shared" si="81"/>
        <v>0.217062954241335</v>
      </c>
      <c r="Q98" s="24">
        <f t="shared" si="82"/>
        <v>0.0651188862724004</v>
      </c>
      <c r="R98" s="18">
        <f t="shared" si="83"/>
        <v>0.08541</v>
      </c>
      <c r="S98" s="25">
        <f t="shared" si="84"/>
        <v>0.762426955536827</v>
      </c>
      <c r="T98" s="3">
        <v>0.01</v>
      </c>
      <c r="U98" s="26">
        <f t="shared" si="85"/>
        <v>0.00762426955536827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0.0175742695553683</v>
      </c>
      <c r="AU98" s="29">
        <f t="shared" si="89"/>
        <v>28.47</v>
      </c>
      <c r="AV98" s="1">
        <f t="shared" si="90"/>
        <v>0.3</v>
      </c>
      <c r="AW98" s="2">
        <f t="shared" si="95"/>
        <v>0.942352486443108</v>
      </c>
      <c r="AX98" s="1">
        <f t="shared" si="91"/>
        <v>947.707218827518</v>
      </c>
      <c r="AZ98" s="2">
        <f t="shared" si="96"/>
        <v>1.63595058533319</v>
      </c>
      <c r="BA98" s="1">
        <f t="shared" si="92"/>
        <v>1645.24655229312</v>
      </c>
    </row>
    <row r="99" s="1" customFormat="1" spans="1:53">
      <c r="A99" s="13"/>
      <c r="B99" s="13"/>
      <c r="C99" s="16">
        <v>9</v>
      </c>
      <c r="D99" s="19">
        <v>19.1827989486667</v>
      </c>
      <c r="E99" s="20">
        <f t="shared" si="93"/>
        <v>21.0582356712903</v>
      </c>
      <c r="F99" s="16" t="s">
        <v>110</v>
      </c>
      <c r="G99" s="13">
        <v>10</v>
      </c>
      <c r="H99" s="18">
        <f t="shared" si="76"/>
        <v>19.1827989486667</v>
      </c>
      <c r="I99" s="18">
        <f t="shared" si="77"/>
        <v>292.332798948667</v>
      </c>
      <c r="J99" s="18">
        <f t="shared" si="78"/>
        <v>0.180744771085118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1.03884369018888</v>
      </c>
      <c r="P99" s="18">
        <f t="shared" si="81"/>
        <v>0.187765564976409</v>
      </c>
      <c r="Q99" s="24">
        <f t="shared" si="82"/>
        <v>0.0563296694929226</v>
      </c>
      <c r="R99" s="18">
        <f t="shared" si="83"/>
        <v>0.08541</v>
      </c>
      <c r="S99" s="25">
        <f t="shared" si="84"/>
        <v>0.659520776172844</v>
      </c>
      <c r="T99" s="3">
        <v>0.01</v>
      </c>
      <c r="U99" s="26">
        <f t="shared" si="85"/>
        <v>0.00659520776172844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0.005</v>
      </c>
      <c r="AF99" s="3">
        <v>0.49</v>
      </c>
      <c r="AG99" s="26">
        <f t="shared" si="86"/>
        <v>0.00245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0.015</v>
      </c>
      <c r="AR99" s="3">
        <v>0.5</v>
      </c>
      <c r="AS99" s="3">
        <f t="shared" si="87"/>
        <v>0.0075</v>
      </c>
      <c r="AT99" s="2">
        <f t="shared" si="88"/>
        <v>0.0165452077617284</v>
      </c>
      <c r="AU99" s="29">
        <f t="shared" si="89"/>
        <v>28.47</v>
      </c>
      <c r="AV99" s="1">
        <f t="shared" si="90"/>
        <v>0.3</v>
      </c>
      <c r="AW99" s="2">
        <f t="shared" si="95"/>
        <v>0.942352486443108</v>
      </c>
      <c r="AX99" s="1">
        <f t="shared" si="91"/>
        <v>892.214198911128</v>
      </c>
      <c r="AZ99" s="2">
        <f t="shared" si="96"/>
        <v>1.63595058533319</v>
      </c>
      <c r="BA99" s="1">
        <f t="shared" si="92"/>
        <v>1548.90909924857</v>
      </c>
    </row>
    <row r="100" s="1" customFormat="1" spans="1:53">
      <c r="A100" s="13"/>
      <c r="B100" s="13"/>
      <c r="C100" s="16">
        <v>10</v>
      </c>
      <c r="D100" s="19">
        <v>17.6195904735484</v>
      </c>
      <c r="E100" s="20">
        <f t="shared" si="93"/>
        <v>19.1827989486667</v>
      </c>
      <c r="F100" s="16" t="s">
        <v>110</v>
      </c>
      <c r="G100" s="13">
        <v>11</v>
      </c>
      <c r="H100" s="18">
        <f t="shared" si="76"/>
        <v>17.6195904735484</v>
      </c>
      <c r="I100" s="18">
        <f t="shared" si="77"/>
        <v>290.769590473548</v>
      </c>
      <c r="J100" s="18">
        <f t="shared" si="78"/>
        <v>0.151112231595656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0.80852421895185</v>
      </c>
      <c r="O100" s="18">
        <f t="shared" si="94"/>
        <v>0.327253906260624</v>
      </c>
      <c r="P100" s="18">
        <f t="shared" si="81"/>
        <v>0.0494520680734385</v>
      </c>
      <c r="Q100" s="24">
        <f t="shared" si="82"/>
        <v>0.0148356204220315</v>
      </c>
      <c r="R100" s="18">
        <f t="shared" si="83"/>
        <v>0.08541</v>
      </c>
      <c r="S100" s="25">
        <f t="shared" si="84"/>
        <v>0.173698869242847</v>
      </c>
      <c r="T100" s="3">
        <v>0.01</v>
      </c>
      <c r="U100" s="26">
        <f t="shared" si="85"/>
        <v>0.00173698869242847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0.00722698869242847</v>
      </c>
      <c r="AU100" s="29">
        <f t="shared" si="89"/>
        <v>28.47</v>
      </c>
      <c r="AV100" s="1">
        <f t="shared" si="90"/>
        <v>0.3</v>
      </c>
      <c r="AW100" s="2">
        <f t="shared" si="95"/>
        <v>0.942352486443108</v>
      </c>
      <c r="AX100" s="1">
        <f t="shared" si="91"/>
        <v>389.72142384758</v>
      </c>
      <c r="AZ100" s="2">
        <f t="shared" si="96"/>
        <v>1.63595058533319</v>
      </c>
      <c r="BA100" s="1">
        <f t="shared" si="92"/>
        <v>676.567421036698</v>
      </c>
    </row>
    <row r="101" s="1" customFormat="1" spans="1:54">
      <c r="A101" s="13"/>
      <c r="B101" s="13"/>
      <c r="C101" s="16">
        <v>11</v>
      </c>
      <c r="D101" s="19">
        <v>13.1948666262667</v>
      </c>
      <c r="E101" s="20">
        <f t="shared" si="93"/>
        <v>17.6195904735484</v>
      </c>
      <c r="F101" s="16" t="s">
        <v>112</v>
      </c>
      <c r="G101" s="13">
        <v>12</v>
      </c>
      <c r="H101" s="18">
        <f t="shared" si="76"/>
        <v>13.1948666262667</v>
      </c>
      <c r="I101" s="18">
        <f t="shared" si="77"/>
        <v>286.344866626267</v>
      </c>
      <c r="J101" s="18">
        <f t="shared" si="78"/>
        <v>0.0900692290060733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0.562501838187185</v>
      </c>
      <c r="P101" s="18">
        <f t="shared" si="81"/>
        <v>0.0506641068800188</v>
      </c>
      <c r="Q101" s="24">
        <f t="shared" si="82"/>
        <v>0.0151992320640056</v>
      </c>
      <c r="R101" s="18">
        <f t="shared" si="83"/>
        <v>0.08541</v>
      </c>
      <c r="S101" s="25">
        <f t="shared" si="84"/>
        <v>0.177956118300031</v>
      </c>
      <c r="T101" s="3">
        <v>0.01</v>
      </c>
      <c r="U101" s="26">
        <f t="shared" si="85"/>
        <v>0.00177956118300031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0.00726956118300031</v>
      </c>
      <c r="AU101" s="29">
        <f t="shared" si="89"/>
        <v>28.47</v>
      </c>
      <c r="AV101" s="1">
        <f t="shared" si="90"/>
        <v>0.3</v>
      </c>
      <c r="AW101" s="2">
        <f t="shared" si="95"/>
        <v>0.942352486443108</v>
      </c>
      <c r="AX101" s="1">
        <f t="shared" si="91"/>
        <v>392.017181091504</v>
      </c>
      <c r="AY101" s="1">
        <f>SUM(AX90:AX101)</f>
        <v>7507.64810112651</v>
      </c>
      <c r="AZ101" s="2">
        <f t="shared" si="96"/>
        <v>1.63595058533319</v>
      </c>
      <c r="BA101" s="1">
        <f t="shared" si="92"/>
        <v>680.552920582792</v>
      </c>
      <c r="BB101" s="1">
        <f>SUM(BA90:BA101)</f>
        <v>13033.4895723279</v>
      </c>
    </row>
    <row r="102" s="1" customFormat="1" spans="1:46">
      <c r="A102" s="13"/>
      <c r="B102" s="13"/>
      <c r="C102" s="16">
        <v>12</v>
      </c>
      <c r="D102" s="19">
        <v>10.4053793106129</v>
      </c>
      <c r="E102" s="20">
        <f t="shared" si="93"/>
        <v>13.1948666262667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E16" sqref="E1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768.744921020945</v>
      </c>
      <c r="F2" s="3">
        <v>734.672</v>
      </c>
      <c r="G2" s="7">
        <f>(F2+F3+F4)/3</f>
        <v>1194.134</v>
      </c>
      <c r="H2" s="3">
        <v>0.18</v>
      </c>
      <c r="I2" s="21">
        <f>(H2+H3+H4)/3</f>
        <v>0.136666666666667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1330.84142465753</v>
      </c>
      <c r="F5" s="3">
        <v>91.104</v>
      </c>
      <c r="G5" s="7">
        <f>(F5+F6)/2</f>
        <v>92.50925</v>
      </c>
      <c r="H5" s="3">
        <v>0.18</v>
      </c>
      <c r="I5" s="21">
        <f>(H5+H6)/2</f>
        <v>0.185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0.19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45.3616438356164</v>
      </c>
      <c r="F7" s="3">
        <v>134.758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12">
        <v>28.1866733874238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3">
        <v>6.56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3">
        <v>1.4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2974321.47686879</v>
      </c>
      <c r="J14" s="14" t="s">
        <v>35</v>
      </c>
      <c r="K14" s="14">
        <f>I14/(10000*1000)</f>
        <v>0.297432147686879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13439768.132005</v>
      </c>
      <c r="J15" s="14" t="s">
        <v>35</v>
      </c>
      <c r="K15" s="14">
        <f>I15/(10000*1000)</f>
        <v>1.3439768132005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1194.134</v>
      </c>
      <c r="C27" s="16" t="s">
        <v>109</v>
      </c>
      <c r="D27" s="17">
        <v>-11</v>
      </c>
      <c r="E27" s="16"/>
      <c r="F27" s="16"/>
      <c r="G27" s="13">
        <v>1</v>
      </c>
      <c r="H27" s="18">
        <f t="shared" ref="H27:H38" si="0">E28</f>
        <v>-11</v>
      </c>
      <c r="I27" s="18">
        <f t="shared" ref="I27:I38" si="1">H27+273.15</f>
        <v>262.15</v>
      </c>
      <c r="J27" s="18">
        <f t="shared" ref="J27:J38" si="2">EXP(($C$16*(I27-$C$14))/($C$17*I27*$C$14))</f>
        <v>0.00390493234587267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110</v>
      </c>
      <c r="N27" s="13"/>
      <c r="O27" s="18">
        <f>L27</f>
        <v>0.995111666666667</v>
      </c>
      <c r="P27" s="18">
        <f t="shared" ref="P27:P38" si="5">O27*J27</f>
        <v>0.00388584373492193</v>
      </c>
      <c r="Q27" s="24">
        <f t="shared" ref="Q27:Q38" si="6">P27*$B$29</f>
        <v>0.00053106531043933</v>
      </c>
      <c r="R27" s="18">
        <f t="shared" ref="R27:R38" si="7">L27*$B$29</f>
        <v>0.135998594444444</v>
      </c>
      <c r="S27" s="25">
        <f t="shared" ref="S27:S38" si="8">Q27/R27</f>
        <v>0.00390493234587267</v>
      </c>
      <c r="T27" s="3">
        <v>0.01</v>
      </c>
      <c r="U27" s="26">
        <f t="shared" ref="U27:U38" si="9">S27*T27</f>
        <v>3.90493234587267e-5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0.0219390493234587</v>
      </c>
      <c r="AR27" s="29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64.0620767517454</v>
      </c>
      <c r="AU27" s="1">
        <f t="shared" ref="AU27:AU38" si="17">AT27*10000*AS27*0.67*AR27*AQ27</f>
        <v>128064.288380877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-14.3410731177419</v>
      </c>
      <c r="E28" s="20">
        <f t="shared" ref="E28:E39" si="18">D27</f>
        <v>-11</v>
      </c>
      <c r="F28" s="16" t="s">
        <v>110</v>
      </c>
      <c r="G28" s="13">
        <v>2</v>
      </c>
      <c r="H28" s="18">
        <f t="shared" si="0"/>
        <v>-14.3410731177419</v>
      </c>
      <c r="I28" s="18">
        <f t="shared" si="1"/>
        <v>258.808926882258</v>
      </c>
      <c r="J28" s="18">
        <f t="shared" si="2"/>
        <v>0.00241755839271854</v>
      </c>
      <c r="K28" s="18">
        <f t="shared" si="3"/>
        <v>99.5111666666667</v>
      </c>
      <c r="L28" s="18">
        <f t="shared" si="4"/>
        <v>0.995111666666667</v>
      </c>
      <c r="M28" s="13" t="s">
        <v>110</v>
      </c>
      <c r="N28" s="13"/>
      <c r="O28" s="18">
        <f t="shared" ref="O28:O38" si="19">L28+O27-P27-N28</f>
        <v>1.98633748959841</v>
      </c>
      <c r="P28" s="18">
        <f t="shared" si="5"/>
        <v>0.00480208686875012</v>
      </c>
      <c r="Q28" s="24">
        <f t="shared" si="6"/>
        <v>0.000656285205395849</v>
      </c>
      <c r="R28" s="18">
        <f t="shared" si="7"/>
        <v>0.135998594444444</v>
      </c>
      <c r="S28" s="25">
        <f t="shared" si="8"/>
        <v>0.00482567638347132</v>
      </c>
      <c r="T28" s="3">
        <v>0.01</v>
      </c>
      <c r="U28" s="26">
        <f t="shared" si="9"/>
        <v>4.82567638347132e-5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0.0219482567638347</v>
      </c>
      <c r="AR28" s="29">
        <f t="shared" si="15"/>
        <v>99.5111666666667</v>
      </c>
      <c r="AS28" s="1">
        <f t="shared" si="16"/>
        <v>0.136666666666667</v>
      </c>
      <c r="AT28" s="2">
        <f t="shared" ref="AT28:AT38" si="20">$E$2/12</f>
        <v>64.0620767517454</v>
      </c>
      <c r="AU28" s="1">
        <f t="shared" si="17"/>
        <v>128118.034752571</v>
      </c>
    </row>
    <row r="29" s="1" customFormat="1" spans="1:47">
      <c r="A29" s="13" t="s">
        <v>73</v>
      </c>
      <c r="B29" s="13">
        <f>I2</f>
        <v>0.136666666666667</v>
      </c>
      <c r="C29" s="16">
        <v>2</v>
      </c>
      <c r="D29" s="19">
        <v>-10.0816487995172</v>
      </c>
      <c r="E29" s="20">
        <f t="shared" si="18"/>
        <v>-14.3410731177419</v>
      </c>
      <c r="F29" s="16" t="s">
        <v>110</v>
      </c>
      <c r="G29" s="13">
        <v>3</v>
      </c>
      <c r="H29" s="18">
        <f t="shared" si="0"/>
        <v>-10.0816487995172</v>
      </c>
      <c r="I29" s="18">
        <f t="shared" si="1"/>
        <v>263.068351200483</v>
      </c>
      <c r="J29" s="18">
        <f t="shared" si="2"/>
        <v>0.00444553615796946</v>
      </c>
      <c r="K29" s="18">
        <f t="shared" si="3"/>
        <v>99.5111666666667</v>
      </c>
      <c r="L29" s="18">
        <f t="shared" si="4"/>
        <v>0.995111666666667</v>
      </c>
      <c r="M29" s="13" t="s">
        <v>110</v>
      </c>
      <c r="N29" s="13"/>
      <c r="O29" s="18">
        <f t="shared" si="19"/>
        <v>2.97664706939633</v>
      </c>
      <c r="P29" s="18">
        <f t="shared" si="5"/>
        <v>0.0132327921765152</v>
      </c>
      <c r="Q29" s="24">
        <f t="shared" si="6"/>
        <v>0.00180848159745708</v>
      </c>
      <c r="R29" s="18">
        <f t="shared" si="7"/>
        <v>0.135998594444444</v>
      </c>
      <c r="S29" s="25">
        <f t="shared" si="8"/>
        <v>0.013297796237121</v>
      </c>
      <c r="T29" s="3">
        <v>0.01</v>
      </c>
      <c r="U29" s="26">
        <f t="shared" si="9"/>
        <v>0.00013297796237121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0.0220329779623712</v>
      </c>
      <c r="AR29" s="29">
        <f t="shared" si="15"/>
        <v>99.5111666666667</v>
      </c>
      <c r="AS29" s="1">
        <f t="shared" si="16"/>
        <v>0.136666666666667</v>
      </c>
      <c r="AT29" s="2">
        <f t="shared" si="20"/>
        <v>64.0620767517454</v>
      </c>
      <c r="AU29" s="1">
        <f t="shared" si="17"/>
        <v>128612.57578037</v>
      </c>
    </row>
    <row r="30" s="1" customFormat="1" spans="1:47">
      <c r="A30" s="13"/>
      <c r="B30" s="13"/>
      <c r="C30" s="16">
        <v>3</v>
      </c>
      <c r="D30" s="19">
        <v>-6.78978804112903</v>
      </c>
      <c r="E30" s="20">
        <f t="shared" si="18"/>
        <v>-10.0816487995172</v>
      </c>
      <c r="F30" s="16" t="s">
        <v>110</v>
      </c>
      <c r="G30" s="13">
        <v>4</v>
      </c>
      <c r="H30" s="18">
        <f t="shared" si="0"/>
        <v>-6.78978804112903</v>
      </c>
      <c r="I30" s="18">
        <f t="shared" si="1"/>
        <v>266.360211958871</v>
      </c>
      <c r="J30" s="18">
        <f t="shared" si="2"/>
        <v>0.00702394354293763</v>
      </c>
      <c r="K30" s="18">
        <f t="shared" si="3"/>
        <v>99.5111666666667</v>
      </c>
      <c r="L30" s="18">
        <f t="shared" si="4"/>
        <v>0.995111666666667</v>
      </c>
      <c r="M30" s="13" t="s">
        <v>110</v>
      </c>
      <c r="N30" s="13"/>
      <c r="O30" s="18">
        <f t="shared" si="19"/>
        <v>3.95852594388648</v>
      </c>
      <c r="P30" s="18">
        <f t="shared" si="5"/>
        <v>0.0278044627431125</v>
      </c>
      <c r="Q30" s="24">
        <f t="shared" si="6"/>
        <v>0.00379994324155871</v>
      </c>
      <c r="R30" s="18">
        <f t="shared" si="7"/>
        <v>0.135998594444444</v>
      </c>
      <c r="S30" s="25">
        <f t="shared" si="8"/>
        <v>0.0279410478989251</v>
      </c>
      <c r="T30" s="3">
        <v>0.01</v>
      </c>
      <c r="U30" s="26">
        <f t="shared" si="9"/>
        <v>0.000279410478989251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0.0221794104789893</v>
      </c>
      <c r="AR30" s="29">
        <f t="shared" si="15"/>
        <v>99.5111666666667</v>
      </c>
      <c r="AS30" s="1">
        <f t="shared" si="16"/>
        <v>0.136666666666667</v>
      </c>
      <c r="AT30" s="2">
        <f t="shared" si="20"/>
        <v>64.0620767517454</v>
      </c>
      <c r="AU30" s="1">
        <f t="shared" si="17"/>
        <v>129467.34281061</v>
      </c>
    </row>
    <row r="31" s="1" customFormat="1" spans="1:47">
      <c r="A31" s="13"/>
      <c r="B31" s="13"/>
      <c r="C31" s="16">
        <v>4</v>
      </c>
      <c r="D31" s="19">
        <v>-2.29856562943333</v>
      </c>
      <c r="E31" s="20">
        <f t="shared" si="18"/>
        <v>-6.78978804112903</v>
      </c>
      <c r="F31" s="16" t="s">
        <v>110</v>
      </c>
      <c r="G31" s="13">
        <v>5</v>
      </c>
      <c r="H31" s="18">
        <f t="shared" si="0"/>
        <v>-2.29856562943333</v>
      </c>
      <c r="I31" s="18">
        <f t="shared" si="1"/>
        <v>270.851434370567</v>
      </c>
      <c r="J31" s="18">
        <f t="shared" si="2"/>
        <v>0.0128774077133337</v>
      </c>
      <c r="K31" s="18">
        <f t="shared" si="3"/>
        <v>99.5111666666667</v>
      </c>
      <c r="L31" s="18">
        <f t="shared" si="4"/>
        <v>0.995111666666667</v>
      </c>
      <c r="M31" s="13" t="s">
        <v>112</v>
      </c>
      <c r="N31" s="18">
        <f>(O30-P30)*C22/100</f>
        <v>3.7341854070862</v>
      </c>
      <c r="O31" s="18">
        <f t="shared" si="19"/>
        <v>1.19164774072383</v>
      </c>
      <c r="P31" s="18">
        <f t="shared" si="5"/>
        <v>0.0153453338079738</v>
      </c>
      <c r="Q31" s="24">
        <f t="shared" si="6"/>
        <v>0.00209719562042308</v>
      </c>
      <c r="R31" s="18">
        <f t="shared" si="7"/>
        <v>0.135998594444444</v>
      </c>
      <c r="S31" s="25">
        <f t="shared" si="8"/>
        <v>0.0154207154051124</v>
      </c>
      <c r="T31" s="3">
        <v>0.01</v>
      </c>
      <c r="U31" s="26">
        <f t="shared" si="9"/>
        <v>0.000154207154051124</v>
      </c>
      <c r="V31" s="25"/>
      <c r="W31" s="3"/>
      <c r="X31" s="26"/>
      <c r="Y31" s="28">
        <v>0.02</v>
      </c>
      <c r="Z31" s="3">
        <v>0.21</v>
      </c>
      <c r="AA31" s="27">
        <f t="shared" si="10"/>
        <v>0.0042</v>
      </c>
      <c r="AB31" s="3">
        <v>0.01</v>
      </c>
      <c r="AC31" s="3">
        <v>0.29</v>
      </c>
      <c r="AD31" s="27">
        <f t="shared" si="11"/>
        <v>0.0029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0.0220542071540511</v>
      </c>
      <c r="AR31" s="29">
        <f t="shared" si="15"/>
        <v>99.5111666666667</v>
      </c>
      <c r="AS31" s="1">
        <f t="shared" si="16"/>
        <v>0.136666666666667</v>
      </c>
      <c r="AT31" s="2">
        <f t="shared" si="20"/>
        <v>64.0620767517454</v>
      </c>
      <c r="AU31" s="1">
        <f t="shared" si="17"/>
        <v>128736.49643369</v>
      </c>
    </row>
    <row r="32" s="1" customFormat="1" spans="1:47">
      <c r="A32" s="13"/>
      <c r="B32" s="13"/>
      <c r="C32" s="16">
        <v>5</v>
      </c>
      <c r="D32" s="19">
        <v>1.46989194229032</v>
      </c>
      <c r="E32" s="20">
        <f t="shared" si="18"/>
        <v>-2.29856562943333</v>
      </c>
      <c r="F32" s="16" t="s">
        <v>112</v>
      </c>
      <c r="G32" s="13">
        <v>6</v>
      </c>
      <c r="H32" s="18">
        <f t="shared" si="0"/>
        <v>1.46989194229032</v>
      </c>
      <c r="I32" s="18">
        <f t="shared" si="1"/>
        <v>274.61989194229</v>
      </c>
      <c r="J32" s="18">
        <f t="shared" si="2"/>
        <v>0.021089605370086</v>
      </c>
      <c r="K32" s="18">
        <f t="shared" si="3"/>
        <v>99.5111666666667</v>
      </c>
      <c r="L32" s="18">
        <f t="shared" si="4"/>
        <v>0.995111666666667</v>
      </c>
      <c r="M32" s="13" t="s">
        <v>110</v>
      </c>
      <c r="N32" s="13"/>
      <c r="O32" s="18">
        <f t="shared" si="19"/>
        <v>2.17141407358253</v>
      </c>
      <c r="P32" s="18">
        <f t="shared" si="5"/>
        <v>0.0457942659069064</v>
      </c>
      <c r="Q32" s="24">
        <f t="shared" si="6"/>
        <v>0.00625854967394388</v>
      </c>
      <c r="R32" s="18">
        <f t="shared" si="7"/>
        <v>0.135998594444444</v>
      </c>
      <c r="S32" s="25">
        <f t="shared" si="8"/>
        <v>0.0460192232096965</v>
      </c>
      <c r="T32" s="3">
        <v>0.01</v>
      </c>
      <c r="U32" s="26">
        <f t="shared" si="9"/>
        <v>0.000460192232096965</v>
      </c>
      <c r="V32" s="25"/>
      <c r="W32" s="3"/>
      <c r="X32" s="26"/>
      <c r="Y32" s="28">
        <v>0.02</v>
      </c>
      <c r="Z32" s="3">
        <v>0.21</v>
      </c>
      <c r="AA32" s="27">
        <f t="shared" si="10"/>
        <v>0.0042</v>
      </c>
      <c r="AB32" s="3">
        <v>0.01</v>
      </c>
      <c r="AC32" s="3">
        <v>0.29</v>
      </c>
      <c r="AD32" s="27">
        <f t="shared" si="11"/>
        <v>0.0029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0.022360192232097</v>
      </c>
      <c r="AR32" s="29">
        <f t="shared" si="15"/>
        <v>99.5111666666667</v>
      </c>
      <c r="AS32" s="1">
        <f t="shared" si="16"/>
        <v>0.136666666666667</v>
      </c>
      <c r="AT32" s="2">
        <f t="shared" si="20"/>
        <v>64.0620767517454</v>
      </c>
      <c r="AU32" s="1">
        <f t="shared" si="17"/>
        <v>130522.615818235</v>
      </c>
    </row>
    <row r="33" s="1" customFormat="1" spans="1:47">
      <c r="A33" s="13"/>
      <c r="B33" s="13"/>
      <c r="C33" s="16">
        <v>6</v>
      </c>
      <c r="D33" s="19">
        <v>6.47376780553333</v>
      </c>
      <c r="E33" s="20">
        <f t="shared" si="18"/>
        <v>1.46989194229032</v>
      </c>
      <c r="F33" s="16" t="s">
        <v>110</v>
      </c>
      <c r="G33" s="13">
        <v>7</v>
      </c>
      <c r="H33" s="18">
        <f t="shared" si="0"/>
        <v>6.47376780553333</v>
      </c>
      <c r="I33" s="18">
        <f t="shared" si="1"/>
        <v>279.623767805533</v>
      </c>
      <c r="J33" s="18">
        <f t="shared" si="2"/>
        <v>0.0397757634840969</v>
      </c>
      <c r="K33" s="18">
        <f t="shared" si="3"/>
        <v>99.5111666666667</v>
      </c>
      <c r="L33" s="18">
        <f t="shared" si="4"/>
        <v>0.995111666666667</v>
      </c>
      <c r="M33" s="13" t="s">
        <v>110</v>
      </c>
      <c r="N33" s="13"/>
      <c r="O33" s="18">
        <f t="shared" si="19"/>
        <v>3.12073147434229</v>
      </c>
      <c r="P33" s="18">
        <f t="shared" si="5"/>
        <v>0.124129477020816</v>
      </c>
      <c r="Q33" s="24">
        <f t="shared" si="6"/>
        <v>0.0169643618595115</v>
      </c>
      <c r="R33" s="18">
        <f t="shared" si="7"/>
        <v>0.135998594444444</v>
      </c>
      <c r="S33" s="25">
        <f t="shared" si="8"/>
        <v>0.12473924402536</v>
      </c>
      <c r="T33" s="3">
        <v>0.01</v>
      </c>
      <c r="U33" s="26">
        <f t="shared" si="9"/>
        <v>0.0012473924402536</v>
      </c>
      <c r="V33" s="25"/>
      <c r="W33" s="3"/>
      <c r="X33" s="26"/>
      <c r="Y33" s="28">
        <v>0.02</v>
      </c>
      <c r="Z33" s="3">
        <v>0.21</v>
      </c>
      <c r="AA33" s="27">
        <f t="shared" si="10"/>
        <v>0.0042</v>
      </c>
      <c r="AB33" s="3">
        <v>0.01</v>
      </c>
      <c r="AC33" s="3">
        <v>0.29</v>
      </c>
      <c r="AD33" s="27">
        <f t="shared" si="11"/>
        <v>0.0029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0.0231473924402536</v>
      </c>
      <c r="AR33" s="29">
        <f t="shared" si="15"/>
        <v>99.5111666666667</v>
      </c>
      <c r="AS33" s="1">
        <f t="shared" si="16"/>
        <v>0.136666666666667</v>
      </c>
      <c r="AT33" s="2">
        <f t="shared" si="20"/>
        <v>64.0620767517454</v>
      </c>
      <c r="AU33" s="1">
        <f t="shared" si="17"/>
        <v>135117.720783109</v>
      </c>
    </row>
    <row r="34" s="1" customFormat="1" spans="1:47">
      <c r="A34" s="13"/>
      <c r="B34" s="13"/>
      <c r="C34" s="16">
        <v>7</v>
      </c>
      <c r="D34" s="19">
        <v>8.23428274209677</v>
      </c>
      <c r="E34" s="20">
        <f t="shared" si="18"/>
        <v>6.47376780553333</v>
      </c>
      <c r="F34" s="16" t="s">
        <v>110</v>
      </c>
      <c r="G34" s="13">
        <v>8</v>
      </c>
      <c r="H34" s="18">
        <f t="shared" si="0"/>
        <v>8.23428274209677</v>
      </c>
      <c r="I34" s="18">
        <f t="shared" si="1"/>
        <v>281.384282742097</v>
      </c>
      <c r="J34" s="18">
        <f t="shared" si="2"/>
        <v>0.0494578012535669</v>
      </c>
      <c r="K34" s="18">
        <f t="shared" si="3"/>
        <v>99.5111666666667</v>
      </c>
      <c r="L34" s="18">
        <f t="shared" si="4"/>
        <v>0.995111666666667</v>
      </c>
      <c r="M34" s="13" t="s">
        <v>110</v>
      </c>
      <c r="N34" s="13"/>
      <c r="O34" s="18">
        <f t="shared" si="19"/>
        <v>3.99171366398814</v>
      </c>
      <c r="P34" s="18">
        <f t="shared" si="5"/>
        <v>0.197421381054673</v>
      </c>
      <c r="Q34" s="24">
        <f t="shared" si="6"/>
        <v>0.0269809220774719</v>
      </c>
      <c r="R34" s="18">
        <f t="shared" si="7"/>
        <v>0.135998594444444</v>
      </c>
      <c r="S34" s="25">
        <f t="shared" si="8"/>
        <v>0.198391183288984</v>
      </c>
      <c r="T34" s="3">
        <v>0.01</v>
      </c>
      <c r="U34" s="26">
        <f t="shared" si="9"/>
        <v>0.00198391183288984</v>
      </c>
      <c r="V34" s="25"/>
      <c r="W34" s="3"/>
      <c r="X34" s="26"/>
      <c r="Y34" s="28">
        <v>0.02</v>
      </c>
      <c r="Z34" s="3">
        <v>0.21</v>
      </c>
      <c r="AA34" s="27">
        <f t="shared" si="10"/>
        <v>0.0042</v>
      </c>
      <c r="AB34" s="3">
        <v>0.01</v>
      </c>
      <c r="AC34" s="3">
        <v>0.29</v>
      </c>
      <c r="AD34" s="27">
        <f t="shared" si="11"/>
        <v>0.0029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0.0238839118328898</v>
      </c>
      <c r="AR34" s="29">
        <f t="shared" si="15"/>
        <v>99.5111666666667</v>
      </c>
      <c r="AS34" s="1">
        <f t="shared" si="16"/>
        <v>0.136666666666667</v>
      </c>
      <c r="AT34" s="2">
        <f t="shared" si="20"/>
        <v>64.0620767517454</v>
      </c>
      <c r="AU34" s="1">
        <f t="shared" si="17"/>
        <v>139416.987834568</v>
      </c>
    </row>
    <row r="35" s="1" customFormat="1" spans="1:47">
      <c r="A35" s="13"/>
      <c r="B35" s="13"/>
      <c r="C35" s="16">
        <v>8</v>
      </c>
      <c r="D35" s="19">
        <v>8.19953793025806</v>
      </c>
      <c r="E35" s="20">
        <f t="shared" si="18"/>
        <v>8.23428274209677</v>
      </c>
      <c r="F35" s="16" t="s">
        <v>110</v>
      </c>
      <c r="G35" s="13">
        <v>9</v>
      </c>
      <c r="H35" s="18">
        <f t="shared" si="0"/>
        <v>8.19953793025806</v>
      </c>
      <c r="I35" s="18">
        <f t="shared" si="1"/>
        <v>281.349537930258</v>
      </c>
      <c r="J35" s="18">
        <f t="shared" si="2"/>
        <v>0.0492469059565592</v>
      </c>
      <c r="K35" s="18">
        <f t="shared" si="3"/>
        <v>99.5111666666667</v>
      </c>
      <c r="L35" s="18">
        <f t="shared" si="4"/>
        <v>0.995111666666667</v>
      </c>
      <c r="M35" s="13" t="s">
        <v>110</v>
      </c>
      <c r="N35" s="13"/>
      <c r="O35" s="18">
        <f t="shared" si="19"/>
        <v>4.78940394960013</v>
      </c>
      <c r="P35" s="18">
        <f t="shared" si="5"/>
        <v>0.235863325893931</v>
      </c>
      <c r="Q35" s="24">
        <f t="shared" si="6"/>
        <v>0.0322346545388372</v>
      </c>
      <c r="R35" s="18">
        <f t="shared" si="7"/>
        <v>0.135998594444444</v>
      </c>
      <c r="S35" s="25">
        <f t="shared" si="8"/>
        <v>0.237021968282217</v>
      </c>
      <c r="T35" s="3">
        <v>0.01</v>
      </c>
      <c r="U35" s="26">
        <f t="shared" si="9"/>
        <v>0.00237021968282217</v>
      </c>
      <c r="V35" s="25"/>
      <c r="W35" s="3"/>
      <c r="X35" s="26"/>
      <c r="Y35" s="28">
        <v>0.02</v>
      </c>
      <c r="Z35" s="3">
        <v>0.21</v>
      </c>
      <c r="AA35" s="27">
        <f t="shared" si="10"/>
        <v>0.0042</v>
      </c>
      <c r="AB35" s="3">
        <v>0.01</v>
      </c>
      <c r="AC35" s="3">
        <v>0.29</v>
      </c>
      <c r="AD35" s="27">
        <f t="shared" si="11"/>
        <v>0.0029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0.0242702196828222</v>
      </c>
      <c r="AR35" s="29">
        <f t="shared" si="15"/>
        <v>99.5111666666667</v>
      </c>
      <c r="AS35" s="1">
        <f t="shared" si="16"/>
        <v>0.136666666666667</v>
      </c>
      <c r="AT35" s="2">
        <f t="shared" si="20"/>
        <v>64.0620767517454</v>
      </c>
      <c r="AU35" s="1">
        <f t="shared" si="17"/>
        <v>141671.973416128</v>
      </c>
    </row>
    <row r="36" s="1" customFormat="1" spans="1:47">
      <c r="A36" s="13"/>
      <c r="B36" s="13"/>
      <c r="C36" s="16">
        <v>9</v>
      </c>
      <c r="D36" s="19">
        <v>4.49274169056667</v>
      </c>
      <c r="E36" s="20">
        <f t="shared" si="18"/>
        <v>8.19953793025806</v>
      </c>
      <c r="F36" s="16" t="s">
        <v>110</v>
      </c>
      <c r="G36" s="13">
        <v>10</v>
      </c>
      <c r="H36" s="18">
        <f t="shared" si="0"/>
        <v>4.49274169056667</v>
      </c>
      <c r="I36" s="18">
        <f t="shared" si="1"/>
        <v>277.642741690567</v>
      </c>
      <c r="J36" s="18">
        <f t="shared" si="2"/>
        <v>0.0310253315721612</v>
      </c>
      <c r="K36" s="18">
        <f t="shared" si="3"/>
        <v>99.5111666666667</v>
      </c>
      <c r="L36" s="18">
        <f t="shared" si="4"/>
        <v>0.995111666666667</v>
      </c>
      <c r="M36" s="13" t="s">
        <v>110</v>
      </c>
      <c r="N36" s="13"/>
      <c r="O36" s="18">
        <f t="shared" si="19"/>
        <v>5.54865229037287</v>
      </c>
      <c r="P36" s="18">
        <f t="shared" si="5"/>
        <v>0.17214877708745</v>
      </c>
      <c r="Q36" s="24">
        <f t="shared" si="6"/>
        <v>0.0235269995352848</v>
      </c>
      <c r="R36" s="18">
        <f t="shared" si="7"/>
        <v>0.135998594444444</v>
      </c>
      <c r="S36" s="25">
        <f t="shared" si="8"/>
        <v>0.172994431533597</v>
      </c>
      <c r="T36" s="3">
        <v>0.01</v>
      </c>
      <c r="U36" s="26">
        <f t="shared" si="9"/>
        <v>0.00172994431533597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0.023629944315336</v>
      </c>
      <c r="AR36" s="29">
        <f t="shared" si="15"/>
        <v>99.5111666666667</v>
      </c>
      <c r="AS36" s="1">
        <f t="shared" si="16"/>
        <v>0.136666666666667</v>
      </c>
      <c r="AT36" s="2">
        <f t="shared" si="20"/>
        <v>64.0620767517454</v>
      </c>
      <c r="AU36" s="1">
        <f t="shared" si="17"/>
        <v>137934.509312921</v>
      </c>
    </row>
    <row r="37" s="1" customFormat="1" spans="1:47">
      <c r="A37" s="13"/>
      <c r="B37" s="13"/>
      <c r="C37" s="16">
        <v>10</v>
      </c>
      <c r="D37" s="19">
        <v>-0.966232004645161</v>
      </c>
      <c r="E37" s="20">
        <f t="shared" si="18"/>
        <v>4.49274169056667</v>
      </c>
      <c r="F37" s="16" t="s">
        <v>110</v>
      </c>
      <c r="G37" s="13">
        <v>11</v>
      </c>
      <c r="H37" s="18">
        <f t="shared" si="0"/>
        <v>-0.966232004645161</v>
      </c>
      <c r="I37" s="18">
        <f t="shared" si="1"/>
        <v>272.183767995355</v>
      </c>
      <c r="J37" s="18">
        <f t="shared" si="2"/>
        <v>0.0153550302204193</v>
      </c>
      <c r="K37" s="18">
        <f t="shared" si="3"/>
        <v>99.5111666666667</v>
      </c>
      <c r="L37" s="18">
        <f t="shared" si="4"/>
        <v>0.995111666666667</v>
      </c>
      <c r="M37" s="13" t="s">
        <v>112</v>
      </c>
      <c r="N37" s="18">
        <f>(O36-P36)*C22/100</f>
        <v>5.10767833762115</v>
      </c>
      <c r="O37" s="18">
        <f t="shared" si="19"/>
        <v>1.26393684233094</v>
      </c>
      <c r="P37" s="18">
        <f t="shared" si="5"/>
        <v>0.0194077884106929</v>
      </c>
      <c r="Q37" s="24">
        <f t="shared" si="6"/>
        <v>0.00265239774946136</v>
      </c>
      <c r="R37" s="18">
        <f t="shared" si="7"/>
        <v>0.135998594444444</v>
      </c>
      <c r="S37" s="25">
        <f t="shared" si="8"/>
        <v>0.0195031261925642</v>
      </c>
      <c r="T37" s="3">
        <v>0.01</v>
      </c>
      <c r="U37" s="26">
        <f t="shared" si="9"/>
        <v>0.000195031261925642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0.0220950312619256</v>
      </c>
      <c r="AR37" s="29">
        <f t="shared" si="15"/>
        <v>99.5111666666667</v>
      </c>
      <c r="AS37" s="1">
        <f t="shared" si="16"/>
        <v>0.136666666666667</v>
      </c>
      <c r="AT37" s="2">
        <f t="shared" si="20"/>
        <v>64.0620767517454</v>
      </c>
      <c r="AU37" s="1">
        <f t="shared" si="17"/>
        <v>128974.798023091</v>
      </c>
    </row>
    <row r="38" s="1" customFormat="1" spans="1:48">
      <c r="A38" s="13"/>
      <c r="B38" s="13"/>
      <c r="C38" s="16">
        <v>11</v>
      </c>
      <c r="D38" s="19">
        <v>-6.20024615973333</v>
      </c>
      <c r="E38" s="20">
        <f t="shared" si="18"/>
        <v>-0.966232004645161</v>
      </c>
      <c r="F38" s="16" t="s">
        <v>112</v>
      </c>
      <c r="G38" s="13">
        <v>12</v>
      </c>
      <c r="H38" s="18">
        <f t="shared" si="0"/>
        <v>-6.20024615973333</v>
      </c>
      <c r="I38" s="18">
        <f t="shared" si="1"/>
        <v>266.949753840267</v>
      </c>
      <c r="J38" s="18">
        <f t="shared" si="2"/>
        <v>0.00761449894901156</v>
      </c>
      <c r="K38" s="18">
        <f t="shared" si="3"/>
        <v>99.5111666666667</v>
      </c>
      <c r="L38" s="18">
        <f t="shared" si="4"/>
        <v>0.995111666666667</v>
      </c>
      <c r="M38" s="13" t="s">
        <v>110</v>
      </c>
      <c r="N38" s="13"/>
      <c r="O38" s="18">
        <f t="shared" si="19"/>
        <v>2.23964072058691</v>
      </c>
      <c r="P38" s="18">
        <f t="shared" si="5"/>
        <v>0.0170537419130725</v>
      </c>
      <c r="Q38" s="24">
        <f t="shared" si="6"/>
        <v>0.00233067806145325</v>
      </c>
      <c r="R38" s="18">
        <f t="shared" si="7"/>
        <v>0.135998594444444</v>
      </c>
      <c r="S38" s="25">
        <f t="shared" si="8"/>
        <v>0.017137515802822</v>
      </c>
      <c r="T38" s="3">
        <v>0.01</v>
      </c>
      <c r="U38" s="26">
        <f t="shared" si="9"/>
        <v>0.00017137515802822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0.0220713751580282</v>
      </c>
      <c r="AR38" s="29">
        <f t="shared" si="15"/>
        <v>99.5111666666667</v>
      </c>
      <c r="AS38" s="1">
        <f t="shared" si="16"/>
        <v>0.136666666666667</v>
      </c>
      <c r="AT38" s="2">
        <f t="shared" si="20"/>
        <v>64.0620767517454</v>
      </c>
      <c r="AU38" s="1">
        <f t="shared" si="17"/>
        <v>128836.710813075</v>
      </c>
      <c r="AV38" s="1">
        <f>SUM(AU27:AU38)</f>
        <v>1585474.05415925</v>
      </c>
    </row>
    <row r="39" s="1" customFormat="1" spans="1:46">
      <c r="A39" s="13"/>
      <c r="B39" s="13"/>
      <c r="C39" s="16">
        <v>12</v>
      </c>
      <c r="D39" s="19">
        <v>-7.94472533245161</v>
      </c>
      <c r="E39" s="20">
        <f t="shared" si="18"/>
        <v>-6.20024615973333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-11</v>
      </c>
      <c r="E42" s="16"/>
      <c r="F42" s="16"/>
      <c r="G42" s="13">
        <v>1</v>
      </c>
      <c r="H42" s="18">
        <f t="shared" ref="H42:H53" si="21">E43</f>
        <v>-11</v>
      </c>
      <c r="I42" s="18">
        <f t="shared" ref="I42:I53" si="22">H42+273.15</f>
        <v>262.15</v>
      </c>
      <c r="J42" s="18">
        <f t="shared" ref="J42:J53" si="23">EXP(($C$16*(I42-$C$14))/($C$17*I42*$C$14))</f>
        <v>0.00390493234587267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0.000301035302181184</v>
      </c>
      <c r="Q42" s="24">
        <f t="shared" ref="Q42:Q53" si="27">P42*$B$44</f>
        <v>5.56915309035191e-5</v>
      </c>
      <c r="R42" s="18">
        <f t="shared" ref="R42:R53" si="28">L42*$B$44</f>
        <v>0.0142618427083333</v>
      </c>
      <c r="S42" s="25">
        <f t="shared" ref="S42:S53" si="29">Q42/R42</f>
        <v>0.00390493234587267</v>
      </c>
      <c r="T42" s="3">
        <v>0.01</v>
      </c>
      <c r="U42" s="26">
        <f t="shared" ref="U42:U53" si="30">S42*T42</f>
        <v>3.90493234587267e-5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0.0148390493234587</v>
      </c>
      <c r="AR42" s="29">
        <f t="shared" ref="AR42:AR53" si="34">$B$42/12</f>
        <v>7.70910416666667</v>
      </c>
      <c r="AS42" s="1">
        <f t="shared" ref="AS42:AS53" si="35">$B$44</f>
        <v>0.185</v>
      </c>
      <c r="AT42" s="2">
        <f t="shared" ref="AT42:AT53" si="36">$E$5/12</f>
        <v>110.903452054794</v>
      </c>
      <c r="AU42" s="1">
        <f t="shared" ref="AU42:AU53" si="37">AT42*10000*AS42*0.67*AR42*AQ42</f>
        <v>15725.3958989729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-14.3410731177419</v>
      </c>
      <c r="E43" s="20">
        <f t="shared" ref="E43:E54" si="38">D42</f>
        <v>-11</v>
      </c>
      <c r="F43" s="16" t="s">
        <v>110</v>
      </c>
      <c r="G43" s="13">
        <v>2</v>
      </c>
      <c r="H43" s="18">
        <f t="shared" si="21"/>
        <v>-14.3410731177419</v>
      </c>
      <c r="I43" s="18">
        <f t="shared" si="22"/>
        <v>258.808926882258</v>
      </c>
      <c r="J43" s="18">
        <f t="shared" si="23"/>
        <v>0.00241755839271854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0.153881048031152</v>
      </c>
      <c r="P43" s="18">
        <f t="shared" si="26"/>
        <v>0.000372016419148037</v>
      </c>
      <c r="Q43" s="24">
        <f t="shared" si="27"/>
        <v>6.88230375423868e-5</v>
      </c>
      <c r="R43" s="18">
        <f t="shared" si="28"/>
        <v>0.0142618427083333</v>
      </c>
      <c r="S43" s="25">
        <f t="shared" si="29"/>
        <v>0.00482567638347132</v>
      </c>
      <c r="T43" s="3">
        <v>0.01</v>
      </c>
      <c r="U43" s="26">
        <f t="shared" si="30"/>
        <v>4.82567638347132e-5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0.0148482567638347</v>
      </c>
      <c r="AR43" s="29">
        <f t="shared" si="34"/>
        <v>7.70910416666667</v>
      </c>
      <c r="AS43" s="1">
        <f t="shared" si="35"/>
        <v>0.185</v>
      </c>
      <c r="AT43" s="2">
        <f t="shared" si="36"/>
        <v>110.903452054794</v>
      </c>
      <c r="AU43" s="1">
        <f t="shared" si="37"/>
        <v>15735.1533060663</v>
      </c>
    </row>
    <row r="44" s="1" customFormat="1" spans="1:47">
      <c r="A44" s="13" t="s">
        <v>73</v>
      </c>
      <c r="B44" s="13">
        <f>I5</f>
        <v>0.185</v>
      </c>
      <c r="C44" s="16">
        <v>2</v>
      </c>
      <c r="D44" s="19">
        <v>-10.0816487995172</v>
      </c>
      <c r="E44" s="20">
        <f t="shared" si="38"/>
        <v>-14.3410731177419</v>
      </c>
      <c r="F44" s="16" t="s">
        <v>110</v>
      </c>
      <c r="G44" s="13">
        <v>3</v>
      </c>
      <c r="H44" s="18">
        <f t="shared" si="21"/>
        <v>-10.0816487995172</v>
      </c>
      <c r="I44" s="18">
        <f t="shared" si="22"/>
        <v>263.068351200483</v>
      </c>
      <c r="J44" s="18">
        <f t="shared" si="23"/>
        <v>0.00444553615796946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0.230600073278671</v>
      </c>
      <c r="P44" s="18">
        <f t="shared" si="26"/>
        <v>0.00102514096379074</v>
      </c>
      <c r="Q44" s="24">
        <f t="shared" si="27"/>
        <v>0.000189651078301287</v>
      </c>
      <c r="R44" s="18">
        <f t="shared" si="28"/>
        <v>0.0142618427083333</v>
      </c>
      <c r="S44" s="25">
        <f t="shared" si="29"/>
        <v>0.013297796237121</v>
      </c>
      <c r="T44" s="3">
        <v>0.01</v>
      </c>
      <c r="U44" s="26">
        <f t="shared" si="30"/>
        <v>0.00013297796237121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0.0149329779623712</v>
      </c>
      <c r="AR44" s="29">
        <f t="shared" si="34"/>
        <v>7.70910416666667</v>
      </c>
      <c r="AS44" s="1">
        <f t="shared" si="35"/>
        <v>0.185</v>
      </c>
      <c r="AT44" s="2">
        <f t="shared" si="36"/>
        <v>110.903452054794</v>
      </c>
      <c r="AU44" s="1">
        <f t="shared" si="37"/>
        <v>15824.9349597951</v>
      </c>
    </row>
    <row r="45" s="1" customFormat="1" spans="1:47">
      <c r="A45" s="13"/>
      <c r="B45" s="13"/>
      <c r="C45" s="16">
        <v>3</v>
      </c>
      <c r="D45" s="19">
        <v>-6.78978804112903</v>
      </c>
      <c r="E45" s="20">
        <f t="shared" si="38"/>
        <v>-10.0816487995172</v>
      </c>
      <c r="F45" s="16" t="s">
        <v>110</v>
      </c>
      <c r="G45" s="13">
        <v>4</v>
      </c>
      <c r="H45" s="18">
        <f t="shared" si="21"/>
        <v>-6.78978804112903</v>
      </c>
      <c r="I45" s="18">
        <f t="shared" si="22"/>
        <v>266.360211958871</v>
      </c>
      <c r="J45" s="18">
        <f t="shared" si="23"/>
        <v>0.00702394354293763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0.306665973981547</v>
      </c>
      <c r="P45" s="18">
        <f t="shared" si="26"/>
        <v>0.00215400448778636</v>
      </c>
      <c r="Q45" s="24">
        <f t="shared" si="27"/>
        <v>0.000398490830240477</v>
      </c>
      <c r="R45" s="18">
        <f t="shared" si="28"/>
        <v>0.0142618427083333</v>
      </c>
      <c r="S45" s="25">
        <f t="shared" si="29"/>
        <v>0.0279410478989251</v>
      </c>
      <c r="T45" s="3">
        <v>0.01</v>
      </c>
      <c r="U45" s="26">
        <f t="shared" si="30"/>
        <v>0.000279410478989251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0.0150794104789893</v>
      </c>
      <c r="AR45" s="29">
        <f t="shared" si="34"/>
        <v>7.70910416666667</v>
      </c>
      <c r="AS45" s="1">
        <f t="shared" si="35"/>
        <v>0.185</v>
      </c>
      <c r="AT45" s="2">
        <f t="shared" si="36"/>
        <v>110.903452054794</v>
      </c>
      <c r="AU45" s="1">
        <f t="shared" si="37"/>
        <v>15980.1139908844</v>
      </c>
    </row>
    <row r="46" s="1" customFormat="1" spans="1:47">
      <c r="A46" s="13"/>
      <c r="B46" s="13"/>
      <c r="C46" s="16">
        <v>4</v>
      </c>
      <c r="D46" s="19">
        <v>-2.29856562943333</v>
      </c>
      <c r="E46" s="20">
        <f t="shared" si="38"/>
        <v>-6.78978804112903</v>
      </c>
      <c r="F46" s="16" t="s">
        <v>110</v>
      </c>
      <c r="G46" s="13">
        <v>5</v>
      </c>
      <c r="H46" s="18">
        <f t="shared" si="21"/>
        <v>-2.29856562943333</v>
      </c>
      <c r="I46" s="18">
        <f t="shared" si="22"/>
        <v>270.851434370567</v>
      </c>
      <c r="J46" s="18">
        <f t="shared" si="23"/>
        <v>0.0128774077133337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0.289286371019072</v>
      </c>
      <c r="O46" s="18">
        <f t="shared" si="39"/>
        <v>0.0923166401413547</v>
      </c>
      <c r="P46" s="18">
        <f t="shared" si="26"/>
        <v>0.00118879901382533</v>
      </c>
      <c r="Q46" s="24">
        <f t="shared" si="27"/>
        <v>0.000219927817557687</v>
      </c>
      <c r="R46" s="18">
        <f t="shared" si="28"/>
        <v>0.0142618427083333</v>
      </c>
      <c r="S46" s="25">
        <f t="shared" si="29"/>
        <v>0.0154207154051125</v>
      </c>
      <c r="T46" s="3">
        <v>0.01</v>
      </c>
      <c r="U46" s="26">
        <f t="shared" si="30"/>
        <v>0.000154207154051125</v>
      </c>
      <c r="V46" s="25"/>
      <c r="W46" s="3"/>
      <c r="X46" s="26"/>
      <c r="Y46" s="28">
        <v>0.02</v>
      </c>
      <c r="Z46" s="3">
        <v>0.49</v>
      </c>
      <c r="AA46" s="27">
        <f t="shared" si="31"/>
        <v>0.0098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</v>
      </c>
      <c r="AO46" s="3">
        <v>0.5</v>
      </c>
      <c r="AP46" s="3">
        <f t="shared" si="32"/>
        <v>0.005</v>
      </c>
      <c r="AQ46" s="1">
        <f t="shared" si="33"/>
        <v>0.0149542071540511</v>
      </c>
      <c r="AR46" s="29">
        <f t="shared" si="34"/>
        <v>7.70910416666667</v>
      </c>
      <c r="AS46" s="1">
        <f t="shared" si="35"/>
        <v>0.185</v>
      </c>
      <c r="AT46" s="2">
        <f t="shared" si="36"/>
        <v>110.903452054794</v>
      </c>
      <c r="AU46" s="1">
        <f t="shared" si="37"/>
        <v>15847.4321856284</v>
      </c>
    </row>
    <row r="47" s="1" customFormat="1" spans="1:47">
      <c r="A47" s="13"/>
      <c r="B47" s="13"/>
      <c r="C47" s="16">
        <v>5</v>
      </c>
      <c r="D47" s="19">
        <v>1.46989194229032</v>
      </c>
      <c r="E47" s="20">
        <f t="shared" si="38"/>
        <v>-2.29856562943333</v>
      </c>
      <c r="F47" s="16" t="s">
        <v>112</v>
      </c>
      <c r="G47" s="13">
        <v>6</v>
      </c>
      <c r="H47" s="18">
        <f t="shared" si="21"/>
        <v>1.46989194229032</v>
      </c>
      <c r="I47" s="18">
        <f t="shared" si="22"/>
        <v>274.61989194229</v>
      </c>
      <c r="J47" s="18">
        <f t="shared" si="23"/>
        <v>0.021089605370086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0.168218882794196</v>
      </c>
      <c r="P47" s="18">
        <f t="shared" si="26"/>
        <v>0.00354766985392634</v>
      </c>
      <c r="Q47" s="24">
        <f t="shared" si="27"/>
        <v>0.000656318922976374</v>
      </c>
      <c r="R47" s="18">
        <f t="shared" si="28"/>
        <v>0.0142618427083333</v>
      </c>
      <c r="S47" s="25">
        <f t="shared" si="29"/>
        <v>0.0460192232096965</v>
      </c>
      <c r="T47" s="3">
        <v>0.01</v>
      </c>
      <c r="U47" s="26">
        <f t="shared" si="30"/>
        <v>0.000460192232096965</v>
      </c>
      <c r="V47" s="25"/>
      <c r="W47" s="3"/>
      <c r="X47" s="26"/>
      <c r="Y47" s="28">
        <v>0.02</v>
      </c>
      <c r="Z47" s="3">
        <v>0.49</v>
      </c>
      <c r="AA47" s="27">
        <f t="shared" si="31"/>
        <v>0.0098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</v>
      </c>
      <c r="AO47" s="3">
        <v>0.5</v>
      </c>
      <c r="AP47" s="3">
        <f t="shared" si="32"/>
        <v>0.005</v>
      </c>
      <c r="AQ47" s="1">
        <f t="shared" si="33"/>
        <v>0.015260192232097</v>
      </c>
      <c r="AR47" s="29">
        <f t="shared" si="34"/>
        <v>7.70910416666667</v>
      </c>
      <c r="AS47" s="1">
        <f t="shared" si="35"/>
        <v>0.185</v>
      </c>
      <c r="AT47" s="2">
        <f t="shared" si="36"/>
        <v>110.903452054794</v>
      </c>
      <c r="AU47" s="1">
        <f t="shared" si="37"/>
        <v>16171.6939618759</v>
      </c>
    </row>
    <row r="48" s="1" customFormat="1" spans="1:47">
      <c r="A48" s="13"/>
      <c r="B48" s="13"/>
      <c r="C48" s="16">
        <v>6</v>
      </c>
      <c r="D48" s="19">
        <v>6.47376780553333</v>
      </c>
      <c r="E48" s="20">
        <f t="shared" si="38"/>
        <v>1.46989194229032</v>
      </c>
      <c r="F48" s="16" t="s">
        <v>110</v>
      </c>
      <c r="G48" s="13">
        <v>7</v>
      </c>
      <c r="H48" s="18">
        <f t="shared" si="21"/>
        <v>6.47376780553333</v>
      </c>
      <c r="I48" s="18">
        <f t="shared" si="22"/>
        <v>279.623767805533</v>
      </c>
      <c r="J48" s="18">
        <f t="shared" si="23"/>
        <v>0.0397757634840969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0.241762254606936</v>
      </c>
      <c r="P48" s="18">
        <f t="shared" si="26"/>
        <v>0.00961627825862752</v>
      </c>
      <c r="Q48" s="24">
        <f t="shared" si="27"/>
        <v>0.00177901147784609</v>
      </c>
      <c r="R48" s="18">
        <f t="shared" si="28"/>
        <v>0.0142618427083333</v>
      </c>
      <c r="S48" s="25">
        <f t="shared" si="29"/>
        <v>0.12473924402536</v>
      </c>
      <c r="T48" s="3">
        <v>0.01</v>
      </c>
      <c r="U48" s="26">
        <f t="shared" si="30"/>
        <v>0.0012473924402536</v>
      </c>
      <c r="V48" s="25"/>
      <c r="W48" s="3"/>
      <c r="X48" s="26"/>
      <c r="Y48" s="28">
        <v>0.02</v>
      </c>
      <c r="Z48" s="3">
        <v>0.49</v>
      </c>
      <c r="AA48" s="27">
        <f t="shared" si="31"/>
        <v>0.0098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</v>
      </c>
      <c r="AO48" s="3">
        <v>0.5</v>
      </c>
      <c r="AP48" s="3">
        <f t="shared" si="32"/>
        <v>0.005</v>
      </c>
      <c r="AQ48" s="1">
        <f t="shared" si="33"/>
        <v>0.0160473924402536</v>
      </c>
      <c r="AR48" s="29">
        <f t="shared" si="34"/>
        <v>7.70910416666667</v>
      </c>
      <c r="AS48" s="1">
        <f t="shared" si="35"/>
        <v>0.185</v>
      </c>
      <c r="AT48" s="2">
        <f t="shared" si="36"/>
        <v>110.903452054794</v>
      </c>
      <c r="AU48" s="1">
        <f t="shared" si="37"/>
        <v>17005.9141774154</v>
      </c>
    </row>
    <row r="49" s="1" customFormat="1" spans="1:47">
      <c r="A49" s="13"/>
      <c r="B49" s="13"/>
      <c r="C49" s="16">
        <v>7</v>
      </c>
      <c r="D49" s="19">
        <v>8.23428274209677</v>
      </c>
      <c r="E49" s="20">
        <f t="shared" si="38"/>
        <v>6.47376780553333</v>
      </c>
      <c r="F49" s="16" t="s">
        <v>110</v>
      </c>
      <c r="G49" s="13">
        <v>8</v>
      </c>
      <c r="H49" s="18">
        <f t="shared" si="21"/>
        <v>8.23428274209677</v>
      </c>
      <c r="I49" s="18">
        <f t="shared" si="22"/>
        <v>281.384282742097</v>
      </c>
      <c r="J49" s="18">
        <f t="shared" si="23"/>
        <v>0.0494578012535669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0.309237018014975</v>
      </c>
      <c r="P49" s="18">
        <f t="shared" si="26"/>
        <v>0.0152941829772303</v>
      </c>
      <c r="Q49" s="24">
        <f t="shared" si="27"/>
        <v>0.00282942385078761</v>
      </c>
      <c r="R49" s="18">
        <f t="shared" si="28"/>
        <v>0.0142618427083333</v>
      </c>
      <c r="S49" s="25">
        <f t="shared" si="29"/>
        <v>0.198391183288984</v>
      </c>
      <c r="T49" s="3">
        <v>0.01</v>
      </c>
      <c r="U49" s="26">
        <f t="shared" si="30"/>
        <v>0.00198391183288984</v>
      </c>
      <c r="V49" s="25"/>
      <c r="W49" s="3"/>
      <c r="X49" s="26"/>
      <c r="Y49" s="28">
        <v>0.02</v>
      </c>
      <c r="Z49" s="3">
        <v>0.49</v>
      </c>
      <c r="AA49" s="27">
        <f t="shared" si="31"/>
        <v>0.0098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</v>
      </c>
      <c r="AO49" s="3">
        <v>0.5</v>
      </c>
      <c r="AP49" s="3">
        <f t="shared" si="32"/>
        <v>0.005</v>
      </c>
      <c r="AQ49" s="1">
        <f t="shared" si="33"/>
        <v>0.0167839118328898</v>
      </c>
      <c r="AR49" s="29">
        <f t="shared" si="34"/>
        <v>7.70910416666667</v>
      </c>
      <c r="AS49" s="1">
        <f t="shared" si="35"/>
        <v>0.185</v>
      </c>
      <c r="AT49" s="2">
        <f t="shared" si="36"/>
        <v>110.903452054794</v>
      </c>
      <c r="AU49" s="1">
        <f t="shared" si="37"/>
        <v>17786.4263776253</v>
      </c>
    </row>
    <row r="50" s="1" customFormat="1" spans="1:47">
      <c r="A50" s="13"/>
      <c r="B50" s="13"/>
      <c r="C50" s="16">
        <v>8</v>
      </c>
      <c r="D50" s="19">
        <v>8.19953793025806</v>
      </c>
      <c r="E50" s="20">
        <f t="shared" si="38"/>
        <v>8.23428274209677</v>
      </c>
      <c r="F50" s="16" t="s">
        <v>110</v>
      </c>
      <c r="G50" s="13">
        <v>9</v>
      </c>
      <c r="H50" s="18">
        <f t="shared" si="21"/>
        <v>8.19953793025806</v>
      </c>
      <c r="I50" s="18">
        <f t="shared" si="22"/>
        <v>281.349537930258</v>
      </c>
      <c r="J50" s="18">
        <f t="shared" si="23"/>
        <v>0.0492469059565592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0.371033876704412</v>
      </c>
      <c r="P50" s="18">
        <f t="shared" si="26"/>
        <v>0.0182722704327598</v>
      </c>
      <c r="Q50" s="24">
        <f t="shared" si="27"/>
        <v>0.00338037003006055</v>
      </c>
      <c r="R50" s="18">
        <f t="shared" si="28"/>
        <v>0.0142618427083333</v>
      </c>
      <c r="S50" s="25">
        <f t="shared" si="29"/>
        <v>0.237021968282217</v>
      </c>
      <c r="T50" s="3">
        <v>0.01</v>
      </c>
      <c r="U50" s="26">
        <f t="shared" si="30"/>
        <v>0.00237021968282217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0.0171702196828222</v>
      </c>
      <c r="AR50" s="29">
        <f t="shared" si="34"/>
        <v>7.70910416666667</v>
      </c>
      <c r="AS50" s="1">
        <f t="shared" si="35"/>
        <v>0.185</v>
      </c>
      <c r="AT50" s="2">
        <f t="shared" si="36"/>
        <v>110.903452054794</v>
      </c>
      <c r="AU50" s="1">
        <f t="shared" si="37"/>
        <v>18195.8086599163</v>
      </c>
    </row>
    <row r="51" s="1" customFormat="1" spans="1:47">
      <c r="A51" s="13"/>
      <c r="B51" s="13"/>
      <c r="C51" s="16">
        <v>9</v>
      </c>
      <c r="D51" s="19">
        <v>4.49274169056667</v>
      </c>
      <c r="E51" s="20">
        <f t="shared" si="38"/>
        <v>8.19953793025806</v>
      </c>
      <c r="F51" s="16" t="s">
        <v>110</v>
      </c>
      <c r="G51" s="13">
        <v>10</v>
      </c>
      <c r="H51" s="18">
        <f t="shared" si="21"/>
        <v>4.49274169056667</v>
      </c>
      <c r="I51" s="18">
        <f t="shared" si="22"/>
        <v>277.642741690567</v>
      </c>
      <c r="J51" s="18">
        <f t="shared" si="23"/>
        <v>0.0310253315721612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0.429852647938319</v>
      </c>
      <c r="P51" s="18">
        <f t="shared" si="26"/>
        <v>0.0133363209294578</v>
      </c>
      <c r="Q51" s="24">
        <f t="shared" si="27"/>
        <v>0.0024672193719497</v>
      </c>
      <c r="R51" s="18">
        <f t="shared" si="28"/>
        <v>0.0142618427083333</v>
      </c>
      <c r="S51" s="25">
        <f t="shared" si="29"/>
        <v>0.172994431533597</v>
      </c>
      <c r="T51" s="3">
        <v>0.01</v>
      </c>
      <c r="U51" s="26">
        <f t="shared" si="30"/>
        <v>0.00172994431533597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0.016529944315336</v>
      </c>
      <c r="AR51" s="29">
        <f t="shared" si="34"/>
        <v>7.70910416666667</v>
      </c>
      <c r="AS51" s="1">
        <f t="shared" si="35"/>
        <v>0.185</v>
      </c>
      <c r="AT51" s="2">
        <f t="shared" si="36"/>
        <v>110.903452054794</v>
      </c>
      <c r="AU51" s="1">
        <f t="shared" si="37"/>
        <v>17517.2892063713</v>
      </c>
    </row>
    <row r="52" s="1" customFormat="1" spans="1:47">
      <c r="A52" s="13"/>
      <c r="B52" s="13"/>
      <c r="C52" s="16">
        <v>10</v>
      </c>
      <c r="D52" s="19">
        <v>-0.966232004645161</v>
      </c>
      <c r="E52" s="20">
        <f t="shared" si="38"/>
        <v>4.49274169056667</v>
      </c>
      <c r="F52" s="16" t="s">
        <v>110</v>
      </c>
      <c r="G52" s="13">
        <v>11</v>
      </c>
      <c r="H52" s="18">
        <f t="shared" si="21"/>
        <v>-0.966232004645161</v>
      </c>
      <c r="I52" s="18">
        <f t="shared" si="22"/>
        <v>272.183767995355</v>
      </c>
      <c r="J52" s="18">
        <f t="shared" si="23"/>
        <v>0.0153550302204193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0.395690510658418</v>
      </c>
      <c r="O52" s="18">
        <f t="shared" si="39"/>
        <v>0.0979168580171096</v>
      </c>
      <c r="P52" s="18">
        <f t="shared" si="26"/>
        <v>0.00150351631394122</v>
      </c>
      <c r="Q52" s="24">
        <f t="shared" si="27"/>
        <v>0.000278150518079126</v>
      </c>
      <c r="R52" s="18">
        <f t="shared" si="28"/>
        <v>0.0142618427083333</v>
      </c>
      <c r="S52" s="25">
        <f t="shared" si="29"/>
        <v>0.0195031261925642</v>
      </c>
      <c r="T52" s="3">
        <v>0.01</v>
      </c>
      <c r="U52" s="26">
        <f t="shared" si="30"/>
        <v>0.000195031261925642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0.0149950312619256</v>
      </c>
      <c r="AR52" s="29">
        <f t="shared" si="34"/>
        <v>7.70910416666667</v>
      </c>
      <c r="AS52" s="1">
        <f t="shared" si="35"/>
        <v>0.185</v>
      </c>
      <c r="AT52" s="2">
        <f t="shared" si="36"/>
        <v>110.903452054794</v>
      </c>
      <c r="AU52" s="1">
        <f t="shared" si="37"/>
        <v>15890.6947454161</v>
      </c>
    </row>
    <row r="53" s="1" customFormat="1" spans="1:48">
      <c r="A53" s="13"/>
      <c r="B53" s="13"/>
      <c r="C53" s="16">
        <v>11</v>
      </c>
      <c r="D53" s="19">
        <v>-6.20024615973333</v>
      </c>
      <c r="E53" s="20">
        <f t="shared" si="38"/>
        <v>-0.966232004645161</v>
      </c>
      <c r="F53" s="16" t="s">
        <v>112</v>
      </c>
      <c r="G53" s="13">
        <v>12</v>
      </c>
      <c r="H53" s="18">
        <f t="shared" si="21"/>
        <v>-6.20024615973333</v>
      </c>
      <c r="I53" s="18">
        <f t="shared" si="22"/>
        <v>266.949753840267</v>
      </c>
      <c r="J53" s="18">
        <f t="shared" si="23"/>
        <v>0.00761449894901156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0.173504383369835</v>
      </c>
      <c r="P53" s="18">
        <f t="shared" si="26"/>
        <v>0.00132114894481851</v>
      </c>
      <c r="Q53" s="24">
        <f t="shared" si="27"/>
        <v>0.000244412554791424</v>
      </c>
      <c r="R53" s="18">
        <f t="shared" si="28"/>
        <v>0.0142618427083333</v>
      </c>
      <c r="S53" s="25">
        <f t="shared" si="29"/>
        <v>0.017137515802822</v>
      </c>
      <c r="T53" s="3">
        <v>0.01</v>
      </c>
      <c r="U53" s="26">
        <f t="shared" si="30"/>
        <v>0.00017137515802822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0.0149713751580282</v>
      </c>
      <c r="AR53" s="29">
        <f t="shared" si="34"/>
        <v>7.70910416666667</v>
      </c>
      <c r="AS53" s="1">
        <f t="shared" si="35"/>
        <v>0.185</v>
      </c>
      <c r="AT53" s="2">
        <f t="shared" si="36"/>
        <v>110.903452054794</v>
      </c>
      <c r="AU53" s="1">
        <f t="shared" si="37"/>
        <v>15865.625646237</v>
      </c>
      <c r="AV53" s="1">
        <f>SUM(AU42:AU53)</f>
        <v>197546.483116204</v>
      </c>
    </row>
    <row r="54" s="1" customFormat="1" spans="1:46">
      <c r="A54" s="13"/>
      <c r="B54" s="13"/>
      <c r="C54" s="16">
        <v>12</v>
      </c>
      <c r="D54" s="19">
        <v>-7.94472533245161</v>
      </c>
      <c r="E54" s="20">
        <f t="shared" si="38"/>
        <v>-6.20024615973333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134.758</v>
      </c>
      <c r="C58" s="16" t="s">
        <v>109</v>
      </c>
      <c r="D58" s="17">
        <v>-11</v>
      </c>
      <c r="E58" s="16"/>
      <c r="F58" s="16"/>
      <c r="G58" s="13">
        <v>1</v>
      </c>
      <c r="H58" s="18">
        <f t="shared" ref="H58:H69" si="40">E59</f>
        <v>-11</v>
      </c>
      <c r="I58" s="18">
        <f t="shared" ref="I58:I69" si="41">H58+273.15</f>
        <v>262.15</v>
      </c>
      <c r="J58" s="18">
        <f t="shared" ref="J58:J69" si="42">EXP(($C$16*(I58-$C$14))/($C$17*I58*$C$14))</f>
        <v>0.00390493234587267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110</v>
      </c>
      <c r="N58" s="13"/>
      <c r="O58" s="18">
        <f>L58</f>
        <v>3.032055</v>
      </c>
      <c r="P58" s="18">
        <f t="shared" ref="P58:P69" si="45">O58*J58</f>
        <v>0.011839969643965</v>
      </c>
      <c r="Q58" s="24">
        <f t="shared" ref="Q58:Q69" si="46">P58*$B$60</f>
        <v>0.00343359119674984</v>
      </c>
      <c r="R58" s="18">
        <f t="shared" ref="R58:R69" si="47">L58*$B$60</f>
        <v>0.87929595</v>
      </c>
      <c r="S58" s="25">
        <f t="shared" ref="S58:S69" si="48">Q58/R58</f>
        <v>0.00390493234587267</v>
      </c>
      <c r="T58" s="3">
        <v>0.27</v>
      </c>
      <c r="U58" s="26">
        <f t="shared" ref="U58:U69" si="49">S58*T58</f>
        <v>0.00105433173338562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0.226604856655797</v>
      </c>
      <c r="AC58" s="29">
        <f t="shared" ref="AC58:AC69" si="51">$B$58/12</f>
        <v>11.2298333333333</v>
      </c>
      <c r="AD58" s="1">
        <f t="shared" ref="AD58:AD69" si="52">$B$60</f>
        <v>0.29</v>
      </c>
      <c r="AE58" s="30">
        <f t="shared" ref="AE58:AE69" si="53">$E$7/12</f>
        <v>3.78013698630137</v>
      </c>
      <c r="AF58" s="1">
        <f t="shared" ref="AF58:AF69" si="54">AE58*10000*AC58*AB58</f>
        <v>96194.4603486937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-14.3410731177419</v>
      </c>
      <c r="E59" s="20">
        <f t="shared" ref="E59:E70" si="55">D58</f>
        <v>-11</v>
      </c>
      <c r="F59" s="16" t="s">
        <v>110</v>
      </c>
      <c r="G59" s="13">
        <v>2</v>
      </c>
      <c r="H59" s="18">
        <f t="shared" si="40"/>
        <v>-14.3410731177419</v>
      </c>
      <c r="I59" s="18">
        <f t="shared" si="41"/>
        <v>258.808926882258</v>
      </c>
      <c r="J59" s="18">
        <f t="shared" si="42"/>
        <v>0.00241755839271854</v>
      </c>
      <c r="K59" s="18">
        <f t="shared" si="43"/>
        <v>11.2298333333333</v>
      </c>
      <c r="L59" s="18">
        <f t="shared" si="44"/>
        <v>3.032055</v>
      </c>
      <c r="M59" s="13" t="s">
        <v>110</v>
      </c>
      <c r="N59" s="13"/>
      <c r="O59" s="18">
        <f t="shared" ref="O59:O69" si="56">L59+O58-P58-N59</f>
        <v>6.05227003035604</v>
      </c>
      <c r="P59" s="18">
        <f t="shared" si="45"/>
        <v>0.0146317162068861</v>
      </c>
      <c r="Q59" s="24">
        <f t="shared" si="46"/>
        <v>0.00424319769999698</v>
      </c>
      <c r="R59" s="18">
        <f t="shared" si="47"/>
        <v>0.87929595</v>
      </c>
      <c r="S59" s="25">
        <f t="shared" si="48"/>
        <v>0.00482567638347132</v>
      </c>
      <c r="T59" s="3">
        <v>0.27</v>
      </c>
      <c r="U59" s="26">
        <f t="shared" si="49"/>
        <v>0.00130293262353726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0.226653159808753</v>
      </c>
      <c r="AC59" s="29">
        <f t="shared" si="51"/>
        <v>11.2298333333333</v>
      </c>
      <c r="AD59" s="1">
        <f t="shared" si="52"/>
        <v>0.29</v>
      </c>
      <c r="AE59" s="30">
        <f t="shared" si="53"/>
        <v>3.78013698630137</v>
      </c>
      <c r="AF59" s="1">
        <f t="shared" si="54"/>
        <v>96214.9651860584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-10.0816487995172</v>
      </c>
      <c r="E60" s="20">
        <f t="shared" si="55"/>
        <v>-14.3410731177419</v>
      </c>
      <c r="F60" s="16" t="s">
        <v>110</v>
      </c>
      <c r="G60" s="13">
        <v>3</v>
      </c>
      <c r="H60" s="18">
        <f t="shared" si="40"/>
        <v>-10.0816487995172</v>
      </c>
      <c r="I60" s="18">
        <f t="shared" si="41"/>
        <v>263.068351200483</v>
      </c>
      <c r="J60" s="18">
        <f t="shared" si="42"/>
        <v>0.00444553615796946</v>
      </c>
      <c r="K60" s="18">
        <f t="shared" si="43"/>
        <v>11.2298333333333</v>
      </c>
      <c r="L60" s="18">
        <f t="shared" si="44"/>
        <v>3.032055</v>
      </c>
      <c r="M60" s="13" t="s">
        <v>110</v>
      </c>
      <c r="N60" s="13"/>
      <c r="O60" s="18">
        <f t="shared" si="56"/>
        <v>9.06969331414915</v>
      </c>
      <c r="P60" s="18">
        <f t="shared" si="45"/>
        <v>0.0403196495697439</v>
      </c>
      <c r="Q60" s="24">
        <f t="shared" si="46"/>
        <v>0.0116926983752257</v>
      </c>
      <c r="R60" s="18">
        <f t="shared" si="47"/>
        <v>0.87929595</v>
      </c>
      <c r="S60" s="25">
        <f t="shared" si="48"/>
        <v>0.013297796237121</v>
      </c>
      <c r="T60" s="3">
        <v>0.27</v>
      </c>
      <c r="U60" s="26">
        <f t="shared" si="49"/>
        <v>0.00359040498402267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0.227097615688396</v>
      </c>
      <c r="AC60" s="29">
        <f t="shared" si="51"/>
        <v>11.2298333333333</v>
      </c>
      <c r="AD60" s="1">
        <f t="shared" si="52"/>
        <v>0.29</v>
      </c>
      <c r="AE60" s="30">
        <f t="shared" si="53"/>
        <v>3.78013698630137</v>
      </c>
      <c r="AF60" s="1">
        <f t="shared" si="54"/>
        <v>96403.6380773722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-6.78978804112903</v>
      </c>
      <c r="E61" s="20">
        <f t="shared" si="55"/>
        <v>-10.0816487995172</v>
      </c>
      <c r="F61" s="16" t="s">
        <v>110</v>
      </c>
      <c r="G61" s="13">
        <v>4</v>
      </c>
      <c r="H61" s="18">
        <f t="shared" si="40"/>
        <v>-6.78978804112903</v>
      </c>
      <c r="I61" s="18">
        <f t="shared" si="41"/>
        <v>266.360211958871</v>
      </c>
      <c r="J61" s="18">
        <f t="shared" si="42"/>
        <v>0.00702394354293763</v>
      </c>
      <c r="K61" s="18">
        <f t="shared" si="43"/>
        <v>11.2298333333333</v>
      </c>
      <c r="L61" s="18">
        <f t="shared" si="44"/>
        <v>3.032055</v>
      </c>
      <c r="M61" s="13" t="s">
        <v>110</v>
      </c>
      <c r="N61" s="13"/>
      <c r="O61" s="18">
        <f t="shared" si="56"/>
        <v>12.0614286645794</v>
      </c>
      <c r="P61" s="18">
        <f t="shared" si="45"/>
        <v>0.0847187939871754</v>
      </c>
      <c r="Q61" s="24">
        <f t="shared" si="46"/>
        <v>0.0245684502562809</v>
      </c>
      <c r="R61" s="18">
        <f t="shared" si="47"/>
        <v>0.87929595</v>
      </c>
      <c r="S61" s="25">
        <f t="shared" si="48"/>
        <v>0.0279410478989251</v>
      </c>
      <c r="T61" s="3">
        <v>0.27</v>
      </c>
      <c r="U61" s="26">
        <f t="shared" si="49"/>
        <v>0.00754408293270978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0.227865815313826</v>
      </c>
      <c r="AC61" s="29">
        <f t="shared" si="51"/>
        <v>11.2298333333333</v>
      </c>
      <c r="AD61" s="1">
        <f t="shared" si="52"/>
        <v>0.29</v>
      </c>
      <c r="AE61" s="30">
        <f t="shared" si="53"/>
        <v>3.78013698630137</v>
      </c>
      <c r="AF61" s="1">
        <f t="shared" si="54"/>
        <v>96729.7411869827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-2.29856562943333</v>
      </c>
      <c r="E62" s="20">
        <f t="shared" si="55"/>
        <v>-6.78978804112903</v>
      </c>
      <c r="F62" s="16" t="s">
        <v>110</v>
      </c>
      <c r="G62" s="13">
        <v>5</v>
      </c>
      <c r="H62" s="18">
        <f t="shared" si="40"/>
        <v>-2.29856562943333</v>
      </c>
      <c r="I62" s="18">
        <f t="shared" si="41"/>
        <v>270.851434370567</v>
      </c>
      <c r="J62" s="18">
        <f t="shared" si="42"/>
        <v>0.0128774077133337</v>
      </c>
      <c r="K62" s="18">
        <f t="shared" si="43"/>
        <v>11.2298333333333</v>
      </c>
      <c r="L62" s="18">
        <f t="shared" si="44"/>
        <v>3.032055</v>
      </c>
      <c r="M62" s="13" t="s">
        <v>112</v>
      </c>
      <c r="N62" s="18">
        <f>(O61-P61)*$C$22/100</f>
        <v>11.3778743770626</v>
      </c>
      <c r="O62" s="18">
        <f t="shared" si="56"/>
        <v>3.63089049352961</v>
      </c>
      <c r="P62" s="18">
        <f t="shared" si="45"/>
        <v>0.0467564572476482</v>
      </c>
      <c r="Q62" s="24">
        <f t="shared" si="46"/>
        <v>0.013559372601818</v>
      </c>
      <c r="R62" s="18">
        <f t="shared" si="47"/>
        <v>0.87929595</v>
      </c>
      <c r="S62" s="25">
        <f t="shared" si="48"/>
        <v>0.0154207154051124</v>
      </c>
      <c r="T62" s="3">
        <v>0.27</v>
      </c>
      <c r="U62" s="26">
        <f t="shared" si="49"/>
        <v>0.00416359315938036</v>
      </c>
      <c r="V62" s="3">
        <v>180.9</v>
      </c>
      <c r="W62" s="27">
        <v>6</v>
      </c>
      <c r="X62" s="27">
        <v>3</v>
      </c>
      <c r="Y62" s="27">
        <v>0.3</v>
      </c>
      <c r="Z62" s="27">
        <v>6</v>
      </c>
      <c r="AA62" s="3">
        <v>30.2</v>
      </c>
      <c r="AB62" s="2">
        <f t="shared" si="50"/>
        <v>0.227208986150868</v>
      </c>
      <c r="AC62" s="29">
        <f t="shared" si="51"/>
        <v>11.2298333333333</v>
      </c>
      <c r="AD62" s="1">
        <f t="shared" si="52"/>
        <v>0.29</v>
      </c>
      <c r="AE62" s="30">
        <f t="shared" si="53"/>
        <v>3.78013698630137</v>
      </c>
      <c r="AF62" s="1">
        <f t="shared" si="54"/>
        <v>96450.9151820839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1.46989194229032</v>
      </c>
      <c r="E63" s="20">
        <f t="shared" si="55"/>
        <v>-2.29856562943333</v>
      </c>
      <c r="F63" s="16" t="s">
        <v>112</v>
      </c>
      <c r="G63" s="13">
        <v>6</v>
      </c>
      <c r="H63" s="18">
        <f t="shared" si="40"/>
        <v>1.46989194229032</v>
      </c>
      <c r="I63" s="18">
        <f t="shared" si="41"/>
        <v>274.61989194229</v>
      </c>
      <c r="J63" s="18">
        <f t="shared" si="42"/>
        <v>0.021089605370086</v>
      </c>
      <c r="K63" s="18">
        <f t="shared" si="43"/>
        <v>11.2298333333333</v>
      </c>
      <c r="L63" s="18">
        <f t="shared" si="44"/>
        <v>3.032055</v>
      </c>
      <c r="M63" s="13" t="s">
        <v>110</v>
      </c>
      <c r="N63" s="13"/>
      <c r="O63" s="18">
        <f t="shared" si="56"/>
        <v>6.61618903628196</v>
      </c>
      <c r="P63" s="18">
        <f t="shared" si="45"/>
        <v>0.139532815829076</v>
      </c>
      <c r="Q63" s="24">
        <f t="shared" si="46"/>
        <v>0.0404645165904321</v>
      </c>
      <c r="R63" s="18">
        <f t="shared" si="47"/>
        <v>0.87929595</v>
      </c>
      <c r="S63" s="25">
        <f t="shared" si="48"/>
        <v>0.0460192232096965</v>
      </c>
      <c r="T63" s="3">
        <v>0.27</v>
      </c>
      <c r="U63" s="26">
        <f t="shared" si="49"/>
        <v>0.012425190266618</v>
      </c>
      <c r="V63" s="3">
        <v>180.9</v>
      </c>
      <c r="W63" s="27">
        <v>6</v>
      </c>
      <c r="X63" s="27">
        <v>3</v>
      </c>
      <c r="Y63" s="27">
        <v>0.3</v>
      </c>
      <c r="Z63" s="27">
        <v>6</v>
      </c>
      <c r="AA63" s="3">
        <v>30.2</v>
      </c>
      <c r="AB63" s="2">
        <f t="shared" si="50"/>
        <v>0.228814214468804</v>
      </c>
      <c r="AC63" s="29">
        <f t="shared" si="51"/>
        <v>11.2298333333333</v>
      </c>
      <c r="AD63" s="1">
        <f t="shared" si="52"/>
        <v>0.29</v>
      </c>
      <c r="AE63" s="30">
        <f t="shared" si="53"/>
        <v>3.78013698630137</v>
      </c>
      <c r="AF63" s="1">
        <f t="shared" si="54"/>
        <v>97132.3395525018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6.47376780553333</v>
      </c>
      <c r="E64" s="20">
        <f t="shared" si="55"/>
        <v>1.46989194229032</v>
      </c>
      <c r="F64" s="16" t="s">
        <v>110</v>
      </c>
      <c r="G64" s="13">
        <v>7</v>
      </c>
      <c r="H64" s="18">
        <f t="shared" si="40"/>
        <v>6.47376780553333</v>
      </c>
      <c r="I64" s="18">
        <f t="shared" si="41"/>
        <v>279.623767805533</v>
      </c>
      <c r="J64" s="18">
        <f t="shared" si="42"/>
        <v>0.0397757634840969</v>
      </c>
      <c r="K64" s="18">
        <f t="shared" si="43"/>
        <v>11.2298333333333</v>
      </c>
      <c r="L64" s="18">
        <f t="shared" si="44"/>
        <v>3.032055</v>
      </c>
      <c r="M64" s="13" t="s">
        <v>110</v>
      </c>
      <c r="N64" s="13"/>
      <c r="O64" s="18">
        <f t="shared" si="56"/>
        <v>9.50871122045289</v>
      </c>
      <c r="P64" s="18">
        <f t="shared" si="45"/>
        <v>0.378216248543312</v>
      </c>
      <c r="Q64" s="24">
        <f t="shared" si="46"/>
        <v>0.109682712077561</v>
      </c>
      <c r="R64" s="18">
        <f t="shared" si="47"/>
        <v>0.87929595</v>
      </c>
      <c r="S64" s="25">
        <f t="shared" si="48"/>
        <v>0.12473924402536</v>
      </c>
      <c r="T64" s="3">
        <v>0.27</v>
      </c>
      <c r="U64" s="26">
        <f t="shared" si="49"/>
        <v>0.0336795958868472</v>
      </c>
      <c r="V64" s="3">
        <v>180.9</v>
      </c>
      <c r="W64" s="27">
        <v>6</v>
      </c>
      <c r="X64" s="27">
        <v>3</v>
      </c>
      <c r="Y64" s="27">
        <v>0.3</v>
      </c>
      <c r="Z64" s="27">
        <v>6</v>
      </c>
      <c r="AA64" s="3">
        <v>30.2</v>
      </c>
      <c r="AB64" s="2">
        <f t="shared" si="50"/>
        <v>0.232943945480814</v>
      </c>
      <c r="AC64" s="29">
        <f t="shared" si="51"/>
        <v>11.2298333333333</v>
      </c>
      <c r="AD64" s="1">
        <f t="shared" si="52"/>
        <v>0.29</v>
      </c>
      <c r="AE64" s="30">
        <f t="shared" si="53"/>
        <v>3.78013698630137</v>
      </c>
      <c r="AF64" s="1">
        <f t="shared" si="54"/>
        <v>98885.4231004375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8.23428274209677</v>
      </c>
      <c r="E65" s="20">
        <f t="shared" si="55"/>
        <v>6.47376780553333</v>
      </c>
      <c r="F65" s="16" t="s">
        <v>110</v>
      </c>
      <c r="G65" s="13">
        <v>8</v>
      </c>
      <c r="H65" s="18">
        <f t="shared" si="40"/>
        <v>8.23428274209677</v>
      </c>
      <c r="I65" s="18">
        <f t="shared" si="41"/>
        <v>281.384282742097</v>
      </c>
      <c r="J65" s="18">
        <f t="shared" si="42"/>
        <v>0.0494578012535669</v>
      </c>
      <c r="K65" s="18">
        <f t="shared" si="43"/>
        <v>11.2298333333333</v>
      </c>
      <c r="L65" s="18">
        <f t="shared" si="44"/>
        <v>3.032055</v>
      </c>
      <c r="M65" s="13" t="s">
        <v>110</v>
      </c>
      <c r="N65" s="13"/>
      <c r="O65" s="18">
        <f t="shared" si="56"/>
        <v>12.1625499719096</v>
      </c>
      <c r="P65" s="18">
        <f t="shared" si="45"/>
        <v>0.601532979247279</v>
      </c>
      <c r="Q65" s="24">
        <f t="shared" si="46"/>
        <v>0.174444563981711</v>
      </c>
      <c r="R65" s="18">
        <f t="shared" si="47"/>
        <v>0.87929595</v>
      </c>
      <c r="S65" s="25">
        <f t="shared" si="48"/>
        <v>0.198391183288984</v>
      </c>
      <c r="T65" s="3">
        <v>0.27</v>
      </c>
      <c r="U65" s="26">
        <f t="shared" si="49"/>
        <v>0.0535656194880256</v>
      </c>
      <c r="V65" s="3">
        <v>180.9</v>
      </c>
      <c r="W65" s="27">
        <v>6</v>
      </c>
      <c r="X65" s="27">
        <v>3</v>
      </c>
      <c r="Y65" s="27">
        <v>0.3</v>
      </c>
      <c r="Z65" s="27">
        <v>6</v>
      </c>
      <c r="AA65" s="3">
        <v>30.2</v>
      </c>
      <c r="AB65" s="2">
        <f t="shared" si="50"/>
        <v>0.236807799866523</v>
      </c>
      <c r="AC65" s="29">
        <f t="shared" si="51"/>
        <v>11.2298333333333</v>
      </c>
      <c r="AD65" s="1">
        <f t="shared" si="52"/>
        <v>0.29</v>
      </c>
      <c r="AE65" s="30">
        <f t="shared" si="53"/>
        <v>3.78013698630137</v>
      </c>
      <c r="AF65" s="1">
        <f t="shared" si="54"/>
        <v>100525.641200722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8.19953793025806</v>
      </c>
      <c r="E66" s="20">
        <f t="shared" si="55"/>
        <v>8.23428274209677</v>
      </c>
      <c r="F66" s="16" t="s">
        <v>110</v>
      </c>
      <c r="G66" s="13">
        <v>9</v>
      </c>
      <c r="H66" s="18">
        <f t="shared" si="40"/>
        <v>8.19953793025806</v>
      </c>
      <c r="I66" s="18">
        <f t="shared" si="41"/>
        <v>281.349537930258</v>
      </c>
      <c r="J66" s="18">
        <f t="shared" si="42"/>
        <v>0.0492469059565592</v>
      </c>
      <c r="K66" s="18">
        <f t="shared" si="43"/>
        <v>11.2298333333333</v>
      </c>
      <c r="L66" s="18">
        <f t="shared" si="44"/>
        <v>3.032055</v>
      </c>
      <c r="M66" s="13" t="s">
        <v>110</v>
      </c>
      <c r="N66" s="13"/>
      <c r="O66" s="18">
        <f t="shared" si="56"/>
        <v>14.5930719926623</v>
      </c>
      <c r="P66" s="18">
        <f t="shared" si="45"/>
        <v>0.718663644039938</v>
      </c>
      <c r="Q66" s="24">
        <f t="shared" si="46"/>
        <v>0.208412456771582</v>
      </c>
      <c r="R66" s="18">
        <f t="shared" si="47"/>
        <v>0.87929595</v>
      </c>
      <c r="S66" s="25">
        <f t="shared" si="48"/>
        <v>0.237021968282217</v>
      </c>
      <c r="T66" s="3">
        <v>0.27</v>
      </c>
      <c r="U66" s="26">
        <f t="shared" si="49"/>
        <v>0.0639959314361986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0.238834409478053</v>
      </c>
      <c r="AC66" s="29">
        <f t="shared" si="51"/>
        <v>11.2298333333333</v>
      </c>
      <c r="AD66" s="1">
        <f t="shared" si="52"/>
        <v>0.29</v>
      </c>
      <c r="AE66" s="30">
        <f t="shared" si="53"/>
        <v>3.78013698630137</v>
      </c>
      <c r="AF66" s="1">
        <f t="shared" si="54"/>
        <v>101385.943229529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4.49274169056667</v>
      </c>
      <c r="E67" s="20">
        <f t="shared" si="55"/>
        <v>8.19953793025806</v>
      </c>
      <c r="F67" s="16" t="s">
        <v>110</v>
      </c>
      <c r="G67" s="13">
        <v>10</v>
      </c>
      <c r="H67" s="18">
        <f t="shared" si="40"/>
        <v>4.49274169056667</v>
      </c>
      <c r="I67" s="18">
        <f t="shared" si="41"/>
        <v>277.642741690567</v>
      </c>
      <c r="J67" s="18">
        <f t="shared" si="42"/>
        <v>0.0310253315721612</v>
      </c>
      <c r="K67" s="18">
        <f t="shared" si="43"/>
        <v>11.2298333333333</v>
      </c>
      <c r="L67" s="18">
        <f t="shared" si="44"/>
        <v>3.032055</v>
      </c>
      <c r="M67" s="13" t="s">
        <v>110</v>
      </c>
      <c r="N67" s="13"/>
      <c r="O67" s="18">
        <f t="shared" si="56"/>
        <v>16.9064633486224</v>
      </c>
      <c r="P67" s="18">
        <f t="shared" si="45"/>
        <v>0.524528631103599</v>
      </c>
      <c r="Q67" s="24">
        <f t="shared" si="46"/>
        <v>0.152113303020044</v>
      </c>
      <c r="R67" s="18">
        <f t="shared" si="47"/>
        <v>0.87929595</v>
      </c>
      <c r="S67" s="25">
        <f t="shared" si="48"/>
        <v>0.172994431533597</v>
      </c>
      <c r="T67" s="3">
        <v>0.27</v>
      </c>
      <c r="U67" s="26">
        <f t="shared" si="49"/>
        <v>0.0467084965140711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0.235475460872684</v>
      </c>
      <c r="AC67" s="29">
        <f t="shared" si="51"/>
        <v>11.2298333333333</v>
      </c>
      <c r="AD67" s="1">
        <f t="shared" si="52"/>
        <v>0.29</v>
      </c>
      <c r="AE67" s="30">
        <f t="shared" si="53"/>
        <v>3.78013698630137</v>
      </c>
      <c r="AF67" s="1">
        <f t="shared" si="54"/>
        <v>99960.059189792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-0.966232004645161</v>
      </c>
      <c r="E68" s="20">
        <f t="shared" si="55"/>
        <v>4.49274169056667</v>
      </c>
      <c r="F68" s="16" t="s">
        <v>110</v>
      </c>
      <c r="G68" s="13">
        <v>11</v>
      </c>
      <c r="H68" s="18">
        <f t="shared" si="40"/>
        <v>-0.966232004645161</v>
      </c>
      <c r="I68" s="18">
        <f t="shared" si="41"/>
        <v>272.183767995355</v>
      </c>
      <c r="J68" s="18">
        <f t="shared" si="42"/>
        <v>0.0153550302204193</v>
      </c>
      <c r="K68" s="18">
        <f t="shared" si="43"/>
        <v>11.2298333333333</v>
      </c>
      <c r="L68" s="18">
        <f t="shared" si="44"/>
        <v>3.032055</v>
      </c>
      <c r="M68" s="13" t="s">
        <v>112</v>
      </c>
      <c r="N68" s="18">
        <f>(O67-P67)*$C$22/100</f>
        <v>15.5628379816428</v>
      </c>
      <c r="O68" s="18">
        <f t="shared" si="56"/>
        <v>3.85115173587594</v>
      </c>
      <c r="P68" s="18">
        <f t="shared" si="45"/>
        <v>0.0591345512877952</v>
      </c>
      <c r="Q68" s="24">
        <f t="shared" si="46"/>
        <v>0.0171490198734606</v>
      </c>
      <c r="R68" s="18">
        <f t="shared" si="47"/>
        <v>0.87929595</v>
      </c>
      <c r="S68" s="25">
        <f t="shared" si="48"/>
        <v>0.0195031261925642</v>
      </c>
      <c r="T68" s="3">
        <v>0.27</v>
      </c>
      <c r="U68" s="26">
        <f t="shared" si="49"/>
        <v>0.00526584407199233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0.227423153503188</v>
      </c>
      <c r="AC68" s="29">
        <f t="shared" si="51"/>
        <v>11.2298333333333</v>
      </c>
      <c r="AD68" s="1">
        <f t="shared" si="52"/>
        <v>0.29</v>
      </c>
      <c r="AE68" s="30">
        <f t="shared" si="53"/>
        <v>3.78013698630137</v>
      </c>
      <c r="AF68" s="1">
        <f t="shared" si="54"/>
        <v>96541.8298834932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-6.20024615973333</v>
      </c>
      <c r="E69" s="20">
        <f t="shared" si="55"/>
        <v>-0.966232004645161</v>
      </c>
      <c r="F69" s="16" t="s">
        <v>112</v>
      </c>
      <c r="G69" s="13">
        <v>12</v>
      </c>
      <c r="H69" s="18">
        <f t="shared" si="40"/>
        <v>-6.20024615973333</v>
      </c>
      <c r="I69" s="18">
        <f t="shared" si="41"/>
        <v>266.949753840267</v>
      </c>
      <c r="J69" s="18">
        <f t="shared" si="42"/>
        <v>0.00761449894901156</v>
      </c>
      <c r="K69" s="18">
        <f t="shared" si="43"/>
        <v>11.2298333333333</v>
      </c>
      <c r="L69" s="18">
        <f t="shared" si="44"/>
        <v>3.032055</v>
      </c>
      <c r="M69" s="13" t="s">
        <v>110</v>
      </c>
      <c r="N69" s="13"/>
      <c r="O69" s="18">
        <f t="shared" si="56"/>
        <v>6.82407218458814</v>
      </c>
      <c r="P69" s="18">
        <f t="shared" si="45"/>
        <v>0.0519618904775254</v>
      </c>
      <c r="Q69" s="24">
        <f t="shared" si="46"/>
        <v>0.0150689482384824</v>
      </c>
      <c r="R69" s="18">
        <f t="shared" si="47"/>
        <v>0.87929595</v>
      </c>
      <c r="S69" s="25">
        <f t="shared" si="48"/>
        <v>0.017137515802822</v>
      </c>
      <c r="T69" s="3">
        <v>0.27</v>
      </c>
      <c r="U69" s="26">
        <f t="shared" si="49"/>
        <v>0.00462712926676194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0.227299051216532</v>
      </c>
      <c r="AC69" s="29">
        <f t="shared" si="51"/>
        <v>11.2298333333333</v>
      </c>
      <c r="AD69" s="1">
        <f t="shared" si="52"/>
        <v>0.29</v>
      </c>
      <c r="AE69" s="30">
        <f t="shared" si="53"/>
        <v>3.78013698630137</v>
      </c>
      <c r="AF69" s="1">
        <f t="shared" si="54"/>
        <v>96489.1480801589</v>
      </c>
      <c r="AG69" s="1">
        <f>SUM(AF58:AF69)</f>
        <v>1172914.10421783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-7.94472533245161</v>
      </c>
      <c r="E70" s="20">
        <f t="shared" si="55"/>
        <v>-6.20024615973333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-11</v>
      </c>
      <c r="E74" s="16"/>
      <c r="F74" s="16"/>
      <c r="G74" s="13">
        <v>1</v>
      </c>
      <c r="H74" s="18">
        <f t="shared" ref="H74:H85" si="57">E75</f>
        <v>-11</v>
      </c>
      <c r="I74" s="18">
        <f t="shared" ref="I74:I85" si="58">H74+273.15</f>
        <v>262.15</v>
      </c>
      <c r="J74" s="18">
        <f t="shared" ref="J74:J85" si="59">EXP(($C$16*(I74-$C$14))/($C$17*I74*$C$14))</f>
        <v>0.00390493234587267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0.00203532883731575</v>
      </c>
      <c r="Q74" s="24">
        <f t="shared" ref="Q74:Q85" si="63">P74*$B$76</f>
        <v>0.000529185497702096</v>
      </c>
      <c r="R74" s="18">
        <f t="shared" ref="R74:R85" si="64">L74*$B$76</f>
        <v>0.1355172</v>
      </c>
      <c r="S74" s="25">
        <f t="shared" ref="S74:S85" si="65">Q74/R74</f>
        <v>0.00390493234587267</v>
      </c>
      <c r="T74" s="3">
        <v>0.01</v>
      </c>
      <c r="U74" s="26">
        <f t="shared" ref="U74:U85" si="66">S74*T74</f>
        <v>3.90493234587267e-5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0.00552904932345873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2.34888944895198</v>
      </c>
      <c r="AX74" s="1">
        <f t="shared" ref="AX74:AX85" si="72">AW74*10000*AV74*0.67*AU74*AT74</f>
        <v>1179.18586292089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-14.3410731177419</v>
      </c>
      <c r="E75" s="20">
        <f t="shared" ref="E75:E86" si="73">D74</f>
        <v>-11</v>
      </c>
      <c r="F75" s="16" t="s">
        <v>110</v>
      </c>
      <c r="G75" s="13">
        <v>2</v>
      </c>
      <c r="H75" s="18">
        <f t="shared" si="57"/>
        <v>-14.3410731177419</v>
      </c>
      <c r="I75" s="18">
        <f t="shared" si="58"/>
        <v>258.808926882258</v>
      </c>
      <c r="J75" s="18">
        <f t="shared" si="59"/>
        <v>0.00241755839271854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1.04040467116268</v>
      </c>
      <c r="P75" s="18">
        <f t="shared" si="62"/>
        <v>0.00251523904459292</v>
      </c>
      <c r="Q75" s="24">
        <f t="shared" si="63"/>
        <v>0.000653962151594159</v>
      </c>
      <c r="R75" s="18">
        <f t="shared" si="64"/>
        <v>0.1355172</v>
      </c>
      <c r="S75" s="25">
        <f t="shared" si="65"/>
        <v>0.00482567638347132</v>
      </c>
      <c r="T75" s="3">
        <v>0.01</v>
      </c>
      <c r="U75" s="26">
        <f t="shared" si="66"/>
        <v>4.82567638347132e-5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0.00553825676383471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2.34888944895198</v>
      </c>
      <c r="AX75" s="1">
        <f t="shared" si="72"/>
        <v>1181.14954291177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-10.0816487995172</v>
      </c>
      <c r="E76" s="20">
        <f t="shared" si="73"/>
        <v>-14.3410731177419</v>
      </c>
      <c r="F76" s="16" t="s">
        <v>110</v>
      </c>
      <c r="G76" s="13">
        <v>3</v>
      </c>
      <c r="H76" s="18">
        <f t="shared" si="57"/>
        <v>-10.0816487995172</v>
      </c>
      <c r="I76" s="18">
        <f t="shared" si="58"/>
        <v>263.068351200483</v>
      </c>
      <c r="J76" s="18">
        <f t="shared" si="59"/>
        <v>0.00444553615796946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1.55910943211809</v>
      </c>
      <c r="P76" s="18">
        <f t="shared" si="62"/>
        <v>0.00693107735471221</v>
      </c>
      <c r="Q76" s="24">
        <f t="shared" si="63"/>
        <v>0.00180208011222517</v>
      </c>
      <c r="R76" s="18">
        <f t="shared" si="64"/>
        <v>0.1355172</v>
      </c>
      <c r="S76" s="25">
        <f t="shared" si="65"/>
        <v>0.013297796237121</v>
      </c>
      <c r="T76" s="3">
        <v>0.01</v>
      </c>
      <c r="U76" s="26">
        <f t="shared" si="66"/>
        <v>0.00013297796237121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0.00562297796237121</v>
      </c>
      <c r="AU76" s="29">
        <f t="shared" si="70"/>
        <v>52.122</v>
      </c>
      <c r="AV76" s="1">
        <f t="shared" si="71"/>
        <v>0.26</v>
      </c>
      <c r="AW76" s="2">
        <f t="shared" si="75"/>
        <v>2.34888944895198</v>
      </c>
      <c r="AX76" s="1">
        <f t="shared" si="72"/>
        <v>1199.21811740976</v>
      </c>
    </row>
    <row r="77" s="1" customFormat="1" spans="1:50">
      <c r="A77" s="13"/>
      <c r="B77" s="13"/>
      <c r="C77" s="16">
        <v>3</v>
      </c>
      <c r="D77" s="19">
        <v>-6.78978804112903</v>
      </c>
      <c r="E77" s="20">
        <f t="shared" si="73"/>
        <v>-10.0816487995172</v>
      </c>
      <c r="F77" s="16" t="s">
        <v>110</v>
      </c>
      <c r="G77" s="13">
        <v>4</v>
      </c>
      <c r="H77" s="18">
        <f t="shared" si="57"/>
        <v>-6.78978804112903</v>
      </c>
      <c r="I77" s="18">
        <f t="shared" si="58"/>
        <v>266.360211958871</v>
      </c>
      <c r="J77" s="18">
        <f t="shared" si="59"/>
        <v>0.00702394354293763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2.07339835476338</v>
      </c>
      <c r="P77" s="18">
        <f t="shared" si="62"/>
        <v>0.0145634329858777</v>
      </c>
      <c r="Q77" s="24">
        <f t="shared" si="63"/>
        <v>0.00378649257632821</v>
      </c>
      <c r="R77" s="18">
        <f t="shared" si="64"/>
        <v>0.1355172</v>
      </c>
      <c r="S77" s="25">
        <f t="shared" si="65"/>
        <v>0.0279410478989251</v>
      </c>
      <c r="T77" s="3">
        <v>0.01</v>
      </c>
      <c r="U77" s="26">
        <f t="shared" si="66"/>
        <v>0.000279410478989251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0.00576941047898925</v>
      </c>
      <c r="AU77" s="29">
        <f t="shared" si="70"/>
        <v>52.122</v>
      </c>
      <c r="AV77" s="1">
        <f t="shared" si="71"/>
        <v>0.26</v>
      </c>
      <c r="AW77" s="2">
        <f t="shared" si="75"/>
        <v>2.34888944895198</v>
      </c>
      <c r="AX77" s="1">
        <f t="shared" si="72"/>
        <v>1230.44792625507</v>
      </c>
    </row>
    <row r="78" s="1" customFormat="1" spans="1:50">
      <c r="A78" s="13"/>
      <c r="B78" s="13"/>
      <c r="C78" s="16">
        <v>4</v>
      </c>
      <c r="D78" s="19">
        <v>-2.29856562943333</v>
      </c>
      <c r="E78" s="20">
        <f t="shared" si="73"/>
        <v>-6.78978804112903</v>
      </c>
      <c r="F78" s="16" t="s">
        <v>110</v>
      </c>
      <c r="G78" s="13">
        <v>5</v>
      </c>
      <c r="H78" s="18">
        <f t="shared" si="57"/>
        <v>-2.29856562943333</v>
      </c>
      <c r="I78" s="18">
        <f t="shared" si="58"/>
        <v>270.851434370567</v>
      </c>
      <c r="J78" s="18">
        <f t="shared" si="59"/>
        <v>0.0128774077133337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1.95589317568863</v>
      </c>
      <c r="O78" s="18">
        <f t="shared" si="74"/>
        <v>0.624161746088875</v>
      </c>
      <c r="P78" s="18">
        <f t="shared" si="62"/>
        <v>0.00803758528345271</v>
      </c>
      <c r="Q78" s="24">
        <f t="shared" si="63"/>
        <v>0.0020897721736977</v>
      </c>
      <c r="R78" s="18">
        <f t="shared" si="64"/>
        <v>0.1355172</v>
      </c>
      <c r="S78" s="25">
        <f t="shared" si="65"/>
        <v>0.0154207154051124</v>
      </c>
      <c r="T78" s="3">
        <v>0.01</v>
      </c>
      <c r="U78" s="26">
        <f t="shared" si="66"/>
        <v>0.000154207154051124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0.001</v>
      </c>
      <c r="AF78" s="3">
        <v>0.49</v>
      </c>
      <c r="AG78" s="26">
        <f t="shared" si="67"/>
        <v>0.00049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</v>
      </c>
      <c r="AR78" s="3">
        <v>0.5</v>
      </c>
      <c r="AS78" s="3">
        <f t="shared" si="68"/>
        <v>0.005</v>
      </c>
      <c r="AT78" s="2">
        <f t="shared" si="69"/>
        <v>0.00564420715405112</v>
      </c>
      <c r="AU78" s="29">
        <f t="shared" si="70"/>
        <v>52.122</v>
      </c>
      <c r="AV78" s="1">
        <f t="shared" si="71"/>
        <v>0.26</v>
      </c>
      <c r="AW78" s="2">
        <f t="shared" si="75"/>
        <v>2.34888944895198</v>
      </c>
      <c r="AX78" s="1">
        <f t="shared" si="72"/>
        <v>1203.74568828961</v>
      </c>
    </row>
    <row r="79" s="1" customFormat="1" spans="1:50">
      <c r="A79" s="13"/>
      <c r="B79" s="13"/>
      <c r="C79" s="16">
        <v>5</v>
      </c>
      <c r="D79" s="19">
        <v>1.46989194229032</v>
      </c>
      <c r="E79" s="20">
        <f t="shared" si="73"/>
        <v>-2.29856562943333</v>
      </c>
      <c r="F79" s="16" t="s">
        <v>112</v>
      </c>
      <c r="G79" s="13">
        <v>6</v>
      </c>
      <c r="H79" s="18">
        <f t="shared" si="57"/>
        <v>1.46989194229032</v>
      </c>
      <c r="I79" s="18">
        <f t="shared" si="58"/>
        <v>274.61989194229</v>
      </c>
      <c r="J79" s="18">
        <f t="shared" si="59"/>
        <v>0.021089605370086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1.13734416080542</v>
      </c>
      <c r="P79" s="18">
        <f t="shared" si="62"/>
        <v>0.023986139521358</v>
      </c>
      <c r="Q79" s="24">
        <f t="shared" si="63"/>
        <v>0.00623639627555308</v>
      </c>
      <c r="R79" s="18">
        <f t="shared" si="64"/>
        <v>0.1355172</v>
      </c>
      <c r="S79" s="25">
        <f t="shared" si="65"/>
        <v>0.0460192232096965</v>
      </c>
      <c r="T79" s="3">
        <v>0.01</v>
      </c>
      <c r="U79" s="26">
        <f t="shared" si="66"/>
        <v>0.000460192232096965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0.001</v>
      </c>
      <c r="AF79" s="3">
        <v>0.49</v>
      </c>
      <c r="AG79" s="26">
        <f t="shared" si="67"/>
        <v>0.00049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</v>
      </c>
      <c r="AR79" s="3">
        <v>0.5</v>
      </c>
      <c r="AS79" s="3">
        <f t="shared" si="68"/>
        <v>0.005</v>
      </c>
      <c r="AT79" s="2">
        <f t="shared" si="69"/>
        <v>0.00595019223209696</v>
      </c>
      <c r="AU79" s="29">
        <f t="shared" si="70"/>
        <v>52.122</v>
      </c>
      <c r="AV79" s="1">
        <f t="shared" si="71"/>
        <v>0.26</v>
      </c>
      <c r="AW79" s="2">
        <f t="shared" si="75"/>
        <v>2.34888944895198</v>
      </c>
      <c r="AX79" s="1">
        <f t="shared" si="72"/>
        <v>1269.00343102046</v>
      </c>
    </row>
    <row r="80" s="1" customFormat="1" spans="1:50">
      <c r="A80" s="13"/>
      <c r="B80" s="13"/>
      <c r="C80" s="16">
        <v>6</v>
      </c>
      <c r="D80" s="19">
        <v>6.47376780553333</v>
      </c>
      <c r="E80" s="20">
        <f t="shared" si="73"/>
        <v>1.46989194229032</v>
      </c>
      <c r="F80" s="16" t="s">
        <v>110</v>
      </c>
      <c r="G80" s="13">
        <v>7</v>
      </c>
      <c r="H80" s="18">
        <f t="shared" si="57"/>
        <v>6.47376780553333</v>
      </c>
      <c r="I80" s="18">
        <f t="shared" si="58"/>
        <v>279.623767805533</v>
      </c>
      <c r="J80" s="18">
        <f t="shared" si="59"/>
        <v>0.0397757634840969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1.63457802128406</v>
      </c>
      <c r="P80" s="18">
        <f t="shared" si="62"/>
        <v>0.0650165887708981</v>
      </c>
      <c r="Q80" s="24">
        <f t="shared" si="63"/>
        <v>0.0169043130804335</v>
      </c>
      <c r="R80" s="18">
        <f t="shared" si="64"/>
        <v>0.1355172</v>
      </c>
      <c r="S80" s="25">
        <f t="shared" si="65"/>
        <v>0.12473924402536</v>
      </c>
      <c r="T80" s="3">
        <v>0.01</v>
      </c>
      <c r="U80" s="26">
        <f t="shared" si="66"/>
        <v>0.0012473924402536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0.001</v>
      </c>
      <c r="AF80" s="3">
        <v>0.49</v>
      </c>
      <c r="AG80" s="26">
        <f t="shared" si="67"/>
        <v>0.00049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</v>
      </c>
      <c r="AR80" s="3">
        <v>0.5</v>
      </c>
      <c r="AS80" s="3">
        <f t="shared" si="68"/>
        <v>0.005</v>
      </c>
      <c r="AT80" s="2">
        <f t="shared" si="69"/>
        <v>0.0067373924402536</v>
      </c>
      <c r="AU80" s="29">
        <f t="shared" si="70"/>
        <v>52.122</v>
      </c>
      <c r="AV80" s="1">
        <f t="shared" si="71"/>
        <v>0.26</v>
      </c>
      <c r="AW80" s="2">
        <f t="shared" si="75"/>
        <v>2.34888944895198</v>
      </c>
      <c r="AX80" s="1">
        <f t="shared" si="72"/>
        <v>1436.89040442984</v>
      </c>
    </row>
    <row r="81" s="1" customFormat="1" spans="1:50">
      <c r="A81" s="13"/>
      <c r="B81" s="13"/>
      <c r="C81" s="16">
        <v>7</v>
      </c>
      <c r="D81" s="19">
        <v>8.23428274209677</v>
      </c>
      <c r="E81" s="20">
        <f t="shared" si="73"/>
        <v>6.47376780553333</v>
      </c>
      <c r="F81" s="16" t="s">
        <v>110</v>
      </c>
      <c r="G81" s="13">
        <v>8</v>
      </c>
      <c r="H81" s="18">
        <f t="shared" si="57"/>
        <v>8.23428274209677</v>
      </c>
      <c r="I81" s="18">
        <f t="shared" si="58"/>
        <v>281.384282742097</v>
      </c>
      <c r="J81" s="18">
        <f t="shared" si="59"/>
        <v>0.0494578012535669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2.09078143251317</v>
      </c>
      <c r="P81" s="18">
        <f t="shared" si="62"/>
        <v>0.103405452553884</v>
      </c>
      <c r="Q81" s="24">
        <f t="shared" si="63"/>
        <v>0.0268854176640099</v>
      </c>
      <c r="R81" s="18">
        <f t="shared" si="64"/>
        <v>0.1355172</v>
      </c>
      <c r="S81" s="25">
        <f t="shared" si="65"/>
        <v>0.198391183288984</v>
      </c>
      <c r="T81" s="3">
        <v>0.01</v>
      </c>
      <c r="U81" s="26">
        <f t="shared" si="66"/>
        <v>0.00198391183288984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0.001</v>
      </c>
      <c r="AF81" s="3">
        <v>0.49</v>
      </c>
      <c r="AG81" s="26">
        <f t="shared" si="67"/>
        <v>0.00049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</v>
      </c>
      <c r="AR81" s="3">
        <v>0.5</v>
      </c>
      <c r="AS81" s="3">
        <f t="shared" si="68"/>
        <v>0.005</v>
      </c>
      <c r="AT81" s="2">
        <f t="shared" si="69"/>
        <v>0.00747391183288984</v>
      </c>
      <c r="AU81" s="29">
        <f t="shared" si="70"/>
        <v>52.122</v>
      </c>
      <c r="AV81" s="1">
        <f t="shared" si="71"/>
        <v>0.26</v>
      </c>
      <c r="AW81" s="2">
        <f t="shared" si="75"/>
        <v>2.34888944895198</v>
      </c>
      <c r="AX81" s="1">
        <f t="shared" si="72"/>
        <v>1593.96862977301</v>
      </c>
    </row>
    <row r="82" s="1" customFormat="1" spans="1:50">
      <c r="A82" s="13"/>
      <c r="B82" s="13"/>
      <c r="C82" s="16">
        <v>8</v>
      </c>
      <c r="D82" s="19">
        <v>8.19953793025806</v>
      </c>
      <c r="E82" s="20">
        <f t="shared" si="73"/>
        <v>8.23428274209677</v>
      </c>
      <c r="F82" s="16" t="s">
        <v>110</v>
      </c>
      <c r="G82" s="13">
        <v>9</v>
      </c>
      <c r="H82" s="18">
        <f t="shared" si="57"/>
        <v>8.19953793025806</v>
      </c>
      <c r="I82" s="18">
        <f t="shared" si="58"/>
        <v>281.349537930258</v>
      </c>
      <c r="J82" s="18">
        <f t="shared" si="59"/>
        <v>0.0492469059565592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2.50859597995928</v>
      </c>
      <c r="P82" s="18">
        <f t="shared" si="62"/>
        <v>0.123540590308057</v>
      </c>
      <c r="Q82" s="24">
        <f t="shared" si="63"/>
        <v>0.0321205534800949</v>
      </c>
      <c r="R82" s="18">
        <f t="shared" si="64"/>
        <v>0.1355172</v>
      </c>
      <c r="S82" s="25">
        <f t="shared" si="65"/>
        <v>0.237021968282217</v>
      </c>
      <c r="T82" s="3">
        <v>0.01</v>
      </c>
      <c r="U82" s="26">
        <f t="shared" si="66"/>
        <v>0.00237021968282217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0.00786021968282217</v>
      </c>
      <c r="AU82" s="29">
        <f t="shared" si="70"/>
        <v>52.122</v>
      </c>
      <c r="AV82" s="1">
        <f t="shared" si="71"/>
        <v>0.26</v>
      </c>
      <c r="AW82" s="2">
        <f t="shared" si="75"/>
        <v>2.34888944895198</v>
      </c>
      <c r="AX82" s="1">
        <f t="shared" si="72"/>
        <v>1676.35689016397</v>
      </c>
    </row>
    <row r="83" s="1" customFormat="1" spans="1:50">
      <c r="A83" s="13"/>
      <c r="B83" s="13"/>
      <c r="C83" s="16">
        <v>9</v>
      </c>
      <c r="D83" s="19">
        <v>4.49274169056667</v>
      </c>
      <c r="E83" s="20">
        <f t="shared" si="73"/>
        <v>8.19953793025806</v>
      </c>
      <c r="F83" s="16" t="s">
        <v>110</v>
      </c>
      <c r="G83" s="13">
        <v>10</v>
      </c>
      <c r="H83" s="18">
        <f t="shared" si="57"/>
        <v>4.49274169056667</v>
      </c>
      <c r="I83" s="18">
        <f t="shared" si="58"/>
        <v>277.642741690567</v>
      </c>
      <c r="J83" s="18">
        <f t="shared" si="59"/>
        <v>0.0310253315721612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2.90627538965122</v>
      </c>
      <c r="P83" s="18">
        <f t="shared" si="62"/>
        <v>0.0901681576039412</v>
      </c>
      <c r="Q83" s="24">
        <f t="shared" si="63"/>
        <v>0.0234437209770247</v>
      </c>
      <c r="R83" s="18">
        <f t="shared" si="64"/>
        <v>0.1355172</v>
      </c>
      <c r="S83" s="25">
        <f t="shared" si="65"/>
        <v>0.172994431533597</v>
      </c>
      <c r="T83" s="3">
        <v>0.01</v>
      </c>
      <c r="U83" s="26">
        <f t="shared" si="66"/>
        <v>0.00172994431533597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0.00721994431533597</v>
      </c>
      <c r="AU83" s="29">
        <f t="shared" si="70"/>
        <v>52.122</v>
      </c>
      <c r="AV83" s="1">
        <f t="shared" si="71"/>
        <v>0.26</v>
      </c>
      <c r="AW83" s="2">
        <f t="shared" si="75"/>
        <v>2.34888944895198</v>
      </c>
      <c r="AX83" s="1">
        <f t="shared" si="72"/>
        <v>1539.80472404151</v>
      </c>
    </row>
    <row r="84" s="1" customFormat="1" spans="1:50">
      <c r="A84" s="13"/>
      <c r="B84" s="13"/>
      <c r="C84" s="16">
        <v>10</v>
      </c>
      <c r="D84" s="19">
        <v>-0.966232004645161</v>
      </c>
      <c r="E84" s="20">
        <f t="shared" si="73"/>
        <v>4.49274169056667</v>
      </c>
      <c r="F84" s="16" t="s">
        <v>110</v>
      </c>
      <c r="G84" s="13">
        <v>11</v>
      </c>
      <c r="H84" s="18">
        <f t="shared" si="57"/>
        <v>-0.966232004645161</v>
      </c>
      <c r="I84" s="18">
        <f t="shared" si="58"/>
        <v>272.183767995355</v>
      </c>
      <c r="J84" s="18">
        <f t="shared" si="59"/>
        <v>0.0153550302204193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2.67530187044492</v>
      </c>
      <c r="O84" s="18">
        <f t="shared" si="74"/>
        <v>0.662025361602364</v>
      </c>
      <c r="P84" s="18">
        <f t="shared" si="62"/>
        <v>0.0101654194340883</v>
      </c>
      <c r="Q84" s="24">
        <f t="shared" si="63"/>
        <v>0.00264300905286296</v>
      </c>
      <c r="R84" s="18">
        <f t="shared" si="64"/>
        <v>0.1355172</v>
      </c>
      <c r="S84" s="25">
        <f t="shared" si="65"/>
        <v>0.0195031261925642</v>
      </c>
      <c r="T84" s="3">
        <v>0.01</v>
      </c>
      <c r="U84" s="26">
        <f t="shared" si="66"/>
        <v>0.000195031261925642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0.00568503126192564</v>
      </c>
      <c r="AU84" s="29">
        <f t="shared" si="70"/>
        <v>52.122</v>
      </c>
      <c r="AV84" s="1">
        <f t="shared" si="71"/>
        <v>0.26</v>
      </c>
      <c r="AW84" s="2">
        <f t="shared" si="75"/>
        <v>2.34888944895198</v>
      </c>
      <c r="AX84" s="1">
        <f t="shared" si="72"/>
        <v>1212.45228648684</v>
      </c>
    </row>
    <row r="85" s="1" customFormat="1" spans="1:51">
      <c r="A85" s="13"/>
      <c r="B85" s="13"/>
      <c r="C85" s="16">
        <v>11</v>
      </c>
      <c r="D85" s="19">
        <v>-6.20024615973333</v>
      </c>
      <c r="E85" s="20">
        <f t="shared" si="73"/>
        <v>-0.966232004645161</v>
      </c>
      <c r="F85" s="16" t="s">
        <v>112</v>
      </c>
      <c r="G85" s="13">
        <v>12</v>
      </c>
      <c r="H85" s="18">
        <f t="shared" si="57"/>
        <v>-6.20024615973333</v>
      </c>
      <c r="I85" s="18">
        <f t="shared" si="58"/>
        <v>266.949753840267</v>
      </c>
      <c r="J85" s="18">
        <f t="shared" si="59"/>
        <v>0.00761449894901156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1.17307994216828</v>
      </c>
      <c r="P85" s="18">
        <f t="shared" si="62"/>
        <v>0.00893241598674688</v>
      </c>
      <c r="Q85" s="24">
        <f t="shared" si="63"/>
        <v>0.00232242815655419</v>
      </c>
      <c r="R85" s="18">
        <f t="shared" si="64"/>
        <v>0.1355172</v>
      </c>
      <c r="S85" s="25">
        <f t="shared" si="65"/>
        <v>0.017137515802822</v>
      </c>
      <c r="T85" s="3">
        <v>0.01</v>
      </c>
      <c r="U85" s="26">
        <f t="shared" si="66"/>
        <v>0.00017137515802822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0.00566137515802822</v>
      </c>
      <c r="AU85" s="29">
        <f t="shared" si="70"/>
        <v>52.122</v>
      </c>
      <c r="AV85" s="1">
        <f t="shared" si="71"/>
        <v>0.26</v>
      </c>
      <c r="AW85" s="2">
        <f t="shared" si="75"/>
        <v>2.34888944895198</v>
      </c>
      <c r="AX85" s="1">
        <f t="shared" si="72"/>
        <v>1207.40712561817</v>
      </c>
      <c r="AY85" s="1">
        <f>SUM(AX74:AX85)</f>
        <v>15929.6306293209</v>
      </c>
    </row>
    <row r="86" s="1" customFormat="1" spans="1:46">
      <c r="A86" s="13"/>
      <c r="B86" s="13"/>
      <c r="C86" s="16">
        <v>12</v>
      </c>
      <c r="D86" s="19">
        <v>-7.94472533245161</v>
      </c>
      <c r="E86" s="20">
        <f t="shared" si="73"/>
        <v>-6.20024615973333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-11</v>
      </c>
      <c r="E90" s="16"/>
      <c r="F90" s="16"/>
      <c r="G90" s="13">
        <v>1</v>
      </c>
      <c r="H90" s="18">
        <f t="shared" ref="H90:H101" si="76">E91</f>
        <v>-11</v>
      </c>
      <c r="I90" s="18">
        <f t="shared" ref="I90:I101" si="77">H90+273.15</f>
        <v>262.15</v>
      </c>
      <c r="J90" s="18">
        <f t="shared" ref="J90:J101" si="78">EXP(($C$16*(I90-$C$14))/($C$17*I90*$C$14))</f>
        <v>0.00390493234587267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0.00111173423886995</v>
      </c>
      <c r="Q90" s="24">
        <f t="shared" ref="Q90:Q101" si="82">P90*$B$76</f>
        <v>0.000289050902106187</v>
      </c>
      <c r="R90" s="18">
        <f t="shared" ref="R90:R101" si="83">L90*$B$76</f>
        <v>0.074022</v>
      </c>
      <c r="S90" s="25">
        <f t="shared" ref="S90:S101" si="84">Q90/R90</f>
        <v>0.00390493234587267</v>
      </c>
      <c r="T90" s="3">
        <v>0.01</v>
      </c>
      <c r="U90" s="26">
        <f t="shared" ref="U90:U101" si="85">S90*T90</f>
        <v>3.90493234587267e-5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0.00552904932345873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0.546666666666667</v>
      </c>
      <c r="AX90" s="1">
        <f t="shared" ref="AX90:AX101" si="91">AW90*10000*AV90*0.67*AU90*AT90</f>
        <v>149.902430792114</v>
      </c>
      <c r="AZ90" s="2">
        <f>$E$10/12</f>
        <v>0.116666666666667</v>
      </c>
      <c r="BA90" s="1">
        <f t="shared" ref="BA90:BA101" si="92">AZ90*10000*AV90*0.67*AU90*AT90</f>
        <v>31.9913724251463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-14.3410731177419</v>
      </c>
      <c r="E91" s="20">
        <f t="shared" ref="E91:E102" si="93">D90</f>
        <v>-11</v>
      </c>
      <c r="F91" s="16" t="s">
        <v>110</v>
      </c>
      <c r="G91" s="13">
        <v>2</v>
      </c>
      <c r="H91" s="18">
        <f t="shared" si="76"/>
        <v>-14.3410731177419</v>
      </c>
      <c r="I91" s="18">
        <f t="shared" si="77"/>
        <v>258.808926882258</v>
      </c>
      <c r="J91" s="18">
        <f t="shared" si="78"/>
        <v>0.00241755839271854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0.56828826576113</v>
      </c>
      <c r="P91" s="18">
        <f t="shared" si="81"/>
        <v>0.00137387006637428</v>
      </c>
      <c r="Q91" s="24">
        <f t="shared" si="82"/>
        <v>0.000357206217257314</v>
      </c>
      <c r="R91" s="18">
        <f t="shared" si="83"/>
        <v>0.074022</v>
      </c>
      <c r="S91" s="25">
        <f t="shared" si="84"/>
        <v>0.00482567638347132</v>
      </c>
      <c r="T91" s="3">
        <v>0.01</v>
      </c>
      <c r="U91" s="26">
        <f t="shared" si="85"/>
        <v>4.82567638347132e-5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0.00553825676383471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0.546666666666667</v>
      </c>
      <c r="AX91" s="1">
        <f t="shared" si="91"/>
        <v>150.152060993074</v>
      </c>
      <c r="AZ91" s="2">
        <f t="shared" ref="AZ91:AZ101" si="96">$E$10/12</f>
        <v>0.116666666666667</v>
      </c>
      <c r="BA91" s="1">
        <f t="shared" si="92"/>
        <v>32.0446471631561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-10.0816487995172</v>
      </c>
      <c r="E92" s="20">
        <f t="shared" si="93"/>
        <v>-14.3410731177419</v>
      </c>
      <c r="F92" s="16" t="s">
        <v>110</v>
      </c>
      <c r="G92" s="13">
        <v>3</v>
      </c>
      <c r="H92" s="18">
        <f t="shared" si="76"/>
        <v>-10.0816487995172</v>
      </c>
      <c r="I92" s="18">
        <f t="shared" si="77"/>
        <v>263.068351200483</v>
      </c>
      <c r="J92" s="18">
        <f t="shared" si="78"/>
        <v>0.00444553615796946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0.851614395694756</v>
      </c>
      <c r="P92" s="18">
        <f t="shared" si="81"/>
        <v>0.00378588258870835</v>
      </c>
      <c r="Q92" s="24">
        <f t="shared" si="82"/>
        <v>0.000984329473064171</v>
      </c>
      <c r="R92" s="18">
        <f t="shared" si="83"/>
        <v>0.074022</v>
      </c>
      <c r="S92" s="25">
        <f t="shared" si="84"/>
        <v>0.013297796237121</v>
      </c>
      <c r="T92" s="3">
        <v>0.01</v>
      </c>
      <c r="U92" s="26">
        <f t="shared" si="85"/>
        <v>0.00013297796237121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0.00562297796237121</v>
      </c>
      <c r="AU92" s="29">
        <f t="shared" si="89"/>
        <v>28.47</v>
      </c>
      <c r="AV92" s="1">
        <f t="shared" si="90"/>
        <v>0.26</v>
      </c>
      <c r="AW92" s="2">
        <f t="shared" si="95"/>
        <v>0.546666666666667</v>
      </c>
      <c r="AX92" s="1">
        <f t="shared" si="91"/>
        <v>152.44900443801</v>
      </c>
      <c r="AZ92" s="2">
        <f t="shared" si="96"/>
        <v>0.116666666666667</v>
      </c>
      <c r="BA92" s="1">
        <f t="shared" si="92"/>
        <v>32.5348485081118</v>
      </c>
    </row>
    <row r="93" s="1" customFormat="1" spans="1:53">
      <c r="A93" s="13"/>
      <c r="B93" s="13"/>
      <c r="C93" s="16">
        <v>3</v>
      </c>
      <c r="D93" s="19">
        <v>-6.78978804112903</v>
      </c>
      <c r="E93" s="20">
        <f t="shared" si="93"/>
        <v>-10.0816487995172</v>
      </c>
      <c r="F93" s="16" t="s">
        <v>110</v>
      </c>
      <c r="G93" s="13">
        <v>4</v>
      </c>
      <c r="H93" s="18">
        <f t="shared" si="76"/>
        <v>-6.78978804112903</v>
      </c>
      <c r="I93" s="18">
        <f t="shared" si="77"/>
        <v>266.360211958871</v>
      </c>
      <c r="J93" s="18">
        <f t="shared" si="78"/>
        <v>0.00702394354293763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1.13252851310605</v>
      </c>
      <c r="P93" s="18">
        <f t="shared" si="81"/>
        <v>0.00795481633682398</v>
      </c>
      <c r="Q93" s="24">
        <f t="shared" si="82"/>
        <v>0.00206825224757423</v>
      </c>
      <c r="R93" s="18">
        <f t="shared" si="83"/>
        <v>0.074022</v>
      </c>
      <c r="S93" s="25">
        <f t="shared" si="84"/>
        <v>0.0279410478989251</v>
      </c>
      <c r="T93" s="3">
        <v>0.01</v>
      </c>
      <c r="U93" s="26">
        <f t="shared" si="85"/>
        <v>0.000279410478989251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0.00576941047898925</v>
      </c>
      <c r="AU93" s="29">
        <f t="shared" si="89"/>
        <v>28.47</v>
      </c>
      <c r="AV93" s="1">
        <f t="shared" si="90"/>
        <v>0.26</v>
      </c>
      <c r="AW93" s="2">
        <f t="shared" si="95"/>
        <v>0.546666666666667</v>
      </c>
      <c r="AX93" s="1">
        <f t="shared" si="91"/>
        <v>156.419052253449</v>
      </c>
      <c r="AZ93" s="2">
        <f t="shared" si="96"/>
        <v>0.116666666666667</v>
      </c>
      <c r="BA93" s="1">
        <f t="shared" si="92"/>
        <v>33.3821148101872</v>
      </c>
    </row>
    <row r="94" s="1" customFormat="1" spans="1:53">
      <c r="A94" s="13"/>
      <c r="B94" s="13"/>
      <c r="C94" s="16">
        <v>4</v>
      </c>
      <c r="D94" s="19">
        <v>-2.29856562943333</v>
      </c>
      <c r="E94" s="20">
        <f t="shared" si="93"/>
        <v>-6.78978804112903</v>
      </c>
      <c r="F94" s="16" t="s">
        <v>110</v>
      </c>
      <c r="G94" s="13">
        <v>5</v>
      </c>
      <c r="H94" s="18">
        <f t="shared" si="76"/>
        <v>-2.29856562943333</v>
      </c>
      <c r="I94" s="18">
        <f t="shared" si="77"/>
        <v>270.851434370567</v>
      </c>
      <c r="J94" s="18">
        <f t="shared" si="78"/>
        <v>0.0128774077133337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1.06834501193076</v>
      </c>
      <c r="O94" s="18">
        <f t="shared" si="94"/>
        <v>0.340928684838461</v>
      </c>
      <c r="P94" s="18">
        <f t="shared" si="81"/>
        <v>0.00439027767583551</v>
      </c>
      <c r="Q94" s="24">
        <f t="shared" si="82"/>
        <v>0.00114147219571723</v>
      </c>
      <c r="R94" s="18">
        <f t="shared" si="83"/>
        <v>0.074022</v>
      </c>
      <c r="S94" s="25">
        <f t="shared" si="84"/>
        <v>0.0154207154051124</v>
      </c>
      <c r="T94" s="3">
        <v>0.01</v>
      </c>
      <c r="U94" s="26">
        <f t="shared" si="85"/>
        <v>0.000154207154051124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0.001</v>
      </c>
      <c r="AF94" s="3">
        <v>0.49</v>
      </c>
      <c r="AG94" s="26">
        <f t="shared" si="86"/>
        <v>0.00049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</v>
      </c>
      <c r="AR94" s="3">
        <v>0.5</v>
      </c>
      <c r="AS94" s="3">
        <f t="shared" si="87"/>
        <v>0.005</v>
      </c>
      <c r="AT94" s="2">
        <f t="shared" si="88"/>
        <v>0.00564420715405112</v>
      </c>
      <c r="AU94" s="29">
        <f t="shared" si="89"/>
        <v>28.47</v>
      </c>
      <c r="AV94" s="1">
        <f t="shared" si="90"/>
        <v>0.26</v>
      </c>
      <c r="AW94" s="2">
        <f t="shared" si="95"/>
        <v>0.546666666666667</v>
      </c>
      <c r="AX94" s="1">
        <f t="shared" si="91"/>
        <v>153.02456585018</v>
      </c>
      <c r="AZ94" s="2">
        <f t="shared" si="96"/>
        <v>0.116666666666667</v>
      </c>
      <c r="BA94" s="1">
        <f t="shared" si="92"/>
        <v>32.657681736319</v>
      </c>
    </row>
    <row r="95" s="1" customFormat="1" spans="1:53">
      <c r="A95" s="13"/>
      <c r="B95" s="13"/>
      <c r="C95" s="16">
        <v>5</v>
      </c>
      <c r="D95" s="19">
        <v>1.46989194229032</v>
      </c>
      <c r="E95" s="20">
        <f t="shared" si="93"/>
        <v>-2.29856562943333</v>
      </c>
      <c r="F95" s="16" t="s">
        <v>112</v>
      </c>
      <c r="G95" s="13">
        <v>6</v>
      </c>
      <c r="H95" s="18">
        <f t="shared" si="76"/>
        <v>1.46989194229032</v>
      </c>
      <c r="I95" s="18">
        <f t="shared" si="77"/>
        <v>274.61989194229</v>
      </c>
      <c r="J95" s="18">
        <f t="shared" si="78"/>
        <v>0.021089605370086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0.621238407162626</v>
      </c>
      <c r="P95" s="18">
        <f t="shared" si="81"/>
        <v>0.0131016728478006</v>
      </c>
      <c r="Q95" s="24">
        <f t="shared" si="82"/>
        <v>0.00340643494042815</v>
      </c>
      <c r="R95" s="18">
        <f t="shared" si="83"/>
        <v>0.074022</v>
      </c>
      <c r="S95" s="25">
        <f t="shared" si="84"/>
        <v>0.0460192232096965</v>
      </c>
      <c r="T95" s="3">
        <v>0.01</v>
      </c>
      <c r="U95" s="26">
        <f t="shared" si="85"/>
        <v>0.000460192232096965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0.001</v>
      </c>
      <c r="AF95" s="3">
        <v>0.49</v>
      </c>
      <c r="AG95" s="26">
        <f t="shared" si="86"/>
        <v>0.00049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</v>
      </c>
      <c r="AR95" s="3">
        <v>0.5</v>
      </c>
      <c r="AS95" s="3">
        <f t="shared" si="87"/>
        <v>0.005</v>
      </c>
      <c r="AT95" s="2">
        <f t="shared" si="88"/>
        <v>0.00595019223209696</v>
      </c>
      <c r="AU95" s="29">
        <f t="shared" si="89"/>
        <v>28.47</v>
      </c>
      <c r="AV95" s="1">
        <f t="shared" si="90"/>
        <v>0.26</v>
      </c>
      <c r="AW95" s="2">
        <f t="shared" si="95"/>
        <v>0.546666666666667</v>
      </c>
      <c r="AX95" s="1">
        <f t="shared" si="91"/>
        <v>161.320369396475</v>
      </c>
      <c r="AZ95" s="2">
        <f t="shared" si="96"/>
        <v>0.116666666666667</v>
      </c>
      <c r="BA95" s="1">
        <f t="shared" si="92"/>
        <v>34.4281276151013</v>
      </c>
    </row>
    <row r="96" s="1" customFormat="1" spans="1:53">
      <c r="A96" s="13"/>
      <c r="B96" s="13"/>
      <c r="C96" s="16">
        <v>6</v>
      </c>
      <c r="D96" s="19">
        <v>6.47376780553333</v>
      </c>
      <c r="E96" s="20">
        <f t="shared" si="93"/>
        <v>1.46989194229032</v>
      </c>
      <c r="F96" s="16" t="s">
        <v>110</v>
      </c>
      <c r="G96" s="13">
        <v>7</v>
      </c>
      <c r="H96" s="18">
        <f t="shared" si="76"/>
        <v>6.47376780553333</v>
      </c>
      <c r="I96" s="18">
        <f t="shared" si="77"/>
        <v>279.623767805533</v>
      </c>
      <c r="J96" s="18">
        <f t="shared" si="78"/>
        <v>0.0397757634840969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0.892836734314825</v>
      </c>
      <c r="P96" s="18">
        <f t="shared" si="81"/>
        <v>0.0355132627740199</v>
      </c>
      <c r="Q96" s="24">
        <f t="shared" si="82"/>
        <v>0.00923344832124518</v>
      </c>
      <c r="R96" s="18">
        <f t="shared" si="83"/>
        <v>0.074022</v>
      </c>
      <c r="S96" s="25">
        <f t="shared" si="84"/>
        <v>0.12473924402536</v>
      </c>
      <c r="T96" s="3">
        <v>0.01</v>
      </c>
      <c r="U96" s="26">
        <f t="shared" si="85"/>
        <v>0.0012473924402536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0.001</v>
      </c>
      <c r="AF96" s="3">
        <v>0.49</v>
      </c>
      <c r="AG96" s="26">
        <f t="shared" si="86"/>
        <v>0.00049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</v>
      </c>
      <c r="AR96" s="3">
        <v>0.5</v>
      </c>
      <c r="AS96" s="3">
        <f t="shared" si="87"/>
        <v>0.005</v>
      </c>
      <c r="AT96" s="2">
        <f t="shared" si="88"/>
        <v>0.0067373924402536</v>
      </c>
      <c r="AU96" s="29">
        <f t="shared" si="89"/>
        <v>28.47</v>
      </c>
      <c r="AV96" s="1">
        <f t="shared" si="90"/>
        <v>0.26</v>
      </c>
      <c r="AW96" s="2">
        <f t="shared" si="95"/>
        <v>0.546666666666667</v>
      </c>
      <c r="AX96" s="1">
        <f t="shared" si="91"/>
        <v>182.662777072614</v>
      </c>
      <c r="AZ96" s="2">
        <f t="shared" si="96"/>
        <v>0.116666666666667</v>
      </c>
      <c r="BA96" s="1">
        <f t="shared" si="92"/>
        <v>38.9829097411066</v>
      </c>
    </row>
    <row r="97" s="1" customFormat="1" spans="1:53">
      <c r="A97" s="13"/>
      <c r="B97" s="13"/>
      <c r="C97" s="16">
        <v>7</v>
      </c>
      <c r="D97" s="19">
        <v>8.23428274209677</v>
      </c>
      <c r="E97" s="20">
        <f t="shared" si="93"/>
        <v>6.47376780553333</v>
      </c>
      <c r="F97" s="16" t="s">
        <v>110</v>
      </c>
      <c r="G97" s="13">
        <v>8</v>
      </c>
      <c r="H97" s="18">
        <f t="shared" si="76"/>
        <v>8.23428274209677</v>
      </c>
      <c r="I97" s="18">
        <f t="shared" si="77"/>
        <v>281.384282742097</v>
      </c>
      <c r="J97" s="18">
        <f t="shared" si="78"/>
        <v>0.0494578012535669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1.1420234715408</v>
      </c>
      <c r="P97" s="18">
        <f t="shared" si="81"/>
        <v>0.0564819698823736</v>
      </c>
      <c r="Q97" s="24">
        <f t="shared" si="82"/>
        <v>0.0146853121694171</v>
      </c>
      <c r="R97" s="18">
        <f t="shared" si="83"/>
        <v>0.074022</v>
      </c>
      <c r="S97" s="25">
        <f t="shared" si="84"/>
        <v>0.198391183288984</v>
      </c>
      <c r="T97" s="3">
        <v>0.01</v>
      </c>
      <c r="U97" s="26">
        <f t="shared" si="85"/>
        <v>0.00198391183288984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0.001</v>
      </c>
      <c r="AF97" s="3">
        <v>0.49</v>
      </c>
      <c r="AG97" s="26">
        <f t="shared" si="86"/>
        <v>0.00049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</v>
      </c>
      <c r="AR97" s="3">
        <v>0.5</v>
      </c>
      <c r="AS97" s="3">
        <f t="shared" si="87"/>
        <v>0.005</v>
      </c>
      <c r="AT97" s="2">
        <f t="shared" si="88"/>
        <v>0.00747391183288984</v>
      </c>
      <c r="AU97" s="29">
        <f t="shared" si="89"/>
        <v>28.47</v>
      </c>
      <c r="AV97" s="1">
        <f t="shared" si="90"/>
        <v>0.26</v>
      </c>
      <c r="AW97" s="2">
        <f t="shared" si="95"/>
        <v>0.546666666666667</v>
      </c>
      <c r="AX97" s="1">
        <f t="shared" si="91"/>
        <v>202.631137060518</v>
      </c>
      <c r="AZ97" s="2">
        <f t="shared" si="96"/>
        <v>0.116666666666667</v>
      </c>
      <c r="BA97" s="1">
        <f t="shared" si="92"/>
        <v>43.2444499824277</v>
      </c>
    </row>
    <row r="98" s="1" customFormat="1" spans="1:53">
      <c r="A98" s="13"/>
      <c r="B98" s="13"/>
      <c r="C98" s="16">
        <v>8</v>
      </c>
      <c r="D98" s="19">
        <v>8.19953793025806</v>
      </c>
      <c r="E98" s="20">
        <f t="shared" si="93"/>
        <v>8.23428274209677</v>
      </c>
      <c r="F98" s="16" t="s">
        <v>110</v>
      </c>
      <c r="G98" s="13">
        <v>9</v>
      </c>
      <c r="H98" s="18">
        <f t="shared" si="76"/>
        <v>8.19953793025806</v>
      </c>
      <c r="I98" s="18">
        <f t="shared" si="77"/>
        <v>281.349537930258</v>
      </c>
      <c r="J98" s="18">
        <f t="shared" si="78"/>
        <v>0.0492469059565592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1.37024150165843</v>
      </c>
      <c r="P98" s="18">
        <f t="shared" si="81"/>
        <v>0.0674801543699472</v>
      </c>
      <c r="Q98" s="24">
        <f t="shared" si="82"/>
        <v>0.0175448401361863</v>
      </c>
      <c r="R98" s="18">
        <f t="shared" si="83"/>
        <v>0.074022</v>
      </c>
      <c r="S98" s="25">
        <f t="shared" si="84"/>
        <v>0.237021968282217</v>
      </c>
      <c r="T98" s="3">
        <v>0.01</v>
      </c>
      <c r="U98" s="26">
        <f t="shared" si="85"/>
        <v>0.00237021968282217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0.00786021968282217</v>
      </c>
      <c r="AU98" s="29">
        <f t="shared" si="89"/>
        <v>28.47</v>
      </c>
      <c r="AV98" s="1">
        <f t="shared" si="90"/>
        <v>0.26</v>
      </c>
      <c r="AW98" s="2">
        <f t="shared" si="95"/>
        <v>0.546666666666667</v>
      </c>
      <c r="AX98" s="1">
        <f t="shared" si="91"/>
        <v>213.104634826805</v>
      </c>
      <c r="AZ98" s="2">
        <f t="shared" si="96"/>
        <v>0.116666666666667</v>
      </c>
      <c r="BA98" s="1">
        <f t="shared" si="92"/>
        <v>45.4796476764523</v>
      </c>
    </row>
    <row r="99" s="1" customFormat="1" spans="1:53">
      <c r="A99" s="13"/>
      <c r="B99" s="13"/>
      <c r="C99" s="16">
        <v>9</v>
      </c>
      <c r="D99" s="19">
        <v>4.49274169056667</v>
      </c>
      <c r="E99" s="20">
        <f t="shared" si="93"/>
        <v>8.19953793025806</v>
      </c>
      <c r="F99" s="16" t="s">
        <v>110</v>
      </c>
      <c r="G99" s="13">
        <v>10</v>
      </c>
      <c r="H99" s="18">
        <f t="shared" si="76"/>
        <v>4.49274169056667</v>
      </c>
      <c r="I99" s="18">
        <f t="shared" si="77"/>
        <v>277.642741690567</v>
      </c>
      <c r="J99" s="18">
        <f t="shared" si="78"/>
        <v>0.0310253315721612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1.58746134728848</v>
      </c>
      <c r="P99" s="18">
        <f t="shared" si="81"/>
        <v>0.049251514657615</v>
      </c>
      <c r="Q99" s="24">
        <f t="shared" si="82"/>
        <v>0.0128053938109799</v>
      </c>
      <c r="R99" s="18">
        <f t="shared" si="83"/>
        <v>0.074022</v>
      </c>
      <c r="S99" s="25">
        <f t="shared" si="84"/>
        <v>0.172994431533597</v>
      </c>
      <c r="T99" s="3">
        <v>0.01</v>
      </c>
      <c r="U99" s="26">
        <f t="shared" si="85"/>
        <v>0.00172994431533597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0.00721994431533597</v>
      </c>
      <c r="AU99" s="29">
        <f t="shared" si="89"/>
        <v>28.47</v>
      </c>
      <c r="AV99" s="1">
        <f t="shared" si="90"/>
        <v>0.26</v>
      </c>
      <c r="AW99" s="2">
        <f t="shared" si="95"/>
        <v>0.546666666666667</v>
      </c>
      <c r="AX99" s="1">
        <f t="shared" si="91"/>
        <v>195.745622753016</v>
      </c>
      <c r="AZ99" s="2">
        <f t="shared" si="96"/>
        <v>0.116666666666667</v>
      </c>
      <c r="BA99" s="1">
        <f t="shared" si="92"/>
        <v>41.7749804655826</v>
      </c>
    </row>
    <row r="100" s="1" customFormat="1" spans="1:53">
      <c r="A100" s="13"/>
      <c r="B100" s="13"/>
      <c r="C100" s="16">
        <v>10</v>
      </c>
      <c r="D100" s="19">
        <v>-0.966232004645161</v>
      </c>
      <c r="E100" s="20">
        <f t="shared" si="93"/>
        <v>4.49274169056667</v>
      </c>
      <c r="F100" s="16" t="s">
        <v>110</v>
      </c>
      <c r="G100" s="13">
        <v>11</v>
      </c>
      <c r="H100" s="18">
        <f t="shared" si="76"/>
        <v>-0.966232004645161</v>
      </c>
      <c r="I100" s="18">
        <f t="shared" si="77"/>
        <v>272.183767995355</v>
      </c>
      <c r="J100" s="18">
        <f t="shared" si="78"/>
        <v>0.0153550302204193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1.46129934099933</v>
      </c>
      <c r="O100" s="18">
        <f t="shared" si="94"/>
        <v>0.361610491631543</v>
      </c>
      <c r="P100" s="18">
        <f t="shared" si="81"/>
        <v>0.00555254002702303</v>
      </c>
      <c r="Q100" s="24">
        <f t="shared" si="82"/>
        <v>0.00144366040702599</v>
      </c>
      <c r="R100" s="18">
        <f t="shared" si="83"/>
        <v>0.074022</v>
      </c>
      <c r="S100" s="25">
        <f t="shared" si="84"/>
        <v>0.0195031261925642</v>
      </c>
      <c r="T100" s="3">
        <v>0.01</v>
      </c>
      <c r="U100" s="26">
        <f t="shared" si="85"/>
        <v>0.000195031261925642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0.00568503126192564</v>
      </c>
      <c r="AU100" s="29">
        <f t="shared" si="89"/>
        <v>28.47</v>
      </c>
      <c r="AV100" s="1">
        <f t="shared" si="90"/>
        <v>0.26</v>
      </c>
      <c r="AW100" s="2">
        <f t="shared" si="95"/>
        <v>0.546666666666667</v>
      </c>
      <c r="AX100" s="1">
        <f t="shared" si="91"/>
        <v>154.1313805388</v>
      </c>
      <c r="AZ100" s="2">
        <f t="shared" si="96"/>
        <v>0.116666666666667</v>
      </c>
      <c r="BA100" s="1">
        <f t="shared" si="92"/>
        <v>32.8938921881586</v>
      </c>
    </row>
    <row r="101" s="1" customFormat="1" spans="1:54">
      <c r="A101" s="13"/>
      <c r="B101" s="13"/>
      <c r="C101" s="16">
        <v>11</v>
      </c>
      <c r="D101" s="19">
        <v>-6.20024615973333</v>
      </c>
      <c r="E101" s="20">
        <f t="shared" si="93"/>
        <v>-0.966232004645161</v>
      </c>
      <c r="F101" s="16" t="s">
        <v>112</v>
      </c>
      <c r="G101" s="13">
        <v>12</v>
      </c>
      <c r="H101" s="18">
        <f t="shared" si="76"/>
        <v>-6.20024615973333</v>
      </c>
      <c r="I101" s="18">
        <f t="shared" si="77"/>
        <v>266.949753840267</v>
      </c>
      <c r="J101" s="18">
        <f t="shared" si="78"/>
        <v>0.00761449894901156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0.64075795160452</v>
      </c>
      <c r="P101" s="18">
        <f t="shared" si="81"/>
        <v>0.00487905074906342</v>
      </c>
      <c r="Q101" s="24">
        <f t="shared" si="82"/>
        <v>0.00126855319475649</v>
      </c>
      <c r="R101" s="18">
        <f t="shared" si="83"/>
        <v>0.074022</v>
      </c>
      <c r="S101" s="25">
        <f t="shared" si="84"/>
        <v>0.017137515802822</v>
      </c>
      <c r="T101" s="3">
        <v>0.01</v>
      </c>
      <c r="U101" s="26">
        <f t="shared" si="85"/>
        <v>0.00017137515802822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0.00566137515802822</v>
      </c>
      <c r="AU101" s="29">
        <f t="shared" si="89"/>
        <v>28.47</v>
      </c>
      <c r="AV101" s="1">
        <f t="shared" si="90"/>
        <v>0.26</v>
      </c>
      <c r="AW101" s="2">
        <f t="shared" si="95"/>
        <v>0.546666666666667</v>
      </c>
      <c r="AX101" s="1">
        <f t="shared" si="91"/>
        <v>153.490021189328</v>
      </c>
      <c r="AY101" s="1">
        <f>SUM(AX90:AX101)</f>
        <v>2025.03305716438</v>
      </c>
      <c r="AZ101" s="2">
        <f t="shared" si="96"/>
        <v>0.116666666666667</v>
      </c>
      <c r="BA101" s="1">
        <f t="shared" si="92"/>
        <v>32.7570167172346</v>
      </c>
      <c r="BB101" s="1">
        <f>SUM(BA90:BA101)</f>
        <v>432.171689028984</v>
      </c>
    </row>
    <row r="102" s="1" customFormat="1" spans="1:46">
      <c r="A102" s="13"/>
      <c r="B102" s="13"/>
      <c r="C102" s="16">
        <v>12</v>
      </c>
      <c r="D102" s="19">
        <v>-7.94472533245161</v>
      </c>
      <c r="E102" s="20">
        <f t="shared" si="93"/>
        <v>-6.20024615973333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F18" sqref="F1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M1" s="2"/>
    </row>
    <row r="2" s="1" customFormat="1" spans="1:13">
      <c r="A2" s="4" t="s">
        <v>41</v>
      </c>
      <c r="B2" s="5" t="s">
        <v>42</v>
      </c>
      <c r="C2" s="3"/>
      <c r="D2" s="3"/>
      <c r="E2" s="6">
        <v>203.48</v>
      </c>
      <c r="F2" s="3">
        <v>1069.523</v>
      </c>
      <c r="G2" s="7">
        <f>(F2+F3+F4)/3</f>
        <v>1305.751</v>
      </c>
      <c r="H2" s="3">
        <v>0.13</v>
      </c>
      <c r="I2" s="21">
        <f>(H2+H3+H4)/3</f>
        <v>0.12</v>
      </c>
      <c r="M2" s="2"/>
    </row>
    <row r="3" s="1" customFormat="1" spans="1:13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M3" s="2"/>
    </row>
    <row r="4" s="1" customFormat="1" spans="1:13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M4" s="2"/>
    </row>
    <row r="5" s="1" customFormat="1" spans="1:13">
      <c r="A5" s="4" t="s">
        <v>45</v>
      </c>
      <c r="B5" s="5" t="s">
        <v>46</v>
      </c>
      <c r="C5" s="3"/>
      <c r="D5" s="3"/>
      <c r="E5" s="6">
        <v>1280.83397260274</v>
      </c>
      <c r="F5" s="3">
        <v>91.104</v>
      </c>
      <c r="G5" s="7">
        <f>(F5+F6)/2</f>
        <v>92.50925</v>
      </c>
      <c r="H5" s="3">
        <v>0.18</v>
      </c>
      <c r="I5" s="21">
        <f>(H5+H6)/2</f>
        <v>0.155</v>
      </c>
      <c r="M5" s="2"/>
    </row>
    <row r="6" s="1" customFormat="1" spans="1:13">
      <c r="A6" s="4"/>
      <c r="B6" s="5" t="s">
        <v>47</v>
      </c>
      <c r="C6" s="3"/>
      <c r="D6" s="3"/>
      <c r="E6" s="10"/>
      <c r="F6" s="3">
        <v>93.9145</v>
      </c>
      <c r="G6" s="11"/>
      <c r="H6" s="3">
        <v>0.13</v>
      </c>
      <c r="I6" s="21"/>
      <c r="M6" s="2"/>
    </row>
    <row r="7" s="1" customFormat="1" spans="1:13">
      <c r="A7" s="4" t="s">
        <v>48</v>
      </c>
      <c r="B7" s="5"/>
      <c r="C7" s="3"/>
      <c r="D7" s="3"/>
      <c r="E7" s="12">
        <v>1655.31186735761</v>
      </c>
      <c r="F7" s="3">
        <v>122.786</v>
      </c>
      <c r="G7" s="3"/>
      <c r="H7" s="3">
        <v>0.29</v>
      </c>
      <c r="M7" s="2"/>
    </row>
    <row r="8" s="1" customFormat="1" spans="1:13">
      <c r="A8" s="4" t="s">
        <v>49</v>
      </c>
      <c r="B8" s="5"/>
      <c r="C8" s="3"/>
      <c r="D8" s="3"/>
      <c r="E8" s="12">
        <v>1.5194</v>
      </c>
      <c r="F8" s="3">
        <v>625.464</v>
      </c>
      <c r="G8" s="3"/>
      <c r="H8" s="3">
        <v>0.26</v>
      </c>
      <c r="M8" s="2"/>
    </row>
    <row r="9" s="1" customFormat="1" spans="1:13">
      <c r="A9" s="4" t="s">
        <v>50</v>
      </c>
      <c r="B9" s="5"/>
      <c r="C9" s="3"/>
      <c r="D9" s="3"/>
      <c r="E9" s="12">
        <v>2.538</v>
      </c>
      <c r="F9" s="3">
        <v>341.64</v>
      </c>
      <c r="G9" s="3"/>
      <c r="H9" s="3">
        <v>0.26</v>
      </c>
      <c r="M9" s="2"/>
    </row>
    <row r="10" s="1" customFormat="1" spans="1:13">
      <c r="A10" s="4" t="s">
        <v>51</v>
      </c>
      <c r="B10" s="5"/>
      <c r="C10" s="3"/>
      <c r="D10" s="3"/>
      <c r="E10" s="12">
        <v>0.37697516721295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52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55</v>
      </c>
      <c r="B14" s="4" t="s">
        <v>56</v>
      </c>
      <c r="C14" s="4">
        <v>308.16</v>
      </c>
      <c r="D14" s="13"/>
      <c r="E14" s="13"/>
      <c r="F14" s="13"/>
      <c r="G14" s="14" t="s">
        <v>57</v>
      </c>
      <c r="H14" s="14" t="s">
        <v>58</v>
      </c>
      <c r="I14" s="14">
        <f>(AV38+AV53+AY85+AY101+BB101+AG69)</f>
        <v>44709083.1932372</v>
      </c>
      <c r="J14" s="14" t="s">
        <v>35</v>
      </c>
      <c r="K14" s="14">
        <f>I14/(10000*1000)</f>
        <v>4.47090831932372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60</v>
      </c>
      <c r="B15" s="4" t="s">
        <v>56</v>
      </c>
      <c r="C15" s="4"/>
      <c r="D15" s="13"/>
      <c r="E15" s="13"/>
      <c r="F15" s="13"/>
      <c r="G15" s="14"/>
      <c r="H15" s="14" t="s">
        <v>61</v>
      </c>
      <c r="I15" s="14">
        <v>32685906.9547628</v>
      </c>
      <c r="J15" s="14" t="s">
        <v>35</v>
      </c>
      <c r="K15" s="14">
        <f>I15/(10000*1000)</f>
        <v>3.26859069547628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62</v>
      </c>
      <c r="B16" s="4" t="s">
        <v>63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64</v>
      </c>
      <c r="B17" s="4" t="s">
        <v>65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4" t="s">
        <v>67</v>
      </c>
      <c r="B18" s="4" t="s">
        <v>68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70</v>
      </c>
      <c r="B19" s="4" t="s">
        <v>68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73</v>
      </c>
      <c r="B20" s="4" t="s">
        <v>74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75</v>
      </c>
      <c r="B21" s="4" t="s">
        <v>76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77</v>
      </c>
      <c r="B22" s="4" t="s">
        <v>72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78</v>
      </c>
      <c r="B23" s="4" t="s">
        <v>79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1305.751</v>
      </c>
      <c r="C27" s="16" t="s">
        <v>109</v>
      </c>
      <c r="D27" s="17">
        <v>0</v>
      </c>
      <c r="E27" s="16"/>
      <c r="F27" s="16"/>
      <c r="G27" s="13">
        <v>1</v>
      </c>
      <c r="H27" s="18">
        <f t="shared" ref="H27:H38" si="0">E28</f>
        <v>0</v>
      </c>
      <c r="I27" s="18">
        <f t="shared" ref="I27:I38" si="1">H27+273.15</f>
        <v>273.15</v>
      </c>
      <c r="J27" s="18">
        <f t="shared" ref="J27:J38" si="2">EXP(($C$16*(I27-$C$14))/($C$17*I27*$C$14))</f>
        <v>0.0174263747487528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110</v>
      </c>
      <c r="N27" s="13"/>
      <c r="O27" s="18">
        <f>L27</f>
        <v>1.08812583333333</v>
      </c>
      <c r="P27" s="18">
        <f t="shared" ref="P27:P38" si="5">O27*J27</f>
        <v>0.0189620885454656</v>
      </c>
      <c r="Q27" s="24">
        <f t="shared" ref="Q27:Q38" si="6">P27*$B$29</f>
        <v>0.00227545062545587</v>
      </c>
      <c r="R27" s="18">
        <f t="shared" ref="R27:R38" si="7">L27*$B$29</f>
        <v>0.1305751</v>
      </c>
      <c r="S27" s="25">
        <f t="shared" ref="S27:S38" si="8">Q27/R27</f>
        <v>0.0174263747487528</v>
      </c>
      <c r="T27" s="3">
        <v>0.01</v>
      </c>
      <c r="U27" s="26">
        <f t="shared" ref="U27:U38" si="9">S27*T27</f>
        <v>0.000174263747487528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0.0220742637474875</v>
      </c>
      <c r="AR27" s="29">
        <f t="shared" ref="AR27:AR38" si="15">$B$27/12</f>
        <v>108.812583333333</v>
      </c>
      <c r="AS27" s="1">
        <f t="shared" ref="AS27:AS38" si="16">$B$29</f>
        <v>0.12</v>
      </c>
      <c r="AT27" s="2">
        <f>$E$2/12</f>
        <v>16.9566666666667</v>
      </c>
      <c r="AU27" s="1">
        <f t="shared" ref="AU27:AU38" si="17">AT27*10000*AS27*0.67*AR27*AQ27</f>
        <v>32746.2731403415</v>
      </c>
    </row>
    <row r="28" s="1" customFormat="1" spans="1:47">
      <c r="A28" s="13" t="s">
        <v>111</v>
      </c>
      <c r="B28" s="13">
        <v>1</v>
      </c>
      <c r="C28" s="16">
        <v>1</v>
      </c>
      <c r="D28" s="37">
        <v>-3.72377286509677</v>
      </c>
      <c r="E28" s="20">
        <f t="shared" ref="E28:E39" si="18">D27</f>
        <v>0</v>
      </c>
      <c r="F28" s="16" t="s">
        <v>110</v>
      </c>
      <c r="G28" s="13">
        <v>2</v>
      </c>
      <c r="H28" s="18">
        <f t="shared" si="0"/>
        <v>-3.72377286509677</v>
      </c>
      <c r="I28" s="18">
        <f t="shared" si="1"/>
        <v>269.426227134903</v>
      </c>
      <c r="J28" s="18">
        <f t="shared" si="2"/>
        <v>0.0106473694054169</v>
      </c>
      <c r="K28" s="18">
        <f t="shared" si="3"/>
        <v>108.812583333333</v>
      </c>
      <c r="L28" s="18">
        <f t="shared" si="4"/>
        <v>1.08812583333333</v>
      </c>
      <c r="M28" s="13" t="s">
        <v>110</v>
      </c>
      <c r="N28" s="13"/>
      <c r="O28" s="18">
        <f t="shared" ref="O28:O38" si="19">L28+O27-P27-N28</f>
        <v>2.1572895781212</v>
      </c>
      <c r="P28" s="18">
        <f t="shared" si="5"/>
        <v>0.0229694590527124</v>
      </c>
      <c r="Q28" s="24">
        <f t="shared" si="6"/>
        <v>0.00275633508632549</v>
      </c>
      <c r="R28" s="18">
        <f t="shared" si="7"/>
        <v>0.1305751</v>
      </c>
      <c r="S28" s="25">
        <f t="shared" si="8"/>
        <v>0.0211091937614866</v>
      </c>
      <c r="T28" s="3">
        <v>0.01</v>
      </c>
      <c r="U28" s="26">
        <f t="shared" si="9"/>
        <v>0.000211091937614866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0.0221110919376149</v>
      </c>
      <c r="AR28" s="29">
        <f t="shared" si="15"/>
        <v>108.812583333333</v>
      </c>
      <c r="AS28" s="1">
        <f t="shared" si="16"/>
        <v>0.12</v>
      </c>
      <c r="AT28" s="2">
        <f t="shared" ref="AT28:AT38" si="20">$E$2/12</f>
        <v>16.9566666666667</v>
      </c>
      <c r="AU28" s="1">
        <f t="shared" si="17"/>
        <v>32800.9062636461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37">
        <v>0.258050037103448</v>
      </c>
      <c r="E29" s="20">
        <f t="shared" si="18"/>
        <v>-3.72377286509677</v>
      </c>
      <c r="F29" s="16" t="s">
        <v>110</v>
      </c>
      <c r="G29" s="13">
        <v>3</v>
      </c>
      <c r="H29" s="18">
        <f t="shared" si="0"/>
        <v>0.258050037103448</v>
      </c>
      <c r="I29" s="18">
        <f t="shared" si="1"/>
        <v>273.408050037103</v>
      </c>
      <c r="J29" s="18">
        <f t="shared" si="2"/>
        <v>0.0180226412543648</v>
      </c>
      <c r="K29" s="18">
        <f t="shared" si="3"/>
        <v>108.812583333333</v>
      </c>
      <c r="L29" s="18">
        <f t="shared" si="4"/>
        <v>1.08812583333333</v>
      </c>
      <c r="M29" s="13" t="s">
        <v>110</v>
      </c>
      <c r="N29" s="13"/>
      <c r="O29" s="18">
        <f t="shared" si="19"/>
        <v>3.22244595240182</v>
      </c>
      <c r="P29" s="18">
        <f t="shared" si="5"/>
        <v>0.058076987361718</v>
      </c>
      <c r="Q29" s="24">
        <f t="shared" si="6"/>
        <v>0.00696923848340615</v>
      </c>
      <c r="R29" s="18">
        <f t="shared" si="7"/>
        <v>0.1305751</v>
      </c>
      <c r="S29" s="25">
        <f t="shared" si="8"/>
        <v>0.0533734110363014</v>
      </c>
      <c r="T29" s="3">
        <v>0.01</v>
      </c>
      <c r="U29" s="26">
        <f t="shared" si="9"/>
        <v>0.000533734110363014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0.022433734110363</v>
      </c>
      <c r="AR29" s="29">
        <f t="shared" si="15"/>
        <v>108.812583333333</v>
      </c>
      <c r="AS29" s="1">
        <f t="shared" si="16"/>
        <v>0.12</v>
      </c>
      <c r="AT29" s="2">
        <f t="shared" si="20"/>
        <v>16.9566666666667</v>
      </c>
      <c r="AU29" s="1">
        <f t="shared" si="17"/>
        <v>33279.5328142873</v>
      </c>
    </row>
    <row r="30" s="1" customFormat="1" spans="1:47">
      <c r="A30" s="13"/>
      <c r="B30" s="13"/>
      <c r="C30" s="16">
        <v>3</v>
      </c>
      <c r="D30" s="37">
        <v>7.33089995770968</v>
      </c>
      <c r="E30" s="20">
        <f t="shared" si="18"/>
        <v>0.258050037103448</v>
      </c>
      <c r="F30" s="16" t="s">
        <v>110</v>
      </c>
      <c r="G30" s="13">
        <v>4</v>
      </c>
      <c r="H30" s="18">
        <f t="shared" si="0"/>
        <v>7.33089995770968</v>
      </c>
      <c r="I30" s="18">
        <f t="shared" si="1"/>
        <v>280.48089995771</v>
      </c>
      <c r="J30" s="18">
        <f t="shared" si="2"/>
        <v>0.044241739831889</v>
      </c>
      <c r="K30" s="18">
        <f t="shared" si="3"/>
        <v>108.812583333333</v>
      </c>
      <c r="L30" s="18">
        <f t="shared" si="4"/>
        <v>1.08812583333333</v>
      </c>
      <c r="M30" s="13" t="s">
        <v>110</v>
      </c>
      <c r="N30" s="13"/>
      <c r="O30" s="18">
        <f t="shared" si="19"/>
        <v>4.25249479837344</v>
      </c>
      <c r="P30" s="18">
        <f t="shared" si="5"/>
        <v>0.188137768506099</v>
      </c>
      <c r="Q30" s="24">
        <f t="shared" si="6"/>
        <v>0.0225765322207319</v>
      </c>
      <c r="R30" s="18">
        <f t="shared" si="7"/>
        <v>0.1305751</v>
      </c>
      <c r="S30" s="25">
        <f t="shared" si="8"/>
        <v>0.172900746166244</v>
      </c>
      <c r="T30" s="3">
        <v>0.01</v>
      </c>
      <c r="U30" s="26">
        <f t="shared" si="9"/>
        <v>0.00172900746166244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0.0236290074616624</v>
      </c>
      <c r="AR30" s="29">
        <f t="shared" si="15"/>
        <v>108.812583333333</v>
      </c>
      <c r="AS30" s="1">
        <f t="shared" si="16"/>
        <v>0.12</v>
      </c>
      <c r="AT30" s="2">
        <f t="shared" si="20"/>
        <v>16.9566666666667</v>
      </c>
      <c r="AU30" s="1">
        <f t="shared" si="17"/>
        <v>35052.6722533536</v>
      </c>
    </row>
    <row r="31" s="1" customFormat="1" spans="1:47">
      <c r="A31" s="13"/>
      <c r="B31" s="13"/>
      <c r="C31" s="16">
        <v>4</v>
      </c>
      <c r="D31" s="37">
        <v>14.3581615922</v>
      </c>
      <c r="E31" s="20">
        <f t="shared" si="18"/>
        <v>7.33089995770968</v>
      </c>
      <c r="F31" s="16" t="s">
        <v>110</v>
      </c>
      <c r="G31" s="13">
        <v>5</v>
      </c>
      <c r="H31" s="18">
        <f t="shared" si="0"/>
        <v>14.3581615922</v>
      </c>
      <c r="I31" s="18">
        <f t="shared" si="1"/>
        <v>287.5081615922</v>
      </c>
      <c r="J31" s="18">
        <f t="shared" si="2"/>
        <v>0.103354206271892</v>
      </c>
      <c r="K31" s="18">
        <f t="shared" si="3"/>
        <v>108.812583333333</v>
      </c>
      <c r="L31" s="18">
        <f t="shared" si="4"/>
        <v>1.08812583333333</v>
      </c>
      <c r="M31" s="13" t="s">
        <v>112</v>
      </c>
      <c r="N31" s="18">
        <f>(O30-P30)*C22/100</f>
        <v>3.86113917837397</v>
      </c>
      <c r="O31" s="18">
        <f t="shared" si="19"/>
        <v>1.2913436848267</v>
      </c>
      <c r="P31" s="18">
        <f t="shared" si="5"/>
        <v>0.133465801569484</v>
      </c>
      <c r="Q31" s="24">
        <f t="shared" si="6"/>
        <v>0.0160158961883381</v>
      </c>
      <c r="R31" s="18">
        <f t="shared" si="7"/>
        <v>0.1305751</v>
      </c>
      <c r="S31" s="25">
        <f t="shared" si="8"/>
        <v>0.122656587575564</v>
      </c>
      <c r="T31" s="3">
        <v>0.01</v>
      </c>
      <c r="U31" s="26">
        <f t="shared" si="9"/>
        <v>0.00122656587575564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0.0306765658757556</v>
      </c>
      <c r="AR31" s="29">
        <f t="shared" si="15"/>
        <v>108.812583333333</v>
      </c>
      <c r="AS31" s="1">
        <f t="shared" si="16"/>
        <v>0.12</v>
      </c>
      <c r="AT31" s="2">
        <f t="shared" si="20"/>
        <v>16.9566666666667</v>
      </c>
      <c r="AU31" s="1">
        <f t="shared" si="17"/>
        <v>45507.4387379968</v>
      </c>
    </row>
    <row r="32" s="1" customFormat="1" spans="1:47">
      <c r="A32" s="13"/>
      <c r="B32" s="13"/>
      <c r="C32" s="16">
        <v>5</v>
      </c>
      <c r="D32" s="37">
        <v>16.3210818093548</v>
      </c>
      <c r="E32" s="20">
        <f t="shared" si="18"/>
        <v>14.3581615922</v>
      </c>
      <c r="F32" s="16" t="s">
        <v>112</v>
      </c>
      <c r="G32" s="13">
        <v>6</v>
      </c>
      <c r="H32" s="18">
        <f t="shared" si="0"/>
        <v>16.3210818093548</v>
      </c>
      <c r="I32" s="18">
        <f t="shared" si="1"/>
        <v>289.471081809355</v>
      </c>
      <c r="J32" s="18">
        <f t="shared" si="2"/>
        <v>0.13003585072732</v>
      </c>
      <c r="K32" s="18">
        <f t="shared" si="3"/>
        <v>108.812583333333</v>
      </c>
      <c r="L32" s="18">
        <f t="shared" si="4"/>
        <v>1.08812583333333</v>
      </c>
      <c r="M32" s="13" t="s">
        <v>110</v>
      </c>
      <c r="N32" s="13"/>
      <c r="O32" s="18">
        <f t="shared" si="19"/>
        <v>2.24600371659055</v>
      </c>
      <c r="P32" s="18">
        <f t="shared" si="5"/>
        <v>0.292061004023575</v>
      </c>
      <c r="Q32" s="24">
        <f t="shared" si="6"/>
        <v>0.035047320482829</v>
      </c>
      <c r="R32" s="18">
        <f t="shared" si="7"/>
        <v>0.1305751</v>
      </c>
      <c r="S32" s="25">
        <f t="shared" si="8"/>
        <v>0.268407379989209</v>
      </c>
      <c r="T32" s="3">
        <v>0.01</v>
      </c>
      <c r="U32" s="26">
        <f t="shared" si="9"/>
        <v>0.00268407379989209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0.0321340737998921</v>
      </c>
      <c r="AR32" s="29">
        <f t="shared" si="15"/>
        <v>108.812583333333</v>
      </c>
      <c r="AS32" s="1">
        <f t="shared" si="16"/>
        <v>0.12</v>
      </c>
      <c r="AT32" s="2">
        <f t="shared" si="20"/>
        <v>16.9566666666667</v>
      </c>
      <c r="AU32" s="1">
        <f t="shared" si="17"/>
        <v>47669.5925082859</v>
      </c>
    </row>
    <row r="33" s="1" customFormat="1" spans="1:47">
      <c r="A33" s="13"/>
      <c r="B33" s="13"/>
      <c r="C33" s="16">
        <v>6</v>
      </c>
      <c r="D33" s="37">
        <v>21.6413978503333</v>
      </c>
      <c r="E33" s="20">
        <f t="shared" si="18"/>
        <v>16.3210818093548</v>
      </c>
      <c r="F33" s="16" t="s">
        <v>110</v>
      </c>
      <c r="G33" s="13">
        <v>7</v>
      </c>
      <c r="H33" s="18">
        <f t="shared" si="0"/>
        <v>21.6413978503333</v>
      </c>
      <c r="I33" s="18">
        <f t="shared" si="1"/>
        <v>294.791397850333</v>
      </c>
      <c r="J33" s="18">
        <f t="shared" si="2"/>
        <v>0.238620018629461</v>
      </c>
      <c r="K33" s="18">
        <f t="shared" si="3"/>
        <v>108.812583333333</v>
      </c>
      <c r="L33" s="18">
        <f t="shared" si="4"/>
        <v>1.08812583333333</v>
      </c>
      <c r="M33" s="13" t="s">
        <v>110</v>
      </c>
      <c r="N33" s="13"/>
      <c r="O33" s="18">
        <f t="shared" si="19"/>
        <v>3.04206854590031</v>
      </c>
      <c r="P33" s="18">
        <f t="shared" si="5"/>
        <v>0.725898453094829</v>
      </c>
      <c r="Q33" s="24">
        <f t="shared" si="6"/>
        <v>0.0871078143713795</v>
      </c>
      <c r="R33" s="18">
        <f t="shared" si="7"/>
        <v>0.1305751</v>
      </c>
      <c r="S33" s="25">
        <f t="shared" si="8"/>
        <v>0.667108923304516</v>
      </c>
      <c r="T33" s="3">
        <v>0.01</v>
      </c>
      <c r="U33" s="26">
        <f t="shared" si="9"/>
        <v>0.00667108923304516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0.0361210892330452</v>
      </c>
      <c r="AR33" s="29">
        <f t="shared" si="15"/>
        <v>108.812583333333</v>
      </c>
      <c r="AS33" s="1">
        <f t="shared" si="16"/>
        <v>0.12</v>
      </c>
      <c r="AT33" s="2">
        <f t="shared" si="20"/>
        <v>16.9566666666667</v>
      </c>
      <c r="AU33" s="1">
        <f t="shared" si="17"/>
        <v>53584.1678654661</v>
      </c>
    </row>
    <row r="34" s="1" customFormat="1" spans="1:47">
      <c r="A34" s="13"/>
      <c r="B34" s="13"/>
      <c r="C34" s="16">
        <v>7</v>
      </c>
      <c r="D34" s="37">
        <v>23.8354295774194</v>
      </c>
      <c r="E34" s="20">
        <f t="shared" si="18"/>
        <v>21.6413978503333</v>
      </c>
      <c r="F34" s="16" t="s">
        <v>110</v>
      </c>
      <c r="G34" s="13">
        <v>8</v>
      </c>
      <c r="H34" s="18">
        <f t="shared" si="0"/>
        <v>23.8354295774194</v>
      </c>
      <c r="I34" s="18">
        <f t="shared" si="1"/>
        <v>296.985429577419</v>
      </c>
      <c r="J34" s="18">
        <f t="shared" si="2"/>
        <v>0.304564540707362</v>
      </c>
      <c r="K34" s="18">
        <f t="shared" si="3"/>
        <v>108.812583333333</v>
      </c>
      <c r="L34" s="18">
        <f t="shared" si="4"/>
        <v>1.08812583333333</v>
      </c>
      <c r="M34" s="13" t="s">
        <v>110</v>
      </c>
      <c r="N34" s="13"/>
      <c r="O34" s="18">
        <f t="shared" si="19"/>
        <v>3.40429592613881</v>
      </c>
      <c r="P34" s="18">
        <f t="shared" si="5"/>
        <v>1.03682782517641</v>
      </c>
      <c r="Q34" s="24">
        <f t="shared" si="6"/>
        <v>0.124419339021169</v>
      </c>
      <c r="R34" s="18">
        <f t="shared" si="7"/>
        <v>0.1305751</v>
      </c>
      <c r="S34" s="25">
        <f t="shared" si="8"/>
        <v>0.952856547850006</v>
      </c>
      <c r="T34" s="3">
        <v>0.01</v>
      </c>
      <c r="U34" s="26">
        <f t="shared" si="9"/>
        <v>0.00952856547850006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0.0389785654785001</v>
      </c>
      <c r="AR34" s="29">
        <f t="shared" si="15"/>
        <v>108.812583333333</v>
      </c>
      <c r="AS34" s="1">
        <f t="shared" si="16"/>
        <v>0.12</v>
      </c>
      <c r="AT34" s="2">
        <f t="shared" si="20"/>
        <v>16.9566666666667</v>
      </c>
      <c r="AU34" s="1">
        <f t="shared" si="17"/>
        <v>57823.1177437539</v>
      </c>
    </row>
    <row r="35" s="1" customFormat="1" spans="1:47">
      <c r="A35" s="13"/>
      <c r="B35" s="13"/>
      <c r="C35" s="16">
        <v>8</v>
      </c>
      <c r="D35" s="37">
        <v>23.6403718541935</v>
      </c>
      <c r="E35" s="20">
        <f t="shared" si="18"/>
        <v>23.8354295774194</v>
      </c>
      <c r="F35" s="16" t="s">
        <v>110</v>
      </c>
      <c r="G35" s="13">
        <v>9</v>
      </c>
      <c r="H35" s="18">
        <f t="shared" si="0"/>
        <v>23.6403718541935</v>
      </c>
      <c r="I35" s="18">
        <f t="shared" si="1"/>
        <v>296.790371854193</v>
      </c>
      <c r="J35" s="18">
        <f t="shared" si="2"/>
        <v>0.298072178276195</v>
      </c>
      <c r="K35" s="18">
        <f t="shared" si="3"/>
        <v>108.812583333333</v>
      </c>
      <c r="L35" s="18">
        <f t="shared" si="4"/>
        <v>1.08812583333333</v>
      </c>
      <c r="M35" s="13" t="s">
        <v>110</v>
      </c>
      <c r="N35" s="13"/>
      <c r="O35" s="18">
        <f t="shared" si="19"/>
        <v>3.45559393429574</v>
      </c>
      <c r="P35" s="18">
        <f t="shared" si="5"/>
        <v>1.03001641123354</v>
      </c>
      <c r="Q35" s="24">
        <f t="shared" si="6"/>
        <v>0.123601969348024</v>
      </c>
      <c r="R35" s="18">
        <f t="shared" si="7"/>
        <v>0.1305751</v>
      </c>
      <c r="S35" s="25">
        <f t="shared" si="8"/>
        <v>0.946596781071004</v>
      </c>
      <c r="T35" s="3">
        <v>0.01</v>
      </c>
      <c r="U35" s="26">
        <f t="shared" si="9"/>
        <v>0.00946596781071004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0.03701596781071</v>
      </c>
      <c r="AR35" s="29">
        <f t="shared" si="15"/>
        <v>108.812583333333</v>
      </c>
      <c r="AS35" s="1">
        <f t="shared" si="16"/>
        <v>0.12</v>
      </c>
      <c r="AT35" s="2">
        <f t="shared" si="20"/>
        <v>16.9566666666667</v>
      </c>
      <c r="AU35" s="1">
        <f t="shared" si="17"/>
        <v>54911.6838663108</v>
      </c>
    </row>
    <row r="36" s="1" customFormat="1" spans="1:47">
      <c r="A36" s="13"/>
      <c r="B36" s="13"/>
      <c r="C36" s="16">
        <v>9</v>
      </c>
      <c r="D36" s="37">
        <v>18.0627961913333</v>
      </c>
      <c r="E36" s="20">
        <f t="shared" si="18"/>
        <v>23.6403718541935</v>
      </c>
      <c r="F36" s="16" t="s">
        <v>110</v>
      </c>
      <c r="G36" s="13">
        <v>10</v>
      </c>
      <c r="H36" s="18">
        <f t="shared" si="0"/>
        <v>18.0627961913333</v>
      </c>
      <c r="I36" s="18">
        <f t="shared" si="1"/>
        <v>291.212796191333</v>
      </c>
      <c r="J36" s="18">
        <f t="shared" si="2"/>
        <v>0.159013102093465</v>
      </c>
      <c r="K36" s="18">
        <f t="shared" si="3"/>
        <v>108.812583333333</v>
      </c>
      <c r="L36" s="18">
        <f t="shared" si="4"/>
        <v>1.08812583333333</v>
      </c>
      <c r="M36" s="13" t="s">
        <v>110</v>
      </c>
      <c r="N36" s="13"/>
      <c r="O36" s="18">
        <f t="shared" si="19"/>
        <v>3.51370335639553</v>
      </c>
      <c r="P36" s="18">
        <f t="shared" si="5"/>
        <v>0.558724870536674</v>
      </c>
      <c r="Q36" s="24">
        <f t="shared" si="6"/>
        <v>0.0670469844644008</v>
      </c>
      <c r="R36" s="18">
        <f t="shared" si="7"/>
        <v>0.1305751</v>
      </c>
      <c r="S36" s="25">
        <f t="shared" si="8"/>
        <v>0.513474502140154</v>
      </c>
      <c r="T36" s="3">
        <v>0.01</v>
      </c>
      <c r="U36" s="26">
        <f t="shared" si="9"/>
        <v>0.00513474502140154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0.0270347450214015</v>
      </c>
      <c r="AR36" s="29">
        <f t="shared" si="15"/>
        <v>108.812583333333</v>
      </c>
      <c r="AS36" s="1">
        <f t="shared" si="16"/>
        <v>0.12</v>
      </c>
      <c r="AT36" s="2">
        <f t="shared" si="20"/>
        <v>16.9566666666667</v>
      </c>
      <c r="AU36" s="1">
        <f t="shared" si="17"/>
        <v>40104.9455092728</v>
      </c>
    </row>
    <row r="37" s="1" customFormat="1" spans="1:47">
      <c r="A37" s="13"/>
      <c r="B37" s="13"/>
      <c r="C37" s="16">
        <v>10</v>
      </c>
      <c r="D37" s="37">
        <v>11.4373017283548</v>
      </c>
      <c r="E37" s="20">
        <f t="shared" si="18"/>
        <v>18.0627961913333</v>
      </c>
      <c r="F37" s="16" t="s">
        <v>110</v>
      </c>
      <c r="G37" s="13">
        <v>11</v>
      </c>
      <c r="H37" s="18">
        <f t="shared" si="0"/>
        <v>11.4373017283548</v>
      </c>
      <c r="I37" s="18">
        <f t="shared" si="1"/>
        <v>284.587301728355</v>
      </c>
      <c r="J37" s="18">
        <f t="shared" si="2"/>
        <v>0.0730085949844309</v>
      </c>
      <c r="K37" s="18">
        <f t="shared" si="3"/>
        <v>108.812583333333</v>
      </c>
      <c r="L37" s="18">
        <f t="shared" si="4"/>
        <v>1.08812583333333</v>
      </c>
      <c r="M37" s="13" t="s">
        <v>112</v>
      </c>
      <c r="N37" s="18">
        <f>(O36-P36)*C22/100</f>
        <v>2.80722956156592</v>
      </c>
      <c r="O37" s="18">
        <f t="shared" si="19"/>
        <v>1.23587475762628</v>
      </c>
      <c r="P37" s="18">
        <f t="shared" si="5"/>
        <v>0.0902294796310185</v>
      </c>
      <c r="Q37" s="24">
        <f t="shared" si="6"/>
        <v>0.0108275375557222</v>
      </c>
      <c r="R37" s="18">
        <f t="shared" si="7"/>
        <v>0.1305751</v>
      </c>
      <c r="S37" s="25">
        <f t="shared" si="8"/>
        <v>0.0829219166266939</v>
      </c>
      <c r="T37" s="3">
        <v>0.01</v>
      </c>
      <c r="U37" s="26">
        <f t="shared" si="9"/>
        <v>0.000829219166266939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0.0227292191662669</v>
      </c>
      <c r="AR37" s="29">
        <f t="shared" si="15"/>
        <v>108.812583333333</v>
      </c>
      <c r="AS37" s="1">
        <f t="shared" si="16"/>
        <v>0.12</v>
      </c>
      <c r="AT37" s="2">
        <f t="shared" si="20"/>
        <v>16.9566666666667</v>
      </c>
      <c r="AU37" s="1">
        <f t="shared" si="17"/>
        <v>33717.8728857934</v>
      </c>
    </row>
    <row r="38" s="1" customFormat="1" spans="1:48">
      <c r="A38" s="13"/>
      <c r="B38" s="13"/>
      <c r="C38" s="16">
        <v>11</v>
      </c>
      <c r="D38" s="37">
        <v>4.84874671006667</v>
      </c>
      <c r="E38" s="20">
        <f t="shared" si="18"/>
        <v>11.4373017283548</v>
      </c>
      <c r="F38" s="16" t="s">
        <v>112</v>
      </c>
      <c r="G38" s="13">
        <v>12</v>
      </c>
      <c r="H38" s="18">
        <f t="shared" si="0"/>
        <v>4.84874671006667</v>
      </c>
      <c r="I38" s="18">
        <f t="shared" si="1"/>
        <v>277.998746710067</v>
      </c>
      <c r="J38" s="18">
        <f t="shared" si="2"/>
        <v>0.0324504394038165</v>
      </c>
      <c r="K38" s="18">
        <f t="shared" si="3"/>
        <v>108.812583333333</v>
      </c>
      <c r="L38" s="18">
        <f t="shared" si="4"/>
        <v>1.08812583333333</v>
      </c>
      <c r="M38" s="13" t="s">
        <v>110</v>
      </c>
      <c r="N38" s="13"/>
      <c r="O38" s="18">
        <f t="shared" si="19"/>
        <v>2.23377111132859</v>
      </c>
      <c r="P38" s="18">
        <f t="shared" si="5"/>
        <v>0.0724868540901643</v>
      </c>
      <c r="Q38" s="24">
        <f t="shared" si="6"/>
        <v>0.00869842249081972</v>
      </c>
      <c r="R38" s="18">
        <f t="shared" si="7"/>
        <v>0.1305751</v>
      </c>
      <c r="S38" s="25">
        <f t="shared" si="8"/>
        <v>0.0666162422301014</v>
      </c>
      <c r="T38" s="3">
        <v>0.01</v>
      </c>
      <c r="U38" s="26">
        <f t="shared" si="9"/>
        <v>0.000666162422301014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0.022566162422301</v>
      </c>
      <c r="AR38" s="29">
        <f t="shared" si="15"/>
        <v>108.812583333333</v>
      </c>
      <c r="AS38" s="1">
        <f t="shared" si="16"/>
        <v>0.12</v>
      </c>
      <c r="AT38" s="2">
        <f t="shared" si="20"/>
        <v>16.9566666666667</v>
      </c>
      <c r="AU38" s="1">
        <f t="shared" si="17"/>
        <v>33475.9848329749</v>
      </c>
      <c r="AV38" s="1">
        <f>SUM(AU27:AU38)</f>
        <v>500674.188421483</v>
      </c>
    </row>
    <row r="39" s="1" customFormat="1" spans="1:46">
      <c r="A39" s="13"/>
      <c r="B39" s="13"/>
      <c r="C39" s="16">
        <v>12</v>
      </c>
      <c r="D39" s="37">
        <v>1.05352022174194</v>
      </c>
      <c r="E39" s="20">
        <f t="shared" si="18"/>
        <v>4.84874671006667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0</v>
      </c>
      <c r="E42" s="16"/>
      <c r="F42" s="16"/>
      <c r="G42" s="13">
        <v>1</v>
      </c>
      <c r="H42" s="18">
        <f t="shared" ref="H42:H53" si="21">E43</f>
        <v>0</v>
      </c>
      <c r="I42" s="18">
        <f t="shared" ref="I42:I53" si="22">H42+273.15</f>
        <v>273.15</v>
      </c>
      <c r="J42" s="18">
        <f t="shared" ref="J42:J53" si="23">EXP(($C$16*(I42-$C$14))/($C$17*I42*$C$14))</f>
        <v>0.0174263747487528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0.00134341738185505</v>
      </c>
      <c r="Q42" s="24">
        <f t="shared" ref="Q42:Q53" si="27">P42*$B$44</f>
        <v>0.000208229694187533</v>
      </c>
      <c r="R42" s="18">
        <f t="shared" ref="R42:R53" si="28">L42*$B$44</f>
        <v>0.0119491114583333</v>
      </c>
      <c r="S42" s="25">
        <f t="shared" ref="S42:S53" si="29">Q42/R42</f>
        <v>0.0174263747487528</v>
      </c>
      <c r="T42" s="3">
        <v>0.01</v>
      </c>
      <c r="U42" s="26">
        <f t="shared" ref="U42:U53" si="30">S42*T42</f>
        <v>0.000174263747487528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0.0149742637474875</v>
      </c>
      <c r="AR42" s="29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106.736164383562</v>
      </c>
      <c r="AU42" s="1">
        <f t="shared" ref="AU42:AU53" si="37">AT42*10000*AS42*0.67*AR42*AQ42</f>
        <v>12795.8012336718</v>
      </c>
    </row>
    <row r="43" s="1" customFormat="1" spans="1:47">
      <c r="A43" s="13" t="s">
        <v>111</v>
      </c>
      <c r="B43" s="13">
        <v>1</v>
      </c>
      <c r="C43" s="16">
        <v>1</v>
      </c>
      <c r="D43" s="37">
        <v>-3.72377286509677</v>
      </c>
      <c r="E43" s="20">
        <f t="shared" ref="E43:E54" si="38">D42</f>
        <v>0</v>
      </c>
      <c r="F43" s="16" t="s">
        <v>110</v>
      </c>
      <c r="G43" s="13">
        <v>2</v>
      </c>
      <c r="H43" s="18">
        <f t="shared" si="21"/>
        <v>-3.72377286509677</v>
      </c>
      <c r="I43" s="18">
        <f t="shared" si="22"/>
        <v>269.426227134903</v>
      </c>
      <c r="J43" s="18">
        <f t="shared" si="23"/>
        <v>0.0106473694054169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0.152838665951478</v>
      </c>
      <c r="P43" s="18">
        <f t="shared" si="26"/>
        <v>0.0016273297358165</v>
      </c>
      <c r="Q43" s="24">
        <f t="shared" si="27"/>
        <v>0.000252236109051558</v>
      </c>
      <c r="R43" s="18">
        <f t="shared" si="28"/>
        <v>0.0119491114583333</v>
      </c>
      <c r="S43" s="25">
        <f t="shared" si="29"/>
        <v>0.0211091937614866</v>
      </c>
      <c r="T43" s="3">
        <v>0.01</v>
      </c>
      <c r="U43" s="26">
        <f t="shared" si="30"/>
        <v>0.000211091937614866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0.0150110919376149</v>
      </c>
      <c r="AR43" s="29">
        <f t="shared" si="34"/>
        <v>7.70910416666667</v>
      </c>
      <c r="AS43" s="1">
        <f t="shared" si="35"/>
        <v>0.155</v>
      </c>
      <c r="AT43" s="2">
        <f t="shared" si="36"/>
        <v>106.736164383562</v>
      </c>
      <c r="AU43" s="1">
        <f t="shared" si="37"/>
        <v>12827.2716424085</v>
      </c>
    </row>
    <row r="44" s="1" customFormat="1" spans="1:47">
      <c r="A44" s="13" t="s">
        <v>73</v>
      </c>
      <c r="B44" s="13">
        <f>I5</f>
        <v>0.155</v>
      </c>
      <c r="C44" s="16">
        <v>2</v>
      </c>
      <c r="D44" s="37">
        <v>0.258050037103448</v>
      </c>
      <c r="E44" s="20">
        <f t="shared" si="38"/>
        <v>-3.72377286509677</v>
      </c>
      <c r="F44" s="16" t="s">
        <v>110</v>
      </c>
      <c r="G44" s="13">
        <v>3</v>
      </c>
      <c r="H44" s="18">
        <f t="shared" si="21"/>
        <v>0.258050037103448</v>
      </c>
      <c r="I44" s="18">
        <f t="shared" si="22"/>
        <v>273.408050037103</v>
      </c>
      <c r="J44" s="18">
        <f t="shared" si="23"/>
        <v>0.0180226412543648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0.228302377882328</v>
      </c>
      <c r="P44" s="18">
        <f t="shared" si="26"/>
        <v>0.00411461185409163</v>
      </c>
      <c r="Q44" s="24">
        <f t="shared" si="27"/>
        <v>0.000637764837384203</v>
      </c>
      <c r="R44" s="18">
        <f t="shared" si="28"/>
        <v>0.0119491114583333</v>
      </c>
      <c r="S44" s="25">
        <f t="shared" si="29"/>
        <v>0.0533734110363014</v>
      </c>
      <c r="T44" s="3">
        <v>0.01</v>
      </c>
      <c r="U44" s="26">
        <f t="shared" si="30"/>
        <v>0.000533734110363014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0.015333734110363</v>
      </c>
      <c r="AR44" s="29">
        <f t="shared" si="34"/>
        <v>7.70910416666667</v>
      </c>
      <c r="AS44" s="1">
        <f t="shared" si="35"/>
        <v>0.155</v>
      </c>
      <c r="AT44" s="2">
        <f t="shared" si="36"/>
        <v>106.736164383562</v>
      </c>
      <c r="AU44" s="1">
        <f t="shared" si="37"/>
        <v>13102.9756891453</v>
      </c>
    </row>
    <row r="45" s="1" customFormat="1" spans="1:47">
      <c r="A45" s="13"/>
      <c r="B45" s="13"/>
      <c r="C45" s="16">
        <v>3</v>
      </c>
      <c r="D45" s="37">
        <v>7.33089995770968</v>
      </c>
      <c r="E45" s="20">
        <f t="shared" si="38"/>
        <v>0.258050037103448</v>
      </c>
      <c r="F45" s="16" t="s">
        <v>110</v>
      </c>
      <c r="G45" s="13">
        <v>4</v>
      </c>
      <c r="H45" s="18">
        <f t="shared" si="21"/>
        <v>7.33089995770968</v>
      </c>
      <c r="I45" s="18">
        <f t="shared" si="22"/>
        <v>280.48089995771</v>
      </c>
      <c r="J45" s="18">
        <f t="shared" si="23"/>
        <v>0.044241739831889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0.301278807694904</v>
      </c>
      <c r="P45" s="18">
        <f t="shared" si="26"/>
        <v>0.0133290986268996</v>
      </c>
      <c r="Q45" s="24">
        <f t="shared" si="27"/>
        <v>0.00206601028716944</v>
      </c>
      <c r="R45" s="18">
        <f t="shared" si="28"/>
        <v>0.0119491114583333</v>
      </c>
      <c r="S45" s="25">
        <f t="shared" si="29"/>
        <v>0.172900746166244</v>
      </c>
      <c r="T45" s="3">
        <v>0.01</v>
      </c>
      <c r="U45" s="26">
        <f t="shared" si="30"/>
        <v>0.00172900746166244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0.0165290074616624</v>
      </c>
      <c r="AR45" s="29">
        <f t="shared" si="34"/>
        <v>7.70910416666667</v>
      </c>
      <c r="AS45" s="1">
        <f t="shared" si="35"/>
        <v>0.155</v>
      </c>
      <c r="AT45" s="2">
        <f t="shared" si="36"/>
        <v>106.736164383562</v>
      </c>
      <c r="AU45" s="1">
        <f t="shared" si="37"/>
        <v>14124.3601445712</v>
      </c>
    </row>
    <row r="46" s="1" customFormat="1" spans="1:47">
      <c r="A46" s="13"/>
      <c r="B46" s="13"/>
      <c r="C46" s="16">
        <v>4</v>
      </c>
      <c r="D46" s="37">
        <v>14.3581615922</v>
      </c>
      <c r="E46" s="20">
        <f t="shared" si="38"/>
        <v>7.33089995770968</v>
      </c>
      <c r="F46" s="16" t="s">
        <v>110</v>
      </c>
      <c r="G46" s="13">
        <v>5</v>
      </c>
      <c r="H46" s="18">
        <f t="shared" si="21"/>
        <v>14.3581615922</v>
      </c>
      <c r="I46" s="18">
        <f t="shared" si="22"/>
        <v>287.5081615922</v>
      </c>
      <c r="J46" s="18">
        <f t="shared" si="23"/>
        <v>0.103354206271892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0.273552223614604</v>
      </c>
      <c r="O46" s="18">
        <f t="shared" si="39"/>
        <v>0.0914885271200668</v>
      </c>
      <c r="P46" s="18">
        <f t="shared" si="26"/>
        <v>0.00945572410347897</v>
      </c>
      <c r="Q46" s="24">
        <f t="shared" si="27"/>
        <v>0.00146563723603924</v>
      </c>
      <c r="R46" s="18">
        <f t="shared" si="28"/>
        <v>0.0119491114583333</v>
      </c>
      <c r="S46" s="25">
        <f t="shared" si="29"/>
        <v>0.122656587575564</v>
      </c>
      <c r="T46" s="3">
        <v>0.01</v>
      </c>
      <c r="U46" s="26">
        <f t="shared" si="30"/>
        <v>0.00122656587575564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0.0283265658757556</v>
      </c>
      <c r="AR46" s="29">
        <f t="shared" si="34"/>
        <v>7.70910416666667</v>
      </c>
      <c r="AS46" s="1">
        <f t="shared" si="35"/>
        <v>0.155</v>
      </c>
      <c r="AT46" s="2">
        <f t="shared" si="36"/>
        <v>106.736164383562</v>
      </c>
      <c r="AU46" s="1">
        <f t="shared" si="37"/>
        <v>24205.6045419592</v>
      </c>
    </row>
    <row r="47" s="1" customFormat="1" spans="1:47">
      <c r="A47" s="13"/>
      <c r="B47" s="13"/>
      <c r="C47" s="16">
        <v>5</v>
      </c>
      <c r="D47" s="37">
        <v>16.3210818093548</v>
      </c>
      <c r="E47" s="20">
        <f t="shared" si="38"/>
        <v>14.3581615922</v>
      </c>
      <c r="F47" s="16" t="s">
        <v>112</v>
      </c>
      <c r="G47" s="13">
        <v>6</v>
      </c>
      <c r="H47" s="18">
        <f t="shared" si="21"/>
        <v>16.3210818093548</v>
      </c>
      <c r="I47" s="18">
        <f t="shared" si="22"/>
        <v>289.471081809355</v>
      </c>
      <c r="J47" s="18">
        <f t="shared" si="23"/>
        <v>0.13003585072732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0.159123844683255</v>
      </c>
      <c r="P47" s="18">
        <f t="shared" si="26"/>
        <v>0.0206918045143889</v>
      </c>
      <c r="Q47" s="24">
        <f t="shared" si="27"/>
        <v>0.00320722969973028</v>
      </c>
      <c r="R47" s="18">
        <f t="shared" si="28"/>
        <v>0.0119491114583333</v>
      </c>
      <c r="S47" s="25">
        <f t="shared" si="29"/>
        <v>0.268407379989209</v>
      </c>
      <c r="T47" s="3">
        <v>0.01</v>
      </c>
      <c r="U47" s="26">
        <f t="shared" si="30"/>
        <v>0.00268407379989209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0.0297840737998921</v>
      </c>
      <c r="AR47" s="29">
        <f t="shared" si="34"/>
        <v>7.70910416666667</v>
      </c>
      <c r="AS47" s="1">
        <f t="shared" si="35"/>
        <v>0.155</v>
      </c>
      <c r="AT47" s="2">
        <f t="shared" si="36"/>
        <v>106.736164383562</v>
      </c>
      <c r="AU47" s="1">
        <f t="shared" si="37"/>
        <v>25451.073568567</v>
      </c>
    </row>
    <row r="48" s="1" customFormat="1" spans="1:47">
      <c r="A48" s="13"/>
      <c r="B48" s="13"/>
      <c r="C48" s="16">
        <v>6</v>
      </c>
      <c r="D48" s="37">
        <v>21.6413978503333</v>
      </c>
      <c r="E48" s="20">
        <f t="shared" si="38"/>
        <v>16.3210818093548</v>
      </c>
      <c r="F48" s="16" t="s">
        <v>110</v>
      </c>
      <c r="G48" s="13">
        <v>7</v>
      </c>
      <c r="H48" s="18">
        <f t="shared" si="21"/>
        <v>21.6413978503333</v>
      </c>
      <c r="I48" s="18">
        <f t="shared" si="22"/>
        <v>294.791397850333</v>
      </c>
      <c r="J48" s="18">
        <f t="shared" si="23"/>
        <v>0.238620018629461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0.215523081835532</v>
      </c>
      <c r="P48" s="18">
        <f t="shared" si="26"/>
        <v>0.0514281218026736</v>
      </c>
      <c r="Q48" s="24">
        <f t="shared" si="27"/>
        <v>0.0079713588794144</v>
      </c>
      <c r="R48" s="18">
        <f t="shared" si="28"/>
        <v>0.0119491114583333</v>
      </c>
      <c r="S48" s="25">
        <f t="shared" si="29"/>
        <v>0.667108923304516</v>
      </c>
      <c r="T48" s="3">
        <v>0.01</v>
      </c>
      <c r="U48" s="26">
        <f t="shared" si="30"/>
        <v>0.00667108923304516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0.0337710892330452</v>
      </c>
      <c r="AR48" s="29">
        <f t="shared" si="34"/>
        <v>7.70910416666667</v>
      </c>
      <c r="AS48" s="1">
        <f t="shared" si="35"/>
        <v>0.155</v>
      </c>
      <c r="AT48" s="2">
        <f t="shared" si="36"/>
        <v>106.736164383562</v>
      </c>
      <c r="AU48" s="1">
        <f t="shared" si="37"/>
        <v>28858.0562328578</v>
      </c>
    </row>
    <row r="49" s="1" customFormat="1" spans="1:47">
      <c r="A49" s="13"/>
      <c r="B49" s="13"/>
      <c r="C49" s="16">
        <v>7</v>
      </c>
      <c r="D49" s="37">
        <v>23.8354295774194</v>
      </c>
      <c r="E49" s="20">
        <f t="shared" si="38"/>
        <v>21.6413978503333</v>
      </c>
      <c r="F49" s="16" t="s">
        <v>110</v>
      </c>
      <c r="G49" s="13">
        <v>8</v>
      </c>
      <c r="H49" s="18">
        <f t="shared" si="21"/>
        <v>23.8354295774194</v>
      </c>
      <c r="I49" s="18">
        <f t="shared" si="22"/>
        <v>296.985429577419</v>
      </c>
      <c r="J49" s="18">
        <f t="shared" si="23"/>
        <v>0.304564540707362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0.241186001699525</v>
      </c>
      <c r="P49" s="18">
        <f t="shared" si="26"/>
        <v>0.073456703832661</v>
      </c>
      <c r="Q49" s="24">
        <f t="shared" si="27"/>
        <v>0.0113857890940625</v>
      </c>
      <c r="R49" s="18">
        <f t="shared" si="28"/>
        <v>0.0119491114583333</v>
      </c>
      <c r="S49" s="25">
        <f t="shared" si="29"/>
        <v>0.952856547850006</v>
      </c>
      <c r="T49" s="3">
        <v>0.01</v>
      </c>
      <c r="U49" s="26">
        <f t="shared" si="30"/>
        <v>0.00952856547850006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0.0366285654785001</v>
      </c>
      <c r="AR49" s="29">
        <f t="shared" si="34"/>
        <v>7.70910416666667</v>
      </c>
      <c r="AS49" s="1">
        <f t="shared" si="35"/>
        <v>0.155</v>
      </c>
      <c r="AT49" s="2">
        <f t="shared" si="36"/>
        <v>106.736164383562</v>
      </c>
      <c r="AU49" s="1">
        <f t="shared" si="37"/>
        <v>31299.8255701259</v>
      </c>
    </row>
    <row r="50" s="1" customFormat="1" spans="1:47">
      <c r="A50" s="13"/>
      <c r="B50" s="13"/>
      <c r="C50" s="16">
        <v>8</v>
      </c>
      <c r="D50" s="37">
        <v>23.6403718541935</v>
      </c>
      <c r="E50" s="20">
        <f t="shared" si="38"/>
        <v>23.8354295774194</v>
      </c>
      <c r="F50" s="16" t="s">
        <v>110</v>
      </c>
      <c r="G50" s="13">
        <v>9</v>
      </c>
      <c r="H50" s="18">
        <f t="shared" si="21"/>
        <v>23.6403718541935</v>
      </c>
      <c r="I50" s="18">
        <f t="shared" si="22"/>
        <v>296.790371854193</v>
      </c>
      <c r="J50" s="18">
        <f t="shared" si="23"/>
        <v>0.298072178276195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0.244820339533531</v>
      </c>
      <c r="P50" s="18">
        <f t="shared" si="26"/>
        <v>0.0729741318910773</v>
      </c>
      <c r="Q50" s="24">
        <f t="shared" si="27"/>
        <v>0.011310990443117</v>
      </c>
      <c r="R50" s="18">
        <f t="shared" si="28"/>
        <v>0.0119491114583333</v>
      </c>
      <c r="S50" s="25">
        <f t="shared" si="29"/>
        <v>0.946596781071003</v>
      </c>
      <c r="T50" s="3">
        <v>0.01</v>
      </c>
      <c r="U50" s="26">
        <f t="shared" si="30"/>
        <v>0.00946596781071003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0.02426596781071</v>
      </c>
      <c r="AR50" s="29">
        <f t="shared" si="34"/>
        <v>7.70910416666667</v>
      </c>
      <c r="AS50" s="1">
        <f t="shared" si="35"/>
        <v>0.155</v>
      </c>
      <c r="AT50" s="2">
        <f t="shared" si="36"/>
        <v>106.736164383562</v>
      </c>
      <c r="AU50" s="1">
        <f t="shared" si="37"/>
        <v>20735.7440796127</v>
      </c>
    </row>
    <row r="51" s="1" customFormat="1" spans="1:47">
      <c r="A51" s="13"/>
      <c r="B51" s="13"/>
      <c r="C51" s="16">
        <v>9</v>
      </c>
      <c r="D51" s="37">
        <v>18.0627961913333</v>
      </c>
      <c r="E51" s="20">
        <f t="shared" si="38"/>
        <v>23.6403718541935</v>
      </c>
      <c r="F51" s="16" t="s">
        <v>110</v>
      </c>
      <c r="G51" s="13">
        <v>10</v>
      </c>
      <c r="H51" s="18">
        <f t="shared" si="21"/>
        <v>18.0627961913333</v>
      </c>
      <c r="I51" s="18">
        <f t="shared" si="22"/>
        <v>291.212796191333</v>
      </c>
      <c r="J51" s="18">
        <f t="shared" si="23"/>
        <v>0.159013102093465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0.24893724930912</v>
      </c>
      <c r="P51" s="18">
        <f t="shared" si="26"/>
        <v>0.0395842842392575</v>
      </c>
      <c r="Q51" s="24">
        <f t="shared" si="27"/>
        <v>0.00613556405708492</v>
      </c>
      <c r="R51" s="18">
        <f t="shared" si="28"/>
        <v>0.0119491114583333</v>
      </c>
      <c r="S51" s="25">
        <f t="shared" si="29"/>
        <v>0.513474502140154</v>
      </c>
      <c r="T51" s="3">
        <v>0.01</v>
      </c>
      <c r="U51" s="26">
        <f t="shared" si="30"/>
        <v>0.00513474502140154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0.0199347450214015</v>
      </c>
      <c r="AR51" s="29">
        <f t="shared" si="34"/>
        <v>7.70910416666667</v>
      </c>
      <c r="AS51" s="1">
        <f t="shared" si="35"/>
        <v>0.155</v>
      </c>
      <c r="AT51" s="2">
        <f t="shared" si="36"/>
        <v>106.736164383562</v>
      </c>
      <c r="AU51" s="1">
        <f t="shared" si="37"/>
        <v>17034.6294975993</v>
      </c>
    </row>
    <row r="52" s="1" customFormat="1" spans="1:47">
      <c r="A52" s="13"/>
      <c r="B52" s="13"/>
      <c r="C52" s="16">
        <v>10</v>
      </c>
      <c r="D52" s="37">
        <v>11.4373017283548</v>
      </c>
      <c r="E52" s="20">
        <f t="shared" si="38"/>
        <v>18.0627961913333</v>
      </c>
      <c r="F52" s="16" t="s">
        <v>110</v>
      </c>
      <c r="G52" s="13">
        <v>11</v>
      </c>
      <c r="H52" s="18">
        <f t="shared" si="21"/>
        <v>11.4373017283548</v>
      </c>
      <c r="I52" s="18">
        <f t="shared" si="22"/>
        <v>284.587301728355</v>
      </c>
      <c r="J52" s="18">
        <f t="shared" si="23"/>
        <v>0.0730085949844309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0.19888531681637</v>
      </c>
      <c r="O52" s="18">
        <f t="shared" si="39"/>
        <v>0.0875586899201598</v>
      </c>
      <c r="P52" s="18">
        <f t="shared" si="26"/>
        <v>0.00639253692974832</v>
      </c>
      <c r="Q52" s="24">
        <f t="shared" si="27"/>
        <v>0.000990843224110989</v>
      </c>
      <c r="R52" s="18">
        <f t="shared" si="28"/>
        <v>0.0119491114583333</v>
      </c>
      <c r="S52" s="25">
        <f t="shared" si="29"/>
        <v>0.0829219166266939</v>
      </c>
      <c r="T52" s="3">
        <v>0.01</v>
      </c>
      <c r="U52" s="26">
        <f t="shared" si="30"/>
        <v>0.000829219166266939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0.0156292191662669</v>
      </c>
      <c r="AR52" s="29">
        <f t="shared" si="34"/>
        <v>7.70910416666667</v>
      </c>
      <c r="AS52" s="1">
        <f t="shared" si="35"/>
        <v>0.155</v>
      </c>
      <c r="AT52" s="2">
        <f t="shared" si="36"/>
        <v>106.736164383562</v>
      </c>
      <c r="AU52" s="1">
        <f t="shared" si="37"/>
        <v>13355.4734484092</v>
      </c>
    </row>
    <row r="53" s="1" customFormat="1" spans="1:48">
      <c r="A53" s="13"/>
      <c r="B53" s="13"/>
      <c r="C53" s="16">
        <v>11</v>
      </c>
      <c r="D53" s="37">
        <v>4.84874671006667</v>
      </c>
      <c r="E53" s="20">
        <f t="shared" si="38"/>
        <v>11.4373017283548</v>
      </c>
      <c r="F53" s="16" t="s">
        <v>112</v>
      </c>
      <c r="G53" s="13">
        <v>12</v>
      </c>
      <c r="H53" s="18">
        <f t="shared" si="21"/>
        <v>4.84874671006667</v>
      </c>
      <c r="I53" s="18">
        <f t="shared" si="22"/>
        <v>277.998746710067</v>
      </c>
      <c r="J53" s="18">
        <f t="shared" si="23"/>
        <v>0.0324504394038165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0.158257194657078</v>
      </c>
      <c r="P53" s="18">
        <f t="shared" si="26"/>
        <v>0.00513551550543751</v>
      </c>
      <c r="Q53" s="24">
        <f t="shared" si="27"/>
        <v>0.000796004903342813</v>
      </c>
      <c r="R53" s="18">
        <f t="shared" si="28"/>
        <v>0.0119491114583333</v>
      </c>
      <c r="S53" s="25">
        <f t="shared" si="29"/>
        <v>0.0666162422301014</v>
      </c>
      <c r="T53" s="3">
        <v>0.01</v>
      </c>
      <c r="U53" s="26">
        <f t="shared" si="30"/>
        <v>0.000666162422301014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0.015466162422301</v>
      </c>
      <c r="AR53" s="29">
        <f t="shared" si="34"/>
        <v>7.70910416666667</v>
      </c>
      <c r="AS53" s="1">
        <f t="shared" si="35"/>
        <v>0.155</v>
      </c>
      <c r="AT53" s="2">
        <f t="shared" si="36"/>
        <v>106.736164383562</v>
      </c>
      <c r="AU53" s="1">
        <f t="shared" si="37"/>
        <v>13216.1382716832</v>
      </c>
      <c r="AV53" s="1">
        <f>SUM(AU42:AU53)</f>
        <v>227006.953920611</v>
      </c>
    </row>
    <row r="54" s="1" customFormat="1" spans="1:46">
      <c r="A54" s="13"/>
      <c r="B54" s="13"/>
      <c r="C54" s="16">
        <v>12</v>
      </c>
      <c r="D54" s="37">
        <v>1.05352022174194</v>
      </c>
      <c r="E54" s="20">
        <f t="shared" si="38"/>
        <v>4.84874671006667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37:51"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s="30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0</v>
      </c>
      <c r="E58" s="16"/>
      <c r="F58" s="16"/>
      <c r="G58" s="13">
        <v>1</v>
      </c>
      <c r="H58" s="18">
        <f t="shared" ref="H58:H69" si="40">E59</f>
        <v>0</v>
      </c>
      <c r="I58" s="18">
        <f t="shared" ref="I58:I69" si="41">H58+273.15</f>
        <v>273.15</v>
      </c>
      <c r="J58" s="18">
        <f t="shared" ref="J58:J69" si="42">EXP(($C$16*(I58-$C$14))/($C$17*I58*$C$14))</f>
        <v>0.0174263747487528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0.0481435841227581</v>
      </c>
      <c r="Q58" s="24">
        <f t="shared" ref="Q58:Q69" si="46">P58*$B$60</f>
        <v>0.0139616393955999</v>
      </c>
      <c r="R58" s="18">
        <f t="shared" ref="R58:R69" si="47">L58*$B$60</f>
        <v>0.80117865</v>
      </c>
      <c r="S58" s="25">
        <f t="shared" ref="S58:S69" si="48">Q58/R58</f>
        <v>0.0174263747487528</v>
      </c>
      <c r="T58" s="3">
        <v>0.27</v>
      </c>
      <c r="U58" s="26">
        <f t="shared" ref="U58:U69" si="49">S58*T58</f>
        <v>0.00470512118216326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0.227314205045694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137.942655613134</v>
      </c>
      <c r="AF58" s="1">
        <f t="shared" ref="AF58:AF69" si="54">AE58*10000*AC58*AB58</f>
        <v>3208431.44503901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30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37">
        <v>-3.72377286509677</v>
      </c>
      <c r="E59" s="20">
        <f t="shared" ref="E59:E70" si="55">D58</f>
        <v>0</v>
      </c>
      <c r="F59" s="16" t="s">
        <v>110</v>
      </c>
      <c r="G59" s="13">
        <v>2</v>
      </c>
      <c r="H59" s="18">
        <f t="shared" si="40"/>
        <v>-3.72377286509677</v>
      </c>
      <c r="I59" s="18">
        <f t="shared" si="41"/>
        <v>269.426227134903</v>
      </c>
      <c r="J59" s="18">
        <f t="shared" si="42"/>
        <v>0.0106473694054169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5.47722641587724</v>
      </c>
      <c r="P59" s="18">
        <f t="shared" si="45"/>
        <v>0.0583180529669526</v>
      </c>
      <c r="Q59" s="24">
        <f t="shared" si="46"/>
        <v>0.0169122353604163</v>
      </c>
      <c r="R59" s="18">
        <f t="shared" si="47"/>
        <v>0.80117865</v>
      </c>
      <c r="S59" s="25">
        <f t="shared" si="48"/>
        <v>0.0211091937614866</v>
      </c>
      <c r="T59" s="3">
        <v>0.27</v>
      </c>
      <c r="U59" s="26">
        <f t="shared" si="49"/>
        <v>0.00569948231560138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0.227507409413921</v>
      </c>
      <c r="AC59" s="29">
        <f t="shared" si="51"/>
        <v>10.2321666666667</v>
      </c>
      <c r="AD59" s="1">
        <f t="shared" si="52"/>
        <v>0.29</v>
      </c>
      <c r="AE59" s="30">
        <f t="shared" si="53"/>
        <v>137.942655613134</v>
      </c>
      <c r="AF59" s="1">
        <f t="shared" si="54"/>
        <v>3211158.4324273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s="30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37">
        <v>0.258050037103448</v>
      </c>
      <c r="E60" s="20">
        <f t="shared" si="55"/>
        <v>-3.72377286509677</v>
      </c>
      <c r="F60" s="16" t="s">
        <v>110</v>
      </c>
      <c r="G60" s="13">
        <v>3</v>
      </c>
      <c r="H60" s="18">
        <f t="shared" si="40"/>
        <v>0.258050037103448</v>
      </c>
      <c r="I60" s="18">
        <f t="shared" si="41"/>
        <v>273.408050037103</v>
      </c>
      <c r="J60" s="18">
        <f t="shared" si="42"/>
        <v>0.0180226412543648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8.18159336291029</v>
      </c>
      <c r="P60" s="18">
        <f t="shared" si="45"/>
        <v>0.147453922068824</v>
      </c>
      <c r="Q60" s="24">
        <f t="shared" si="46"/>
        <v>0.042761637399959</v>
      </c>
      <c r="R60" s="18">
        <f t="shared" si="47"/>
        <v>0.80117865</v>
      </c>
      <c r="S60" s="25">
        <f t="shared" si="48"/>
        <v>0.0533734110363014</v>
      </c>
      <c r="T60" s="3">
        <v>0.27</v>
      </c>
      <c r="U60" s="26">
        <f t="shared" si="49"/>
        <v>0.0144108209798014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0.229200022516375</v>
      </c>
      <c r="AC60" s="29">
        <f t="shared" si="51"/>
        <v>10.2321666666667</v>
      </c>
      <c r="AD60" s="1">
        <f t="shared" si="52"/>
        <v>0.29</v>
      </c>
      <c r="AE60" s="30">
        <f t="shared" si="53"/>
        <v>137.942655613134</v>
      </c>
      <c r="AF60" s="1">
        <f t="shared" si="54"/>
        <v>3235048.85802172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3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37">
        <v>7.33089995770968</v>
      </c>
      <c r="E61" s="20">
        <f t="shared" si="55"/>
        <v>0.258050037103448</v>
      </c>
      <c r="F61" s="16" t="s">
        <v>110</v>
      </c>
      <c r="G61" s="13">
        <v>4</v>
      </c>
      <c r="H61" s="18">
        <f t="shared" si="40"/>
        <v>7.33089995770968</v>
      </c>
      <c r="I61" s="18">
        <f t="shared" si="41"/>
        <v>280.48089995771</v>
      </c>
      <c r="J61" s="18">
        <f t="shared" si="42"/>
        <v>0.044241739831889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10.7968244408415</v>
      </c>
      <c r="P61" s="18">
        <f t="shared" si="45"/>
        <v>0.477670297922288</v>
      </c>
      <c r="Q61" s="24">
        <f t="shared" si="46"/>
        <v>0.138524386397464</v>
      </c>
      <c r="R61" s="18">
        <f t="shared" si="47"/>
        <v>0.80117865</v>
      </c>
      <c r="S61" s="25">
        <f t="shared" si="48"/>
        <v>0.172900746166244</v>
      </c>
      <c r="T61" s="3">
        <v>0.27</v>
      </c>
      <c r="U61" s="26">
        <f t="shared" si="49"/>
        <v>0.0466832014648858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0.235470546044627</v>
      </c>
      <c r="AC61" s="29">
        <f t="shared" si="51"/>
        <v>10.2321666666667</v>
      </c>
      <c r="AD61" s="1">
        <f t="shared" si="52"/>
        <v>0.29</v>
      </c>
      <c r="AE61" s="30">
        <f t="shared" si="53"/>
        <v>137.942655613134</v>
      </c>
      <c r="AF61" s="1">
        <f t="shared" si="54"/>
        <v>3323554.30298877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30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37">
        <v>14.3581615922</v>
      </c>
      <c r="E62" s="20">
        <f t="shared" si="55"/>
        <v>7.33089995770968</v>
      </c>
      <c r="F62" s="16" t="s">
        <v>110</v>
      </c>
      <c r="G62" s="13">
        <v>5</v>
      </c>
      <c r="H62" s="18">
        <f t="shared" si="40"/>
        <v>14.3581615922</v>
      </c>
      <c r="I62" s="18">
        <f t="shared" si="41"/>
        <v>287.5081615922</v>
      </c>
      <c r="J62" s="18">
        <f t="shared" si="42"/>
        <v>0.103354206271892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9.80319643577322</v>
      </c>
      <c r="O62" s="18">
        <f t="shared" si="56"/>
        <v>3.27864270714596</v>
      </c>
      <c r="P62" s="18">
        <f t="shared" si="45"/>
        <v>0.338861514646198</v>
      </c>
      <c r="Q62" s="24">
        <f t="shared" si="46"/>
        <v>0.0982698392473974</v>
      </c>
      <c r="R62" s="18">
        <f t="shared" si="47"/>
        <v>0.80117865</v>
      </c>
      <c r="S62" s="25">
        <f t="shared" si="48"/>
        <v>0.122656587575564</v>
      </c>
      <c r="T62" s="3">
        <v>0.27</v>
      </c>
      <c r="U62" s="26">
        <f t="shared" si="49"/>
        <v>0.0331172786454024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0.281634687240802</v>
      </c>
      <c r="AC62" s="29">
        <f t="shared" si="51"/>
        <v>10.2321666666667</v>
      </c>
      <c r="AD62" s="1">
        <f t="shared" si="52"/>
        <v>0.29</v>
      </c>
      <c r="AE62" s="30">
        <f t="shared" si="53"/>
        <v>137.942655613134</v>
      </c>
      <c r="AF62" s="1">
        <f t="shared" si="54"/>
        <v>3975139.10921437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30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37">
        <v>16.3210818093548</v>
      </c>
      <c r="E63" s="20">
        <f t="shared" si="55"/>
        <v>14.3581615922</v>
      </c>
      <c r="F63" s="16" t="s">
        <v>112</v>
      </c>
      <c r="G63" s="13">
        <v>6</v>
      </c>
      <c r="H63" s="18">
        <f t="shared" si="40"/>
        <v>16.3210818093548</v>
      </c>
      <c r="I63" s="18">
        <f t="shared" si="41"/>
        <v>289.471081809355</v>
      </c>
      <c r="J63" s="18">
        <f t="shared" si="42"/>
        <v>0.13003585072732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5.70246619249976</v>
      </c>
      <c r="P63" s="18">
        <f t="shared" si="45"/>
        <v>0.741525042585488</v>
      </c>
      <c r="Q63" s="24">
        <f t="shared" si="46"/>
        <v>0.215042262349791</v>
      </c>
      <c r="R63" s="18">
        <f t="shared" si="47"/>
        <v>0.80117865</v>
      </c>
      <c r="S63" s="25">
        <f t="shared" si="48"/>
        <v>0.268407379989209</v>
      </c>
      <c r="T63" s="3">
        <v>0.27</v>
      </c>
      <c r="U63" s="26">
        <f t="shared" si="49"/>
        <v>0.0724699925970864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0.289280919561614</v>
      </c>
      <c r="AC63" s="29">
        <f t="shared" si="51"/>
        <v>10.2321666666667</v>
      </c>
      <c r="AD63" s="1">
        <f t="shared" si="52"/>
        <v>0.29</v>
      </c>
      <c r="AE63" s="30">
        <f t="shared" si="53"/>
        <v>137.942655613134</v>
      </c>
      <c r="AF63" s="1">
        <f t="shared" si="54"/>
        <v>4083062.02678671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30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37">
        <v>21.6413978503333</v>
      </c>
      <c r="E64" s="20">
        <f t="shared" si="55"/>
        <v>16.3210818093548</v>
      </c>
      <c r="F64" s="16" t="s">
        <v>110</v>
      </c>
      <c r="G64" s="13">
        <v>7</v>
      </c>
      <c r="H64" s="18">
        <f t="shared" si="40"/>
        <v>21.6413978503333</v>
      </c>
      <c r="I64" s="18">
        <f t="shared" si="41"/>
        <v>294.791397850333</v>
      </c>
      <c r="J64" s="18">
        <f t="shared" si="42"/>
        <v>0.238620018629461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7.72362614991427</v>
      </c>
      <c r="P64" s="18">
        <f t="shared" si="45"/>
        <v>1.84301181577954</v>
      </c>
      <c r="Q64" s="24">
        <f t="shared" si="46"/>
        <v>0.534473426576065</v>
      </c>
      <c r="R64" s="18">
        <f t="shared" si="47"/>
        <v>0.80117865</v>
      </c>
      <c r="S64" s="25">
        <f t="shared" si="48"/>
        <v>0.667108923304516</v>
      </c>
      <c r="T64" s="3">
        <v>0.27</v>
      </c>
      <c r="U64" s="26">
        <f t="shared" si="49"/>
        <v>0.180119409292219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0.310197201225478</v>
      </c>
      <c r="AC64" s="29">
        <f t="shared" si="51"/>
        <v>10.2321666666667</v>
      </c>
      <c r="AD64" s="1">
        <f t="shared" si="52"/>
        <v>0.29</v>
      </c>
      <c r="AE64" s="30">
        <f t="shared" si="53"/>
        <v>137.942655613134</v>
      </c>
      <c r="AF64" s="1">
        <f t="shared" si="54"/>
        <v>4378285.35341579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30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37">
        <v>23.8354295774194</v>
      </c>
      <c r="E65" s="20">
        <f t="shared" si="55"/>
        <v>21.6413978503333</v>
      </c>
      <c r="F65" s="16" t="s">
        <v>110</v>
      </c>
      <c r="G65" s="13">
        <v>8</v>
      </c>
      <c r="H65" s="18">
        <f t="shared" si="40"/>
        <v>23.8354295774194</v>
      </c>
      <c r="I65" s="18">
        <f t="shared" si="41"/>
        <v>296.985429577419</v>
      </c>
      <c r="J65" s="18">
        <f t="shared" si="42"/>
        <v>0.304564540707362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8.64329933413473</v>
      </c>
      <c r="P65" s="18">
        <f t="shared" si="45"/>
        <v>2.63244249189699</v>
      </c>
      <c r="Q65" s="24">
        <f t="shared" si="46"/>
        <v>0.763408322650128</v>
      </c>
      <c r="R65" s="18">
        <f t="shared" si="47"/>
        <v>0.80117865</v>
      </c>
      <c r="S65" s="25">
        <f t="shared" si="48"/>
        <v>0.952856547850006</v>
      </c>
      <c r="T65" s="3">
        <v>0.27</v>
      </c>
      <c r="U65" s="26">
        <f t="shared" si="49"/>
        <v>0.257271267919502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0.325187807356759</v>
      </c>
      <c r="AC65" s="29">
        <f t="shared" si="51"/>
        <v>10.2321666666667</v>
      </c>
      <c r="AD65" s="1">
        <f t="shared" si="52"/>
        <v>0.29</v>
      </c>
      <c r="AE65" s="30">
        <f t="shared" si="53"/>
        <v>137.942655613134</v>
      </c>
      <c r="AF65" s="1">
        <f t="shared" si="54"/>
        <v>4589870.59984651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30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37">
        <v>23.6403718541935</v>
      </c>
      <c r="E66" s="20">
        <f t="shared" si="55"/>
        <v>23.8354295774194</v>
      </c>
      <c r="F66" s="16" t="s">
        <v>110</v>
      </c>
      <c r="G66" s="13">
        <v>9</v>
      </c>
      <c r="H66" s="18">
        <f t="shared" si="40"/>
        <v>23.6403718541935</v>
      </c>
      <c r="I66" s="18">
        <f t="shared" si="41"/>
        <v>296.790371854193</v>
      </c>
      <c r="J66" s="18">
        <f t="shared" si="42"/>
        <v>0.298072178276195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8.77354184223774</v>
      </c>
      <c r="P66" s="18">
        <f t="shared" si="45"/>
        <v>2.61514872811314</v>
      </c>
      <c r="Q66" s="24">
        <f t="shared" si="46"/>
        <v>0.758393131152812</v>
      </c>
      <c r="R66" s="18">
        <f t="shared" si="47"/>
        <v>0.80117865</v>
      </c>
      <c r="S66" s="25">
        <f t="shared" si="48"/>
        <v>0.946596781071003</v>
      </c>
      <c r="T66" s="3">
        <v>0.27</v>
      </c>
      <c r="U66" s="26">
        <f t="shared" si="49"/>
        <v>0.255581130889171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0.276059413731766</v>
      </c>
      <c r="AC66" s="29">
        <f t="shared" si="51"/>
        <v>10.2321666666667</v>
      </c>
      <c r="AD66" s="1">
        <f t="shared" si="52"/>
        <v>0.29</v>
      </c>
      <c r="AE66" s="30">
        <f t="shared" si="53"/>
        <v>137.942655613134</v>
      </c>
      <c r="AF66" s="1">
        <f t="shared" si="54"/>
        <v>3896446.78623575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30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37">
        <v>18.0627961913333</v>
      </c>
      <c r="E67" s="20">
        <f t="shared" si="55"/>
        <v>23.6403718541935</v>
      </c>
      <c r="F67" s="16" t="s">
        <v>110</v>
      </c>
      <c r="G67" s="13">
        <v>10</v>
      </c>
      <c r="H67" s="18">
        <f t="shared" si="40"/>
        <v>18.0627961913333</v>
      </c>
      <c r="I67" s="18">
        <f t="shared" si="41"/>
        <v>291.212796191333</v>
      </c>
      <c r="J67" s="18">
        <f t="shared" si="42"/>
        <v>0.159013102093465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8.9210781141246</v>
      </c>
      <c r="P67" s="18">
        <f t="shared" si="45"/>
        <v>1.41856830494507</v>
      </c>
      <c r="Q67" s="24">
        <f t="shared" si="46"/>
        <v>0.41138480843407</v>
      </c>
      <c r="R67" s="18">
        <f t="shared" si="47"/>
        <v>0.80117865</v>
      </c>
      <c r="S67" s="25">
        <f t="shared" si="48"/>
        <v>0.513474502140154</v>
      </c>
      <c r="T67" s="3">
        <v>0.27</v>
      </c>
      <c r="U67" s="26">
        <f t="shared" si="49"/>
        <v>0.138638115577842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0.253337385856775</v>
      </c>
      <c r="AC67" s="29">
        <f t="shared" si="51"/>
        <v>10.2321666666667</v>
      </c>
      <c r="AD67" s="1">
        <f t="shared" si="52"/>
        <v>0.29</v>
      </c>
      <c r="AE67" s="30">
        <f t="shared" si="53"/>
        <v>137.942655613134</v>
      </c>
      <c r="AF67" s="1">
        <f t="shared" si="54"/>
        <v>3575736.21421268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30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37">
        <v>11.4373017283548</v>
      </c>
      <c r="E68" s="20">
        <f t="shared" si="55"/>
        <v>18.0627961913333</v>
      </c>
      <c r="F68" s="16" t="s">
        <v>110</v>
      </c>
      <c r="G68" s="13">
        <v>11</v>
      </c>
      <c r="H68" s="18">
        <f t="shared" si="40"/>
        <v>11.4373017283548</v>
      </c>
      <c r="I68" s="18">
        <f t="shared" si="41"/>
        <v>284.587301728355</v>
      </c>
      <c r="J68" s="18">
        <f t="shared" si="42"/>
        <v>0.0730085949844309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7.12738431872055</v>
      </c>
      <c r="O68" s="18">
        <f t="shared" si="56"/>
        <v>3.13781049045898</v>
      </c>
      <c r="P68" s="18">
        <f t="shared" si="45"/>
        <v>0.229087135235818</v>
      </c>
      <c r="Q68" s="24">
        <f t="shared" si="46"/>
        <v>0.0664352692183872</v>
      </c>
      <c r="R68" s="18">
        <f t="shared" si="47"/>
        <v>0.80117865</v>
      </c>
      <c r="S68" s="25">
        <f t="shared" si="48"/>
        <v>0.0829219166266939</v>
      </c>
      <c r="T68" s="3">
        <v>0.27</v>
      </c>
      <c r="U68" s="26">
        <f t="shared" si="49"/>
        <v>0.0223889174892074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0.230750166668153</v>
      </c>
      <c r="AC68" s="29">
        <f t="shared" si="51"/>
        <v>10.2321666666667</v>
      </c>
      <c r="AD68" s="1">
        <f t="shared" si="52"/>
        <v>0.29</v>
      </c>
      <c r="AE68" s="30">
        <f t="shared" si="53"/>
        <v>137.942655613134</v>
      </c>
      <c r="AF68" s="1">
        <f t="shared" si="54"/>
        <v>3256928.40241669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30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37">
        <v>4.84874671006667</v>
      </c>
      <c r="E69" s="20">
        <f t="shared" si="55"/>
        <v>11.4373017283548</v>
      </c>
      <c r="F69" s="16" t="s">
        <v>112</v>
      </c>
      <c r="G69" s="13">
        <v>12</v>
      </c>
      <c r="H69" s="18">
        <f t="shared" si="40"/>
        <v>4.84874671006667</v>
      </c>
      <c r="I69" s="18">
        <f t="shared" si="41"/>
        <v>277.998746710067</v>
      </c>
      <c r="J69" s="18">
        <f t="shared" si="42"/>
        <v>0.0324504394038165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5.67140835522316</v>
      </c>
      <c r="P69" s="18">
        <f t="shared" si="45"/>
        <v>0.184039693165468</v>
      </c>
      <c r="Q69" s="24">
        <f t="shared" si="46"/>
        <v>0.0533715110179856</v>
      </c>
      <c r="R69" s="18">
        <f t="shared" si="47"/>
        <v>0.80117865</v>
      </c>
      <c r="S69" s="25">
        <f t="shared" si="48"/>
        <v>0.0666162422301014</v>
      </c>
      <c r="T69" s="3">
        <v>0.27</v>
      </c>
      <c r="U69" s="26">
        <f t="shared" si="49"/>
        <v>0.0179863854021274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0.229894754683633</v>
      </c>
      <c r="AC69" s="29">
        <f t="shared" si="51"/>
        <v>10.2321666666667</v>
      </c>
      <c r="AD69" s="1">
        <f t="shared" si="52"/>
        <v>0.29</v>
      </c>
      <c r="AE69" s="30">
        <f t="shared" si="53"/>
        <v>137.942655613134</v>
      </c>
      <c r="AF69" s="1">
        <f t="shared" si="54"/>
        <v>3244854.67077707</v>
      </c>
      <c r="AG69" s="1">
        <f>SUM(AF58:AF69)</f>
        <v>43978516.2013824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37">
        <v>1.05352022174194</v>
      </c>
      <c r="E70" s="20">
        <f t="shared" si="55"/>
        <v>4.84874671006667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0</v>
      </c>
      <c r="E74" s="16"/>
      <c r="F74" s="16"/>
      <c r="G74" s="13">
        <v>1</v>
      </c>
      <c r="H74" s="18">
        <f t="shared" ref="H74:H85" si="57">E75</f>
        <v>0</v>
      </c>
      <c r="I74" s="18">
        <f t="shared" ref="I74:I85" si="58">H74+273.15</f>
        <v>273.15</v>
      </c>
      <c r="J74" s="18">
        <f t="shared" ref="J74:J85" si="59">EXP(($C$16*(I74-$C$14))/($C$17*I74*$C$14))</f>
        <v>0.0174263747487528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0.00908297504654493</v>
      </c>
      <c r="Q74" s="24">
        <f t="shared" ref="Q74:Q85" si="63">P74*$B$76</f>
        <v>0.00236157351210168</v>
      </c>
      <c r="R74" s="18">
        <f t="shared" ref="R74:R85" si="64">L74*$B$76</f>
        <v>0.1355172</v>
      </c>
      <c r="S74" s="25">
        <f t="shared" ref="S74:S85" si="65">Q74/R74</f>
        <v>0.0174263747487528</v>
      </c>
      <c r="T74" s="3">
        <v>0.01</v>
      </c>
      <c r="U74" s="26">
        <f t="shared" ref="U74:U85" si="66">S74*T74</f>
        <v>0.000174263747487528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0.00566426374748753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$E$8/12</f>
        <v>0.126616666666667</v>
      </c>
      <c r="AX74" s="1">
        <f t="shared" ref="AX74:AX85" si="73">AW74*10000*AV74*0.67*AU74*AT74</f>
        <v>65.1183767372391</v>
      </c>
    </row>
    <row r="75" s="1" customFormat="1" spans="1:50">
      <c r="A75" s="13" t="s">
        <v>111</v>
      </c>
      <c r="B75" s="13">
        <v>1</v>
      </c>
      <c r="C75" s="16">
        <v>1</v>
      </c>
      <c r="D75" s="37">
        <v>-3.72377286509677</v>
      </c>
      <c r="E75" s="20">
        <f t="shared" ref="E75:E86" si="74">D74</f>
        <v>0</v>
      </c>
      <c r="F75" s="16" t="s">
        <v>110</v>
      </c>
      <c r="G75" s="13">
        <v>2</v>
      </c>
      <c r="H75" s="18">
        <f t="shared" si="57"/>
        <v>-3.72377286509677</v>
      </c>
      <c r="I75" s="18">
        <f t="shared" si="58"/>
        <v>269.426227134903</v>
      </c>
      <c r="J75" s="18">
        <f t="shared" si="59"/>
        <v>0.0106473694054169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1.03335702495346</v>
      </c>
      <c r="P75" s="18">
        <f t="shared" si="62"/>
        <v>0.011002533972362</v>
      </c>
      <c r="Q75" s="24">
        <f t="shared" si="63"/>
        <v>0.00286065883281413</v>
      </c>
      <c r="R75" s="18">
        <f t="shared" si="64"/>
        <v>0.1355172</v>
      </c>
      <c r="S75" s="25">
        <f t="shared" si="65"/>
        <v>0.0211091937614866</v>
      </c>
      <c r="T75" s="3">
        <v>0.01</v>
      </c>
      <c r="U75" s="26">
        <f t="shared" si="66"/>
        <v>0.000211091937614866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0.00570109193761487</v>
      </c>
      <c r="AU75" s="29">
        <f t="shared" si="70"/>
        <v>52.122</v>
      </c>
      <c r="AV75" s="1">
        <f t="shared" si="71"/>
        <v>0.26</v>
      </c>
      <c r="AW75" s="2">
        <f t="shared" si="72"/>
        <v>0.126616666666667</v>
      </c>
      <c r="AX75" s="1">
        <f t="shared" si="73"/>
        <v>65.5417666191679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37">
        <v>0.258050037103448</v>
      </c>
      <c r="E76" s="20">
        <f t="shared" si="74"/>
        <v>-3.72377286509677</v>
      </c>
      <c r="F76" s="16" t="s">
        <v>110</v>
      </c>
      <c r="G76" s="13">
        <v>3</v>
      </c>
      <c r="H76" s="18">
        <f t="shared" si="57"/>
        <v>0.258050037103448</v>
      </c>
      <c r="I76" s="18">
        <f t="shared" si="58"/>
        <v>273.408050037103</v>
      </c>
      <c r="J76" s="18">
        <f t="shared" si="59"/>
        <v>0.0180226412543648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1.54357449098109</v>
      </c>
      <c r="P76" s="18">
        <f t="shared" si="62"/>
        <v>0.027819289300341</v>
      </c>
      <c r="Q76" s="24">
        <f t="shared" si="63"/>
        <v>0.00723301521808866</v>
      </c>
      <c r="R76" s="18">
        <f t="shared" si="64"/>
        <v>0.1355172</v>
      </c>
      <c r="S76" s="25">
        <f t="shared" si="65"/>
        <v>0.0533734110363014</v>
      </c>
      <c r="T76" s="3">
        <v>0.01</v>
      </c>
      <c r="U76" s="26">
        <f t="shared" si="66"/>
        <v>0.000533734110363014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0.00602373411036301</v>
      </c>
      <c r="AU76" s="29">
        <f t="shared" si="70"/>
        <v>52.122</v>
      </c>
      <c r="AV76" s="1">
        <f t="shared" si="71"/>
        <v>0.26</v>
      </c>
      <c r="AW76" s="2">
        <f t="shared" si="72"/>
        <v>0.126616666666667</v>
      </c>
      <c r="AX76" s="1">
        <f t="shared" si="73"/>
        <v>69.2509749987485</v>
      </c>
    </row>
    <row r="77" s="1" customFormat="1" spans="1:50">
      <c r="A77" s="13"/>
      <c r="B77" s="13"/>
      <c r="C77" s="16">
        <v>3</v>
      </c>
      <c r="D77" s="37">
        <v>7.33089995770968</v>
      </c>
      <c r="E77" s="20">
        <f t="shared" si="74"/>
        <v>0.258050037103448</v>
      </c>
      <c r="F77" s="16" t="s">
        <v>110</v>
      </c>
      <c r="G77" s="13">
        <v>4</v>
      </c>
      <c r="H77" s="18">
        <f t="shared" si="57"/>
        <v>7.33089995770968</v>
      </c>
      <c r="I77" s="18">
        <f t="shared" si="58"/>
        <v>280.48089995771</v>
      </c>
      <c r="J77" s="18">
        <f t="shared" si="59"/>
        <v>0.044241739831889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2.03697520168075</v>
      </c>
      <c r="P77" s="18">
        <f t="shared" si="62"/>
        <v>0.0901193269167695</v>
      </c>
      <c r="Q77" s="24">
        <f t="shared" si="63"/>
        <v>0.0234310249983601</v>
      </c>
      <c r="R77" s="18">
        <f t="shared" si="64"/>
        <v>0.1355172</v>
      </c>
      <c r="S77" s="25">
        <f t="shared" si="65"/>
        <v>0.172900746166244</v>
      </c>
      <c r="T77" s="3">
        <v>0.01</v>
      </c>
      <c r="U77" s="26">
        <f t="shared" si="66"/>
        <v>0.00172900746166244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0.00721900746166244</v>
      </c>
      <c r="AU77" s="29">
        <f t="shared" si="70"/>
        <v>52.122</v>
      </c>
      <c r="AV77" s="1">
        <f t="shared" si="71"/>
        <v>0.26</v>
      </c>
      <c r="AW77" s="2">
        <f t="shared" si="72"/>
        <v>0.126616666666667</v>
      </c>
      <c r="AX77" s="1">
        <f t="shared" si="73"/>
        <v>82.9922596323291</v>
      </c>
    </row>
    <row r="78" s="1" customFormat="1" spans="1:50">
      <c r="A78" s="13"/>
      <c r="B78" s="13"/>
      <c r="C78" s="16">
        <v>4</v>
      </c>
      <c r="D78" s="37">
        <v>14.3581615922</v>
      </c>
      <c r="E78" s="20">
        <f t="shared" si="74"/>
        <v>7.33089995770968</v>
      </c>
      <c r="F78" s="16" t="s">
        <v>110</v>
      </c>
      <c r="G78" s="13">
        <v>5</v>
      </c>
      <c r="H78" s="18">
        <f t="shared" si="57"/>
        <v>14.3581615922</v>
      </c>
      <c r="I78" s="18">
        <f t="shared" si="58"/>
        <v>287.5081615922</v>
      </c>
      <c r="J78" s="18">
        <f t="shared" si="59"/>
        <v>0.103354206271892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1.84951308102578</v>
      </c>
      <c r="O78" s="18">
        <f t="shared" si="75"/>
        <v>0.618562793738199</v>
      </c>
      <c r="P78" s="18">
        <f t="shared" si="62"/>
        <v>0.0639310665761356</v>
      </c>
      <c r="Q78" s="24">
        <f t="shared" si="63"/>
        <v>0.0166220773097953</v>
      </c>
      <c r="R78" s="18">
        <f t="shared" si="64"/>
        <v>0.1355172</v>
      </c>
      <c r="S78" s="25">
        <f t="shared" si="65"/>
        <v>0.122656587575564</v>
      </c>
      <c r="T78" s="3">
        <v>0.01</v>
      </c>
      <c r="U78" s="26">
        <f t="shared" si="66"/>
        <v>0.00122656587575564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0.0111765658757556</v>
      </c>
      <c r="AU78" s="29">
        <f t="shared" si="70"/>
        <v>52.122</v>
      </c>
      <c r="AV78" s="1">
        <f t="shared" si="71"/>
        <v>0.26</v>
      </c>
      <c r="AW78" s="2">
        <f t="shared" si="72"/>
        <v>0.126616666666667</v>
      </c>
      <c r="AX78" s="1">
        <f t="shared" si="73"/>
        <v>128.489749024991</v>
      </c>
    </row>
    <row r="79" s="1" customFormat="1" spans="1:50">
      <c r="A79" s="13"/>
      <c r="B79" s="13"/>
      <c r="C79" s="16">
        <v>5</v>
      </c>
      <c r="D79" s="37">
        <v>16.3210818093548</v>
      </c>
      <c r="E79" s="20">
        <f t="shared" si="74"/>
        <v>14.3581615922</v>
      </c>
      <c r="F79" s="16" t="s">
        <v>112</v>
      </c>
      <c r="G79" s="13">
        <v>6</v>
      </c>
      <c r="H79" s="18">
        <f t="shared" si="57"/>
        <v>16.3210818093548</v>
      </c>
      <c r="I79" s="18">
        <f t="shared" si="58"/>
        <v>289.471081809355</v>
      </c>
      <c r="J79" s="18">
        <f t="shared" si="59"/>
        <v>0.13003585072732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1.07585172716206</v>
      </c>
      <c r="P79" s="18">
        <f t="shared" si="62"/>
        <v>0.139899294597976</v>
      </c>
      <c r="Q79" s="24">
        <f t="shared" si="63"/>
        <v>0.0363738165954736</v>
      </c>
      <c r="R79" s="18">
        <f t="shared" si="64"/>
        <v>0.1355172</v>
      </c>
      <c r="S79" s="25">
        <f t="shared" si="65"/>
        <v>0.268407379989209</v>
      </c>
      <c r="T79" s="3">
        <v>0.01</v>
      </c>
      <c r="U79" s="26">
        <f t="shared" si="66"/>
        <v>0.00268407379989209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0.0126340737998921</v>
      </c>
      <c r="AU79" s="29">
        <f t="shared" si="70"/>
        <v>52.122</v>
      </c>
      <c r="AV79" s="1">
        <f t="shared" si="71"/>
        <v>0.26</v>
      </c>
      <c r="AW79" s="2">
        <f t="shared" si="72"/>
        <v>0.126616666666667</v>
      </c>
      <c r="AX79" s="1">
        <f t="shared" si="73"/>
        <v>145.245774932776</v>
      </c>
    </row>
    <row r="80" s="1" customFormat="1" spans="1:50">
      <c r="A80" s="13"/>
      <c r="B80" s="13"/>
      <c r="C80" s="16">
        <v>6</v>
      </c>
      <c r="D80" s="37">
        <v>21.6413978503333</v>
      </c>
      <c r="E80" s="20">
        <f t="shared" si="74"/>
        <v>16.3210818093548</v>
      </c>
      <c r="F80" s="16" t="s">
        <v>110</v>
      </c>
      <c r="G80" s="13">
        <v>7</v>
      </c>
      <c r="H80" s="18">
        <f t="shared" si="57"/>
        <v>21.6413978503333</v>
      </c>
      <c r="I80" s="18">
        <f t="shared" si="58"/>
        <v>294.791397850333</v>
      </c>
      <c r="J80" s="18">
        <f t="shared" si="59"/>
        <v>0.238620018629461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1.45717243256409</v>
      </c>
      <c r="P80" s="18">
        <f t="shared" si="62"/>
        <v>0.34771051300478</v>
      </c>
      <c r="Q80" s="24">
        <f t="shared" si="63"/>
        <v>0.0904047333812427</v>
      </c>
      <c r="R80" s="18">
        <f t="shared" si="64"/>
        <v>0.1355172</v>
      </c>
      <c r="S80" s="25">
        <f t="shared" si="65"/>
        <v>0.667108923304516</v>
      </c>
      <c r="T80" s="3">
        <v>0.01</v>
      </c>
      <c r="U80" s="26">
        <f t="shared" si="66"/>
        <v>0.00667108923304516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0.0166210892330452</v>
      </c>
      <c r="AU80" s="29">
        <f t="shared" si="70"/>
        <v>52.122</v>
      </c>
      <c r="AV80" s="1">
        <f t="shared" si="71"/>
        <v>0.26</v>
      </c>
      <c r="AW80" s="2">
        <f t="shared" si="72"/>
        <v>0.126616666666667</v>
      </c>
      <c r="AX80" s="1">
        <f t="shared" si="73"/>
        <v>191.081912621175</v>
      </c>
    </row>
    <row r="81" s="1" customFormat="1" spans="1:50">
      <c r="A81" s="13"/>
      <c r="B81" s="13"/>
      <c r="C81" s="16">
        <v>7</v>
      </c>
      <c r="D81" s="37">
        <v>23.8354295774194</v>
      </c>
      <c r="E81" s="20">
        <f t="shared" si="74"/>
        <v>21.6413978503333</v>
      </c>
      <c r="F81" s="16" t="s">
        <v>110</v>
      </c>
      <c r="G81" s="13">
        <v>8</v>
      </c>
      <c r="H81" s="18">
        <f t="shared" si="57"/>
        <v>23.8354295774194</v>
      </c>
      <c r="I81" s="18">
        <f t="shared" si="58"/>
        <v>296.985429577419</v>
      </c>
      <c r="J81" s="18">
        <f t="shared" si="59"/>
        <v>0.304564540707362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1.63068191955931</v>
      </c>
      <c r="P81" s="18">
        <f t="shared" si="62"/>
        <v>0.49664788987038</v>
      </c>
      <c r="Q81" s="24">
        <f t="shared" si="63"/>
        <v>0.129128451366299</v>
      </c>
      <c r="R81" s="18">
        <f t="shared" si="64"/>
        <v>0.1355172</v>
      </c>
      <c r="S81" s="25">
        <f t="shared" si="65"/>
        <v>0.952856547850006</v>
      </c>
      <c r="T81" s="3">
        <v>0.01</v>
      </c>
      <c r="U81" s="26">
        <f t="shared" si="66"/>
        <v>0.00952856547850006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0.0194785654785001</v>
      </c>
      <c r="AU81" s="29">
        <f t="shared" si="70"/>
        <v>52.122</v>
      </c>
      <c r="AV81" s="1">
        <f t="shared" si="71"/>
        <v>0.26</v>
      </c>
      <c r="AW81" s="2">
        <f t="shared" si="72"/>
        <v>0.126616666666667</v>
      </c>
      <c r="AX81" s="1">
        <f t="shared" si="73"/>
        <v>223.932468838968</v>
      </c>
    </row>
    <row r="82" s="1" customFormat="1" spans="1:50">
      <c r="A82" s="13"/>
      <c r="B82" s="13"/>
      <c r="C82" s="16">
        <v>8</v>
      </c>
      <c r="D82" s="37">
        <v>23.6403718541935</v>
      </c>
      <c r="E82" s="20">
        <f t="shared" si="74"/>
        <v>23.8354295774194</v>
      </c>
      <c r="F82" s="16" t="s">
        <v>110</v>
      </c>
      <c r="G82" s="13">
        <v>9</v>
      </c>
      <c r="H82" s="18">
        <f t="shared" si="57"/>
        <v>23.6403718541935</v>
      </c>
      <c r="I82" s="18">
        <f t="shared" si="58"/>
        <v>296.790371854193</v>
      </c>
      <c r="J82" s="18">
        <f t="shared" si="59"/>
        <v>0.298072178276195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1.65525402968893</v>
      </c>
      <c r="P82" s="18">
        <f t="shared" si="62"/>
        <v>0.493385174229828</v>
      </c>
      <c r="Q82" s="24">
        <f t="shared" si="63"/>
        <v>0.128280145299755</v>
      </c>
      <c r="R82" s="18">
        <f t="shared" si="64"/>
        <v>0.1355172</v>
      </c>
      <c r="S82" s="25">
        <f t="shared" si="65"/>
        <v>0.946596781071003</v>
      </c>
      <c r="T82" s="3">
        <v>0.01</v>
      </c>
      <c r="U82" s="26">
        <f t="shared" si="66"/>
        <v>0.00946596781071003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0.01495596781071</v>
      </c>
      <c r="AU82" s="29">
        <f t="shared" si="70"/>
        <v>52.122</v>
      </c>
      <c r="AV82" s="1">
        <f t="shared" si="71"/>
        <v>0.26</v>
      </c>
      <c r="AW82" s="2">
        <f t="shared" si="72"/>
        <v>0.126616666666667</v>
      </c>
      <c r="AX82" s="1">
        <f t="shared" si="73"/>
        <v>171.939088606146</v>
      </c>
    </row>
    <row r="83" s="1" customFormat="1" spans="1:50">
      <c r="A83" s="13"/>
      <c r="B83" s="13"/>
      <c r="C83" s="16">
        <v>9</v>
      </c>
      <c r="D83" s="37">
        <v>18.0627961913333</v>
      </c>
      <c r="E83" s="20">
        <f t="shared" si="74"/>
        <v>23.6403718541935</v>
      </c>
      <c r="F83" s="16" t="s">
        <v>110</v>
      </c>
      <c r="G83" s="13">
        <v>10</v>
      </c>
      <c r="H83" s="18">
        <f t="shared" si="57"/>
        <v>18.0627961913333</v>
      </c>
      <c r="I83" s="18">
        <f t="shared" si="58"/>
        <v>291.212796191333</v>
      </c>
      <c r="J83" s="18">
        <f t="shared" si="59"/>
        <v>0.159013102093465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1.6830888554591</v>
      </c>
      <c r="P83" s="18">
        <f t="shared" si="62"/>
        <v>0.267633180005491</v>
      </c>
      <c r="Q83" s="24">
        <f t="shared" si="63"/>
        <v>0.0695846268014277</v>
      </c>
      <c r="R83" s="18">
        <f t="shared" si="64"/>
        <v>0.1355172</v>
      </c>
      <c r="S83" s="25">
        <f t="shared" si="65"/>
        <v>0.513474502140154</v>
      </c>
      <c r="T83" s="3">
        <v>0.01</v>
      </c>
      <c r="U83" s="26">
        <f t="shared" si="66"/>
        <v>0.00513474502140154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0.0106247450214015</v>
      </c>
      <c r="AU83" s="29">
        <f t="shared" si="70"/>
        <v>52.122</v>
      </c>
      <c r="AV83" s="1">
        <f t="shared" si="71"/>
        <v>0.26</v>
      </c>
      <c r="AW83" s="2">
        <f t="shared" si="72"/>
        <v>0.126616666666667</v>
      </c>
      <c r="AX83" s="1">
        <f t="shared" si="73"/>
        <v>122.145821572595</v>
      </c>
    </row>
    <row r="84" s="1" customFormat="1" spans="1:50">
      <c r="A84" s="13"/>
      <c r="B84" s="13"/>
      <c r="C84" s="16">
        <v>10</v>
      </c>
      <c r="D84" s="37">
        <v>11.4373017283548</v>
      </c>
      <c r="E84" s="20">
        <f t="shared" si="74"/>
        <v>18.0627961913333</v>
      </c>
      <c r="F84" s="16" t="s">
        <v>110</v>
      </c>
      <c r="G84" s="13">
        <v>11</v>
      </c>
      <c r="H84" s="18">
        <f t="shared" si="57"/>
        <v>11.4373017283548</v>
      </c>
      <c r="I84" s="18">
        <f t="shared" si="58"/>
        <v>284.587301728355</v>
      </c>
      <c r="J84" s="18">
        <f t="shared" si="59"/>
        <v>0.0730085949844309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1.34468289168093</v>
      </c>
      <c r="O84" s="18">
        <f t="shared" si="75"/>
        <v>0.59199278377268</v>
      </c>
      <c r="P84" s="18">
        <f t="shared" si="62"/>
        <v>0.0432205613841654</v>
      </c>
      <c r="Q84" s="24">
        <f t="shared" si="63"/>
        <v>0.011237345959883</v>
      </c>
      <c r="R84" s="18">
        <f t="shared" si="64"/>
        <v>0.1355172</v>
      </c>
      <c r="S84" s="25">
        <f t="shared" si="65"/>
        <v>0.0829219166266939</v>
      </c>
      <c r="T84" s="3">
        <v>0.01</v>
      </c>
      <c r="U84" s="26">
        <f t="shared" si="66"/>
        <v>0.000829219166266939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0.00631921916626694</v>
      </c>
      <c r="AU84" s="29">
        <f t="shared" si="70"/>
        <v>52.122</v>
      </c>
      <c r="AV84" s="1">
        <f t="shared" si="71"/>
        <v>0.26</v>
      </c>
      <c r="AW84" s="2">
        <f t="shared" si="72"/>
        <v>0.126616666666667</v>
      </c>
      <c r="AX84" s="1">
        <f t="shared" si="73"/>
        <v>72.6479755708195</v>
      </c>
    </row>
    <row r="85" s="1" customFormat="1" spans="1:51">
      <c r="A85" s="13"/>
      <c r="B85" s="13"/>
      <c r="C85" s="16">
        <v>11</v>
      </c>
      <c r="D85" s="37">
        <v>4.84874671006667</v>
      </c>
      <c r="E85" s="20">
        <f t="shared" si="74"/>
        <v>11.4373017283548</v>
      </c>
      <c r="F85" s="16" t="s">
        <v>112</v>
      </c>
      <c r="G85" s="13">
        <v>12</v>
      </c>
      <c r="H85" s="18">
        <f t="shared" si="57"/>
        <v>4.84874671006667</v>
      </c>
      <c r="I85" s="18">
        <f t="shared" si="58"/>
        <v>277.998746710067</v>
      </c>
      <c r="J85" s="18">
        <f t="shared" si="59"/>
        <v>0.0324504394038165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1.06999222238851</v>
      </c>
      <c r="P85" s="18">
        <f t="shared" si="62"/>
        <v>0.0347217177751735</v>
      </c>
      <c r="Q85" s="24">
        <f t="shared" si="63"/>
        <v>0.0090276466215451</v>
      </c>
      <c r="R85" s="18">
        <f t="shared" si="64"/>
        <v>0.1355172</v>
      </c>
      <c r="S85" s="25">
        <f t="shared" si="65"/>
        <v>0.0666162422301014</v>
      </c>
      <c r="T85" s="3">
        <v>0.01</v>
      </c>
      <c r="U85" s="26">
        <f t="shared" si="66"/>
        <v>0.000666162422301014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0.00615616242230101</v>
      </c>
      <c r="AU85" s="29">
        <f t="shared" si="70"/>
        <v>52.122</v>
      </c>
      <c r="AV85" s="1">
        <f t="shared" si="71"/>
        <v>0.26</v>
      </c>
      <c r="AW85" s="2">
        <f t="shared" si="72"/>
        <v>0.126616666666667</v>
      </c>
      <c r="AX85" s="1">
        <f t="shared" si="73"/>
        <v>70.7734176482951</v>
      </c>
      <c r="AY85" s="1">
        <f>SUM(AX74:AX85)</f>
        <v>1409.15958680325</v>
      </c>
    </row>
    <row r="86" s="1" customFormat="1" spans="1:46">
      <c r="A86" s="13"/>
      <c r="B86" s="13"/>
      <c r="C86" s="16">
        <v>12</v>
      </c>
      <c r="D86" s="37">
        <v>1.05352022174194</v>
      </c>
      <c r="E86" s="20">
        <f t="shared" si="74"/>
        <v>4.84874671006667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0</v>
      </c>
      <c r="E90" s="16"/>
      <c r="F90" s="16"/>
      <c r="G90" s="13">
        <v>1</v>
      </c>
      <c r="H90" s="18">
        <f t="shared" ref="H90:H101" si="76">E91</f>
        <v>0</v>
      </c>
      <c r="I90" s="18">
        <f t="shared" ref="I90:I101" si="77">H90+273.15</f>
        <v>273.15</v>
      </c>
      <c r="J90" s="18">
        <f t="shared" ref="J90:J101" si="78">EXP(($C$16*(I90-$C$14))/($C$17*I90*$C$14))</f>
        <v>0.0174263747487528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0.00496128889096992</v>
      </c>
      <c r="Q90" s="24">
        <f t="shared" ref="Q90:Q101" si="82">P90*$B$76</f>
        <v>0.00128993511165218</v>
      </c>
      <c r="R90" s="18">
        <f t="shared" ref="R90:R101" si="83">L90*$B$76</f>
        <v>0.074022</v>
      </c>
      <c r="S90" s="25">
        <f t="shared" ref="S90:S101" si="84">Q90/R90</f>
        <v>0.0174263747487528</v>
      </c>
      <c r="T90" s="3">
        <v>0.01</v>
      </c>
      <c r="U90" s="26">
        <f t="shared" ref="U90:U101" si="85">S90*T90</f>
        <v>0.000174263747487528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0.00566426374748753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$E$9/12</f>
        <v>0.2115</v>
      </c>
      <c r="AX90" s="1">
        <f t="shared" ref="AX90:AX101" si="92">AW90*10000*AV90*0.67*AU90*AT90</f>
        <v>59.4140909798667</v>
      </c>
      <c r="AZ90" s="2">
        <f t="shared" ref="AZ90:AZ101" si="93">$E$10/12</f>
        <v>0.0314145972677458</v>
      </c>
      <c r="BA90" s="1">
        <f t="shared" ref="BA90:BA101" si="94">AZ90*10000*AV90*0.67*AU90*AT90</f>
        <v>8.82491602913344</v>
      </c>
    </row>
    <row r="91" s="1" customFormat="1" spans="1:53">
      <c r="A91" s="13" t="s">
        <v>111</v>
      </c>
      <c r="B91" s="13">
        <v>1</v>
      </c>
      <c r="C91" s="16">
        <v>1</v>
      </c>
      <c r="D91" s="37">
        <v>-3.72377286509677</v>
      </c>
      <c r="E91" s="20">
        <f t="shared" ref="E91:E102" si="95">D90</f>
        <v>0</v>
      </c>
      <c r="F91" s="16" t="s">
        <v>110</v>
      </c>
      <c r="G91" s="13">
        <v>2</v>
      </c>
      <c r="H91" s="18">
        <f t="shared" si="76"/>
        <v>-3.72377286509677</v>
      </c>
      <c r="I91" s="18">
        <f t="shared" si="77"/>
        <v>269.426227134903</v>
      </c>
      <c r="J91" s="18">
        <f t="shared" si="78"/>
        <v>0.0106473694054169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0.56443871110903</v>
      </c>
      <c r="P91" s="18">
        <f t="shared" si="81"/>
        <v>0.00600978746389524</v>
      </c>
      <c r="Q91" s="24">
        <f t="shared" si="82"/>
        <v>0.00156254474061276</v>
      </c>
      <c r="R91" s="18">
        <f t="shared" si="83"/>
        <v>0.074022</v>
      </c>
      <c r="S91" s="25">
        <f t="shared" si="84"/>
        <v>0.0211091937614866</v>
      </c>
      <c r="T91" s="3">
        <v>0.01</v>
      </c>
      <c r="U91" s="26">
        <f t="shared" si="85"/>
        <v>0.000211091937614866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0.00570109193761487</v>
      </c>
      <c r="AU91" s="29">
        <f t="shared" si="89"/>
        <v>28.47</v>
      </c>
      <c r="AV91" s="1">
        <f t="shared" si="90"/>
        <v>0.26</v>
      </c>
      <c r="AW91" s="2">
        <f t="shared" si="91"/>
        <v>0.2115</v>
      </c>
      <c r="AX91" s="1">
        <f t="shared" si="92"/>
        <v>59.8003924545853</v>
      </c>
      <c r="AZ91" s="2">
        <f t="shared" si="93"/>
        <v>0.0314145972677458</v>
      </c>
      <c r="BA91" s="1">
        <f t="shared" si="94"/>
        <v>8.88229430455766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37">
        <v>0.258050037103448</v>
      </c>
      <c r="E92" s="20">
        <f t="shared" si="95"/>
        <v>-3.72377286509677</v>
      </c>
      <c r="F92" s="16" t="s">
        <v>110</v>
      </c>
      <c r="G92" s="13">
        <v>3</v>
      </c>
      <c r="H92" s="18">
        <f t="shared" si="76"/>
        <v>0.258050037103448</v>
      </c>
      <c r="I92" s="18">
        <f t="shared" si="77"/>
        <v>273.408050037103</v>
      </c>
      <c r="J92" s="18">
        <f t="shared" si="78"/>
        <v>0.0180226412543648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0.843128923645135</v>
      </c>
      <c r="P92" s="18">
        <f t="shared" si="81"/>
        <v>0.015195410122035</v>
      </c>
      <c r="Q92" s="24">
        <f t="shared" si="82"/>
        <v>0.0039508066317291</v>
      </c>
      <c r="R92" s="18">
        <f t="shared" si="83"/>
        <v>0.074022</v>
      </c>
      <c r="S92" s="25">
        <f t="shared" si="84"/>
        <v>0.0533734110363014</v>
      </c>
      <c r="T92" s="3">
        <v>0.01</v>
      </c>
      <c r="U92" s="26">
        <f t="shared" si="85"/>
        <v>0.000533734110363014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0.00602373411036301</v>
      </c>
      <c r="AU92" s="29">
        <f t="shared" si="89"/>
        <v>28.47</v>
      </c>
      <c r="AV92" s="1">
        <f t="shared" si="90"/>
        <v>0.26</v>
      </c>
      <c r="AW92" s="2">
        <f t="shared" si="91"/>
        <v>0.2115</v>
      </c>
      <c r="AX92" s="1">
        <f t="shared" si="92"/>
        <v>63.1846789673917</v>
      </c>
      <c r="AZ92" s="2">
        <f t="shared" si="93"/>
        <v>0.0314145972677458</v>
      </c>
      <c r="BA92" s="1">
        <f t="shared" si="94"/>
        <v>9.38497041726913</v>
      </c>
    </row>
    <row r="93" s="1" customFormat="1" spans="1:53">
      <c r="A93" s="13"/>
      <c r="B93" s="13"/>
      <c r="C93" s="16">
        <v>3</v>
      </c>
      <c r="D93" s="37">
        <v>7.33089995770968</v>
      </c>
      <c r="E93" s="20">
        <f t="shared" si="95"/>
        <v>0.258050037103448</v>
      </c>
      <c r="F93" s="16" t="s">
        <v>110</v>
      </c>
      <c r="G93" s="13">
        <v>4</v>
      </c>
      <c r="H93" s="18">
        <f t="shared" si="76"/>
        <v>7.33089995770968</v>
      </c>
      <c r="I93" s="18">
        <f t="shared" si="77"/>
        <v>280.48089995771</v>
      </c>
      <c r="J93" s="18">
        <f t="shared" si="78"/>
        <v>0.044241739831889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1.1126335135231</v>
      </c>
      <c r="P93" s="18">
        <f t="shared" si="81"/>
        <v>0.0492248424335295</v>
      </c>
      <c r="Q93" s="24">
        <f t="shared" si="82"/>
        <v>0.0127984590327177</v>
      </c>
      <c r="R93" s="18">
        <f t="shared" si="83"/>
        <v>0.074022</v>
      </c>
      <c r="S93" s="25">
        <f t="shared" si="84"/>
        <v>0.172900746166244</v>
      </c>
      <c r="T93" s="3">
        <v>0.01</v>
      </c>
      <c r="U93" s="26">
        <f t="shared" si="85"/>
        <v>0.00172900746166244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0.00721900746166244</v>
      </c>
      <c r="AU93" s="29">
        <f t="shared" si="89"/>
        <v>28.47</v>
      </c>
      <c r="AV93" s="1">
        <f t="shared" si="90"/>
        <v>0.26</v>
      </c>
      <c r="AW93" s="2">
        <f t="shared" si="91"/>
        <v>0.2115</v>
      </c>
      <c r="AX93" s="1">
        <f t="shared" si="92"/>
        <v>75.7222448022126</v>
      </c>
      <c r="AZ93" s="2">
        <f t="shared" si="93"/>
        <v>0.0314145972677458</v>
      </c>
      <c r="BA93" s="1">
        <f t="shared" si="94"/>
        <v>11.2472048447809</v>
      </c>
    </row>
    <row r="94" s="1" customFormat="1" spans="1:53">
      <c r="A94" s="13"/>
      <c r="B94" s="13"/>
      <c r="C94" s="16">
        <v>4</v>
      </c>
      <c r="D94" s="37">
        <v>14.3581615922</v>
      </c>
      <c r="E94" s="20">
        <f t="shared" si="95"/>
        <v>7.33089995770968</v>
      </c>
      <c r="F94" s="16" t="s">
        <v>110</v>
      </c>
      <c r="G94" s="13">
        <v>5</v>
      </c>
      <c r="H94" s="18">
        <f t="shared" si="76"/>
        <v>14.3581615922</v>
      </c>
      <c r="I94" s="18">
        <f t="shared" si="77"/>
        <v>287.5081615922</v>
      </c>
      <c r="J94" s="18">
        <f t="shared" si="78"/>
        <v>0.103354206271892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1.01023823753509</v>
      </c>
      <c r="O94" s="18">
        <f t="shared" si="96"/>
        <v>0.337870433554478</v>
      </c>
      <c r="P94" s="18">
        <f t="shared" si="81"/>
        <v>0.0349203304827631</v>
      </c>
      <c r="Q94" s="24">
        <f t="shared" si="82"/>
        <v>0.00907928592551842</v>
      </c>
      <c r="R94" s="18">
        <f t="shared" si="83"/>
        <v>0.074022</v>
      </c>
      <c r="S94" s="25">
        <f t="shared" si="84"/>
        <v>0.122656587575564</v>
      </c>
      <c r="T94" s="3">
        <v>0.01</v>
      </c>
      <c r="U94" s="26">
        <f t="shared" si="85"/>
        <v>0.00122656587575564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0.0111765658757556</v>
      </c>
      <c r="AU94" s="29">
        <f t="shared" si="89"/>
        <v>28.47</v>
      </c>
      <c r="AV94" s="1">
        <f t="shared" si="90"/>
        <v>0.26</v>
      </c>
      <c r="AW94" s="2">
        <f t="shared" si="91"/>
        <v>0.2115</v>
      </c>
      <c r="AX94" s="1">
        <f t="shared" si="92"/>
        <v>117.234212845256</v>
      </c>
      <c r="AZ94" s="2">
        <f t="shared" si="93"/>
        <v>0.0314145972677458</v>
      </c>
      <c r="BA94" s="1">
        <f t="shared" si="94"/>
        <v>17.4130760403542</v>
      </c>
    </row>
    <row r="95" s="1" customFormat="1" spans="1:53">
      <c r="A95" s="13"/>
      <c r="B95" s="13"/>
      <c r="C95" s="16">
        <v>5</v>
      </c>
      <c r="D95" s="37">
        <v>16.3210818093548</v>
      </c>
      <c r="E95" s="20">
        <f t="shared" si="95"/>
        <v>14.3581615922</v>
      </c>
      <c r="F95" s="16" t="s">
        <v>112</v>
      </c>
      <c r="G95" s="13">
        <v>6</v>
      </c>
      <c r="H95" s="18">
        <f t="shared" si="76"/>
        <v>16.3210818093548</v>
      </c>
      <c r="I95" s="18">
        <f t="shared" si="77"/>
        <v>289.471081809355</v>
      </c>
      <c r="J95" s="18">
        <f t="shared" si="78"/>
        <v>0.13003585072732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0.587650103071715</v>
      </c>
      <c r="P95" s="18">
        <f t="shared" si="81"/>
        <v>0.0764155810829278</v>
      </c>
      <c r="Q95" s="24">
        <f t="shared" si="82"/>
        <v>0.0198680510815612</v>
      </c>
      <c r="R95" s="18">
        <f t="shared" si="83"/>
        <v>0.074022</v>
      </c>
      <c r="S95" s="25">
        <f t="shared" si="84"/>
        <v>0.268407379989209</v>
      </c>
      <c r="T95" s="3">
        <v>0.01</v>
      </c>
      <c r="U95" s="26">
        <f t="shared" si="85"/>
        <v>0.00268407379989209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0.0126340737998921</v>
      </c>
      <c r="AU95" s="29">
        <f t="shared" si="89"/>
        <v>28.47</v>
      </c>
      <c r="AV95" s="1">
        <f t="shared" si="90"/>
        <v>0.26</v>
      </c>
      <c r="AW95" s="2">
        <f t="shared" si="91"/>
        <v>0.2115</v>
      </c>
      <c r="AX95" s="1">
        <f t="shared" si="92"/>
        <v>132.522432509626</v>
      </c>
      <c r="AZ95" s="2">
        <f t="shared" si="93"/>
        <v>0.0314145972677458</v>
      </c>
      <c r="BA95" s="1">
        <f t="shared" si="94"/>
        <v>19.6838716133898</v>
      </c>
    </row>
    <row r="96" s="1" customFormat="1" spans="1:53">
      <c r="A96" s="13"/>
      <c r="B96" s="13"/>
      <c r="C96" s="16">
        <v>6</v>
      </c>
      <c r="D96" s="37">
        <v>21.6413978503333</v>
      </c>
      <c r="E96" s="20">
        <f t="shared" si="95"/>
        <v>16.3210818093548</v>
      </c>
      <c r="F96" s="16" t="s">
        <v>110</v>
      </c>
      <c r="G96" s="13">
        <v>7</v>
      </c>
      <c r="H96" s="18">
        <f t="shared" si="76"/>
        <v>21.6413978503333</v>
      </c>
      <c r="I96" s="18">
        <f t="shared" si="77"/>
        <v>294.791397850333</v>
      </c>
      <c r="J96" s="18">
        <f t="shared" si="78"/>
        <v>0.238620018629461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0.795934521988788</v>
      </c>
      <c r="P96" s="18">
        <f t="shared" si="81"/>
        <v>0.189925910464796</v>
      </c>
      <c r="Q96" s="24">
        <f t="shared" si="82"/>
        <v>0.0493807367208469</v>
      </c>
      <c r="R96" s="18">
        <f t="shared" si="83"/>
        <v>0.074022</v>
      </c>
      <c r="S96" s="25">
        <f t="shared" si="84"/>
        <v>0.667108923304516</v>
      </c>
      <c r="T96" s="3">
        <v>0.01</v>
      </c>
      <c r="U96" s="26">
        <f t="shared" si="85"/>
        <v>0.00667108923304516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0.0166210892330452</v>
      </c>
      <c r="AU96" s="29">
        <f t="shared" si="89"/>
        <v>28.47</v>
      </c>
      <c r="AV96" s="1">
        <f t="shared" si="90"/>
        <v>0.26</v>
      </c>
      <c r="AW96" s="2">
        <f t="shared" si="91"/>
        <v>0.2115</v>
      </c>
      <c r="AX96" s="1">
        <f t="shared" si="92"/>
        <v>174.343383694776</v>
      </c>
      <c r="AZ96" s="2">
        <f t="shared" si="93"/>
        <v>0.0314145972677458</v>
      </c>
      <c r="BA96" s="1">
        <f t="shared" si="94"/>
        <v>25.8956368088297</v>
      </c>
    </row>
    <row r="97" s="1" customFormat="1" spans="1:53">
      <c r="A97" s="13"/>
      <c r="B97" s="13"/>
      <c r="C97" s="16">
        <v>7</v>
      </c>
      <c r="D97" s="37">
        <v>23.8354295774194</v>
      </c>
      <c r="E97" s="20">
        <f t="shared" si="95"/>
        <v>21.6413978503333</v>
      </c>
      <c r="F97" s="16" t="s">
        <v>110</v>
      </c>
      <c r="G97" s="13">
        <v>8</v>
      </c>
      <c r="H97" s="18">
        <f t="shared" si="76"/>
        <v>23.8354295774194</v>
      </c>
      <c r="I97" s="18">
        <f t="shared" si="77"/>
        <v>296.985429577419</v>
      </c>
      <c r="J97" s="18">
        <f t="shared" si="78"/>
        <v>0.304564540707362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0.890708611523992</v>
      </c>
      <c r="P97" s="18">
        <f t="shared" si="81"/>
        <v>0.271278259172897</v>
      </c>
      <c r="Q97" s="24">
        <f t="shared" si="82"/>
        <v>0.0705323473849531</v>
      </c>
      <c r="R97" s="18">
        <f t="shared" si="83"/>
        <v>0.074022</v>
      </c>
      <c r="S97" s="25">
        <f t="shared" si="84"/>
        <v>0.952856547850006</v>
      </c>
      <c r="T97" s="3">
        <v>0.01</v>
      </c>
      <c r="U97" s="26">
        <f t="shared" si="85"/>
        <v>0.00952856547850006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0.0194785654785001</v>
      </c>
      <c r="AU97" s="29">
        <f t="shared" si="89"/>
        <v>28.47</v>
      </c>
      <c r="AV97" s="1">
        <f t="shared" si="90"/>
        <v>0.26</v>
      </c>
      <c r="AW97" s="2">
        <f t="shared" si="91"/>
        <v>0.2115</v>
      </c>
      <c r="AX97" s="1">
        <f t="shared" si="92"/>
        <v>204.316273586348</v>
      </c>
      <c r="AZ97" s="2">
        <f t="shared" si="93"/>
        <v>0.0314145972677458</v>
      </c>
      <c r="BA97" s="1">
        <f t="shared" si="94"/>
        <v>30.347581323696</v>
      </c>
    </row>
    <row r="98" s="1" customFormat="1" spans="1:53">
      <c r="A98" s="13"/>
      <c r="B98" s="13"/>
      <c r="C98" s="16">
        <v>8</v>
      </c>
      <c r="D98" s="37">
        <v>23.6403718541935</v>
      </c>
      <c r="E98" s="20">
        <f t="shared" si="95"/>
        <v>23.8354295774194</v>
      </c>
      <c r="F98" s="16" t="s">
        <v>110</v>
      </c>
      <c r="G98" s="13">
        <v>9</v>
      </c>
      <c r="H98" s="18">
        <f t="shared" si="76"/>
        <v>23.6403718541935</v>
      </c>
      <c r="I98" s="18">
        <f t="shared" si="77"/>
        <v>296.790371854193</v>
      </c>
      <c r="J98" s="18">
        <f t="shared" si="78"/>
        <v>0.298072178276195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0.904130352351095</v>
      </c>
      <c r="P98" s="18">
        <f t="shared" si="81"/>
        <v>0.269496103570915</v>
      </c>
      <c r="Q98" s="24">
        <f t="shared" si="82"/>
        <v>0.0700689869284378</v>
      </c>
      <c r="R98" s="18">
        <f t="shared" si="83"/>
        <v>0.074022</v>
      </c>
      <c r="S98" s="25">
        <f t="shared" si="84"/>
        <v>0.946596781071003</v>
      </c>
      <c r="T98" s="3">
        <v>0.01</v>
      </c>
      <c r="U98" s="26">
        <f t="shared" si="85"/>
        <v>0.00946596781071003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0.01495596781071</v>
      </c>
      <c r="AU98" s="29">
        <f t="shared" si="89"/>
        <v>28.47</v>
      </c>
      <c r="AV98" s="1">
        <f t="shared" si="90"/>
        <v>0.26</v>
      </c>
      <c r="AW98" s="2">
        <f t="shared" si="91"/>
        <v>0.2115</v>
      </c>
      <c r="AX98" s="1">
        <f t="shared" si="92"/>
        <v>156.877446356843</v>
      </c>
      <c r="AZ98" s="2">
        <f t="shared" si="93"/>
        <v>0.0314145972677458</v>
      </c>
      <c r="BA98" s="1">
        <f t="shared" si="94"/>
        <v>23.3013796581211</v>
      </c>
    </row>
    <row r="99" s="1" customFormat="1" spans="1:53">
      <c r="A99" s="13"/>
      <c r="B99" s="13"/>
      <c r="C99" s="16">
        <v>9</v>
      </c>
      <c r="D99" s="37">
        <v>18.0627961913333</v>
      </c>
      <c r="E99" s="20">
        <f t="shared" si="95"/>
        <v>23.6403718541935</v>
      </c>
      <c r="F99" s="16" t="s">
        <v>110</v>
      </c>
      <c r="G99" s="13">
        <v>10</v>
      </c>
      <c r="H99" s="18">
        <f t="shared" si="76"/>
        <v>18.0627961913333</v>
      </c>
      <c r="I99" s="18">
        <f t="shared" si="77"/>
        <v>291.212796191333</v>
      </c>
      <c r="J99" s="18">
        <f t="shared" si="78"/>
        <v>0.159013102093465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0.919334248780181</v>
      </c>
      <c r="P99" s="18">
        <f t="shared" si="81"/>
        <v>0.146186190759302</v>
      </c>
      <c r="Q99" s="24">
        <f t="shared" si="82"/>
        <v>0.0380084095974185</v>
      </c>
      <c r="R99" s="18">
        <f t="shared" si="83"/>
        <v>0.074022</v>
      </c>
      <c r="S99" s="25">
        <f t="shared" si="84"/>
        <v>0.513474502140154</v>
      </c>
      <c r="T99" s="3">
        <v>0.01</v>
      </c>
      <c r="U99" s="26">
        <f t="shared" si="85"/>
        <v>0.00513474502140154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0.0106247450214015</v>
      </c>
      <c r="AU99" s="29">
        <f t="shared" si="89"/>
        <v>28.47</v>
      </c>
      <c r="AV99" s="1">
        <f t="shared" si="90"/>
        <v>0.26</v>
      </c>
      <c r="AW99" s="2">
        <f t="shared" si="91"/>
        <v>0.2115</v>
      </c>
      <c r="AX99" s="1">
        <f t="shared" si="92"/>
        <v>111.446005249922</v>
      </c>
      <c r="AZ99" s="2">
        <f t="shared" si="93"/>
        <v>0.0314145972677458</v>
      </c>
      <c r="BA99" s="1">
        <f t="shared" si="94"/>
        <v>16.553339820451</v>
      </c>
    </row>
    <row r="100" s="1" customFormat="1" spans="1:53">
      <c r="A100" s="13"/>
      <c r="B100" s="13"/>
      <c r="C100" s="16">
        <v>10</v>
      </c>
      <c r="D100" s="37">
        <v>11.4373017283548</v>
      </c>
      <c r="E100" s="20">
        <f t="shared" si="95"/>
        <v>18.0627961913333</v>
      </c>
      <c r="F100" s="16" t="s">
        <v>110</v>
      </c>
      <c r="G100" s="13">
        <v>11</v>
      </c>
      <c r="H100" s="18">
        <f t="shared" si="76"/>
        <v>11.4373017283548</v>
      </c>
      <c r="I100" s="18">
        <f t="shared" si="77"/>
        <v>284.587301728355</v>
      </c>
      <c r="J100" s="18">
        <f t="shared" si="78"/>
        <v>0.0730085949844309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0.734490655119835</v>
      </c>
      <c r="O100" s="18">
        <f t="shared" si="96"/>
        <v>0.323357402901044</v>
      </c>
      <c r="P100" s="18">
        <f t="shared" si="81"/>
        <v>0.0236078696636197</v>
      </c>
      <c r="Q100" s="24">
        <f t="shared" si="82"/>
        <v>0.00613804611254113</v>
      </c>
      <c r="R100" s="18">
        <f t="shared" si="83"/>
        <v>0.074022</v>
      </c>
      <c r="S100" s="25">
        <f t="shared" si="84"/>
        <v>0.0829219166266939</v>
      </c>
      <c r="T100" s="3">
        <v>0.01</v>
      </c>
      <c r="U100" s="26">
        <f t="shared" si="85"/>
        <v>0.000829219166266939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0.00631921916626694</v>
      </c>
      <c r="AU100" s="29">
        <f t="shared" si="89"/>
        <v>28.47</v>
      </c>
      <c r="AV100" s="1">
        <f t="shared" si="90"/>
        <v>0.26</v>
      </c>
      <c r="AW100" s="2">
        <f t="shared" si="91"/>
        <v>0.2115</v>
      </c>
      <c r="AX100" s="1">
        <f t="shared" si="92"/>
        <v>66.2841066736764</v>
      </c>
      <c r="AZ100" s="2">
        <f t="shared" si="93"/>
        <v>0.0314145972677458</v>
      </c>
      <c r="BA100" s="1">
        <f t="shared" si="94"/>
        <v>9.84533577496855</v>
      </c>
    </row>
    <row r="101" s="1" customFormat="1" spans="1:54">
      <c r="A101" s="13"/>
      <c r="B101" s="13"/>
      <c r="C101" s="16">
        <v>11</v>
      </c>
      <c r="D101" s="37">
        <v>4.84874671006667</v>
      </c>
      <c r="E101" s="20">
        <f t="shared" si="95"/>
        <v>11.4373017283548</v>
      </c>
      <c r="F101" s="16" t="s">
        <v>112</v>
      </c>
      <c r="G101" s="13">
        <v>12</v>
      </c>
      <c r="H101" s="18">
        <f t="shared" si="76"/>
        <v>4.84874671006667</v>
      </c>
      <c r="I101" s="18">
        <f t="shared" si="77"/>
        <v>277.998746710067</v>
      </c>
      <c r="J101" s="18">
        <f t="shared" si="78"/>
        <v>0.0324504394038165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0.584449533237424</v>
      </c>
      <c r="P101" s="18">
        <f t="shared" si="81"/>
        <v>0.0189656441629099</v>
      </c>
      <c r="Q101" s="24">
        <f t="shared" si="82"/>
        <v>0.00493106748235657</v>
      </c>
      <c r="R101" s="18">
        <f t="shared" si="83"/>
        <v>0.074022</v>
      </c>
      <c r="S101" s="25">
        <f t="shared" si="84"/>
        <v>0.0666162422301014</v>
      </c>
      <c r="T101" s="3">
        <v>0.01</v>
      </c>
      <c r="U101" s="26">
        <f t="shared" si="85"/>
        <v>0.000666162422301014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0.00615616242230101</v>
      </c>
      <c r="AU101" s="29">
        <f t="shared" si="89"/>
        <v>28.47</v>
      </c>
      <c r="AV101" s="1">
        <f t="shared" si="90"/>
        <v>0.26</v>
      </c>
      <c r="AW101" s="2">
        <f t="shared" si="91"/>
        <v>0.2115</v>
      </c>
      <c r="AX101" s="1">
        <f t="shared" si="92"/>
        <v>64.5737576057734</v>
      </c>
      <c r="AY101" s="1">
        <f>SUM(AX90:AX101)</f>
        <v>1285.71902572628</v>
      </c>
      <c r="AZ101" s="2">
        <f t="shared" si="93"/>
        <v>0.0314145972677458</v>
      </c>
      <c r="BA101" s="1">
        <f t="shared" si="94"/>
        <v>9.59129356619579</v>
      </c>
      <c r="BB101" s="1">
        <f>SUM(BA90:BA101)</f>
        <v>190.970900201747</v>
      </c>
    </row>
    <row r="102" s="1" customFormat="1" spans="1:46">
      <c r="A102" s="13"/>
      <c r="B102" s="13"/>
      <c r="C102" s="16">
        <v>12</v>
      </c>
      <c r="D102" s="37">
        <v>1.05352022174194</v>
      </c>
      <c r="E102" s="20">
        <f t="shared" si="95"/>
        <v>4.84874671006667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workbookViewId="0">
      <pane xSplit="4" topLeftCell="E1" activePane="topRight" state="frozen"/>
      <selection/>
      <selection pane="topRight" activeCell="J11" sqref="J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41</v>
      </c>
      <c r="B2" s="5" t="s">
        <v>42</v>
      </c>
      <c r="C2" s="3"/>
      <c r="D2" s="3"/>
      <c r="E2" s="6">
        <v>619.4404</v>
      </c>
      <c r="F2" s="3">
        <v>734.672</v>
      </c>
      <c r="G2" s="7">
        <f>(F2+F3+F4)/3</f>
        <v>1194.134</v>
      </c>
      <c r="H2" s="3">
        <v>0.18</v>
      </c>
      <c r="I2" s="21">
        <f>(H2+H3+H4)/3</f>
        <v>0.136666666666667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45</v>
      </c>
      <c r="B5" s="5" t="s">
        <v>46</v>
      </c>
      <c r="C5" s="3"/>
      <c r="D5" s="3"/>
      <c r="E5" s="6">
        <v>2625.63466284389</v>
      </c>
      <c r="F5" s="3">
        <v>91.104</v>
      </c>
      <c r="G5" s="7">
        <f>(F5+F6)/2</f>
        <v>92.50925</v>
      </c>
      <c r="H5" s="3">
        <v>0.18</v>
      </c>
      <c r="I5" s="21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47</v>
      </c>
      <c r="C6" s="3"/>
      <c r="D6" s="3"/>
      <c r="E6" s="10"/>
      <c r="F6" s="3">
        <v>93.9145</v>
      </c>
      <c r="G6" s="11"/>
      <c r="H6" s="3">
        <v>0.19</v>
      </c>
      <c r="I6" s="2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48</v>
      </c>
      <c r="B7" s="5"/>
      <c r="C7" s="3"/>
      <c r="D7" s="3"/>
      <c r="E7" s="12">
        <v>975.308455990931</v>
      </c>
      <c r="F7" s="3">
        <v>122.786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49</v>
      </c>
      <c r="B8" s="5"/>
      <c r="C8" s="3"/>
      <c r="D8" s="3"/>
      <c r="E8" s="12">
        <v>11.906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50</v>
      </c>
      <c r="B9" s="5"/>
      <c r="C9" s="3"/>
      <c r="D9" s="3"/>
      <c r="E9" s="12">
        <v>38.154</v>
      </c>
      <c r="F9" s="3">
        <v>341.64</v>
      </c>
      <c r="G9" s="3"/>
      <c r="H9" s="3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51</v>
      </c>
      <c r="B10" s="5"/>
      <c r="C10" s="3"/>
      <c r="D10" s="3"/>
      <c r="E10" s="12">
        <v>16.2152699501508</v>
      </c>
      <c r="F10" s="3">
        <v>341.64</v>
      </c>
      <c r="G10" s="3"/>
      <c r="H10" s="3">
        <v>0.33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52</v>
      </c>
      <c r="B11" s="5"/>
      <c r="C11" s="3"/>
      <c r="D11" s="3"/>
      <c r="E11" s="12">
        <v>2.6172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AV38+AV53+BB69+AY85+AY101+BB101+AY116+AG69</f>
        <v>27488480.2013773</v>
      </c>
      <c r="J14" s="14" t="s">
        <v>35</v>
      </c>
      <c r="K14" s="14">
        <f>I14/(10000*1000)</f>
        <v>2.74884802013773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14">
        <v>28587607.7328926</v>
      </c>
      <c r="J15" s="14" t="s">
        <v>35</v>
      </c>
      <c r="K15" s="14">
        <f>I15/(10000*1000)</f>
        <v>2.85876077328926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1194.134</v>
      </c>
      <c r="C27" s="16" t="s">
        <v>109</v>
      </c>
      <c r="D27" s="17">
        <v>-7</v>
      </c>
      <c r="E27" s="16"/>
      <c r="F27" s="16"/>
      <c r="G27" s="13">
        <v>1</v>
      </c>
      <c r="H27" s="18">
        <f t="shared" ref="H27:H38" si="0">E28</f>
        <v>-7</v>
      </c>
      <c r="I27" s="18">
        <f t="shared" ref="I27:I38" si="1">H27+273.15</f>
        <v>266.15</v>
      </c>
      <c r="J27" s="18">
        <f t="shared" ref="J27:J38" si="2">EXP(($C$16*(I27-$C$14))/($C$17*I27*$C$14))</f>
        <v>0.00682404760193068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110</v>
      </c>
      <c r="N27" s="13"/>
      <c r="O27" s="18">
        <f>L27</f>
        <v>0.995111666666667</v>
      </c>
      <c r="P27" s="18">
        <f t="shared" ref="P27:P38" si="5">O27*J27</f>
        <v>0.00679068938256991</v>
      </c>
      <c r="Q27" s="24">
        <f t="shared" ref="Q27:Q38" si="6">P27*$B$29</f>
        <v>0.000928060882284554</v>
      </c>
      <c r="R27" s="18">
        <f t="shared" ref="R27:R38" si="7">L27*$B$29</f>
        <v>0.135998594444444</v>
      </c>
      <c r="S27" s="25">
        <f t="shared" ref="S27:S38" si="8">Q27/R27</f>
        <v>0.00682404760193068</v>
      </c>
      <c r="T27" s="3">
        <v>0.01</v>
      </c>
      <c r="U27" s="26">
        <f t="shared" ref="U27:U38" si="9">S27*T27</f>
        <v>6.82404760193068e-5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0.0219682404760193</v>
      </c>
      <c r="AR27" s="29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51.6200333333333</v>
      </c>
      <c r="AU27" s="1">
        <f t="shared" ref="AU27:AU38" si="17">AT27*10000*AS27*0.67*AR27*AQ27</f>
        <v>103329.131056307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-10.1930773608065</v>
      </c>
      <c r="E28" s="20">
        <f t="shared" ref="E28:E39" si="18">D27</f>
        <v>-7</v>
      </c>
      <c r="F28" s="16" t="s">
        <v>110</v>
      </c>
      <c r="G28" s="13">
        <v>2</v>
      </c>
      <c r="H28" s="18">
        <f t="shared" si="0"/>
        <v>-10.1930773608065</v>
      </c>
      <c r="I28" s="18">
        <f t="shared" si="1"/>
        <v>262.956922639193</v>
      </c>
      <c r="J28" s="18">
        <f t="shared" si="2"/>
        <v>0.00437635594101708</v>
      </c>
      <c r="K28" s="18">
        <f t="shared" si="3"/>
        <v>99.5111666666667</v>
      </c>
      <c r="L28" s="18">
        <f t="shared" si="4"/>
        <v>0.995111666666667</v>
      </c>
      <c r="M28" s="13" t="s">
        <v>110</v>
      </c>
      <c r="N28" s="13"/>
      <c r="O28" s="18">
        <f t="shared" ref="O28:O38" si="19">L28+O27-P27-N28</f>
        <v>1.98343264395076</v>
      </c>
      <c r="P28" s="18">
        <f t="shared" si="5"/>
        <v>0.00868020723496114</v>
      </c>
      <c r="Q28" s="24">
        <f t="shared" si="6"/>
        <v>0.00118629498877802</v>
      </c>
      <c r="R28" s="18">
        <f t="shared" si="7"/>
        <v>0.135998594444444</v>
      </c>
      <c r="S28" s="25">
        <f t="shared" si="8"/>
        <v>0.00872284742076967</v>
      </c>
      <c r="T28" s="3">
        <v>0.01</v>
      </c>
      <c r="U28" s="26">
        <f t="shared" si="9"/>
        <v>8.72284742076967e-5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0.0219872284742077</v>
      </c>
      <c r="AR28" s="29">
        <f t="shared" si="15"/>
        <v>99.5111666666667</v>
      </c>
      <c r="AS28" s="1">
        <f t="shared" si="16"/>
        <v>0.136666666666667</v>
      </c>
      <c r="AT28" s="2">
        <f t="shared" ref="AT28:AT38" si="20">$E$2/12</f>
        <v>51.6200333333333</v>
      </c>
      <c r="AU28" s="1">
        <f t="shared" si="17"/>
        <v>103418.442412646</v>
      </c>
    </row>
    <row r="29" s="1" customFormat="1" spans="1:47">
      <c r="A29" s="13" t="s">
        <v>73</v>
      </c>
      <c r="B29" s="13">
        <f>I2</f>
        <v>0.136666666666667</v>
      </c>
      <c r="C29" s="16">
        <v>2</v>
      </c>
      <c r="D29" s="19">
        <v>-6.03562805841379</v>
      </c>
      <c r="E29" s="20">
        <f t="shared" si="18"/>
        <v>-10.1930773608065</v>
      </c>
      <c r="F29" s="16" t="s">
        <v>110</v>
      </c>
      <c r="G29" s="13">
        <v>3</v>
      </c>
      <c r="H29" s="18">
        <f t="shared" si="0"/>
        <v>-6.03562805841379</v>
      </c>
      <c r="I29" s="18">
        <f t="shared" si="1"/>
        <v>267.114371941586</v>
      </c>
      <c r="J29" s="18">
        <f t="shared" si="2"/>
        <v>0.00778759939334208</v>
      </c>
      <c r="K29" s="18">
        <f t="shared" si="3"/>
        <v>99.5111666666667</v>
      </c>
      <c r="L29" s="18">
        <f t="shared" si="4"/>
        <v>0.995111666666667</v>
      </c>
      <c r="M29" s="13" t="s">
        <v>110</v>
      </c>
      <c r="N29" s="13"/>
      <c r="O29" s="18">
        <f t="shared" si="19"/>
        <v>2.96986410338247</v>
      </c>
      <c r="P29" s="18">
        <f t="shared" si="5"/>
        <v>0.0231281118898097</v>
      </c>
      <c r="Q29" s="24">
        <f t="shared" si="6"/>
        <v>0.003160841958274</v>
      </c>
      <c r="R29" s="18">
        <f t="shared" si="7"/>
        <v>0.135998594444444</v>
      </c>
      <c r="S29" s="25">
        <f t="shared" si="8"/>
        <v>0.0232417251897791</v>
      </c>
      <c r="T29" s="3">
        <v>0.01</v>
      </c>
      <c r="U29" s="26">
        <f t="shared" si="9"/>
        <v>0.000232417251897791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0.0221324172518978</v>
      </c>
      <c r="AR29" s="29">
        <f t="shared" si="15"/>
        <v>99.5111666666667</v>
      </c>
      <c r="AS29" s="1">
        <f t="shared" si="16"/>
        <v>0.136666666666667</v>
      </c>
      <c r="AT29" s="2">
        <f t="shared" si="20"/>
        <v>51.6200333333333</v>
      </c>
      <c r="AU29" s="1">
        <f t="shared" si="17"/>
        <v>104101.347821216</v>
      </c>
    </row>
    <row r="30" s="1" customFormat="1" spans="1:47">
      <c r="A30" s="13"/>
      <c r="B30" s="13"/>
      <c r="C30" s="16">
        <v>3</v>
      </c>
      <c r="D30" s="19">
        <v>2.8750121626129</v>
      </c>
      <c r="E30" s="20">
        <f t="shared" si="18"/>
        <v>-6.03562805841379</v>
      </c>
      <c r="F30" s="16" t="s">
        <v>110</v>
      </c>
      <c r="G30" s="13">
        <v>4</v>
      </c>
      <c r="H30" s="18">
        <f t="shared" si="0"/>
        <v>2.8750121626129</v>
      </c>
      <c r="I30" s="18">
        <f t="shared" si="1"/>
        <v>276.025012162613</v>
      </c>
      <c r="J30" s="18">
        <f t="shared" si="2"/>
        <v>0.0252611712736392</v>
      </c>
      <c r="K30" s="18">
        <f t="shared" si="3"/>
        <v>99.5111666666667</v>
      </c>
      <c r="L30" s="18">
        <f t="shared" si="4"/>
        <v>0.995111666666667</v>
      </c>
      <c r="M30" s="13" t="s">
        <v>110</v>
      </c>
      <c r="N30" s="13"/>
      <c r="O30" s="18">
        <f t="shared" si="19"/>
        <v>3.94184765815933</v>
      </c>
      <c r="P30" s="18">
        <f t="shared" si="5"/>
        <v>0.0995756888273563</v>
      </c>
      <c r="Q30" s="24">
        <f t="shared" si="6"/>
        <v>0.013608677473072</v>
      </c>
      <c r="R30" s="18">
        <f t="shared" si="7"/>
        <v>0.135998594444444</v>
      </c>
      <c r="S30" s="25">
        <f t="shared" si="8"/>
        <v>0.100064839115901</v>
      </c>
      <c r="T30" s="3">
        <v>0.01</v>
      </c>
      <c r="U30" s="26">
        <f t="shared" si="9"/>
        <v>0.00100064839115901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0.022900648391159</v>
      </c>
      <c r="AR30" s="29">
        <f t="shared" si="15"/>
        <v>99.5111666666667</v>
      </c>
      <c r="AS30" s="1">
        <f t="shared" si="16"/>
        <v>0.136666666666667</v>
      </c>
      <c r="AT30" s="2">
        <f t="shared" si="20"/>
        <v>51.6200333333333</v>
      </c>
      <c r="AU30" s="1">
        <f t="shared" si="17"/>
        <v>107714.775858701</v>
      </c>
    </row>
    <row r="31" s="1" customFormat="1" spans="1:47">
      <c r="A31" s="13"/>
      <c r="B31" s="13"/>
      <c r="C31" s="16">
        <v>4</v>
      </c>
      <c r="D31" s="19">
        <v>9.5411822077</v>
      </c>
      <c r="E31" s="20">
        <f t="shared" si="18"/>
        <v>2.8750121626129</v>
      </c>
      <c r="F31" s="16" t="s">
        <v>110</v>
      </c>
      <c r="G31" s="13">
        <v>5</v>
      </c>
      <c r="H31" s="18">
        <f t="shared" si="0"/>
        <v>9.5411822077</v>
      </c>
      <c r="I31" s="18">
        <f t="shared" si="1"/>
        <v>282.6911822077</v>
      </c>
      <c r="J31" s="18">
        <f t="shared" si="2"/>
        <v>0.0580376823905174</v>
      </c>
      <c r="K31" s="18">
        <f t="shared" si="3"/>
        <v>99.5111666666667</v>
      </c>
      <c r="L31" s="18">
        <f t="shared" si="4"/>
        <v>0.995111666666667</v>
      </c>
      <c r="M31" s="13" t="s">
        <v>112</v>
      </c>
      <c r="N31" s="18">
        <f>(O30-P30)*C22/100</f>
        <v>3.65015837086537</v>
      </c>
      <c r="O31" s="18">
        <f t="shared" si="19"/>
        <v>1.18722526513326</v>
      </c>
      <c r="P31" s="18">
        <f t="shared" si="5"/>
        <v>0.0689038028638022</v>
      </c>
      <c r="Q31" s="24">
        <f t="shared" si="6"/>
        <v>0.00941685305805297</v>
      </c>
      <c r="R31" s="18">
        <f t="shared" si="7"/>
        <v>0.135998594444444</v>
      </c>
      <c r="S31" s="25">
        <f t="shared" si="8"/>
        <v>0.0692422822200546</v>
      </c>
      <c r="T31" s="3">
        <v>0.01</v>
      </c>
      <c r="U31" s="26">
        <f t="shared" si="9"/>
        <v>0.000692422822200546</v>
      </c>
      <c r="V31" s="25"/>
      <c r="W31" s="3"/>
      <c r="X31" s="26"/>
      <c r="Y31" s="28">
        <v>0.02</v>
      </c>
      <c r="Z31" s="3">
        <v>0.21</v>
      </c>
      <c r="AA31" s="27">
        <f t="shared" si="10"/>
        <v>0.0042</v>
      </c>
      <c r="AB31" s="3">
        <v>0.01</v>
      </c>
      <c r="AC31" s="3">
        <v>0.29</v>
      </c>
      <c r="AD31" s="27">
        <f t="shared" si="11"/>
        <v>0.0029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0.0225924228222005</v>
      </c>
      <c r="AR31" s="29">
        <f t="shared" si="15"/>
        <v>99.5111666666667</v>
      </c>
      <c r="AS31" s="1">
        <f t="shared" si="16"/>
        <v>0.136666666666667</v>
      </c>
      <c r="AT31" s="2">
        <f t="shared" si="20"/>
        <v>51.6200333333333</v>
      </c>
      <c r="AU31" s="1">
        <f t="shared" si="17"/>
        <v>106265.015681295</v>
      </c>
    </row>
    <row r="32" s="1" customFormat="1" spans="1:47">
      <c r="A32" s="13"/>
      <c r="B32" s="13"/>
      <c r="C32" s="16">
        <v>5</v>
      </c>
      <c r="D32" s="19">
        <v>12.4306694236774</v>
      </c>
      <c r="E32" s="20">
        <f t="shared" si="18"/>
        <v>9.5411822077</v>
      </c>
      <c r="F32" s="16" t="s">
        <v>112</v>
      </c>
      <c r="G32" s="13">
        <v>6</v>
      </c>
      <c r="H32" s="18">
        <f t="shared" si="0"/>
        <v>12.4306694236774</v>
      </c>
      <c r="I32" s="18">
        <f t="shared" si="1"/>
        <v>285.580669423677</v>
      </c>
      <c r="J32" s="18">
        <f t="shared" si="2"/>
        <v>0.0822354628212173</v>
      </c>
      <c r="K32" s="18">
        <f t="shared" si="3"/>
        <v>99.5111666666667</v>
      </c>
      <c r="L32" s="18">
        <f t="shared" si="4"/>
        <v>0.995111666666667</v>
      </c>
      <c r="M32" s="13" t="s">
        <v>110</v>
      </c>
      <c r="N32" s="13"/>
      <c r="O32" s="18">
        <f t="shared" si="19"/>
        <v>2.11343312893613</v>
      </c>
      <c r="P32" s="18">
        <f t="shared" si="5"/>
        <v>0.173799151499756</v>
      </c>
      <c r="Q32" s="24">
        <f t="shared" si="6"/>
        <v>0.0237525507049667</v>
      </c>
      <c r="R32" s="18">
        <f t="shared" si="7"/>
        <v>0.135998594444444</v>
      </c>
      <c r="S32" s="25">
        <f t="shared" si="8"/>
        <v>0.174652913156905</v>
      </c>
      <c r="T32" s="3">
        <v>0.01</v>
      </c>
      <c r="U32" s="26">
        <f t="shared" si="9"/>
        <v>0.00174652913156905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0.031196529131569</v>
      </c>
      <c r="AR32" s="29">
        <f t="shared" si="15"/>
        <v>99.5111666666667</v>
      </c>
      <c r="AS32" s="1">
        <f t="shared" si="16"/>
        <v>0.136666666666667</v>
      </c>
      <c r="AT32" s="2">
        <f t="shared" si="20"/>
        <v>51.6200333333333</v>
      </c>
      <c r="AU32" s="1">
        <f t="shared" si="17"/>
        <v>146735.021890196</v>
      </c>
    </row>
    <row r="33" s="1" customFormat="1" spans="1:47">
      <c r="A33" s="13"/>
      <c r="B33" s="13"/>
      <c r="C33" s="16">
        <v>6</v>
      </c>
      <c r="D33" s="19">
        <v>18.480358753</v>
      </c>
      <c r="E33" s="20">
        <f t="shared" si="18"/>
        <v>12.4306694236774</v>
      </c>
      <c r="F33" s="16" t="s">
        <v>110</v>
      </c>
      <c r="G33" s="13">
        <v>7</v>
      </c>
      <c r="H33" s="18">
        <f t="shared" si="0"/>
        <v>18.480358753</v>
      </c>
      <c r="I33" s="18">
        <f t="shared" si="1"/>
        <v>291.630358753</v>
      </c>
      <c r="J33" s="18">
        <f t="shared" si="2"/>
        <v>0.166810758353323</v>
      </c>
      <c r="K33" s="18">
        <f t="shared" si="3"/>
        <v>99.5111666666667</v>
      </c>
      <c r="L33" s="18">
        <f t="shared" si="4"/>
        <v>0.995111666666667</v>
      </c>
      <c r="M33" s="13" t="s">
        <v>110</v>
      </c>
      <c r="N33" s="13"/>
      <c r="O33" s="18">
        <f t="shared" si="19"/>
        <v>2.93474564410304</v>
      </c>
      <c r="P33" s="18">
        <f t="shared" si="5"/>
        <v>0.489547146466939</v>
      </c>
      <c r="Q33" s="24">
        <f t="shared" si="6"/>
        <v>0.0669047766838151</v>
      </c>
      <c r="R33" s="18">
        <f t="shared" si="7"/>
        <v>0.135998594444444</v>
      </c>
      <c r="S33" s="25">
        <f t="shared" si="8"/>
        <v>0.491951971688544</v>
      </c>
      <c r="T33" s="3">
        <v>0.01</v>
      </c>
      <c r="U33" s="26">
        <f t="shared" si="9"/>
        <v>0.00491951971688544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0.0343695197168854</v>
      </c>
      <c r="AR33" s="29">
        <f t="shared" si="15"/>
        <v>99.5111666666667</v>
      </c>
      <c r="AS33" s="1">
        <f t="shared" si="16"/>
        <v>0.136666666666667</v>
      </c>
      <c r="AT33" s="2">
        <f t="shared" si="20"/>
        <v>51.6200333333333</v>
      </c>
      <c r="AU33" s="1">
        <f t="shared" si="17"/>
        <v>161659.401491215</v>
      </c>
    </row>
    <row r="34" s="1" customFormat="1" spans="1:47">
      <c r="A34" s="13"/>
      <c r="B34" s="13"/>
      <c r="C34" s="16">
        <v>7</v>
      </c>
      <c r="D34" s="19">
        <v>20.8061580367742</v>
      </c>
      <c r="E34" s="20">
        <f t="shared" si="18"/>
        <v>18.480358753</v>
      </c>
      <c r="F34" s="16" t="s">
        <v>110</v>
      </c>
      <c r="G34" s="13">
        <v>8</v>
      </c>
      <c r="H34" s="18">
        <f t="shared" si="0"/>
        <v>20.8061580367742</v>
      </c>
      <c r="I34" s="18">
        <f t="shared" si="1"/>
        <v>293.956158036774</v>
      </c>
      <c r="J34" s="18">
        <f t="shared" si="2"/>
        <v>0.217244494229754</v>
      </c>
      <c r="K34" s="18">
        <f t="shared" si="3"/>
        <v>99.5111666666667</v>
      </c>
      <c r="L34" s="18">
        <f t="shared" si="4"/>
        <v>0.995111666666667</v>
      </c>
      <c r="M34" s="13" t="s">
        <v>110</v>
      </c>
      <c r="N34" s="13"/>
      <c r="O34" s="18">
        <f t="shared" si="19"/>
        <v>3.44031016430277</v>
      </c>
      <c r="P34" s="18">
        <f t="shared" si="5"/>
        <v>0.747388441637437</v>
      </c>
      <c r="Q34" s="24">
        <f t="shared" si="6"/>
        <v>0.102143087023783</v>
      </c>
      <c r="R34" s="18">
        <f t="shared" si="7"/>
        <v>0.135998594444444</v>
      </c>
      <c r="S34" s="25">
        <f t="shared" si="8"/>
        <v>0.751059872648232</v>
      </c>
      <c r="T34" s="3">
        <v>0.01</v>
      </c>
      <c r="U34" s="26">
        <f t="shared" si="9"/>
        <v>0.00751059872648232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0.0369605987264823</v>
      </c>
      <c r="AR34" s="29">
        <f t="shared" si="15"/>
        <v>99.5111666666667</v>
      </c>
      <c r="AS34" s="1">
        <f t="shared" si="16"/>
        <v>0.136666666666667</v>
      </c>
      <c r="AT34" s="2">
        <f t="shared" si="20"/>
        <v>51.6200333333333</v>
      </c>
      <c r="AU34" s="1">
        <f t="shared" si="17"/>
        <v>173846.719945424</v>
      </c>
    </row>
    <row r="35" s="1" customFormat="1" spans="1:47">
      <c r="A35" s="13"/>
      <c r="B35" s="13"/>
      <c r="C35" s="16">
        <v>8</v>
      </c>
      <c r="D35" s="19">
        <v>20.0703764593548</v>
      </c>
      <c r="E35" s="20">
        <f t="shared" si="18"/>
        <v>20.8061580367742</v>
      </c>
      <c r="F35" s="16" t="s">
        <v>110</v>
      </c>
      <c r="G35" s="13">
        <v>9</v>
      </c>
      <c r="H35" s="18">
        <f t="shared" si="0"/>
        <v>20.0703764593548</v>
      </c>
      <c r="I35" s="18">
        <f t="shared" si="1"/>
        <v>293.220376459355</v>
      </c>
      <c r="J35" s="18">
        <f t="shared" si="2"/>
        <v>0.199917900236077</v>
      </c>
      <c r="K35" s="18">
        <f t="shared" si="3"/>
        <v>99.5111666666667</v>
      </c>
      <c r="L35" s="18">
        <f t="shared" si="4"/>
        <v>0.995111666666667</v>
      </c>
      <c r="M35" s="13" t="s">
        <v>110</v>
      </c>
      <c r="N35" s="13"/>
      <c r="O35" s="18">
        <f t="shared" si="19"/>
        <v>3.688033389332</v>
      </c>
      <c r="P35" s="18">
        <f t="shared" si="5"/>
        <v>0.737303891195795</v>
      </c>
      <c r="Q35" s="24">
        <f t="shared" si="6"/>
        <v>0.100764865130092</v>
      </c>
      <c r="R35" s="18">
        <f t="shared" si="7"/>
        <v>0.135998594444444</v>
      </c>
      <c r="S35" s="25">
        <f t="shared" si="8"/>
        <v>0.740925783400317</v>
      </c>
      <c r="T35" s="3">
        <v>0.01</v>
      </c>
      <c r="U35" s="26">
        <f t="shared" si="9"/>
        <v>0.00740925783400317</v>
      </c>
      <c r="V35" s="25"/>
      <c r="W35" s="3"/>
      <c r="X35" s="26"/>
      <c r="Y35" s="28">
        <v>0.02</v>
      </c>
      <c r="Z35" s="3">
        <v>0.21</v>
      </c>
      <c r="AA35" s="27">
        <f t="shared" si="10"/>
        <v>0.0042</v>
      </c>
      <c r="AB35" s="3">
        <v>0.01</v>
      </c>
      <c r="AC35" s="3">
        <v>0.29</v>
      </c>
      <c r="AD35" s="27">
        <f t="shared" si="11"/>
        <v>0.0029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0.0293092578340032</v>
      </c>
      <c r="AR35" s="29">
        <f t="shared" si="15"/>
        <v>99.5111666666667</v>
      </c>
      <c r="AS35" s="1">
        <f t="shared" si="16"/>
        <v>0.136666666666667</v>
      </c>
      <c r="AT35" s="2">
        <f t="shared" si="20"/>
        <v>51.6200333333333</v>
      </c>
      <c r="AU35" s="1">
        <f t="shared" si="17"/>
        <v>137858.111449514</v>
      </c>
    </row>
    <row r="36" s="1" customFormat="1" spans="1:47">
      <c r="A36" s="13"/>
      <c r="B36" s="13"/>
      <c r="C36" s="16">
        <v>9</v>
      </c>
      <c r="D36" s="19">
        <v>14.5370466533333</v>
      </c>
      <c r="E36" s="20">
        <f t="shared" si="18"/>
        <v>20.0703764593548</v>
      </c>
      <c r="F36" s="16" t="s">
        <v>110</v>
      </c>
      <c r="G36" s="13">
        <v>10</v>
      </c>
      <c r="H36" s="18">
        <f t="shared" si="0"/>
        <v>14.5370466533333</v>
      </c>
      <c r="I36" s="18">
        <f t="shared" si="1"/>
        <v>287.687046653333</v>
      </c>
      <c r="J36" s="18">
        <f t="shared" si="2"/>
        <v>0.10555372793282</v>
      </c>
      <c r="K36" s="18">
        <f t="shared" si="3"/>
        <v>99.5111666666667</v>
      </c>
      <c r="L36" s="18">
        <f t="shared" si="4"/>
        <v>0.995111666666667</v>
      </c>
      <c r="M36" s="13" t="s">
        <v>110</v>
      </c>
      <c r="N36" s="13"/>
      <c r="O36" s="18">
        <f t="shared" si="19"/>
        <v>3.94584116480287</v>
      </c>
      <c r="P36" s="18">
        <f t="shared" si="5"/>
        <v>0.416498244775724</v>
      </c>
      <c r="Q36" s="24">
        <f t="shared" si="6"/>
        <v>0.0569214267860156</v>
      </c>
      <c r="R36" s="18">
        <f t="shared" si="7"/>
        <v>0.135998594444444</v>
      </c>
      <c r="S36" s="25">
        <f t="shared" si="8"/>
        <v>0.418544228479273</v>
      </c>
      <c r="T36" s="3">
        <v>0.01</v>
      </c>
      <c r="U36" s="26">
        <f t="shared" si="9"/>
        <v>0.00418544228479273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0.0260854422847927</v>
      </c>
      <c r="AR36" s="29">
        <f t="shared" si="15"/>
        <v>99.5111666666667</v>
      </c>
      <c r="AS36" s="1">
        <f t="shared" si="16"/>
        <v>0.136666666666667</v>
      </c>
      <c r="AT36" s="2">
        <f t="shared" si="20"/>
        <v>51.6200333333333</v>
      </c>
      <c r="AU36" s="1">
        <f t="shared" si="17"/>
        <v>122694.673132761</v>
      </c>
    </row>
    <row r="37" s="1" customFormat="1" spans="1:47">
      <c r="A37" s="13"/>
      <c r="B37" s="13"/>
      <c r="C37" s="16">
        <v>10</v>
      </c>
      <c r="D37" s="19">
        <v>6.39726508267742</v>
      </c>
      <c r="E37" s="20">
        <f t="shared" si="18"/>
        <v>14.5370466533333</v>
      </c>
      <c r="F37" s="16" t="s">
        <v>110</v>
      </c>
      <c r="G37" s="13">
        <v>11</v>
      </c>
      <c r="H37" s="18">
        <f t="shared" si="0"/>
        <v>6.39726508267742</v>
      </c>
      <c r="I37" s="18">
        <f t="shared" si="1"/>
        <v>279.547265082677</v>
      </c>
      <c r="J37" s="18">
        <f t="shared" si="2"/>
        <v>0.0393985265369176</v>
      </c>
      <c r="K37" s="18">
        <f t="shared" si="3"/>
        <v>99.5111666666667</v>
      </c>
      <c r="L37" s="18">
        <f t="shared" si="4"/>
        <v>0.995111666666667</v>
      </c>
      <c r="M37" s="13" t="s">
        <v>112</v>
      </c>
      <c r="N37" s="18">
        <f>(O36-P36)*C22/100</f>
        <v>3.35287577402579</v>
      </c>
      <c r="O37" s="18">
        <f t="shared" si="19"/>
        <v>1.17157881266802</v>
      </c>
      <c r="P37" s="18">
        <f t="shared" si="5"/>
        <v>0.0461584789409915</v>
      </c>
      <c r="Q37" s="24">
        <f t="shared" si="6"/>
        <v>0.00630832545526884</v>
      </c>
      <c r="R37" s="18">
        <f t="shared" si="7"/>
        <v>0.135998594444444</v>
      </c>
      <c r="S37" s="25">
        <f t="shared" si="8"/>
        <v>0.0463852253844123</v>
      </c>
      <c r="T37" s="3">
        <v>0.01</v>
      </c>
      <c r="U37" s="26">
        <f t="shared" si="9"/>
        <v>0.000463852253844123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0.0223638522538441</v>
      </c>
      <c r="AR37" s="29">
        <f t="shared" si="15"/>
        <v>99.5111666666667</v>
      </c>
      <c r="AS37" s="1">
        <f t="shared" si="16"/>
        <v>0.136666666666667</v>
      </c>
      <c r="AT37" s="2">
        <f t="shared" si="20"/>
        <v>51.6200333333333</v>
      </c>
      <c r="AU37" s="1">
        <f t="shared" si="17"/>
        <v>105189.918281524</v>
      </c>
    </row>
    <row r="38" s="1" customFormat="1" spans="1:48">
      <c r="A38" s="13"/>
      <c r="B38" s="13"/>
      <c r="C38" s="16">
        <v>11</v>
      </c>
      <c r="D38" s="19">
        <v>-1.1188971066</v>
      </c>
      <c r="E38" s="20">
        <f t="shared" si="18"/>
        <v>6.39726508267742</v>
      </c>
      <c r="F38" s="16" t="s">
        <v>112</v>
      </c>
      <c r="G38" s="13">
        <v>12</v>
      </c>
      <c r="H38" s="18">
        <f t="shared" si="0"/>
        <v>-1.1188971066</v>
      </c>
      <c r="I38" s="18">
        <f t="shared" si="1"/>
        <v>272.0311028934</v>
      </c>
      <c r="J38" s="18">
        <f t="shared" si="2"/>
        <v>0.0150498381133797</v>
      </c>
      <c r="K38" s="18">
        <f t="shared" si="3"/>
        <v>99.5111666666667</v>
      </c>
      <c r="L38" s="18">
        <f t="shared" si="4"/>
        <v>0.995111666666667</v>
      </c>
      <c r="M38" s="13" t="s">
        <v>110</v>
      </c>
      <c r="N38" s="13"/>
      <c r="O38" s="18">
        <f t="shared" si="19"/>
        <v>2.1205320003937</v>
      </c>
      <c r="P38" s="18">
        <f t="shared" si="5"/>
        <v>0.0319136633201664</v>
      </c>
      <c r="Q38" s="24">
        <f t="shared" si="6"/>
        <v>0.0043615339870894</v>
      </c>
      <c r="R38" s="18">
        <f t="shared" si="7"/>
        <v>0.135998594444444</v>
      </c>
      <c r="S38" s="25">
        <f t="shared" si="8"/>
        <v>0.032070434293136</v>
      </c>
      <c r="T38" s="3">
        <v>0.01</v>
      </c>
      <c r="U38" s="26">
        <f t="shared" si="9"/>
        <v>0.00032070434293136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0.0222207043429314</v>
      </c>
      <c r="AR38" s="29">
        <f t="shared" si="15"/>
        <v>99.5111666666667</v>
      </c>
      <c r="AS38" s="1">
        <f t="shared" si="16"/>
        <v>0.136666666666667</v>
      </c>
      <c r="AT38" s="2">
        <f t="shared" si="20"/>
        <v>51.6200333333333</v>
      </c>
      <c r="AU38" s="1">
        <f t="shared" si="17"/>
        <v>104516.612230305</v>
      </c>
      <c r="AV38" s="1">
        <f>SUM(AU27:AU38)</f>
        <v>1477329.17125111</v>
      </c>
    </row>
    <row r="39" s="1" customFormat="1" spans="1:46">
      <c r="A39" s="13"/>
      <c r="B39" s="13"/>
      <c r="C39" s="16">
        <v>12</v>
      </c>
      <c r="D39" s="19">
        <v>-4.66046114064516</v>
      </c>
      <c r="E39" s="20">
        <f t="shared" si="18"/>
        <v>-1.1188971066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-7</v>
      </c>
      <c r="E42" s="16"/>
      <c r="F42" s="16"/>
      <c r="G42" s="13">
        <v>1</v>
      </c>
      <c r="H42" s="18">
        <f t="shared" ref="H42:H53" si="21">E43</f>
        <v>-7</v>
      </c>
      <c r="I42" s="18">
        <f t="shared" ref="I42:I53" si="22">H42+273.15</f>
        <v>266.15</v>
      </c>
      <c r="J42" s="18">
        <f t="shared" ref="J42:J53" si="23">EXP(($C$16*(I42-$C$14))/($C$17*I42*$C$14))</f>
        <v>0.00682404760193068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0.000526072938015755</v>
      </c>
      <c r="Q42" s="24">
        <f t="shared" ref="Q42:Q53" si="27">P42*$B$44</f>
        <v>9.73234935329146e-5</v>
      </c>
      <c r="R42" s="18">
        <f t="shared" ref="R42:R53" si="28">L42*$B$44</f>
        <v>0.0142618427083333</v>
      </c>
      <c r="S42" s="25">
        <f t="shared" ref="S42:S53" si="29">Q42/R42</f>
        <v>0.00682404760193068</v>
      </c>
      <c r="T42" s="3">
        <v>0.01</v>
      </c>
      <c r="U42" s="26">
        <f t="shared" ref="U42:U53" si="30">S42*T42</f>
        <v>6.82404760193068e-5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0.0148682404760193</v>
      </c>
      <c r="AR42" s="29">
        <f t="shared" ref="AR42:AR53" si="34">$B$42/12</f>
        <v>7.70910416666667</v>
      </c>
      <c r="AS42" s="1">
        <f t="shared" ref="AS42:AS53" si="35">$B$44</f>
        <v>0.185</v>
      </c>
      <c r="AT42" s="2">
        <f t="shared" ref="AT42:AT53" si="36">$E$5/12</f>
        <v>218.802888570324</v>
      </c>
      <c r="AU42" s="1">
        <f t="shared" ref="AU42:AU53" si="37">AT42*10000*AS42*0.67*AR42*AQ42</f>
        <v>31085.8733213144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-10.1930773608065</v>
      </c>
      <c r="E43" s="20">
        <f t="shared" ref="E43:E54" si="38">D42</f>
        <v>-7</v>
      </c>
      <c r="F43" s="16" t="s">
        <v>110</v>
      </c>
      <c r="G43" s="13">
        <v>2</v>
      </c>
      <c r="H43" s="18">
        <f t="shared" si="21"/>
        <v>-10.1930773608065</v>
      </c>
      <c r="I43" s="18">
        <f t="shared" si="22"/>
        <v>262.956922639193</v>
      </c>
      <c r="J43" s="18">
        <f t="shared" si="23"/>
        <v>0.00437635594101708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0.153656010395318</v>
      </c>
      <c r="P43" s="18">
        <f t="shared" si="26"/>
        <v>0.00067245339396653</v>
      </c>
      <c r="Q43" s="24">
        <f t="shared" si="27"/>
        <v>0.000124403877883808</v>
      </c>
      <c r="R43" s="18">
        <f t="shared" si="28"/>
        <v>0.0142618427083333</v>
      </c>
      <c r="S43" s="25">
        <f t="shared" si="29"/>
        <v>0.00872284742076967</v>
      </c>
      <c r="T43" s="3">
        <v>0.01</v>
      </c>
      <c r="U43" s="26">
        <f t="shared" si="30"/>
        <v>8.72284742076967e-5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0.0148872284742077</v>
      </c>
      <c r="AR43" s="29">
        <f t="shared" si="34"/>
        <v>7.70910416666667</v>
      </c>
      <c r="AS43" s="1">
        <f t="shared" si="35"/>
        <v>0.185</v>
      </c>
      <c r="AT43" s="2">
        <f t="shared" si="36"/>
        <v>218.802888570324</v>
      </c>
      <c r="AU43" s="1">
        <f t="shared" si="37"/>
        <v>31125.5726056555</v>
      </c>
    </row>
    <row r="44" s="1" customFormat="1" spans="1:47">
      <c r="A44" s="13" t="s">
        <v>73</v>
      </c>
      <c r="B44" s="13">
        <f>I5</f>
        <v>0.185</v>
      </c>
      <c r="C44" s="16">
        <v>2</v>
      </c>
      <c r="D44" s="19">
        <v>-6.03562805841379</v>
      </c>
      <c r="E44" s="20">
        <f t="shared" si="38"/>
        <v>-10.1930773608065</v>
      </c>
      <c r="F44" s="16" t="s">
        <v>110</v>
      </c>
      <c r="G44" s="13">
        <v>3</v>
      </c>
      <c r="H44" s="18">
        <f t="shared" si="21"/>
        <v>-6.03562805841379</v>
      </c>
      <c r="I44" s="18">
        <f t="shared" si="22"/>
        <v>267.114371941586</v>
      </c>
      <c r="J44" s="18">
        <f t="shared" si="23"/>
        <v>0.00778759939334208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0.230074598668018</v>
      </c>
      <c r="P44" s="18">
        <f t="shared" si="26"/>
        <v>0.00179172880501048</v>
      </c>
      <c r="Q44" s="24">
        <f t="shared" si="27"/>
        <v>0.000331469828926938</v>
      </c>
      <c r="R44" s="18">
        <f t="shared" si="28"/>
        <v>0.0142618427083333</v>
      </c>
      <c r="S44" s="25">
        <f t="shared" si="29"/>
        <v>0.0232417251897791</v>
      </c>
      <c r="T44" s="3">
        <v>0.01</v>
      </c>
      <c r="U44" s="26">
        <f t="shared" si="30"/>
        <v>0.000232417251897791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0.0150324172518978</v>
      </c>
      <c r="AR44" s="29">
        <f t="shared" si="34"/>
        <v>7.70910416666667</v>
      </c>
      <c r="AS44" s="1">
        <f t="shared" si="35"/>
        <v>0.185</v>
      </c>
      <c r="AT44" s="2">
        <f t="shared" si="36"/>
        <v>218.802888570324</v>
      </c>
      <c r="AU44" s="1">
        <f t="shared" si="37"/>
        <v>31429.1270146812</v>
      </c>
    </row>
    <row r="45" s="1" customFormat="1" spans="1:47">
      <c r="A45" s="13"/>
      <c r="B45" s="13"/>
      <c r="C45" s="16">
        <v>3</v>
      </c>
      <c r="D45" s="19">
        <v>2.8750121626129</v>
      </c>
      <c r="E45" s="20">
        <f t="shared" si="38"/>
        <v>-6.03562805841379</v>
      </c>
      <c r="F45" s="16" t="s">
        <v>110</v>
      </c>
      <c r="G45" s="13">
        <v>4</v>
      </c>
      <c r="H45" s="18">
        <f t="shared" si="21"/>
        <v>2.8750121626129</v>
      </c>
      <c r="I45" s="18">
        <f t="shared" si="22"/>
        <v>276.025012162613</v>
      </c>
      <c r="J45" s="18">
        <f t="shared" si="23"/>
        <v>0.0252611712736392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0.305373911529674</v>
      </c>
      <c r="P45" s="18">
        <f t="shared" si="26"/>
        <v>0.00771410268165224</v>
      </c>
      <c r="Q45" s="24">
        <f t="shared" si="27"/>
        <v>0.00142710899610566</v>
      </c>
      <c r="R45" s="18">
        <f t="shared" si="28"/>
        <v>0.0142618427083333</v>
      </c>
      <c r="S45" s="25">
        <f t="shared" si="29"/>
        <v>0.100064839115901</v>
      </c>
      <c r="T45" s="3">
        <v>0.01</v>
      </c>
      <c r="U45" s="26">
        <f t="shared" si="30"/>
        <v>0.00100064839115901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0.015800648391159</v>
      </c>
      <c r="AR45" s="29">
        <f t="shared" si="34"/>
        <v>7.70910416666667</v>
      </c>
      <c r="AS45" s="1">
        <f t="shared" si="35"/>
        <v>0.185</v>
      </c>
      <c r="AT45" s="2">
        <f t="shared" si="36"/>
        <v>218.802888570324</v>
      </c>
      <c r="AU45" s="1">
        <f t="shared" si="37"/>
        <v>33035.3114125648</v>
      </c>
    </row>
    <row r="46" s="1" customFormat="1" spans="1:47">
      <c r="A46" s="13"/>
      <c r="B46" s="13"/>
      <c r="C46" s="16">
        <v>4</v>
      </c>
      <c r="D46" s="19">
        <v>9.5411822077</v>
      </c>
      <c r="E46" s="20">
        <f t="shared" si="38"/>
        <v>2.8750121626129</v>
      </c>
      <c r="F46" s="16" t="s">
        <v>110</v>
      </c>
      <c r="G46" s="13">
        <v>5</v>
      </c>
      <c r="H46" s="18">
        <f t="shared" si="21"/>
        <v>9.5411822077</v>
      </c>
      <c r="I46" s="18">
        <f t="shared" si="22"/>
        <v>282.6911822077</v>
      </c>
      <c r="J46" s="18">
        <f t="shared" si="23"/>
        <v>0.0580376823905174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0.282776818405621</v>
      </c>
      <c r="O46" s="18">
        <f t="shared" si="39"/>
        <v>0.0919740321090678</v>
      </c>
      <c r="P46" s="18">
        <f t="shared" si="26"/>
        <v>0.00533795966372133</v>
      </c>
      <c r="Q46" s="24">
        <f t="shared" si="27"/>
        <v>0.000987522537788445</v>
      </c>
      <c r="R46" s="18">
        <f t="shared" si="28"/>
        <v>0.0142618427083333</v>
      </c>
      <c r="S46" s="25">
        <f t="shared" si="29"/>
        <v>0.0692422822200547</v>
      </c>
      <c r="T46" s="3">
        <v>0.01</v>
      </c>
      <c r="U46" s="26">
        <f t="shared" si="30"/>
        <v>0.000692422822200547</v>
      </c>
      <c r="V46" s="25"/>
      <c r="W46" s="3"/>
      <c r="X46" s="26"/>
      <c r="Y46" s="28">
        <v>0.02</v>
      </c>
      <c r="Z46" s="3">
        <v>0.49</v>
      </c>
      <c r="AA46" s="27">
        <f t="shared" si="31"/>
        <v>0.0098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</v>
      </c>
      <c r="AO46" s="3">
        <v>0.5</v>
      </c>
      <c r="AP46" s="3">
        <f t="shared" si="32"/>
        <v>0.005</v>
      </c>
      <c r="AQ46" s="1">
        <f t="shared" si="33"/>
        <v>0.0154924228222005</v>
      </c>
      <c r="AR46" s="29">
        <f t="shared" si="34"/>
        <v>7.70910416666667</v>
      </c>
      <c r="AS46" s="1">
        <f t="shared" si="35"/>
        <v>0.185</v>
      </c>
      <c r="AT46" s="2">
        <f t="shared" si="36"/>
        <v>218.802888570324</v>
      </c>
      <c r="AU46" s="1">
        <f t="shared" si="37"/>
        <v>32390.8867406282</v>
      </c>
    </row>
    <row r="47" s="1" customFormat="1" spans="1:47">
      <c r="A47" s="13"/>
      <c r="B47" s="13"/>
      <c r="C47" s="16">
        <v>5</v>
      </c>
      <c r="D47" s="19">
        <v>12.4306694236774</v>
      </c>
      <c r="E47" s="20">
        <f t="shared" si="38"/>
        <v>9.5411822077</v>
      </c>
      <c r="F47" s="16" t="s">
        <v>112</v>
      </c>
      <c r="G47" s="13">
        <v>6</v>
      </c>
      <c r="H47" s="18">
        <f t="shared" si="21"/>
        <v>12.4306694236774</v>
      </c>
      <c r="I47" s="18">
        <f t="shared" si="22"/>
        <v>285.580669423677</v>
      </c>
      <c r="J47" s="18">
        <f t="shared" si="23"/>
        <v>0.0822354628212173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0.163727114112013</v>
      </c>
      <c r="P47" s="18">
        <f t="shared" si="26"/>
        <v>0.0134641750053837</v>
      </c>
      <c r="Q47" s="24">
        <f t="shared" si="27"/>
        <v>0.00249087237599598</v>
      </c>
      <c r="R47" s="18">
        <f t="shared" si="28"/>
        <v>0.0142618427083333</v>
      </c>
      <c r="S47" s="25">
        <f t="shared" si="29"/>
        <v>0.174652913156905</v>
      </c>
      <c r="T47" s="3">
        <v>0.01</v>
      </c>
      <c r="U47" s="26">
        <f t="shared" si="30"/>
        <v>0.00174652913156905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0.028846529131569</v>
      </c>
      <c r="AR47" s="29">
        <f t="shared" si="34"/>
        <v>7.70910416666667</v>
      </c>
      <c r="AS47" s="1">
        <f t="shared" si="35"/>
        <v>0.185</v>
      </c>
      <c r="AT47" s="2">
        <f t="shared" si="36"/>
        <v>218.802888570324</v>
      </c>
      <c r="AU47" s="1">
        <f t="shared" si="37"/>
        <v>60311.0739155626</v>
      </c>
    </row>
    <row r="48" s="1" customFormat="1" spans="1:47">
      <c r="A48" s="13"/>
      <c r="B48" s="13"/>
      <c r="C48" s="16">
        <v>6</v>
      </c>
      <c r="D48" s="19">
        <v>18.480358753</v>
      </c>
      <c r="E48" s="20">
        <f t="shared" si="38"/>
        <v>12.4306694236774</v>
      </c>
      <c r="F48" s="16" t="s">
        <v>110</v>
      </c>
      <c r="G48" s="13">
        <v>7</v>
      </c>
      <c r="H48" s="18">
        <f t="shared" si="21"/>
        <v>18.480358753</v>
      </c>
      <c r="I48" s="18">
        <f t="shared" si="22"/>
        <v>291.630358753</v>
      </c>
      <c r="J48" s="18">
        <f t="shared" si="23"/>
        <v>0.166810758353323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0.227353980773296</v>
      </c>
      <c r="P48" s="18">
        <f t="shared" si="26"/>
        <v>0.0379250899474404</v>
      </c>
      <c r="Q48" s="24">
        <f t="shared" si="27"/>
        <v>0.00701614164027646</v>
      </c>
      <c r="R48" s="18">
        <f t="shared" si="28"/>
        <v>0.0142618427083333</v>
      </c>
      <c r="S48" s="25">
        <f t="shared" si="29"/>
        <v>0.491951971688544</v>
      </c>
      <c r="T48" s="3">
        <v>0.01</v>
      </c>
      <c r="U48" s="26">
        <f t="shared" si="30"/>
        <v>0.00491951971688544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0.0320195197168854</v>
      </c>
      <c r="AR48" s="29">
        <f t="shared" si="34"/>
        <v>7.70910416666667</v>
      </c>
      <c r="AS48" s="1">
        <f t="shared" si="35"/>
        <v>0.185</v>
      </c>
      <c r="AT48" s="2">
        <f t="shared" si="36"/>
        <v>218.802888570324</v>
      </c>
      <c r="AU48" s="1">
        <f t="shared" si="37"/>
        <v>66945.0252256692</v>
      </c>
    </row>
    <row r="49" s="1" customFormat="1" spans="1:47">
      <c r="A49" s="13"/>
      <c r="B49" s="13"/>
      <c r="C49" s="16">
        <v>7</v>
      </c>
      <c r="D49" s="19">
        <v>20.8061580367742</v>
      </c>
      <c r="E49" s="20">
        <f t="shared" si="38"/>
        <v>18.480358753</v>
      </c>
      <c r="F49" s="16" t="s">
        <v>110</v>
      </c>
      <c r="G49" s="13">
        <v>8</v>
      </c>
      <c r="H49" s="18">
        <f t="shared" si="21"/>
        <v>20.8061580367742</v>
      </c>
      <c r="I49" s="18">
        <f t="shared" si="22"/>
        <v>293.956158036774</v>
      </c>
      <c r="J49" s="18">
        <f t="shared" si="23"/>
        <v>0.217244494229754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0.266519932492522</v>
      </c>
      <c r="P49" s="18">
        <f t="shared" si="26"/>
        <v>0.0578999879364862</v>
      </c>
      <c r="Q49" s="24">
        <f t="shared" si="27"/>
        <v>0.01071149776825</v>
      </c>
      <c r="R49" s="18">
        <f t="shared" si="28"/>
        <v>0.0142618427083333</v>
      </c>
      <c r="S49" s="25">
        <f t="shared" si="29"/>
        <v>0.751059872648232</v>
      </c>
      <c r="T49" s="3">
        <v>0.01</v>
      </c>
      <c r="U49" s="26">
        <f t="shared" si="30"/>
        <v>0.00751059872648232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0.0346105987264823</v>
      </c>
      <c r="AR49" s="29">
        <f t="shared" si="34"/>
        <v>7.70910416666667</v>
      </c>
      <c r="AS49" s="1">
        <f t="shared" si="35"/>
        <v>0.185</v>
      </c>
      <c r="AT49" s="2">
        <f t="shared" si="36"/>
        <v>218.802888570324</v>
      </c>
      <c r="AU49" s="1">
        <f t="shared" si="37"/>
        <v>72362.3410128168</v>
      </c>
    </row>
    <row r="50" s="1" customFormat="1" spans="1:47">
      <c r="A50" s="13"/>
      <c r="B50" s="13"/>
      <c r="C50" s="16">
        <v>8</v>
      </c>
      <c r="D50" s="19">
        <v>20.0703764593548</v>
      </c>
      <c r="E50" s="20">
        <f t="shared" si="38"/>
        <v>20.8061580367742</v>
      </c>
      <c r="F50" s="16" t="s">
        <v>110</v>
      </c>
      <c r="G50" s="13">
        <v>9</v>
      </c>
      <c r="H50" s="18">
        <f t="shared" si="21"/>
        <v>20.0703764593548</v>
      </c>
      <c r="I50" s="18">
        <f t="shared" si="22"/>
        <v>293.220376459355</v>
      </c>
      <c r="J50" s="18">
        <f t="shared" si="23"/>
        <v>0.199917900236077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0.285710986222703</v>
      </c>
      <c r="P50" s="18">
        <f t="shared" si="26"/>
        <v>0.0571187404400215</v>
      </c>
      <c r="Q50" s="24">
        <f t="shared" si="27"/>
        <v>0.010566966981404</v>
      </c>
      <c r="R50" s="18">
        <f t="shared" si="28"/>
        <v>0.0142618427083333</v>
      </c>
      <c r="S50" s="25">
        <f t="shared" si="29"/>
        <v>0.740925783400317</v>
      </c>
      <c r="T50" s="3">
        <v>0.01</v>
      </c>
      <c r="U50" s="26">
        <f t="shared" si="30"/>
        <v>0.00740925783400317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0.0222092578340032</v>
      </c>
      <c r="AR50" s="29">
        <f t="shared" si="34"/>
        <v>7.70910416666667</v>
      </c>
      <c r="AS50" s="1">
        <f t="shared" si="35"/>
        <v>0.185</v>
      </c>
      <c r="AT50" s="2">
        <f t="shared" si="36"/>
        <v>218.802888570324</v>
      </c>
      <c r="AU50" s="1">
        <f t="shared" si="37"/>
        <v>46434.1545122138</v>
      </c>
    </row>
    <row r="51" s="1" customFormat="1" spans="1:47">
      <c r="A51" s="13"/>
      <c r="B51" s="13"/>
      <c r="C51" s="16">
        <v>9</v>
      </c>
      <c r="D51" s="19">
        <v>14.5370466533333</v>
      </c>
      <c r="E51" s="20">
        <f t="shared" si="38"/>
        <v>20.0703764593548</v>
      </c>
      <c r="F51" s="16" t="s">
        <v>110</v>
      </c>
      <c r="G51" s="13">
        <v>10</v>
      </c>
      <c r="H51" s="18">
        <f t="shared" si="21"/>
        <v>14.5370466533333</v>
      </c>
      <c r="I51" s="18">
        <f t="shared" si="22"/>
        <v>287.687046653333</v>
      </c>
      <c r="J51" s="18">
        <f t="shared" si="23"/>
        <v>0.10555372793282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0.305683287449348</v>
      </c>
      <c r="P51" s="18">
        <f t="shared" si="26"/>
        <v>0.0322660105570385</v>
      </c>
      <c r="Q51" s="24">
        <f t="shared" si="27"/>
        <v>0.00596921195305212</v>
      </c>
      <c r="R51" s="18">
        <f t="shared" si="28"/>
        <v>0.0142618427083333</v>
      </c>
      <c r="S51" s="25">
        <f t="shared" si="29"/>
        <v>0.418544228479273</v>
      </c>
      <c r="T51" s="3">
        <v>0.01</v>
      </c>
      <c r="U51" s="26">
        <f t="shared" si="30"/>
        <v>0.00418544228479273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0.0189854422847927</v>
      </c>
      <c r="AR51" s="29">
        <f t="shared" si="34"/>
        <v>7.70910416666667</v>
      </c>
      <c r="AS51" s="1">
        <f t="shared" si="35"/>
        <v>0.185</v>
      </c>
      <c r="AT51" s="2">
        <f t="shared" si="36"/>
        <v>218.802888570324</v>
      </c>
      <c r="AU51" s="1">
        <f t="shared" si="37"/>
        <v>39693.9405685616</v>
      </c>
    </row>
    <row r="52" s="1" customFormat="1" spans="1:47">
      <c r="A52" s="13"/>
      <c r="B52" s="13"/>
      <c r="C52" s="16">
        <v>10</v>
      </c>
      <c r="D52" s="19">
        <v>6.39726508267742</v>
      </c>
      <c r="E52" s="20">
        <f t="shared" si="38"/>
        <v>14.5370466533333</v>
      </c>
      <c r="F52" s="16" t="s">
        <v>110</v>
      </c>
      <c r="G52" s="13">
        <v>11</v>
      </c>
      <c r="H52" s="18">
        <f t="shared" si="21"/>
        <v>6.39726508267742</v>
      </c>
      <c r="I52" s="18">
        <f t="shared" si="22"/>
        <v>279.547265082677</v>
      </c>
      <c r="J52" s="18">
        <f t="shared" si="23"/>
        <v>0.0393985265369176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0.259746413047694</v>
      </c>
      <c r="O52" s="18">
        <f t="shared" si="39"/>
        <v>0.0907619055112821</v>
      </c>
      <c r="P52" s="18">
        <f t="shared" si="26"/>
        <v>0.00357588534282746</v>
      </c>
      <c r="Q52" s="24">
        <f t="shared" si="27"/>
        <v>0.000661538788423079</v>
      </c>
      <c r="R52" s="18">
        <f t="shared" si="28"/>
        <v>0.0142618427083333</v>
      </c>
      <c r="S52" s="25">
        <f t="shared" si="29"/>
        <v>0.0463852253844123</v>
      </c>
      <c r="T52" s="3">
        <v>0.01</v>
      </c>
      <c r="U52" s="26">
        <f t="shared" si="30"/>
        <v>0.000463852253844123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0.0152638522538441</v>
      </c>
      <c r="AR52" s="29">
        <f t="shared" si="34"/>
        <v>7.70910416666667</v>
      </c>
      <c r="AS52" s="1">
        <f t="shared" si="35"/>
        <v>0.185</v>
      </c>
      <c r="AT52" s="2">
        <f t="shared" si="36"/>
        <v>218.802888570324</v>
      </c>
      <c r="AU52" s="1">
        <f t="shared" si="37"/>
        <v>31913.0012945078</v>
      </c>
    </row>
    <row r="53" s="1" customFormat="1" spans="1:48">
      <c r="A53" s="13"/>
      <c r="B53" s="13"/>
      <c r="C53" s="16">
        <v>11</v>
      </c>
      <c r="D53" s="19">
        <v>-1.1188971066</v>
      </c>
      <c r="E53" s="20">
        <f t="shared" si="38"/>
        <v>6.39726508267742</v>
      </c>
      <c r="F53" s="16" t="s">
        <v>112</v>
      </c>
      <c r="G53" s="13">
        <v>12</v>
      </c>
      <c r="H53" s="18">
        <f t="shared" si="21"/>
        <v>-1.1188971066</v>
      </c>
      <c r="I53" s="18">
        <f t="shared" si="22"/>
        <v>272.0311028934</v>
      </c>
      <c r="J53" s="18">
        <f t="shared" si="23"/>
        <v>0.0150498381133797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0.164277061835121</v>
      </c>
      <c r="P53" s="18">
        <f t="shared" si="26"/>
        <v>0.00247234318636024</v>
      </c>
      <c r="Q53" s="24">
        <f t="shared" si="27"/>
        <v>0.000457383489476645</v>
      </c>
      <c r="R53" s="18">
        <f t="shared" si="28"/>
        <v>0.0142618427083333</v>
      </c>
      <c r="S53" s="25">
        <f t="shared" si="29"/>
        <v>0.032070434293136</v>
      </c>
      <c r="T53" s="3">
        <v>0.01</v>
      </c>
      <c r="U53" s="26">
        <f t="shared" si="30"/>
        <v>0.00032070434293136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0.0151207043429314</v>
      </c>
      <c r="AR53" s="29">
        <f t="shared" si="34"/>
        <v>7.70910416666667</v>
      </c>
      <c r="AS53" s="1">
        <f t="shared" si="35"/>
        <v>0.185</v>
      </c>
      <c r="AT53" s="2">
        <f t="shared" si="36"/>
        <v>218.802888570324</v>
      </c>
      <c r="AU53" s="1">
        <f t="shared" si="37"/>
        <v>31613.7138413608</v>
      </c>
      <c r="AV53" s="1">
        <f>SUM(AU42:AU53)</f>
        <v>508340.021465537</v>
      </c>
    </row>
    <row r="54" s="1" customFormat="1" spans="1:46">
      <c r="A54" s="13"/>
      <c r="B54" s="13"/>
      <c r="C54" s="16">
        <v>12</v>
      </c>
      <c r="D54" s="19">
        <v>-4.66046114064516</v>
      </c>
      <c r="E54" s="20">
        <f t="shared" si="38"/>
        <v>-1.1188971066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122.786</v>
      </c>
      <c r="C58" s="16" t="s">
        <v>109</v>
      </c>
      <c r="D58" s="17">
        <v>-7</v>
      </c>
      <c r="E58" s="16"/>
      <c r="F58" s="16"/>
      <c r="G58" s="13">
        <v>1</v>
      </c>
      <c r="H58" s="18">
        <f t="shared" ref="H58:H69" si="40">E59</f>
        <v>-7</v>
      </c>
      <c r="I58" s="18">
        <f t="shared" ref="I58:I69" si="41">H58+273.15</f>
        <v>266.15</v>
      </c>
      <c r="J58" s="18">
        <f t="shared" ref="J58:J69" si="42">EXP(($C$16*(I58-$C$14))/($C$17*I58*$C$14))</f>
        <v>0.00682404760193068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110</v>
      </c>
      <c r="N58" s="13"/>
      <c r="O58" s="18">
        <f>L58</f>
        <v>2.762685</v>
      </c>
      <c r="P58" s="18">
        <f t="shared" ref="P58:P69" si="45">O58*J58</f>
        <v>0.0188526939491399</v>
      </c>
      <c r="Q58" s="24">
        <f t="shared" ref="Q58:Q69" si="46">P58*$B$60</f>
        <v>0.00546728124525056</v>
      </c>
      <c r="R58" s="18">
        <f t="shared" ref="R58:R69" si="47">L58*$B$60</f>
        <v>0.80117865</v>
      </c>
      <c r="S58" s="25">
        <f t="shared" ref="S58:S69" si="48">Q58/R58</f>
        <v>0.00682404760193068</v>
      </c>
      <c r="T58" s="3">
        <v>0.27</v>
      </c>
      <c r="U58" s="26">
        <f t="shared" ref="U58:U69" si="49">S58*T58</f>
        <v>0.00184249285252128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0.226757996361245</v>
      </c>
      <c r="AC58" s="29">
        <f t="shared" ref="AC58:AC69" si="51">$B$58/12</f>
        <v>10.2321666666667</v>
      </c>
      <c r="AD58" s="1">
        <f t="shared" ref="AD58:AD69" si="52">$B$60</f>
        <v>0.29</v>
      </c>
      <c r="AE58" s="30">
        <f t="shared" ref="AE58:AE69" si="53">$E$7/12</f>
        <v>81.2757046659109</v>
      </c>
      <c r="AF58" s="1">
        <f t="shared" ref="AF58:AF69" si="54">AE58*10000*AC58*AB58</f>
        <v>1885779.7158031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-10.1930773608065</v>
      </c>
      <c r="E59" s="20">
        <f t="shared" ref="E59:E70" si="55">D58</f>
        <v>-7</v>
      </c>
      <c r="F59" s="16" t="s">
        <v>110</v>
      </c>
      <c r="G59" s="13">
        <v>2</v>
      </c>
      <c r="H59" s="18">
        <f t="shared" si="40"/>
        <v>-10.1930773608065</v>
      </c>
      <c r="I59" s="18">
        <f t="shared" si="41"/>
        <v>262.956922639193</v>
      </c>
      <c r="J59" s="18">
        <f t="shared" si="42"/>
        <v>0.00437635594101708</v>
      </c>
      <c r="K59" s="18">
        <f t="shared" si="43"/>
        <v>10.2321666666667</v>
      </c>
      <c r="L59" s="18">
        <f t="shared" si="44"/>
        <v>2.762685</v>
      </c>
      <c r="M59" s="13" t="s">
        <v>110</v>
      </c>
      <c r="N59" s="13"/>
      <c r="O59" s="18">
        <f t="shared" ref="O59:O69" si="56">L59+O58-P58-N59</f>
        <v>5.50651730605086</v>
      </c>
      <c r="P59" s="18">
        <f t="shared" si="45"/>
        <v>0.024098479726649</v>
      </c>
      <c r="Q59" s="24">
        <f t="shared" si="46"/>
        <v>0.00698855912072822</v>
      </c>
      <c r="R59" s="18">
        <f t="shared" si="47"/>
        <v>0.80117865</v>
      </c>
      <c r="S59" s="25">
        <f t="shared" si="48"/>
        <v>0.00872284742076967</v>
      </c>
      <c r="T59" s="3">
        <v>0.27</v>
      </c>
      <c r="U59" s="26">
        <f t="shared" si="49"/>
        <v>0.00235516880360781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0.226857609298541</v>
      </c>
      <c r="AC59" s="29">
        <f t="shared" si="51"/>
        <v>10.2321666666667</v>
      </c>
      <c r="AD59" s="1">
        <f t="shared" si="52"/>
        <v>0.29</v>
      </c>
      <c r="AE59" s="30">
        <f t="shared" si="53"/>
        <v>81.2757046659109</v>
      </c>
      <c r="AF59" s="1">
        <f t="shared" si="54"/>
        <v>1886608.12344296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-6.03562805841379</v>
      </c>
      <c r="E60" s="20">
        <f t="shared" si="55"/>
        <v>-10.1930773608065</v>
      </c>
      <c r="F60" s="16" t="s">
        <v>110</v>
      </c>
      <c r="G60" s="13">
        <v>3</v>
      </c>
      <c r="H60" s="18">
        <f t="shared" si="40"/>
        <v>-6.03562805841379</v>
      </c>
      <c r="I60" s="18">
        <f t="shared" si="41"/>
        <v>267.114371941586</v>
      </c>
      <c r="J60" s="18">
        <f t="shared" si="42"/>
        <v>0.00778759939334208</v>
      </c>
      <c r="K60" s="18">
        <f t="shared" si="43"/>
        <v>10.2321666666667</v>
      </c>
      <c r="L60" s="18">
        <f t="shared" si="44"/>
        <v>2.762685</v>
      </c>
      <c r="M60" s="13" t="s">
        <v>110</v>
      </c>
      <c r="N60" s="13"/>
      <c r="O60" s="18">
        <f t="shared" si="56"/>
        <v>8.24510382632421</v>
      </c>
      <c r="P60" s="18">
        <f t="shared" si="45"/>
        <v>0.0642095655559249</v>
      </c>
      <c r="Q60" s="24">
        <f t="shared" si="46"/>
        <v>0.0186207740112182</v>
      </c>
      <c r="R60" s="18">
        <f t="shared" si="47"/>
        <v>0.80117865</v>
      </c>
      <c r="S60" s="25">
        <f t="shared" si="48"/>
        <v>0.0232417251897791</v>
      </c>
      <c r="T60" s="3">
        <v>0.27</v>
      </c>
      <c r="U60" s="26">
        <f t="shared" si="49"/>
        <v>0.00627526580124036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0.227619284145181</v>
      </c>
      <c r="AC60" s="29">
        <f t="shared" si="51"/>
        <v>10.2321666666667</v>
      </c>
      <c r="AD60" s="1">
        <f t="shared" si="52"/>
        <v>0.29</v>
      </c>
      <c r="AE60" s="30">
        <f t="shared" si="53"/>
        <v>81.2757046659109</v>
      </c>
      <c r="AF60" s="1">
        <f t="shared" si="54"/>
        <v>1892942.41373869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2.8750121626129</v>
      </c>
      <c r="E61" s="20">
        <f t="shared" si="55"/>
        <v>-6.03562805841379</v>
      </c>
      <c r="F61" s="16" t="s">
        <v>110</v>
      </c>
      <c r="G61" s="13">
        <v>4</v>
      </c>
      <c r="H61" s="18">
        <f t="shared" si="40"/>
        <v>2.8750121626129</v>
      </c>
      <c r="I61" s="18">
        <f t="shared" si="41"/>
        <v>276.025012162613</v>
      </c>
      <c r="J61" s="18">
        <f t="shared" si="42"/>
        <v>0.0252611712736392</v>
      </c>
      <c r="K61" s="18">
        <f t="shared" si="43"/>
        <v>10.2321666666667</v>
      </c>
      <c r="L61" s="18">
        <f t="shared" si="44"/>
        <v>2.762685</v>
      </c>
      <c r="M61" s="13" t="s">
        <v>110</v>
      </c>
      <c r="N61" s="13"/>
      <c r="O61" s="18">
        <f t="shared" si="56"/>
        <v>10.9435792607683</v>
      </c>
      <c r="P61" s="18">
        <f t="shared" si="45"/>
        <v>0.276447630052913</v>
      </c>
      <c r="Q61" s="24">
        <f t="shared" si="46"/>
        <v>0.0801698127153449</v>
      </c>
      <c r="R61" s="18">
        <f t="shared" si="47"/>
        <v>0.80117865</v>
      </c>
      <c r="S61" s="25">
        <f t="shared" si="48"/>
        <v>0.100064839115901</v>
      </c>
      <c r="T61" s="3">
        <v>0.27</v>
      </c>
      <c r="U61" s="26">
        <f t="shared" si="49"/>
        <v>0.0270175065612933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0.231649501524859</v>
      </c>
      <c r="AC61" s="29">
        <f t="shared" si="51"/>
        <v>10.2321666666667</v>
      </c>
      <c r="AD61" s="1">
        <f t="shared" si="52"/>
        <v>0.29</v>
      </c>
      <c r="AE61" s="30">
        <f t="shared" si="53"/>
        <v>81.2757046659109</v>
      </c>
      <c r="AF61" s="1">
        <f t="shared" si="54"/>
        <v>1926458.77173635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9.5411822077</v>
      </c>
      <c r="E62" s="20">
        <f t="shared" si="55"/>
        <v>2.8750121626129</v>
      </c>
      <c r="F62" s="16" t="s">
        <v>110</v>
      </c>
      <c r="G62" s="13">
        <v>5</v>
      </c>
      <c r="H62" s="18">
        <f t="shared" si="40"/>
        <v>9.5411822077</v>
      </c>
      <c r="I62" s="18">
        <f t="shared" si="41"/>
        <v>282.6911822077</v>
      </c>
      <c r="J62" s="18">
        <f t="shared" si="42"/>
        <v>0.0580376823905174</v>
      </c>
      <c r="K62" s="18">
        <f t="shared" si="43"/>
        <v>10.2321666666667</v>
      </c>
      <c r="L62" s="18">
        <f t="shared" si="44"/>
        <v>2.762685</v>
      </c>
      <c r="M62" s="13" t="s">
        <v>112</v>
      </c>
      <c r="N62" s="18">
        <f>(O61-P61)*$C$22/100</f>
        <v>10.1337750491796</v>
      </c>
      <c r="O62" s="18">
        <f t="shared" si="56"/>
        <v>3.29604158153577</v>
      </c>
      <c r="P62" s="18">
        <f t="shared" si="45"/>
        <v>0.191294614455112</v>
      </c>
      <c r="Q62" s="24">
        <f t="shared" si="46"/>
        <v>0.0554754381919823</v>
      </c>
      <c r="R62" s="18">
        <f t="shared" si="47"/>
        <v>0.80117865</v>
      </c>
      <c r="S62" s="25">
        <f t="shared" si="48"/>
        <v>0.0692422822200546</v>
      </c>
      <c r="T62" s="3">
        <v>0.27</v>
      </c>
      <c r="U62" s="26">
        <f t="shared" si="49"/>
        <v>0.0186954161994147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0.278832519367546</v>
      </c>
      <c r="AC62" s="29">
        <f t="shared" si="51"/>
        <v>10.2321666666667</v>
      </c>
      <c r="AD62" s="1">
        <f t="shared" si="52"/>
        <v>0.29</v>
      </c>
      <c r="AE62" s="30">
        <f t="shared" si="53"/>
        <v>81.2757046659109</v>
      </c>
      <c r="AF62" s="1">
        <f t="shared" si="54"/>
        <v>2318845.27808194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12.4306694236774</v>
      </c>
      <c r="E63" s="20">
        <f t="shared" si="55"/>
        <v>9.5411822077</v>
      </c>
      <c r="F63" s="16" t="s">
        <v>112</v>
      </c>
      <c r="G63" s="13">
        <v>6</v>
      </c>
      <c r="H63" s="18">
        <f t="shared" si="40"/>
        <v>12.4306694236774</v>
      </c>
      <c r="I63" s="18">
        <f t="shared" si="41"/>
        <v>285.580669423677</v>
      </c>
      <c r="J63" s="18">
        <f t="shared" si="42"/>
        <v>0.0822354628212173</v>
      </c>
      <c r="K63" s="18">
        <f t="shared" si="43"/>
        <v>10.2321666666667</v>
      </c>
      <c r="L63" s="18">
        <f t="shared" si="44"/>
        <v>2.762685</v>
      </c>
      <c r="M63" s="13" t="s">
        <v>110</v>
      </c>
      <c r="N63" s="13"/>
      <c r="O63" s="18">
        <f t="shared" si="56"/>
        <v>5.86743196708066</v>
      </c>
      <c r="P63" s="18">
        <f t="shared" si="45"/>
        <v>0.482510983384883</v>
      </c>
      <c r="Q63" s="24">
        <f t="shared" si="46"/>
        <v>0.139928185181616</v>
      </c>
      <c r="R63" s="18">
        <f t="shared" si="47"/>
        <v>0.80117865</v>
      </c>
      <c r="S63" s="25">
        <f t="shared" si="48"/>
        <v>0.174652913156905</v>
      </c>
      <c r="T63" s="3">
        <v>0.27</v>
      </c>
      <c r="U63" s="26">
        <f t="shared" si="49"/>
        <v>0.0471562865523643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0.284362466477124</v>
      </c>
      <c r="AC63" s="29">
        <f t="shared" si="51"/>
        <v>10.2321666666667</v>
      </c>
      <c r="AD63" s="1">
        <f t="shared" si="52"/>
        <v>0.29</v>
      </c>
      <c r="AE63" s="30">
        <f t="shared" si="53"/>
        <v>81.2757046659109</v>
      </c>
      <c r="AF63" s="1">
        <f t="shared" si="54"/>
        <v>2364833.78678305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18.480358753</v>
      </c>
      <c r="E64" s="20">
        <f t="shared" si="55"/>
        <v>12.4306694236774</v>
      </c>
      <c r="F64" s="16" t="s">
        <v>110</v>
      </c>
      <c r="G64" s="13">
        <v>7</v>
      </c>
      <c r="H64" s="18">
        <f t="shared" si="40"/>
        <v>18.480358753</v>
      </c>
      <c r="I64" s="18">
        <f t="shared" si="41"/>
        <v>291.630358753</v>
      </c>
      <c r="J64" s="18">
        <f t="shared" si="42"/>
        <v>0.166810758353323</v>
      </c>
      <c r="K64" s="18">
        <f t="shared" si="43"/>
        <v>10.2321666666667</v>
      </c>
      <c r="L64" s="18">
        <f t="shared" si="44"/>
        <v>2.762685</v>
      </c>
      <c r="M64" s="13" t="s">
        <v>110</v>
      </c>
      <c r="N64" s="13"/>
      <c r="O64" s="18">
        <f t="shared" si="56"/>
        <v>8.14760598369577</v>
      </c>
      <c r="P64" s="18">
        <f t="shared" si="45"/>
        <v>1.35910833290436</v>
      </c>
      <c r="Q64" s="24">
        <f t="shared" si="46"/>
        <v>0.394141416542266</v>
      </c>
      <c r="R64" s="18">
        <f t="shared" si="47"/>
        <v>0.80117865</v>
      </c>
      <c r="S64" s="25">
        <f t="shared" si="48"/>
        <v>0.491951971688544</v>
      </c>
      <c r="T64" s="3">
        <v>0.27</v>
      </c>
      <c r="U64" s="26">
        <f t="shared" si="49"/>
        <v>0.132827032355907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0.301008292386753</v>
      </c>
      <c r="AC64" s="29">
        <f t="shared" si="51"/>
        <v>10.2321666666667</v>
      </c>
      <c r="AD64" s="1">
        <f t="shared" si="52"/>
        <v>0.29</v>
      </c>
      <c r="AE64" s="30">
        <f t="shared" si="53"/>
        <v>81.2757046659109</v>
      </c>
      <c r="AF64" s="1">
        <f t="shared" si="54"/>
        <v>2503264.89552843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20.8061580367742</v>
      </c>
      <c r="E65" s="20">
        <f t="shared" si="55"/>
        <v>18.480358753</v>
      </c>
      <c r="F65" s="16" t="s">
        <v>110</v>
      </c>
      <c r="G65" s="13">
        <v>8</v>
      </c>
      <c r="H65" s="18">
        <f t="shared" si="40"/>
        <v>20.8061580367742</v>
      </c>
      <c r="I65" s="18">
        <f t="shared" si="41"/>
        <v>293.956158036774</v>
      </c>
      <c r="J65" s="18">
        <f t="shared" si="42"/>
        <v>0.217244494229754</v>
      </c>
      <c r="K65" s="18">
        <f t="shared" si="43"/>
        <v>10.2321666666667</v>
      </c>
      <c r="L65" s="18">
        <f t="shared" si="44"/>
        <v>2.762685</v>
      </c>
      <c r="M65" s="13" t="s">
        <v>110</v>
      </c>
      <c r="N65" s="13"/>
      <c r="O65" s="18">
        <f t="shared" si="56"/>
        <v>9.55118265079141</v>
      </c>
      <c r="P65" s="18">
        <f t="shared" si="45"/>
        <v>2.07494184426718</v>
      </c>
      <c r="Q65" s="24">
        <f t="shared" si="46"/>
        <v>0.601733134837482</v>
      </c>
      <c r="R65" s="18">
        <f t="shared" si="47"/>
        <v>0.80117865</v>
      </c>
      <c r="S65" s="25">
        <f t="shared" si="48"/>
        <v>0.751059872648232</v>
      </c>
      <c r="T65" s="3">
        <v>0.27</v>
      </c>
      <c r="U65" s="26">
        <f t="shared" si="49"/>
        <v>0.202786165615023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0.314601351978999</v>
      </c>
      <c r="AC65" s="29">
        <f t="shared" si="51"/>
        <v>10.2321666666667</v>
      </c>
      <c r="AD65" s="1">
        <f t="shared" si="52"/>
        <v>0.29</v>
      </c>
      <c r="AE65" s="30">
        <f t="shared" si="53"/>
        <v>81.2757046659109</v>
      </c>
      <c r="AF65" s="1">
        <f t="shared" si="54"/>
        <v>2616308.38888301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20.0703764593548</v>
      </c>
      <c r="E66" s="20">
        <f t="shared" si="55"/>
        <v>20.8061580367742</v>
      </c>
      <c r="F66" s="16" t="s">
        <v>110</v>
      </c>
      <c r="G66" s="13">
        <v>9</v>
      </c>
      <c r="H66" s="18">
        <f t="shared" si="40"/>
        <v>20.0703764593548</v>
      </c>
      <c r="I66" s="18">
        <f t="shared" si="41"/>
        <v>293.220376459355</v>
      </c>
      <c r="J66" s="18">
        <f t="shared" si="42"/>
        <v>0.199917900236077</v>
      </c>
      <c r="K66" s="18">
        <f t="shared" si="43"/>
        <v>10.2321666666667</v>
      </c>
      <c r="L66" s="18">
        <f t="shared" si="44"/>
        <v>2.762685</v>
      </c>
      <c r="M66" s="13" t="s">
        <v>110</v>
      </c>
      <c r="N66" s="13"/>
      <c r="O66" s="18">
        <f t="shared" si="56"/>
        <v>10.2389258065242</v>
      </c>
      <c r="P66" s="18">
        <f t="shared" si="45"/>
        <v>2.0469445479133</v>
      </c>
      <c r="Q66" s="24">
        <f t="shared" si="46"/>
        <v>0.593613918894858</v>
      </c>
      <c r="R66" s="18">
        <f t="shared" si="47"/>
        <v>0.80117865</v>
      </c>
      <c r="S66" s="25">
        <f t="shared" si="48"/>
        <v>0.740925783400317</v>
      </c>
      <c r="T66" s="3">
        <v>0.27</v>
      </c>
      <c r="U66" s="26">
        <f t="shared" si="49"/>
        <v>0.200049961518086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0.265269707522964</v>
      </c>
      <c r="AC66" s="29">
        <f t="shared" si="51"/>
        <v>10.2321666666667</v>
      </c>
      <c r="AD66" s="1">
        <f t="shared" si="52"/>
        <v>0.29</v>
      </c>
      <c r="AE66" s="30">
        <f t="shared" si="53"/>
        <v>81.2757046659109</v>
      </c>
      <c r="AF66" s="1">
        <f t="shared" si="54"/>
        <v>2206053.33302955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14.5370466533333</v>
      </c>
      <c r="E67" s="20">
        <f t="shared" si="55"/>
        <v>20.0703764593548</v>
      </c>
      <c r="F67" s="16" t="s">
        <v>110</v>
      </c>
      <c r="G67" s="13">
        <v>10</v>
      </c>
      <c r="H67" s="18">
        <f t="shared" si="40"/>
        <v>14.5370466533333</v>
      </c>
      <c r="I67" s="18">
        <f t="shared" si="41"/>
        <v>287.687046653333</v>
      </c>
      <c r="J67" s="18">
        <f t="shared" si="42"/>
        <v>0.10555372793282</v>
      </c>
      <c r="K67" s="18">
        <f t="shared" si="43"/>
        <v>10.2321666666667</v>
      </c>
      <c r="L67" s="18">
        <f t="shared" si="44"/>
        <v>2.762685</v>
      </c>
      <c r="M67" s="13" t="s">
        <v>110</v>
      </c>
      <c r="N67" s="13"/>
      <c r="O67" s="18">
        <f t="shared" si="56"/>
        <v>10.9546662586109</v>
      </c>
      <c r="P67" s="18">
        <f t="shared" si="45"/>
        <v>1.15630586185626</v>
      </c>
      <c r="Q67" s="24">
        <f t="shared" si="46"/>
        <v>0.335328699938315</v>
      </c>
      <c r="R67" s="18">
        <f t="shared" si="47"/>
        <v>0.80117865</v>
      </c>
      <c r="S67" s="25">
        <f t="shared" si="48"/>
        <v>0.418544228479273</v>
      </c>
      <c r="T67" s="3">
        <v>0.27</v>
      </c>
      <c r="U67" s="26">
        <f t="shared" si="49"/>
        <v>0.113006941689404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0.248357248770251</v>
      </c>
      <c r="AC67" s="29">
        <f t="shared" si="51"/>
        <v>10.2321666666667</v>
      </c>
      <c r="AD67" s="1">
        <f t="shared" si="52"/>
        <v>0.29</v>
      </c>
      <c r="AE67" s="30">
        <f t="shared" si="53"/>
        <v>81.2757046659109</v>
      </c>
      <c r="AF67" s="1">
        <f t="shared" si="54"/>
        <v>2065404.83475382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6.39726508267742</v>
      </c>
      <c r="E68" s="20">
        <f t="shared" si="55"/>
        <v>14.5370466533333</v>
      </c>
      <c r="F68" s="16" t="s">
        <v>110</v>
      </c>
      <c r="G68" s="13">
        <v>11</v>
      </c>
      <c r="H68" s="18">
        <f t="shared" si="40"/>
        <v>6.39726508267742</v>
      </c>
      <c r="I68" s="18">
        <f t="shared" si="41"/>
        <v>279.547265082677</v>
      </c>
      <c r="J68" s="18">
        <f t="shared" si="42"/>
        <v>0.0393985265369176</v>
      </c>
      <c r="K68" s="18">
        <f t="shared" si="43"/>
        <v>10.2321666666667</v>
      </c>
      <c r="L68" s="18">
        <f t="shared" si="44"/>
        <v>2.762685</v>
      </c>
      <c r="M68" s="13" t="s">
        <v>112</v>
      </c>
      <c r="N68" s="18">
        <f>(O67-P67)*$C$22/100</f>
        <v>9.30844237691693</v>
      </c>
      <c r="O68" s="18">
        <f t="shared" si="56"/>
        <v>3.25260301983773</v>
      </c>
      <c r="P68" s="18">
        <f t="shared" si="45"/>
        <v>0.128147766391135</v>
      </c>
      <c r="Q68" s="24">
        <f t="shared" si="46"/>
        <v>0.0371628522534292</v>
      </c>
      <c r="R68" s="18">
        <f t="shared" si="47"/>
        <v>0.80117865</v>
      </c>
      <c r="S68" s="25">
        <f t="shared" si="48"/>
        <v>0.0463852253844123</v>
      </c>
      <c r="T68" s="3">
        <v>0.27</v>
      </c>
      <c r="U68" s="26">
        <f t="shared" si="49"/>
        <v>0.0125240108537913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0.228833415308892</v>
      </c>
      <c r="AC68" s="29">
        <f t="shared" si="51"/>
        <v>10.2321666666667</v>
      </c>
      <c r="AD68" s="1">
        <f t="shared" si="52"/>
        <v>0.29</v>
      </c>
      <c r="AE68" s="30">
        <f t="shared" si="53"/>
        <v>81.2757046659109</v>
      </c>
      <c r="AF68" s="1">
        <f t="shared" si="54"/>
        <v>1903039.4509219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-1.1188971066</v>
      </c>
      <c r="E69" s="20">
        <f t="shared" si="55"/>
        <v>6.39726508267742</v>
      </c>
      <c r="F69" s="16" t="s">
        <v>112</v>
      </c>
      <c r="G69" s="13">
        <v>12</v>
      </c>
      <c r="H69" s="18">
        <f t="shared" si="40"/>
        <v>-1.1188971066</v>
      </c>
      <c r="I69" s="18">
        <f t="shared" si="41"/>
        <v>272.0311028934</v>
      </c>
      <c r="J69" s="18">
        <f t="shared" si="42"/>
        <v>0.0150498381133797</v>
      </c>
      <c r="K69" s="18">
        <f t="shared" si="43"/>
        <v>10.2321666666667</v>
      </c>
      <c r="L69" s="18">
        <f t="shared" si="44"/>
        <v>2.762685</v>
      </c>
      <c r="M69" s="13" t="s">
        <v>110</v>
      </c>
      <c r="N69" s="13"/>
      <c r="O69" s="18">
        <f t="shared" si="56"/>
        <v>5.8871402534466</v>
      </c>
      <c r="P69" s="18">
        <f t="shared" si="45"/>
        <v>0.0886005077651324</v>
      </c>
      <c r="Q69" s="24">
        <f t="shared" si="46"/>
        <v>0.0256941472518884</v>
      </c>
      <c r="R69" s="18">
        <f t="shared" si="47"/>
        <v>0.80117865</v>
      </c>
      <c r="S69" s="25">
        <f t="shared" si="48"/>
        <v>0.032070434293136</v>
      </c>
      <c r="T69" s="3">
        <v>0.27</v>
      </c>
      <c r="U69" s="26">
        <f t="shared" si="49"/>
        <v>0.00865901725914672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0.228082447053452</v>
      </c>
      <c r="AC69" s="29">
        <f t="shared" si="51"/>
        <v>10.2321666666667</v>
      </c>
      <c r="AD69" s="1">
        <f t="shared" si="52"/>
        <v>0.29</v>
      </c>
      <c r="AE69" s="30">
        <f t="shared" si="53"/>
        <v>81.2757046659109</v>
      </c>
      <c r="AF69" s="1">
        <f t="shared" si="54"/>
        <v>1896794.19948185</v>
      </c>
      <c r="AG69" s="1">
        <f>SUM(AF58:AF69)</f>
        <v>25466333.1921846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-4.66046114064516</v>
      </c>
      <c r="E70" s="20">
        <f t="shared" si="55"/>
        <v>-1.1188971066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-7</v>
      </c>
      <c r="E74" s="16"/>
      <c r="F74" s="16"/>
      <c r="G74" s="13">
        <v>1</v>
      </c>
      <c r="H74" s="18">
        <f t="shared" ref="H74:H85" si="57">E75</f>
        <v>-7</v>
      </c>
      <c r="I74" s="18">
        <f t="shared" ref="I74:I85" si="58">H74+273.15</f>
        <v>266.15</v>
      </c>
      <c r="J74" s="18">
        <f t="shared" ref="J74:J85" si="59">EXP(($C$16*(I74-$C$14))/($C$17*I74*$C$14))</f>
        <v>0.00682404760193068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0.00355683009107831</v>
      </c>
      <c r="Q74" s="24">
        <f t="shared" ref="Q74:Q85" si="63">P74*$B$76</f>
        <v>0.00092477582368036</v>
      </c>
      <c r="R74" s="18">
        <f t="shared" ref="R74:R85" si="64">L74*$B$76</f>
        <v>0.1355172</v>
      </c>
      <c r="S74" s="25">
        <f t="shared" ref="S74:S85" si="65">Q74/R74</f>
        <v>0.00682404760193068</v>
      </c>
      <c r="T74" s="3">
        <v>0.01</v>
      </c>
      <c r="U74" s="26">
        <f t="shared" ref="U74:U85" si="66">S74*T74</f>
        <v>6.82404760193068e-5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0.00555824047601931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0.992166666666667</v>
      </c>
      <c r="AX74" s="1">
        <f t="shared" ref="AX74:AX85" si="72">AW74*10000*AV74*0.67*AU74*AT74</f>
        <v>500.715674946226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-10.1930773608065</v>
      </c>
      <c r="E75" s="20">
        <f t="shared" ref="E75:E86" si="73">D74</f>
        <v>-7</v>
      </c>
      <c r="F75" s="16" t="s">
        <v>110</v>
      </c>
      <c r="G75" s="13">
        <v>2</v>
      </c>
      <c r="H75" s="18">
        <f t="shared" si="57"/>
        <v>-10.1930773608065</v>
      </c>
      <c r="I75" s="18">
        <f t="shared" si="58"/>
        <v>262.956922639193</v>
      </c>
      <c r="J75" s="18">
        <f t="shared" si="59"/>
        <v>0.00437635594101708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1.03888316990892</v>
      </c>
      <c r="P75" s="18">
        <f t="shared" si="62"/>
        <v>0.00454652253265357</v>
      </c>
      <c r="Q75" s="24">
        <f t="shared" si="63"/>
        <v>0.00118209585848993</v>
      </c>
      <c r="R75" s="18">
        <f t="shared" si="64"/>
        <v>0.1355172</v>
      </c>
      <c r="S75" s="25">
        <f t="shared" si="65"/>
        <v>0.00872284742076967</v>
      </c>
      <c r="T75" s="3">
        <v>0.01</v>
      </c>
      <c r="U75" s="26">
        <f t="shared" si="66"/>
        <v>8.72284742076967e-5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0.0055772284742077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0.992166666666667</v>
      </c>
      <c r="AX75" s="1">
        <f t="shared" si="72"/>
        <v>502.42621416629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-6.03562805841379</v>
      </c>
      <c r="E76" s="20">
        <f t="shared" si="73"/>
        <v>-10.1930773608065</v>
      </c>
      <c r="F76" s="16" t="s">
        <v>110</v>
      </c>
      <c r="G76" s="13">
        <v>3</v>
      </c>
      <c r="H76" s="18">
        <f t="shared" si="57"/>
        <v>-6.03562805841379</v>
      </c>
      <c r="I76" s="18">
        <f t="shared" si="58"/>
        <v>267.114371941586</v>
      </c>
      <c r="J76" s="18">
        <f t="shared" si="59"/>
        <v>0.00778759939334208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1.55555664737627</v>
      </c>
      <c r="P76" s="18">
        <f t="shared" si="62"/>
        <v>0.0121140520034167</v>
      </c>
      <c r="Q76" s="24">
        <f t="shared" si="63"/>
        <v>0.00314965352088833</v>
      </c>
      <c r="R76" s="18">
        <f t="shared" si="64"/>
        <v>0.1355172</v>
      </c>
      <c r="S76" s="25">
        <f t="shared" si="65"/>
        <v>0.0232417251897791</v>
      </c>
      <c r="T76" s="3">
        <v>0.01</v>
      </c>
      <c r="U76" s="26">
        <f t="shared" si="66"/>
        <v>0.000232417251897791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0.00572241725189779</v>
      </c>
      <c r="AU76" s="29">
        <f t="shared" si="70"/>
        <v>52.122</v>
      </c>
      <c r="AV76" s="1">
        <f t="shared" si="71"/>
        <v>0.26</v>
      </c>
      <c r="AW76" s="2">
        <f t="shared" si="75"/>
        <v>0.992166666666667</v>
      </c>
      <c r="AX76" s="1">
        <f t="shared" si="72"/>
        <v>515.505586519711</v>
      </c>
    </row>
    <row r="77" s="1" customFormat="1" spans="1:50">
      <c r="A77" s="13"/>
      <c r="B77" s="13"/>
      <c r="C77" s="16">
        <v>3</v>
      </c>
      <c r="D77" s="19">
        <v>2.8750121626129</v>
      </c>
      <c r="E77" s="20">
        <f t="shared" si="73"/>
        <v>-6.03562805841379</v>
      </c>
      <c r="F77" s="16" t="s">
        <v>110</v>
      </c>
      <c r="G77" s="13">
        <v>4</v>
      </c>
      <c r="H77" s="18">
        <f t="shared" si="57"/>
        <v>2.8750121626129</v>
      </c>
      <c r="I77" s="18">
        <f t="shared" si="58"/>
        <v>276.025012162613</v>
      </c>
      <c r="J77" s="18">
        <f t="shared" si="59"/>
        <v>0.0252611712736392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2.06466259537285</v>
      </c>
      <c r="P77" s="18">
        <f t="shared" si="62"/>
        <v>0.05215579544399</v>
      </c>
      <c r="Q77" s="24">
        <f t="shared" si="63"/>
        <v>0.0135605068154374</v>
      </c>
      <c r="R77" s="18">
        <f t="shared" si="64"/>
        <v>0.1355172</v>
      </c>
      <c r="S77" s="25">
        <f t="shared" si="65"/>
        <v>0.100064839115901</v>
      </c>
      <c r="T77" s="3">
        <v>0.01</v>
      </c>
      <c r="U77" s="26">
        <f t="shared" si="66"/>
        <v>0.00100064839115901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0.00649064839115901</v>
      </c>
      <c r="AU77" s="29">
        <f t="shared" si="70"/>
        <v>52.122</v>
      </c>
      <c r="AV77" s="1">
        <f t="shared" si="71"/>
        <v>0.26</v>
      </c>
      <c r="AW77" s="2">
        <f t="shared" si="75"/>
        <v>0.992166666666667</v>
      </c>
      <c r="AX77" s="1">
        <f t="shared" si="72"/>
        <v>584.711907309447</v>
      </c>
    </row>
    <row r="78" s="1" customFormat="1" spans="1:50">
      <c r="A78" s="13"/>
      <c r="B78" s="13"/>
      <c r="C78" s="16">
        <v>4</v>
      </c>
      <c r="D78" s="19">
        <v>9.5411822077</v>
      </c>
      <c r="E78" s="20">
        <f t="shared" si="73"/>
        <v>2.8750121626129</v>
      </c>
      <c r="F78" s="16" t="s">
        <v>110</v>
      </c>
      <c r="G78" s="13">
        <v>5</v>
      </c>
      <c r="H78" s="18">
        <f t="shared" si="57"/>
        <v>9.5411822077</v>
      </c>
      <c r="I78" s="18">
        <f t="shared" si="58"/>
        <v>282.6911822077</v>
      </c>
      <c r="J78" s="18">
        <f t="shared" si="59"/>
        <v>0.0580376823905174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1.91188145993242</v>
      </c>
      <c r="O78" s="18">
        <f t="shared" si="74"/>
        <v>0.621845339996443</v>
      </c>
      <c r="P78" s="18">
        <f t="shared" si="62"/>
        <v>0.0360904623387369</v>
      </c>
      <c r="Q78" s="24">
        <f t="shared" si="63"/>
        <v>0.00938352020807159</v>
      </c>
      <c r="R78" s="18">
        <f t="shared" si="64"/>
        <v>0.1355172</v>
      </c>
      <c r="S78" s="25">
        <f t="shared" si="65"/>
        <v>0.0692422822200546</v>
      </c>
      <c r="T78" s="3">
        <v>0.01</v>
      </c>
      <c r="U78" s="26">
        <f t="shared" si="66"/>
        <v>0.000692422822200546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0.001</v>
      </c>
      <c r="AF78" s="3">
        <v>0.49</v>
      </c>
      <c r="AG78" s="26">
        <f t="shared" si="67"/>
        <v>0.00049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</v>
      </c>
      <c r="AR78" s="3">
        <v>0.5</v>
      </c>
      <c r="AS78" s="3">
        <f t="shared" si="68"/>
        <v>0.005</v>
      </c>
      <c r="AT78" s="2">
        <f t="shared" si="69"/>
        <v>0.00618242282220055</v>
      </c>
      <c r="AU78" s="29">
        <f t="shared" si="70"/>
        <v>52.122</v>
      </c>
      <c r="AV78" s="1">
        <f t="shared" si="71"/>
        <v>0.26</v>
      </c>
      <c r="AW78" s="2">
        <f t="shared" si="75"/>
        <v>0.992166666666667</v>
      </c>
      <c r="AX78" s="1">
        <f t="shared" si="72"/>
        <v>556.94531922054</v>
      </c>
    </row>
    <row r="79" s="1" customFormat="1" spans="1:50">
      <c r="A79" s="13"/>
      <c r="B79" s="13"/>
      <c r="C79" s="16">
        <v>5</v>
      </c>
      <c r="D79" s="19">
        <v>12.4306694236774</v>
      </c>
      <c r="E79" s="20">
        <f t="shared" si="73"/>
        <v>9.5411822077</v>
      </c>
      <c r="F79" s="16" t="s">
        <v>112</v>
      </c>
      <c r="G79" s="13">
        <v>6</v>
      </c>
      <c r="H79" s="18">
        <f t="shared" si="57"/>
        <v>12.4306694236774</v>
      </c>
      <c r="I79" s="18">
        <f t="shared" si="58"/>
        <v>285.580669423677</v>
      </c>
      <c r="J79" s="18">
        <f t="shared" si="59"/>
        <v>0.0822354628212173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1.10697487765771</v>
      </c>
      <c r="P79" s="18">
        <f t="shared" si="62"/>
        <v>0.0910325913956419</v>
      </c>
      <c r="Q79" s="24">
        <f t="shared" si="63"/>
        <v>0.0236684737628669</v>
      </c>
      <c r="R79" s="18">
        <f t="shared" si="64"/>
        <v>0.1355172</v>
      </c>
      <c r="S79" s="25">
        <f t="shared" si="65"/>
        <v>0.174652913156905</v>
      </c>
      <c r="T79" s="3">
        <v>0.01</v>
      </c>
      <c r="U79" s="26">
        <f t="shared" si="66"/>
        <v>0.00174652913156905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0.011696529131569</v>
      </c>
      <c r="AU79" s="29">
        <f t="shared" si="70"/>
        <v>52.122</v>
      </c>
      <c r="AV79" s="1">
        <f t="shared" si="71"/>
        <v>0.26</v>
      </c>
      <c r="AW79" s="2">
        <f t="shared" si="75"/>
        <v>0.992166666666667</v>
      </c>
      <c r="AX79" s="1">
        <f t="shared" si="72"/>
        <v>1053.68515520512</v>
      </c>
    </row>
    <row r="80" s="1" customFormat="1" spans="1:50">
      <c r="A80" s="13"/>
      <c r="B80" s="13"/>
      <c r="C80" s="16">
        <v>6</v>
      </c>
      <c r="D80" s="19">
        <v>18.480358753</v>
      </c>
      <c r="E80" s="20">
        <f t="shared" si="73"/>
        <v>12.4306694236774</v>
      </c>
      <c r="F80" s="16" t="s">
        <v>110</v>
      </c>
      <c r="G80" s="13">
        <v>7</v>
      </c>
      <c r="H80" s="18">
        <f t="shared" si="57"/>
        <v>18.480358753</v>
      </c>
      <c r="I80" s="18">
        <f t="shared" si="58"/>
        <v>291.630358753</v>
      </c>
      <c r="J80" s="18">
        <f t="shared" si="59"/>
        <v>0.166810758353323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1.53716228626206</v>
      </c>
      <c r="P80" s="18">
        <f t="shared" si="62"/>
        <v>0.256415206683503</v>
      </c>
      <c r="Q80" s="24">
        <f t="shared" si="63"/>
        <v>0.0666679537377107</v>
      </c>
      <c r="R80" s="18">
        <f t="shared" si="64"/>
        <v>0.1355172</v>
      </c>
      <c r="S80" s="25">
        <f t="shared" si="65"/>
        <v>0.491951971688544</v>
      </c>
      <c r="T80" s="3">
        <v>0.01</v>
      </c>
      <c r="U80" s="26">
        <f t="shared" si="66"/>
        <v>0.00491951971688544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0.0148695197168854</v>
      </c>
      <c r="AU80" s="29">
        <f t="shared" si="70"/>
        <v>52.122</v>
      </c>
      <c r="AV80" s="1">
        <f t="shared" si="71"/>
        <v>0.26</v>
      </c>
      <c r="AW80" s="2">
        <f t="shared" si="75"/>
        <v>0.992166666666667</v>
      </c>
      <c r="AX80" s="1">
        <f t="shared" si="72"/>
        <v>1339.52491499589</v>
      </c>
    </row>
    <row r="81" s="1" customFormat="1" spans="1:50">
      <c r="A81" s="13"/>
      <c r="B81" s="13"/>
      <c r="C81" s="16">
        <v>7</v>
      </c>
      <c r="D81" s="19">
        <v>20.8061580367742</v>
      </c>
      <c r="E81" s="20">
        <f t="shared" si="73"/>
        <v>18.480358753</v>
      </c>
      <c r="F81" s="16" t="s">
        <v>110</v>
      </c>
      <c r="G81" s="13">
        <v>8</v>
      </c>
      <c r="H81" s="18">
        <f t="shared" si="57"/>
        <v>20.8061580367742</v>
      </c>
      <c r="I81" s="18">
        <f t="shared" si="58"/>
        <v>293.956158036774</v>
      </c>
      <c r="J81" s="18">
        <f t="shared" si="59"/>
        <v>0.217244494229754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1.80196707957856</v>
      </c>
      <c r="P81" s="18">
        <f t="shared" si="62"/>
        <v>0.391467426821712</v>
      </c>
      <c r="Q81" s="24">
        <f t="shared" si="63"/>
        <v>0.101781530973645</v>
      </c>
      <c r="R81" s="18">
        <f t="shared" si="64"/>
        <v>0.1355172</v>
      </c>
      <c r="S81" s="25">
        <f t="shared" si="65"/>
        <v>0.751059872648232</v>
      </c>
      <c r="T81" s="3">
        <v>0.01</v>
      </c>
      <c r="U81" s="26">
        <f t="shared" si="66"/>
        <v>0.00751059872648232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0.0174605987264823</v>
      </c>
      <c r="AU81" s="29">
        <f t="shared" si="70"/>
        <v>52.122</v>
      </c>
      <c r="AV81" s="1">
        <f t="shared" si="71"/>
        <v>0.26</v>
      </c>
      <c r="AW81" s="2">
        <f t="shared" si="75"/>
        <v>0.992166666666667</v>
      </c>
      <c r="AX81" s="1">
        <f t="shared" si="72"/>
        <v>1572.94300489806</v>
      </c>
    </row>
    <row r="82" s="1" customFormat="1" spans="1:50">
      <c r="A82" s="13"/>
      <c r="B82" s="13"/>
      <c r="C82" s="16">
        <v>8</v>
      </c>
      <c r="D82" s="19">
        <v>20.0703764593548</v>
      </c>
      <c r="E82" s="20">
        <f t="shared" si="73"/>
        <v>20.8061580367742</v>
      </c>
      <c r="F82" s="16" t="s">
        <v>110</v>
      </c>
      <c r="G82" s="13">
        <v>9</v>
      </c>
      <c r="H82" s="18">
        <f t="shared" si="57"/>
        <v>20.0703764593548</v>
      </c>
      <c r="I82" s="18">
        <f t="shared" si="58"/>
        <v>293.220376459355</v>
      </c>
      <c r="J82" s="18">
        <f t="shared" si="59"/>
        <v>0.199917900236077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1.93171965275685</v>
      </c>
      <c r="P82" s="18">
        <f t="shared" si="62"/>
        <v>0.386185336823913</v>
      </c>
      <c r="Q82" s="24">
        <f t="shared" si="63"/>
        <v>0.100408187574217</v>
      </c>
      <c r="R82" s="18">
        <f t="shared" si="64"/>
        <v>0.1355172</v>
      </c>
      <c r="S82" s="25">
        <f t="shared" si="65"/>
        <v>0.740925783400317</v>
      </c>
      <c r="T82" s="3">
        <v>0.01</v>
      </c>
      <c r="U82" s="26">
        <f t="shared" si="66"/>
        <v>0.00740925783400317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0.0128992578340032</v>
      </c>
      <c r="AU82" s="29">
        <f t="shared" si="70"/>
        <v>52.122</v>
      </c>
      <c r="AV82" s="1">
        <f t="shared" si="71"/>
        <v>0.26</v>
      </c>
      <c r="AW82" s="2">
        <f t="shared" si="75"/>
        <v>0.992166666666667</v>
      </c>
      <c r="AX82" s="1">
        <f t="shared" si="72"/>
        <v>1162.03331261478</v>
      </c>
    </row>
    <row r="83" s="1" customFormat="1" spans="1:50">
      <c r="A83" s="13"/>
      <c r="B83" s="13"/>
      <c r="C83" s="16">
        <v>9</v>
      </c>
      <c r="D83" s="19">
        <v>14.5370466533333</v>
      </c>
      <c r="E83" s="20">
        <f t="shared" si="73"/>
        <v>20.0703764593548</v>
      </c>
      <c r="F83" s="16" t="s">
        <v>110</v>
      </c>
      <c r="G83" s="13">
        <v>10</v>
      </c>
      <c r="H83" s="18">
        <f t="shared" si="57"/>
        <v>14.5370466533333</v>
      </c>
      <c r="I83" s="18">
        <f t="shared" si="58"/>
        <v>287.687046653333</v>
      </c>
      <c r="J83" s="18">
        <f t="shared" si="59"/>
        <v>0.10555372793282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2.06675431593294</v>
      </c>
      <c r="P83" s="18">
        <f t="shared" si="62"/>
        <v>0.218153622767967</v>
      </c>
      <c r="Q83" s="24">
        <f t="shared" si="63"/>
        <v>0.0567199419196713</v>
      </c>
      <c r="R83" s="18">
        <f t="shared" si="64"/>
        <v>0.1355172</v>
      </c>
      <c r="S83" s="25">
        <f t="shared" si="65"/>
        <v>0.418544228479273</v>
      </c>
      <c r="T83" s="3">
        <v>0.01</v>
      </c>
      <c r="U83" s="26">
        <f t="shared" si="66"/>
        <v>0.00418544228479273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0.00967544228479273</v>
      </c>
      <c r="AU83" s="29">
        <f t="shared" si="70"/>
        <v>52.122</v>
      </c>
      <c r="AV83" s="1">
        <f t="shared" si="71"/>
        <v>0.26</v>
      </c>
      <c r="AW83" s="2">
        <f t="shared" si="75"/>
        <v>0.992166666666667</v>
      </c>
      <c r="AX83" s="1">
        <f t="shared" si="72"/>
        <v>871.614971488761</v>
      </c>
    </row>
    <row r="84" s="1" customFormat="1" spans="1:50">
      <c r="A84" s="13"/>
      <c r="B84" s="13"/>
      <c r="C84" s="16">
        <v>10</v>
      </c>
      <c r="D84" s="19">
        <v>6.39726508267742</v>
      </c>
      <c r="E84" s="20">
        <f t="shared" si="73"/>
        <v>14.5370466533333</v>
      </c>
      <c r="F84" s="16" t="s">
        <v>110</v>
      </c>
      <c r="G84" s="13">
        <v>11</v>
      </c>
      <c r="H84" s="18">
        <f t="shared" si="57"/>
        <v>6.39726508267742</v>
      </c>
      <c r="I84" s="18">
        <f t="shared" si="58"/>
        <v>279.547265082677</v>
      </c>
      <c r="J84" s="18">
        <f t="shared" si="59"/>
        <v>0.0393985265369176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1.75617065850672</v>
      </c>
      <c r="O84" s="18">
        <f t="shared" si="74"/>
        <v>0.613650034658249</v>
      </c>
      <c r="P84" s="18">
        <f t="shared" si="62"/>
        <v>0.0241769071748634</v>
      </c>
      <c r="Q84" s="24">
        <f t="shared" si="63"/>
        <v>0.00628599586546449</v>
      </c>
      <c r="R84" s="18">
        <f t="shared" si="64"/>
        <v>0.1355172</v>
      </c>
      <c r="S84" s="25">
        <f t="shared" si="65"/>
        <v>0.0463852253844124</v>
      </c>
      <c r="T84" s="3">
        <v>0.01</v>
      </c>
      <c r="U84" s="26">
        <f t="shared" si="66"/>
        <v>0.000463852253844124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0.00595385225384412</v>
      </c>
      <c r="AU84" s="29">
        <f t="shared" si="70"/>
        <v>52.122</v>
      </c>
      <c r="AV84" s="1">
        <f t="shared" si="71"/>
        <v>0.26</v>
      </c>
      <c r="AW84" s="2">
        <f t="shared" si="75"/>
        <v>0.992166666666667</v>
      </c>
      <c r="AX84" s="1">
        <f t="shared" si="72"/>
        <v>536.354474527653</v>
      </c>
    </row>
    <row r="85" s="1" customFormat="1" spans="1:51">
      <c r="A85" s="13"/>
      <c r="B85" s="13"/>
      <c r="C85" s="16">
        <v>11</v>
      </c>
      <c r="D85" s="19">
        <v>-1.1188971066</v>
      </c>
      <c r="E85" s="20">
        <f t="shared" si="73"/>
        <v>6.39726508267742</v>
      </c>
      <c r="F85" s="16" t="s">
        <v>112</v>
      </c>
      <c r="G85" s="13">
        <v>12</v>
      </c>
      <c r="H85" s="18">
        <f t="shared" si="57"/>
        <v>-1.1188971066</v>
      </c>
      <c r="I85" s="18">
        <f t="shared" si="58"/>
        <v>272.0311028934</v>
      </c>
      <c r="J85" s="18">
        <f t="shared" si="59"/>
        <v>0.0150498381133797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1.11069312748339</v>
      </c>
      <c r="P85" s="18">
        <f t="shared" si="62"/>
        <v>0.0167157517622684</v>
      </c>
      <c r="Q85" s="24">
        <f t="shared" si="63"/>
        <v>0.00434609545818977</v>
      </c>
      <c r="R85" s="18">
        <f t="shared" si="64"/>
        <v>0.1355172</v>
      </c>
      <c r="S85" s="25">
        <f t="shared" si="65"/>
        <v>0.032070434293136</v>
      </c>
      <c r="T85" s="3">
        <v>0.01</v>
      </c>
      <c r="U85" s="26">
        <f t="shared" si="66"/>
        <v>0.00032070434293136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0.00581070434293136</v>
      </c>
      <c r="AU85" s="29">
        <f t="shared" si="70"/>
        <v>52.122</v>
      </c>
      <c r="AV85" s="1">
        <f t="shared" si="71"/>
        <v>0.26</v>
      </c>
      <c r="AW85" s="2">
        <f t="shared" si="75"/>
        <v>0.992166666666667</v>
      </c>
      <c r="AX85" s="1">
        <f t="shared" si="72"/>
        <v>523.458954238621</v>
      </c>
      <c r="AY85" s="1">
        <f>SUM(AX74:AX85)</f>
        <v>9719.9194901311</v>
      </c>
    </row>
    <row r="86" s="1" customFormat="1" spans="1:46">
      <c r="A86" s="13"/>
      <c r="B86" s="13"/>
      <c r="C86" s="16">
        <v>12</v>
      </c>
      <c r="D86" s="19">
        <v>-4.66046114064516</v>
      </c>
      <c r="E86" s="20">
        <f t="shared" si="73"/>
        <v>-1.1188971066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-7</v>
      </c>
      <c r="E90" s="16"/>
      <c r="F90" s="16"/>
      <c r="G90" s="13">
        <v>1</v>
      </c>
      <c r="H90" s="18">
        <f t="shared" ref="H90:H101" si="76">E91</f>
        <v>-7</v>
      </c>
      <c r="I90" s="18">
        <f t="shared" ref="I90:I101" si="77">H90+273.15</f>
        <v>266.15</v>
      </c>
      <c r="J90" s="18">
        <f t="shared" ref="J90:J101" si="78">EXP(($C$16*(I90-$C$14))/($C$17*I90*$C$14))</f>
        <v>0.00682404760193068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0.00194280635226966</v>
      </c>
      <c r="Q90" s="24">
        <f t="shared" ref="Q90:Q101" si="82">P90*$B$76</f>
        <v>0.000505129651590113</v>
      </c>
      <c r="R90" s="18">
        <f t="shared" ref="R90:R101" si="83">L90*$B$76</f>
        <v>0.074022</v>
      </c>
      <c r="S90" s="25">
        <f t="shared" ref="S90:S101" si="84">Q90/R90</f>
        <v>0.00682404760193068</v>
      </c>
      <c r="T90" s="3">
        <v>0.01</v>
      </c>
      <c r="U90" s="26">
        <f t="shared" ref="U90:U101" si="85">S90*T90</f>
        <v>6.82404760193068e-5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0.00555824047601931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3.1795</v>
      </c>
      <c r="AX90" s="1">
        <f t="shared" ref="AX90:AX101" si="91">AW90*10000*AV90*0.67*AU90*AT90</f>
        <v>876.459352479146</v>
      </c>
      <c r="AZ90" s="2">
        <f>$E$10/12</f>
        <v>1.3512724958459</v>
      </c>
      <c r="BA90" s="1">
        <f t="shared" ref="BA90:BA101" si="92">AZ90*10000*AV90*0.67*AU90*AT90</f>
        <v>372.491088766151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-10.1930773608065</v>
      </c>
      <c r="E91" s="20">
        <f t="shared" ref="E91:E102" si="93">D90</f>
        <v>-7</v>
      </c>
      <c r="F91" s="16" t="s">
        <v>110</v>
      </c>
      <c r="G91" s="13">
        <v>2</v>
      </c>
      <c r="H91" s="18">
        <f t="shared" si="76"/>
        <v>-10.1930773608065</v>
      </c>
      <c r="I91" s="18">
        <f t="shared" si="77"/>
        <v>262.956922639193</v>
      </c>
      <c r="J91" s="18">
        <f t="shared" si="78"/>
        <v>0.00437635594101708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0.56745719364773</v>
      </c>
      <c r="P91" s="18">
        <f t="shared" si="81"/>
        <v>0.00248339466069312</v>
      </c>
      <c r="Q91" s="24">
        <f t="shared" si="82"/>
        <v>0.000645682611780212</v>
      </c>
      <c r="R91" s="18">
        <f t="shared" si="83"/>
        <v>0.074022</v>
      </c>
      <c r="S91" s="25">
        <f t="shared" si="84"/>
        <v>0.00872284742076967</v>
      </c>
      <c r="T91" s="3">
        <v>0.01</v>
      </c>
      <c r="U91" s="26">
        <f t="shared" si="85"/>
        <v>8.72284742076967e-5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0.0055772284742077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3.1795</v>
      </c>
      <c r="AX91" s="1">
        <f t="shared" si="91"/>
        <v>879.45350299654</v>
      </c>
      <c r="AZ91" s="2">
        <f t="shared" ref="AZ91:AZ101" si="96">$E$10/12</f>
        <v>1.3512724958459</v>
      </c>
      <c r="BA91" s="1">
        <f t="shared" si="92"/>
        <v>373.763588606559</v>
      </c>
    </row>
    <row r="92" s="1" customFormat="1" spans="1:53">
      <c r="A92" s="13" t="s">
        <v>73</v>
      </c>
      <c r="B92" s="13">
        <f>H9</f>
        <v>0.33</v>
      </c>
      <c r="C92" s="16">
        <v>2</v>
      </c>
      <c r="D92" s="19">
        <v>-6.03562805841379</v>
      </c>
      <c r="E92" s="20">
        <f t="shared" si="93"/>
        <v>-10.1930773608065</v>
      </c>
      <c r="F92" s="16" t="s">
        <v>110</v>
      </c>
      <c r="G92" s="13">
        <v>3</v>
      </c>
      <c r="H92" s="18">
        <f t="shared" si="76"/>
        <v>-6.03562805841379</v>
      </c>
      <c r="I92" s="18">
        <f t="shared" si="77"/>
        <v>267.114371941586</v>
      </c>
      <c r="J92" s="18">
        <f t="shared" si="78"/>
        <v>0.00778759939334208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0.849673798987037</v>
      </c>
      <c r="P92" s="18">
        <f t="shared" si="81"/>
        <v>0.00661691916153011</v>
      </c>
      <c r="Q92" s="24">
        <f t="shared" si="82"/>
        <v>0.00172039898199783</v>
      </c>
      <c r="R92" s="18">
        <f t="shared" si="83"/>
        <v>0.074022</v>
      </c>
      <c r="S92" s="25">
        <f t="shared" si="84"/>
        <v>0.0232417251897791</v>
      </c>
      <c r="T92" s="3">
        <v>0.01</v>
      </c>
      <c r="U92" s="26">
        <f t="shared" si="85"/>
        <v>0.000232417251897791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0.00572241725189779</v>
      </c>
      <c r="AU92" s="29">
        <f t="shared" si="89"/>
        <v>28.47</v>
      </c>
      <c r="AV92" s="1">
        <f t="shared" si="90"/>
        <v>0.26</v>
      </c>
      <c r="AW92" s="2">
        <f t="shared" si="95"/>
        <v>3.1795</v>
      </c>
      <c r="AX92" s="1">
        <f t="shared" si="91"/>
        <v>902.347809680556</v>
      </c>
      <c r="AZ92" s="2">
        <f t="shared" si="96"/>
        <v>1.3512724958459</v>
      </c>
      <c r="BA92" s="1">
        <f t="shared" si="92"/>
        <v>383.493560908359</v>
      </c>
    </row>
    <row r="93" s="1" customFormat="1" spans="1:53">
      <c r="A93" s="13"/>
      <c r="B93" s="13"/>
      <c r="C93" s="16">
        <v>3</v>
      </c>
      <c r="D93" s="19">
        <v>2.8750121626129</v>
      </c>
      <c r="E93" s="20">
        <f t="shared" si="93"/>
        <v>-6.03562805841379</v>
      </c>
      <c r="F93" s="16" t="s">
        <v>110</v>
      </c>
      <c r="G93" s="13">
        <v>4</v>
      </c>
      <c r="H93" s="18">
        <f t="shared" si="76"/>
        <v>2.8750121626129</v>
      </c>
      <c r="I93" s="18">
        <f t="shared" si="77"/>
        <v>276.025012162613</v>
      </c>
      <c r="J93" s="18">
        <f t="shared" si="78"/>
        <v>0.0252611712736392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1.12775687982551</v>
      </c>
      <c r="P93" s="18">
        <f t="shared" si="81"/>
        <v>0.0284884596962971</v>
      </c>
      <c r="Q93" s="24">
        <f t="shared" si="82"/>
        <v>0.00740699952103724</v>
      </c>
      <c r="R93" s="18">
        <f t="shared" si="83"/>
        <v>0.074022</v>
      </c>
      <c r="S93" s="25">
        <f t="shared" si="84"/>
        <v>0.100064839115901</v>
      </c>
      <c r="T93" s="3">
        <v>0.01</v>
      </c>
      <c r="U93" s="26">
        <f t="shared" si="85"/>
        <v>0.00100064839115901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0.00649064839115901</v>
      </c>
      <c r="AU93" s="29">
        <f t="shared" si="89"/>
        <v>28.47</v>
      </c>
      <c r="AV93" s="1">
        <f t="shared" si="90"/>
        <v>0.26</v>
      </c>
      <c r="AW93" s="2">
        <f t="shared" si="95"/>
        <v>3.1795</v>
      </c>
      <c r="AX93" s="1">
        <f t="shared" si="91"/>
        <v>1023.48747065352</v>
      </c>
      <c r="AZ93" s="2">
        <f t="shared" si="96"/>
        <v>1.3512724958459</v>
      </c>
      <c r="BA93" s="1">
        <f t="shared" si="92"/>
        <v>434.977345160244</v>
      </c>
    </row>
    <row r="94" s="1" customFormat="1" spans="1:53">
      <c r="A94" s="13"/>
      <c r="B94" s="13"/>
      <c r="C94" s="16">
        <v>4</v>
      </c>
      <c r="D94" s="19">
        <v>9.5411822077</v>
      </c>
      <c r="E94" s="20">
        <f t="shared" si="93"/>
        <v>2.8750121626129</v>
      </c>
      <c r="F94" s="16" t="s">
        <v>110</v>
      </c>
      <c r="G94" s="13">
        <v>5</v>
      </c>
      <c r="H94" s="18">
        <f t="shared" si="76"/>
        <v>9.5411822077</v>
      </c>
      <c r="I94" s="18">
        <f t="shared" si="77"/>
        <v>282.6911822077</v>
      </c>
      <c r="J94" s="18">
        <f t="shared" si="78"/>
        <v>0.0580376823905174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1.04430499912275</v>
      </c>
      <c r="O94" s="18">
        <f t="shared" si="94"/>
        <v>0.33966342100646</v>
      </c>
      <c r="P94" s="18">
        <f t="shared" si="81"/>
        <v>0.0197132777480495</v>
      </c>
      <c r="Q94" s="24">
        <f t="shared" si="82"/>
        <v>0.00512545221449288</v>
      </c>
      <c r="R94" s="18">
        <f t="shared" si="83"/>
        <v>0.074022</v>
      </c>
      <c r="S94" s="25">
        <f t="shared" si="84"/>
        <v>0.0692422822200546</v>
      </c>
      <c r="T94" s="3">
        <v>0.01</v>
      </c>
      <c r="U94" s="26">
        <f t="shared" si="85"/>
        <v>0.000692422822200546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0.001</v>
      </c>
      <c r="AF94" s="3">
        <v>0.49</v>
      </c>
      <c r="AG94" s="26">
        <f t="shared" si="86"/>
        <v>0.00049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</v>
      </c>
      <c r="AR94" s="3">
        <v>0.5</v>
      </c>
      <c r="AS94" s="3">
        <f t="shared" si="87"/>
        <v>0.005</v>
      </c>
      <c r="AT94" s="2">
        <f t="shared" si="88"/>
        <v>0.00618242282220055</v>
      </c>
      <c r="AU94" s="29">
        <f t="shared" si="89"/>
        <v>28.47</v>
      </c>
      <c r="AV94" s="1">
        <f t="shared" si="90"/>
        <v>0.26</v>
      </c>
      <c r="AW94" s="2">
        <f t="shared" si="95"/>
        <v>3.1795</v>
      </c>
      <c r="AX94" s="1">
        <f t="shared" si="91"/>
        <v>974.884466923767</v>
      </c>
      <c r="AZ94" s="2">
        <f t="shared" si="96"/>
        <v>1.3512724958459</v>
      </c>
      <c r="BA94" s="1">
        <f t="shared" si="92"/>
        <v>414.321297934102</v>
      </c>
    </row>
    <row r="95" s="1" customFormat="1" spans="1:53">
      <c r="A95" s="13"/>
      <c r="B95" s="13"/>
      <c r="C95" s="16">
        <v>5</v>
      </c>
      <c r="D95" s="19">
        <v>12.4306694236774</v>
      </c>
      <c r="E95" s="20">
        <f t="shared" si="93"/>
        <v>9.5411822077</v>
      </c>
      <c r="F95" s="16" t="s">
        <v>112</v>
      </c>
      <c r="G95" s="13">
        <v>6</v>
      </c>
      <c r="H95" s="18">
        <f t="shared" si="76"/>
        <v>12.4306694236774</v>
      </c>
      <c r="I95" s="18">
        <f t="shared" si="77"/>
        <v>285.580669423677</v>
      </c>
      <c r="J95" s="18">
        <f t="shared" si="78"/>
        <v>0.0822354628212173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0.604650143258411</v>
      </c>
      <c r="P95" s="18">
        <f t="shared" si="81"/>
        <v>0.0497236843757708</v>
      </c>
      <c r="Q95" s="24">
        <f t="shared" si="82"/>
        <v>0.0129281579377004</v>
      </c>
      <c r="R95" s="18">
        <f t="shared" si="83"/>
        <v>0.074022</v>
      </c>
      <c r="S95" s="25">
        <f t="shared" si="84"/>
        <v>0.174652913156905</v>
      </c>
      <c r="T95" s="3">
        <v>0.01</v>
      </c>
      <c r="U95" s="26">
        <f t="shared" si="85"/>
        <v>0.00174652913156905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0.011696529131569</v>
      </c>
      <c r="AU95" s="29">
        <f t="shared" si="89"/>
        <v>28.47</v>
      </c>
      <c r="AV95" s="1">
        <f t="shared" si="90"/>
        <v>0.26</v>
      </c>
      <c r="AW95" s="2">
        <f t="shared" si="95"/>
        <v>3.1795</v>
      </c>
      <c r="AX95" s="1">
        <f t="shared" si="91"/>
        <v>1844.38445820005</v>
      </c>
      <c r="AZ95" s="2">
        <f t="shared" si="96"/>
        <v>1.3512724958459</v>
      </c>
      <c r="BA95" s="1">
        <f t="shared" si="92"/>
        <v>783.854691030468</v>
      </c>
    </row>
    <row r="96" s="1" customFormat="1" spans="1:53">
      <c r="A96" s="13"/>
      <c r="B96" s="13"/>
      <c r="C96" s="16">
        <v>6</v>
      </c>
      <c r="D96" s="19">
        <v>18.480358753</v>
      </c>
      <c r="E96" s="20">
        <f t="shared" si="93"/>
        <v>12.4306694236774</v>
      </c>
      <c r="F96" s="16" t="s">
        <v>110</v>
      </c>
      <c r="G96" s="13">
        <v>7</v>
      </c>
      <c r="H96" s="18">
        <f t="shared" si="76"/>
        <v>18.480358753</v>
      </c>
      <c r="I96" s="18">
        <f t="shared" si="77"/>
        <v>291.630358753</v>
      </c>
      <c r="J96" s="18">
        <f t="shared" si="78"/>
        <v>0.166810758353323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0.83962645888264</v>
      </c>
      <c r="P96" s="18">
        <f t="shared" si="81"/>
        <v>0.140058726339728</v>
      </c>
      <c r="Q96" s="24">
        <f t="shared" si="82"/>
        <v>0.0364152688483294</v>
      </c>
      <c r="R96" s="18">
        <f t="shared" si="83"/>
        <v>0.074022</v>
      </c>
      <c r="S96" s="25">
        <f t="shared" si="84"/>
        <v>0.491951971688544</v>
      </c>
      <c r="T96" s="3">
        <v>0.01</v>
      </c>
      <c r="U96" s="26">
        <f t="shared" si="85"/>
        <v>0.00491951971688544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0.0148695197168854</v>
      </c>
      <c r="AU96" s="29">
        <f t="shared" si="89"/>
        <v>28.47</v>
      </c>
      <c r="AV96" s="1">
        <f t="shared" si="90"/>
        <v>0.26</v>
      </c>
      <c r="AW96" s="2">
        <f t="shared" si="95"/>
        <v>3.1795</v>
      </c>
      <c r="AX96" s="1">
        <f t="shared" si="91"/>
        <v>2344.72216144036</v>
      </c>
      <c r="AZ96" s="2">
        <f t="shared" si="96"/>
        <v>1.3512724958459</v>
      </c>
      <c r="BA96" s="1">
        <f t="shared" si="92"/>
        <v>996.495853799249</v>
      </c>
    </row>
    <row r="97" s="1" customFormat="1" spans="1:53">
      <c r="A97" s="13"/>
      <c r="B97" s="13"/>
      <c r="C97" s="16">
        <v>7</v>
      </c>
      <c r="D97" s="19">
        <v>20.8061580367742</v>
      </c>
      <c r="E97" s="20">
        <f t="shared" si="93"/>
        <v>18.480358753</v>
      </c>
      <c r="F97" s="16" t="s">
        <v>110</v>
      </c>
      <c r="G97" s="13">
        <v>8</v>
      </c>
      <c r="H97" s="18">
        <f t="shared" si="76"/>
        <v>20.8061580367742</v>
      </c>
      <c r="I97" s="18">
        <f t="shared" si="77"/>
        <v>293.956158036774</v>
      </c>
      <c r="J97" s="18">
        <f t="shared" si="78"/>
        <v>0.217244494229754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0.984267732542912</v>
      </c>
      <c r="P97" s="18">
        <f t="shared" si="81"/>
        <v>0.213826745742952</v>
      </c>
      <c r="Q97" s="24">
        <f t="shared" si="82"/>
        <v>0.0555949538931674</v>
      </c>
      <c r="R97" s="18">
        <f t="shared" si="83"/>
        <v>0.074022</v>
      </c>
      <c r="S97" s="25">
        <f t="shared" si="84"/>
        <v>0.751059872648232</v>
      </c>
      <c r="T97" s="3">
        <v>0.01</v>
      </c>
      <c r="U97" s="26">
        <f t="shared" si="85"/>
        <v>0.00751059872648232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0.0174605987264823</v>
      </c>
      <c r="AU97" s="29">
        <f t="shared" si="89"/>
        <v>28.47</v>
      </c>
      <c r="AV97" s="1">
        <f t="shared" si="90"/>
        <v>0.26</v>
      </c>
      <c r="AW97" s="2">
        <f t="shared" si="95"/>
        <v>3.1795</v>
      </c>
      <c r="AX97" s="1">
        <f t="shared" si="91"/>
        <v>2753.30027906078</v>
      </c>
      <c r="AZ97" s="2">
        <f t="shared" si="96"/>
        <v>1.3512724958459</v>
      </c>
      <c r="BA97" s="1">
        <f t="shared" si="92"/>
        <v>1170.13962569576</v>
      </c>
    </row>
    <row r="98" s="1" customFormat="1" spans="1:53">
      <c r="A98" s="13"/>
      <c r="B98" s="13"/>
      <c r="C98" s="16">
        <v>8</v>
      </c>
      <c r="D98" s="19">
        <v>20.0703764593548</v>
      </c>
      <c r="E98" s="20">
        <f t="shared" si="93"/>
        <v>20.8061580367742</v>
      </c>
      <c r="F98" s="16" t="s">
        <v>110</v>
      </c>
      <c r="G98" s="13">
        <v>9</v>
      </c>
      <c r="H98" s="18">
        <f t="shared" si="76"/>
        <v>20.0703764593548</v>
      </c>
      <c r="I98" s="18">
        <f t="shared" si="77"/>
        <v>293.220376459355</v>
      </c>
      <c r="J98" s="18">
        <f t="shared" si="78"/>
        <v>0.199917900236077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1.05514098679996</v>
      </c>
      <c r="P98" s="18">
        <f t="shared" si="81"/>
        <v>0.21094157053407</v>
      </c>
      <c r="Q98" s="24">
        <f t="shared" si="82"/>
        <v>0.0548448083388583</v>
      </c>
      <c r="R98" s="18">
        <f t="shared" si="83"/>
        <v>0.074022</v>
      </c>
      <c r="S98" s="25">
        <f t="shared" si="84"/>
        <v>0.740925783400317</v>
      </c>
      <c r="T98" s="3">
        <v>0.01</v>
      </c>
      <c r="U98" s="26">
        <f t="shared" si="85"/>
        <v>0.00740925783400317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0.0128992578340032</v>
      </c>
      <c r="AU98" s="29">
        <f t="shared" si="89"/>
        <v>28.47</v>
      </c>
      <c r="AV98" s="1">
        <f t="shared" si="90"/>
        <v>0.26</v>
      </c>
      <c r="AW98" s="2">
        <f t="shared" si="95"/>
        <v>3.1795</v>
      </c>
      <c r="AX98" s="1">
        <f t="shared" si="91"/>
        <v>2034.03850866648</v>
      </c>
      <c r="AZ98" s="2">
        <f t="shared" si="96"/>
        <v>1.3512724958459</v>
      </c>
      <c r="BA98" s="1">
        <f t="shared" si="92"/>
        <v>864.456767495652</v>
      </c>
    </row>
    <row r="99" s="1" customFormat="1" spans="1:53">
      <c r="A99" s="13"/>
      <c r="B99" s="13"/>
      <c r="C99" s="16">
        <v>9</v>
      </c>
      <c r="D99" s="19">
        <v>14.5370466533333</v>
      </c>
      <c r="E99" s="20">
        <f t="shared" si="93"/>
        <v>20.0703764593548</v>
      </c>
      <c r="F99" s="16" t="s">
        <v>110</v>
      </c>
      <c r="G99" s="13">
        <v>10</v>
      </c>
      <c r="H99" s="18">
        <f t="shared" si="76"/>
        <v>14.5370466533333</v>
      </c>
      <c r="I99" s="18">
        <f t="shared" si="77"/>
        <v>287.687046653333</v>
      </c>
      <c r="J99" s="18">
        <f t="shared" si="78"/>
        <v>0.10555372793282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1.12889941626589</v>
      </c>
      <c r="P99" s="18">
        <f t="shared" si="81"/>
        <v>0.119159541848049</v>
      </c>
      <c r="Q99" s="24">
        <f t="shared" si="82"/>
        <v>0.0309814808804927</v>
      </c>
      <c r="R99" s="18">
        <f t="shared" si="83"/>
        <v>0.074022</v>
      </c>
      <c r="S99" s="25">
        <f t="shared" si="84"/>
        <v>0.418544228479273</v>
      </c>
      <c r="T99" s="3">
        <v>0.01</v>
      </c>
      <c r="U99" s="26">
        <f t="shared" si="85"/>
        <v>0.00418544228479273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0.00967544228479273</v>
      </c>
      <c r="AU99" s="29">
        <f t="shared" si="89"/>
        <v>28.47</v>
      </c>
      <c r="AV99" s="1">
        <f t="shared" si="90"/>
        <v>0.26</v>
      </c>
      <c r="AW99" s="2">
        <f t="shared" si="95"/>
        <v>3.1795</v>
      </c>
      <c r="AX99" s="1">
        <f t="shared" si="91"/>
        <v>1525.68639598553</v>
      </c>
      <c r="AZ99" s="2">
        <f t="shared" si="96"/>
        <v>1.3512724958459</v>
      </c>
      <c r="BA99" s="1">
        <f t="shared" si="92"/>
        <v>648.409518534833</v>
      </c>
    </row>
    <row r="100" s="1" customFormat="1" spans="1:53">
      <c r="A100" s="13"/>
      <c r="B100" s="13"/>
      <c r="C100" s="16">
        <v>10</v>
      </c>
      <c r="D100" s="19">
        <v>6.39726508267742</v>
      </c>
      <c r="E100" s="20">
        <f t="shared" si="93"/>
        <v>14.5370466533333</v>
      </c>
      <c r="F100" s="16" t="s">
        <v>110</v>
      </c>
      <c r="G100" s="13">
        <v>11</v>
      </c>
      <c r="H100" s="18">
        <f t="shared" si="76"/>
        <v>6.39726508267742</v>
      </c>
      <c r="I100" s="18">
        <f t="shared" si="77"/>
        <v>279.547265082677</v>
      </c>
      <c r="J100" s="18">
        <f t="shared" si="78"/>
        <v>0.0393985265369176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0.959252880696948</v>
      </c>
      <c r="O100" s="18">
        <f t="shared" si="94"/>
        <v>0.335186993720892</v>
      </c>
      <c r="P100" s="18">
        <f t="shared" si="81"/>
        <v>0.0132058736669422</v>
      </c>
      <c r="Q100" s="24">
        <f t="shared" si="82"/>
        <v>0.00343352715340497</v>
      </c>
      <c r="R100" s="18">
        <f t="shared" si="83"/>
        <v>0.074022</v>
      </c>
      <c r="S100" s="25">
        <f t="shared" si="84"/>
        <v>0.0463852253844124</v>
      </c>
      <c r="T100" s="3">
        <v>0.01</v>
      </c>
      <c r="U100" s="26">
        <f t="shared" si="85"/>
        <v>0.000463852253844124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0.00595385225384412</v>
      </c>
      <c r="AU100" s="29">
        <f t="shared" si="89"/>
        <v>28.47</v>
      </c>
      <c r="AV100" s="1">
        <f t="shared" si="90"/>
        <v>0.26</v>
      </c>
      <c r="AW100" s="2">
        <f t="shared" si="95"/>
        <v>3.1795</v>
      </c>
      <c r="AX100" s="1">
        <f t="shared" si="91"/>
        <v>938.841979521183</v>
      </c>
      <c r="AZ100" s="2">
        <f t="shared" si="96"/>
        <v>1.3512724958459</v>
      </c>
      <c r="BA100" s="1">
        <f t="shared" si="92"/>
        <v>399.003410873563</v>
      </c>
    </row>
    <row r="101" s="1" customFormat="1" spans="1:54">
      <c r="A101" s="13"/>
      <c r="B101" s="13"/>
      <c r="C101" s="16">
        <v>11</v>
      </c>
      <c r="D101" s="19">
        <v>-1.1188971066</v>
      </c>
      <c r="E101" s="20">
        <f t="shared" si="93"/>
        <v>6.39726508267742</v>
      </c>
      <c r="F101" s="16" t="s">
        <v>112</v>
      </c>
      <c r="G101" s="13">
        <v>12</v>
      </c>
      <c r="H101" s="18">
        <f t="shared" si="76"/>
        <v>-1.1188971066</v>
      </c>
      <c r="I101" s="18">
        <f t="shared" si="77"/>
        <v>272.0311028934</v>
      </c>
      <c r="J101" s="18">
        <f t="shared" si="78"/>
        <v>0.0150498381133797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0.60668112005395</v>
      </c>
      <c r="P101" s="18">
        <f t="shared" si="81"/>
        <v>0.00913045264325582</v>
      </c>
      <c r="Q101" s="24">
        <f t="shared" si="82"/>
        <v>0.00237391768724651</v>
      </c>
      <c r="R101" s="18">
        <f t="shared" si="83"/>
        <v>0.074022</v>
      </c>
      <c r="S101" s="25">
        <f t="shared" si="84"/>
        <v>0.032070434293136</v>
      </c>
      <c r="T101" s="3">
        <v>0.01</v>
      </c>
      <c r="U101" s="26">
        <f t="shared" si="85"/>
        <v>0.00032070434293136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0.00581070434293136</v>
      </c>
      <c r="AU101" s="29">
        <f t="shared" si="89"/>
        <v>28.47</v>
      </c>
      <c r="AV101" s="1">
        <f t="shared" si="90"/>
        <v>0.26</v>
      </c>
      <c r="AW101" s="2">
        <f t="shared" si="95"/>
        <v>3.1795</v>
      </c>
      <c r="AX101" s="1">
        <f t="shared" si="91"/>
        <v>916.269489926922</v>
      </c>
      <c r="AY101" s="1">
        <f>SUM(AX90:AX101)</f>
        <v>17013.8758755348</v>
      </c>
      <c r="AZ101" s="2">
        <f t="shared" si="96"/>
        <v>1.3512724958459</v>
      </c>
      <c r="BA101" s="1">
        <f t="shared" si="92"/>
        <v>389.410209316245</v>
      </c>
      <c r="BB101" s="1">
        <f>SUM(BA90:BA101)</f>
        <v>7230.81695812119</v>
      </c>
    </row>
    <row r="102" s="1" customFormat="1" spans="1:46">
      <c r="A102" s="13"/>
      <c r="B102" s="13"/>
      <c r="C102" s="16">
        <v>12</v>
      </c>
      <c r="D102" s="19">
        <v>-4.66046114064516</v>
      </c>
      <c r="E102" s="20">
        <f t="shared" si="93"/>
        <v>-1.1188971066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3" t="s">
        <v>80</v>
      </c>
      <c r="T103" s="23"/>
      <c r="U103" s="23"/>
      <c r="V103" s="23" t="s">
        <v>81</v>
      </c>
      <c r="W103" s="23"/>
      <c r="X103" s="23"/>
      <c r="Y103" s="23" t="s">
        <v>82</v>
      </c>
      <c r="Z103" s="23"/>
      <c r="AA103" s="23"/>
      <c r="AB103" s="23" t="s">
        <v>83</v>
      </c>
      <c r="AC103" s="23"/>
      <c r="AD103" s="23"/>
      <c r="AE103" s="23" t="s">
        <v>84</v>
      </c>
      <c r="AF103" s="23"/>
      <c r="AG103" s="23"/>
      <c r="AH103" s="23" t="s">
        <v>85</v>
      </c>
      <c r="AI103" s="23"/>
      <c r="AJ103" s="23"/>
      <c r="AK103" s="31" t="s">
        <v>115</v>
      </c>
      <c r="AL103" s="32"/>
      <c r="AM103" s="33"/>
      <c r="AN103" s="32" t="s">
        <v>116</v>
      </c>
      <c r="AO103" s="32"/>
      <c r="AP103" s="33"/>
      <c r="AQ103" s="23" t="s">
        <v>87</v>
      </c>
      <c r="AR103" s="23"/>
      <c r="AS103" s="23"/>
      <c r="AT103" s="2"/>
    </row>
    <row r="104" s="1" customFormat="1" spans="1:50">
      <c r="A104" s="15" t="s">
        <v>52</v>
      </c>
      <c r="B104" s="15"/>
      <c r="C104" s="16" t="s">
        <v>88</v>
      </c>
      <c r="D104" s="16" t="s">
        <v>89</v>
      </c>
      <c r="E104" s="16" t="s">
        <v>90</v>
      </c>
      <c r="F104" s="16" t="s">
        <v>91</v>
      </c>
      <c r="G104" s="13" t="s">
        <v>88</v>
      </c>
      <c r="H104" s="13" t="s">
        <v>90</v>
      </c>
      <c r="I104" s="13" t="s">
        <v>92</v>
      </c>
      <c r="J104" s="13" t="s">
        <v>93</v>
      </c>
      <c r="K104" s="22" t="s">
        <v>94</v>
      </c>
      <c r="L104" s="22" t="s">
        <v>95</v>
      </c>
      <c r="M104" s="13" t="s">
        <v>96</v>
      </c>
      <c r="N104" s="22" t="s">
        <v>97</v>
      </c>
      <c r="O104" s="13" t="s">
        <v>98</v>
      </c>
      <c r="P104" s="13" t="s">
        <v>99</v>
      </c>
      <c r="Q104" s="22" t="s">
        <v>100</v>
      </c>
      <c r="R104" s="22" t="s">
        <v>101</v>
      </c>
      <c r="S104" s="4" t="s">
        <v>102</v>
      </c>
      <c r="T104" s="3" t="s">
        <v>103</v>
      </c>
      <c r="U104" s="3"/>
      <c r="V104" s="4" t="s">
        <v>102</v>
      </c>
      <c r="W104" s="3" t="s">
        <v>103</v>
      </c>
      <c r="X104" s="3"/>
      <c r="Y104" s="4" t="s">
        <v>102</v>
      </c>
      <c r="Z104" s="3" t="s">
        <v>103</v>
      </c>
      <c r="AA104" s="3"/>
      <c r="AB104" s="4" t="s">
        <v>102</v>
      </c>
      <c r="AC104" s="3" t="s">
        <v>103</v>
      </c>
      <c r="AD104" s="3"/>
      <c r="AE104" s="4" t="s">
        <v>102</v>
      </c>
      <c r="AF104" s="3" t="s">
        <v>103</v>
      </c>
      <c r="AG104" s="3"/>
      <c r="AH104" s="4" t="s">
        <v>102</v>
      </c>
      <c r="AI104" s="3" t="s">
        <v>103</v>
      </c>
      <c r="AJ104" s="3"/>
      <c r="AK104" s="4" t="s">
        <v>102</v>
      </c>
      <c r="AL104" s="3" t="s">
        <v>103</v>
      </c>
      <c r="AM104" s="3"/>
      <c r="AN104" s="4" t="s">
        <v>102</v>
      </c>
      <c r="AO104" s="3" t="s">
        <v>103</v>
      </c>
      <c r="AP104" s="3"/>
      <c r="AQ104" s="34" t="s">
        <v>102</v>
      </c>
      <c r="AR104" s="34" t="s">
        <v>103</v>
      </c>
      <c r="AS104" s="34"/>
      <c r="AT104" s="2" t="s">
        <v>104</v>
      </c>
      <c r="AU104" s="1" t="s">
        <v>105</v>
      </c>
      <c r="AV104" s="1" t="s">
        <v>73</v>
      </c>
      <c r="AW104" s="1" t="s">
        <v>106</v>
      </c>
      <c r="AX104" s="1" t="s">
        <v>107</v>
      </c>
    </row>
    <row r="105" s="1" customFormat="1" spans="1:52">
      <c r="A105" s="13" t="s">
        <v>108</v>
      </c>
      <c r="B105" s="13">
        <f>F11</f>
        <v>910.8575</v>
      </c>
      <c r="C105" s="16" t="s">
        <v>109</v>
      </c>
      <c r="D105" s="17">
        <v>-7</v>
      </c>
      <c r="E105" s="16"/>
      <c r="F105" s="16"/>
      <c r="G105" s="13">
        <v>1</v>
      </c>
      <c r="H105" s="18">
        <f t="shared" ref="H105:H116" si="97">E106</f>
        <v>-7</v>
      </c>
      <c r="I105" s="18">
        <f t="shared" ref="I105:I116" si="98">H105+273.15</f>
        <v>266.15</v>
      </c>
      <c r="J105" s="18">
        <f t="shared" ref="J105:J116" si="99">EXP(($C$16*(I105-$C$14))/($C$17*I105*$C$14))</f>
        <v>0.00682404760193068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110</v>
      </c>
      <c r="N105" s="13"/>
      <c r="O105" s="18">
        <f>L105</f>
        <v>0.759047916666667</v>
      </c>
      <c r="P105" s="18">
        <f t="shared" ref="P105:P116" si="102">O105*J105</f>
        <v>0.00517977911547965</v>
      </c>
      <c r="Q105" s="24">
        <f t="shared" ref="Q105:Q116" si="103">P105*$B$107</f>
        <v>0.00108775361425073</v>
      </c>
      <c r="R105" s="18">
        <f t="shared" ref="R105:R116" si="104">L105*$B$107</f>
        <v>0.1594000625</v>
      </c>
      <c r="S105" s="25">
        <f t="shared" ref="S105:S116" si="105">Q105/R105</f>
        <v>0.00682404760193068</v>
      </c>
      <c r="T105" s="3">
        <v>0.01</v>
      </c>
      <c r="U105" s="26">
        <f t="shared" ref="U105:U116" si="106">S105*T105</f>
        <v>6.82404760193068e-5</v>
      </c>
      <c r="V105" s="25"/>
      <c r="W105" s="3"/>
      <c r="X105" s="3"/>
      <c r="Y105" s="28"/>
      <c r="Z105" s="3"/>
      <c r="AA105" s="27"/>
      <c r="AB105" s="3"/>
      <c r="AC105" s="3"/>
      <c r="AD105" s="3"/>
      <c r="AE105" s="25">
        <v>0.001</v>
      </c>
      <c r="AF105" s="3">
        <v>0.49</v>
      </c>
      <c r="AG105" s="26">
        <f t="shared" ref="AG105:AG116" si="107">AF105*AE105</f>
        <v>0.00049</v>
      </c>
      <c r="AH105" s="35"/>
      <c r="AI105" s="3"/>
      <c r="AJ105" s="26"/>
      <c r="AK105" s="36"/>
      <c r="AL105" s="27"/>
      <c r="AM105" s="27"/>
      <c r="AN105" s="36"/>
      <c r="AO105" s="27"/>
      <c r="AP105" s="26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0.00555824047601931</v>
      </c>
      <c r="AU105" s="29">
        <f t="shared" ref="AU105:AU116" si="110">$B$105/12</f>
        <v>75.9047916666667</v>
      </c>
      <c r="AV105" s="1">
        <f t="shared" ref="AV105:AV116" si="111">$B$107</f>
        <v>0.21</v>
      </c>
      <c r="AW105" s="2">
        <f t="shared" ref="AW105:AW116" si="112">$E$11/12</f>
        <v>0.2181</v>
      </c>
      <c r="AX105" s="1">
        <f t="shared" ref="AX105:AX116" si="113">AW105*10000*AV105*0.67*AU105*AT105</f>
        <v>129.466166325723</v>
      </c>
      <c r="AZ105" s="2"/>
    </row>
    <row r="106" s="1" customFormat="1" spans="1:52">
      <c r="A106" s="13" t="s">
        <v>111</v>
      </c>
      <c r="B106" s="13">
        <v>1</v>
      </c>
      <c r="C106" s="16">
        <v>1</v>
      </c>
      <c r="D106" s="19">
        <v>-10.1930773608065</v>
      </c>
      <c r="E106" s="20">
        <f t="shared" ref="E106:E117" si="114">D105</f>
        <v>-7</v>
      </c>
      <c r="F106" s="16" t="s">
        <v>110</v>
      </c>
      <c r="G106" s="13">
        <v>2</v>
      </c>
      <c r="H106" s="18">
        <f t="shared" si="97"/>
        <v>-10.1930773608065</v>
      </c>
      <c r="I106" s="18">
        <f t="shared" si="98"/>
        <v>262.956922639193</v>
      </c>
      <c r="J106" s="18">
        <f t="shared" si="99"/>
        <v>0.00437635594101708</v>
      </c>
      <c r="K106" s="18">
        <f t="shared" si="100"/>
        <v>75.9047916666667</v>
      </c>
      <c r="L106" s="18">
        <f t="shared" si="101"/>
        <v>0.759047916666667</v>
      </c>
      <c r="M106" s="13" t="s">
        <v>110</v>
      </c>
      <c r="N106" s="13"/>
      <c r="O106" s="18">
        <f t="shared" ref="O106:O116" si="115">L106+O105-P105-N106</f>
        <v>1.51291605421785</v>
      </c>
      <c r="P106" s="18">
        <f t="shared" si="102"/>
        <v>0.00662105916213642</v>
      </c>
      <c r="Q106" s="24">
        <f t="shared" si="103"/>
        <v>0.00139042242404865</v>
      </c>
      <c r="R106" s="18">
        <f t="shared" si="104"/>
        <v>0.1594000625</v>
      </c>
      <c r="S106" s="25">
        <f t="shared" si="105"/>
        <v>0.00872284742076967</v>
      </c>
      <c r="T106" s="3">
        <v>0.01</v>
      </c>
      <c r="U106" s="26">
        <f t="shared" si="106"/>
        <v>8.72284742076967e-5</v>
      </c>
      <c r="V106" s="25"/>
      <c r="W106" s="3"/>
      <c r="X106" s="3"/>
      <c r="Y106" s="28"/>
      <c r="Z106" s="3"/>
      <c r="AA106" s="27"/>
      <c r="AB106" s="3"/>
      <c r="AC106" s="3"/>
      <c r="AD106" s="3"/>
      <c r="AE106" s="25">
        <v>0.001</v>
      </c>
      <c r="AF106" s="3">
        <v>0.49</v>
      </c>
      <c r="AG106" s="26">
        <f t="shared" si="107"/>
        <v>0.00049</v>
      </c>
      <c r="AH106" s="35"/>
      <c r="AI106" s="3"/>
      <c r="AJ106" s="26"/>
      <c r="AK106" s="36"/>
      <c r="AL106" s="27"/>
      <c r="AM106" s="27"/>
      <c r="AN106" s="36"/>
      <c r="AO106" s="27"/>
      <c r="AP106" s="26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0.0055772284742077</v>
      </c>
      <c r="AU106" s="29">
        <f t="shared" si="110"/>
        <v>75.9047916666667</v>
      </c>
      <c r="AV106" s="1">
        <f t="shared" si="111"/>
        <v>0.21</v>
      </c>
      <c r="AW106" s="2">
        <f t="shared" si="112"/>
        <v>0.2181</v>
      </c>
      <c r="AX106" s="1">
        <f t="shared" si="113"/>
        <v>129.908447177416</v>
      </c>
      <c r="AZ106" s="2"/>
    </row>
    <row r="107" s="1" customFormat="1" spans="1:52">
      <c r="A107" s="13" t="s">
        <v>73</v>
      </c>
      <c r="B107" s="13">
        <f>H11</f>
        <v>0.21</v>
      </c>
      <c r="C107" s="16">
        <v>2</v>
      </c>
      <c r="D107" s="19">
        <v>-6.03562805841379</v>
      </c>
      <c r="E107" s="20">
        <f t="shared" si="114"/>
        <v>-10.1930773608065</v>
      </c>
      <c r="F107" s="16" t="s">
        <v>110</v>
      </c>
      <c r="G107" s="13">
        <v>3</v>
      </c>
      <c r="H107" s="18">
        <f t="shared" si="97"/>
        <v>-6.03562805841379</v>
      </c>
      <c r="I107" s="18">
        <f t="shared" si="98"/>
        <v>267.114371941586</v>
      </c>
      <c r="J107" s="18">
        <f t="shared" si="99"/>
        <v>0.00778759939334208</v>
      </c>
      <c r="K107" s="18">
        <f t="shared" si="100"/>
        <v>75.9047916666667</v>
      </c>
      <c r="L107" s="18">
        <f t="shared" si="101"/>
        <v>0.759047916666667</v>
      </c>
      <c r="M107" s="13" t="s">
        <v>110</v>
      </c>
      <c r="N107" s="13"/>
      <c r="O107" s="18">
        <f t="shared" si="115"/>
        <v>2.26534291172238</v>
      </c>
      <c r="P107" s="18">
        <f t="shared" si="102"/>
        <v>0.017641583085041</v>
      </c>
      <c r="Q107" s="24">
        <f t="shared" si="103"/>
        <v>0.00370473244785861</v>
      </c>
      <c r="R107" s="18">
        <f t="shared" si="104"/>
        <v>0.1594000625</v>
      </c>
      <c r="S107" s="25">
        <f t="shared" si="105"/>
        <v>0.0232417251897791</v>
      </c>
      <c r="T107" s="3">
        <v>0.01</v>
      </c>
      <c r="U107" s="26">
        <f t="shared" si="106"/>
        <v>0.000232417251897791</v>
      </c>
      <c r="V107" s="25"/>
      <c r="W107" s="3"/>
      <c r="X107" s="3"/>
      <c r="Y107" s="28"/>
      <c r="Z107" s="3"/>
      <c r="AA107" s="27"/>
      <c r="AB107" s="3"/>
      <c r="AC107" s="3"/>
      <c r="AD107" s="3"/>
      <c r="AE107" s="25">
        <v>0.001</v>
      </c>
      <c r="AF107" s="3">
        <v>0.49</v>
      </c>
      <c r="AG107" s="26">
        <f t="shared" si="107"/>
        <v>0.00049</v>
      </c>
      <c r="AH107" s="35"/>
      <c r="AI107" s="3"/>
      <c r="AJ107" s="26"/>
      <c r="AK107" s="36"/>
      <c r="AL107" s="27"/>
      <c r="AM107" s="27"/>
      <c r="AN107" s="36"/>
      <c r="AO107" s="27"/>
      <c r="AP107" s="26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0.00572241725189779</v>
      </c>
      <c r="AU107" s="29">
        <f t="shared" si="110"/>
        <v>75.9047916666667</v>
      </c>
      <c r="AV107" s="1">
        <f t="shared" si="111"/>
        <v>0.21</v>
      </c>
      <c r="AW107" s="2">
        <f t="shared" si="112"/>
        <v>0.2181</v>
      </c>
      <c r="AX107" s="1">
        <f t="shared" si="113"/>
        <v>133.290278985909</v>
      </c>
      <c r="AZ107" s="2"/>
    </row>
    <row r="108" s="1" customFormat="1" spans="1:52">
      <c r="A108" s="13"/>
      <c r="B108" s="13"/>
      <c r="C108" s="16">
        <v>3</v>
      </c>
      <c r="D108" s="19">
        <v>2.8750121626129</v>
      </c>
      <c r="E108" s="20">
        <f t="shared" si="114"/>
        <v>-6.03562805841379</v>
      </c>
      <c r="F108" s="16" t="s">
        <v>110</v>
      </c>
      <c r="G108" s="13">
        <v>4</v>
      </c>
      <c r="H108" s="18">
        <f t="shared" si="97"/>
        <v>2.8750121626129</v>
      </c>
      <c r="I108" s="18">
        <f t="shared" si="98"/>
        <v>276.025012162613</v>
      </c>
      <c r="J108" s="18">
        <f t="shared" si="99"/>
        <v>0.0252611712736392</v>
      </c>
      <c r="K108" s="18">
        <f t="shared" si="100"/>
        <v>75.9047916666667</v>
      </c>
      <c r="L108" s="18">
        <f t="shared" si="101"/>
        <v>0.759047916666667</v>
      </c>
      <c r="M108" s="13" t="s">
        <v>110</v>
      </c>
      <c r="N108" s="13"/>
      <c r="O108" s="18">
        <f t="shared" si="115"/>
        <v>3.00674924530401</v>
      </c>
      <c r="P108" s="18">
        <f t="shared" si="102"/>
        <v>0.07595400766251</v>
      </c>
      <c r="Q108" s="24">
        <f t="shared" si="103"/>
        <v>0.0159503416091271</v>
      </c>
      <c r="R108" s="18">
        <f t="shared" si="104"/>
        <v>0.1594000625</v>
      </c>
      <c r="S108" s="25">
        <f t="shared" si="105"/>
        <v>0.100064839115901</v>
      </c>
      <c r="T108" s="3">
        <v>0.01</v>
      </c>
      <c r="U108" s="26">
        <f t="shared" si="106"/>
        <v>0.00100064839115901</v>
      </c>
      <c r="V108" s="25"/>
      <c r="W108" s="3"/>
      <c r="X108" s="3"/>
      <c r="Y108" s="28"/>
      <c r="Z108" s="3"/>
      <c r="AA108" s="27"/>
      <c r="AB108" s="3"/>
      <c r="AC108" s="3"/>
      <c r="AD108" s="3"/>
      <c r="AE108" s="25">
        <v>0.001</v>
      </c>
      <c r="AF108" s="3">
        <v>0.49</v>
      </c>
      <c r="AG108" s="26">
        <f t="shared" si="107"/>
        <v>0.00049</v>
      </c>
      <c r="AH108" s="35"/>
      <c r="AI108" s="3"/>
      <c r="AJ108" s="26"/>
      <c r="AK108" s="36"/>
      <c r="AL108" s="27"/>
      <c r="AM108" s="27"/>
      <c r="AN108" s="36"/>
      <c r="AO108" s="27"/>
      <c r="AP108" s="26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0.00649064839115901</v>
      </c>
      <c r="AU108" s="29">
        <f t="shared" si="110"/>
        <v>75.9047916666667</v>
      </c>
      <c r="AV108" s="1">
        <f t="shared" si="111"/>
        <v>0.21</v>
      </c>
      <c r="AW108" s="2">
        <f t="shared" si="112"/>
        <v>0.2181</v>
      </c>
      <c r="AX108" s="1">
        <f t="shared" si="113"/>
        <v>151.184420284996</v>
      </c>
      <c r="AZ108" s="2"/>
    </row>
    <row r="109" s="1" customFormat="1" spans="1:52">
      <c r="A109" s="13"/>
      <c r="B109" s="13"/>
      <c r="C109" s="16">
        <v>4</v>
      </c>
      <c r="D109" s="19">
        <v>9.5411822077</v>
      </c>
      <c r="E109" s="20">
        <f t="shared" si="114"/>
        <v>2.8750121626129</v>
      </c>
      <c r="F109" s="16" t="s">
        <v>110</v>
      </c>
      <c r="G109" s="13">
        <v>5</v>
      </c>
      <c r="H109" s="18">
        <f t="shared" si="97"/>
        <v>9.5411822077</v>
      </c>
      <c r="I109" s="18">
        <f t="shared" si="98"/>
        <v>282.6911822077</v>
      </c>
      <c r="J109" s="18">
        <f t="shared" si="99"/>
        <v>0.0580376823905174</v>
      </c>
      <c r="K109" s="18">
        <f t="shared" si="100"/>
        <v>75.9047916666667</v>
      </c>
      <c r="L109" s="18">
        <f t="shared" si="101"/>
        <v>0.759047916666667</v>
      </c>
      <c r="M109" s="13" t="s">
        <v>112</v>
      </c>
      <c r="N109" s="18">
        <f>(O108-P108)*$C$22/100</f>
        <v>2.78425547575942</v>
      </c>
      <c r="O109" s="18">
        <f t="shared" si="115"/>
        <v>0.905587678548742</v>
      </c>
      <c r="P109" s="18">
        <f t="shared" si="102"/>
        <v>0.0525582100643778</v>
      </c>
      <c r="Q109" s="24">
        <f t="shared" si="103"/>
        <v>0.0110372241135193</v>
      </c>
      <c r="R109" s="18">
        <f t="shared" si="104"/>
        <v>0.1594000625</v>
      </c>
      <c r="S109" s="25">
        <f t="shared" si="105"/>
        <v>0.0692422822200546</v>
      </c>
      <c r="T109" s="3">
        <v>0.01</v>
      </c>
      <c r="U109" s="26">
        <f t="shared" si="106"/>
        <v>0.000692422822200546</v>
      </c>
      <c r="V109" s="25"/>
      <c r="W109" s="3"/>
      <c r="X109" s="3"/>
      <c r="Y109" s="28"/>
      <c r="Z109" s="3"/>
      <c r="AA109" s="27"/>
      <c r="AB109" s="3"/>
      <c r="AC109" s="3"/>
      <c r="AD109" s="3"/>
      <c r="AE109" s="25">
        <v>0.001</v>
      </c>
      <c r="AF109" s="3">
        <v>0.49</v>
      </c>
      <c r="AG109" s="26">
        <f t="shared" si="107"/>
        <v>0.00049</v>
      </c>
      <c r="AH109" s="35"/>
      <c r="AI109" s="3"/>
      <c r="AJ109" s="26"/>
      <c r="AK109" s="36"/>
      <c r="AL109" s="27"/>
      <c r="AM109" s="27"/>
      <c r="AN109" s="36"/>
      <c r="AO109" s="27"/>
      <c r="AP109" s="26"/>
      <c r="AQ109" s="3">
        <v>0.01</v>
      </c>
      <c r="AR109" s="3">
        <v>0.5</v>
      </c>
      <c r="AS109" s="3">
        <f t="shared" si="108"/>
        <v>0.005</v>
      </c>
      <c r="AT109" s="2">
        <f t="shared" si="109"/>
        <v>0.00618242282220055</v>
      </c>
      <c r="AU109" s="29">
        <f t="shared" si="110"/>
        <v>75.9047916666667</v>
      </c>
      <c r="AV109" s="1">
        <f t="shared" si="111"/>
        <v>0.21</v>
      </c>
      <c r="AW109" s="2">
        <f t="shared" si="112"/>
        <v>0.2181</v>
      </c>
      <c r="AX109" s="1">
        <f t="shared" si="113"/>
        <v>144.005029082189</v>
      </c>
      <c r="AZ109" s="2"/>
    </row>
    <row r="110" s="1" customFormat="1" spans="1:52">
      <c r="A110" s="13"/>
      <c r="B110" s="13"/>
      <c r="C110" s="16">
        <v>5</v>
      </c>
      <c r="D110" s="19">
        <v>12.4306694236774</v>
      </c>
      <c r="E110" s="20">
        <f t="shared" si="114"/>
        <v>9.5411822077</v>
      </c>
      <c r="F110" s="16" t="s">
        <v>112</v>
      </c>
      <c r="G110" s="13">
        <v>6</v>
      </c>
      <c r="H110" s="18">
        <f t="shared" si="97"/>
        <v>12.4306694236774</v>
      </c>
      <c r="I110" s="18">
        <f t="shared" si="98"/>
        <v>285.580669423677</v>
      </c>
      <c r="J110" s="18">
        <f t="shared" si="99"/>
        <v>0.0822354628212173</v>
      </c>
      <c r="K110" s="18">
        <f t="shared" si="100"/>
        <v>75.9047916666667</v>
      </c>
      <c r="L110" s="18">
        <f t="shared" si="101"/>
        <v>0.759047916666667</v>
      </c>
      <c r="M110" s="13" t="s">
        <v>110</v>
      </c>
      <c r="N110" s="13"/>
      <c r="O110" s="18">
        <f t="shared" si="115"/>
        <v>1.61207738515103</v>
      </c>
      <c r="P110" s="18">
        <f t="shared" si="102"/>
        <v>0.132569929871513</v>
      </c>
      <c r="Q110" s="24">
        <f t="shared" si="103"/>
        <v>0.0278396852730177</v>
      </c>
      <c r="R110" s="18">
        <f t="shared" si="104"/>
        <v>0.1594000625</v>
      </c>
      <c r="S110" s="25">
        <f t="shared" si="105"/>
        <v>0.174652913156905</v>
      </c>
      <c r="T110" s="3">
        <v>0.01</v>
      </c>
      <c r="U110" s="26">
        <f t="shared" si="106"/>
        <v>0.00174652913156905</v>
      </c>
      <c r="V110" s="25"/>
      <c r="W110" s="3"/>
      <c r="X110" s="3"/>
      <c r="Y110" s="28"/>
      <c r="Z110" s="3"/>
      <c r="AA110" s="27"/>
      <c r="AB110" s="3"/>
      <c r="AC110" s="3"/>
      <c r="AD110" s="3"/>
      <c r="AE110" s="25">
        <v>0.005</v>
      </c>
      <c r="AF110" s="3">
        <v>0.49</v>
      </c>
      <c r="AG110" s="26">
        <f t="shared" si="107"/>
        <v>0.00245</v>
      </c>
      <c r="AH110" s="35"/>
      <c r="AI110" s="3"/>
      <c r="AJ110" s="26"/>
      <c r="AK110" s="36"/>
      <c r="AL110" s="27"/>
      <c r="AM110" s="27"/>
      <c r="AN110" s="36"/>
      <c r="AO110" s="27"/>
      <c r="AP110" s="26"/>
      <c r="AQ110" s="3">
        <v>0.015</v>
      </c>
      <c r="AR110" s="3">
        <v>0.5</v>
      </c>
      <c r="AS110" s="3">
        <f t="shared" si="108"/>
        <v>0.0075</v>
      </c>
      <c r="AT110" s="2">
        <f t="shared" si="109"/>
        <v>0.011696529131569</v>
      </c>
      <c r="AU110" s="29">
        <f t="shared" si="110"/>
        <v>75.9047916666667</v>
      </c>
      <c r="AV110" s="1">
        <f t="shared" si="111"/>
        <v>0.21</v>
      </c>
      <c r="AW110" s="2">
        <f t="shared" si="112"/>
        <v>0.2181</v>
      </c>
      <c r="AX110" s="1">
        <f t="shared" si="113"/>
        <v>272.443193581631</v>
      </c>
      <c r="AZ110" s="2"/>
    </row>
    <row r="111" s="1" customFormat="1" spans="1:52">
      <c r="A111" s="13"/>
      <c r="B111" s="13"/>
      <c r="C111" s="16">
        <v>6</v>
      </c>
      <c r="D111" s="19">
        <v>18.480358753</v>
      </c>
      <c r="E111" s="20">
        <f t="shared" si="114"/>
        <v>12.4306694236774</v>
      </c>
      <c r="F111" s="16" t="s">
        <v>110</v>
      </c>
      <c r="G111" s="13">
        <v>7</v>
      </c>
      <c r="H111" s="18">
        <f t="shared" si="97"/>
        <v>18.480358753</v>
      </c>
      <c r="I111" s="18">
        <f t="shared" si="98"/>
        <v>291.630358753</v>
      </c>
      <c r="J111" s="18">
        <f t="shared" si="99"/>
        <v>0.166810758353323</v>
      </c>
      <c r="K111" s="18">
        <f t="shared" si="100"/>
        <v>75.9047916666667</v>
      </c>
      <c r="L111" s="18">
        <f t="shared" si="101"/>
        <v>0.759047916666667</v>
      </c>
      <c r="M111" s="13" t="s">
        <v>110</v>
      </c>
      <c r="N111" s="13"/>
      <c r="O111" s="18">
        <f t="shared" si="115"/>
        <v>2.23855537194618</v>
      </c>
      <c r="P111" s="18">
        <f t="shared" si="102"/>
        <v>0.373415119210248</v>
      </c>
      <c r="Q111" s="24">
        <f t="shared" si="103"/>
        <v>0.0784171750341521</v>
      </c>
      <c r="R111" s="18">
        <f t="shared" si="104"/>
        <v>0.1594000625</v>
      </c>
      <c r="S111" s="25">
        <f t="shared" si="105"/>
        <v>0.491951971688544</v>
      </c>
      <c r="T111" s="3">
        <v>0.01</v>
      </c>
      <c r="U111" s="26">
        <f t="shared" si="106"/>
        <v>0.00491951971688544</v>
      </c>
      <c r="V111" s="25"/>
      <c r="W111" s="3"/>
      <c r="X111" s="3"/>
      <c r="Y111" s="28"/>
      <c r="Z111" s="3"/>
      <c r="AA111" s="27"/>
      <c r="AB111" s="3"/>
      <c r="AC111" s="3"/>
      <c r="AD111" s="3"/>
      <c r="AE111" s="25">
        <v>0.005</v>
      </c>
      <c r="AF111" s="3">
        <v>0.49</v>
      </c>
      <c r="AG111" s="26">
        <f t="shared" si="107"/>
        <v>0.00245</v>
      </c>
      <c r="AH111" s="35"/>
      <c r="AI111" s="3"/>
      <c r="AJ111" s="26"/>
      <c r="AK111" s="36"/>
      <c r="AL111" s="27"/>
      <c r="AM111" s="27"/>
      <c r="AN111" s="36"/>
      <c r="AO111" s="27"/>
      <c r="AP111" s="26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0.0148695197168854</v>
      </c>
      <c r="AU111" s="29">
        <f t="shared" si="110"/>
        <v>75.9047916666667</v>
      </c>
      <c r="AV111" s="1">
        <f t="shared" si="111"/>
        <v>0.21</v>
      </c>
      <c r="AW111" s="2">
        <f t="shared" si="112"/>
        <v>0.2181</v>
      </c>
      <c r="AX111" s="1">
        <f t="shared" si="113"/>
        <v>346.350562044884</v>
      </c>
      <c r="AZ111" s="2"/>
    </row>
    <row r="112" s="1" customFormat="1" spans="1:52">
      <c r="A112" s="13"/>
      <c r="B112" s="13"/>
      <c r="C112" s="16">
        <v>7</v>
      </c>
      <c r="D112" s="19">
        <v>20.8061580367742</v>
      </c>
      <c r="E112" s="20">
        <f t="shared" si="114"/>
        <v>18.480358753</v>
      </c>
      <c r="F112" s="16" t="s">
        <v>110</v>
      </c>
      <c r="G112" s="13">
        <v>8</v>
      </c>
      <c r="H112" s="18">
        <f t="shared" si="97"/>
        <v>20.8061580367742</v>
      </c>
      <c r="I112" s="18">
        <f t="shared" si="98"/>
        <v>293.956158036774</v>
      </c>
      <c r="J112" s="18">
        <f t="shared" si="99"/>
        <v>0.217244494229754</v>
      </c>
      <c r="K112" s="18">
        <f t="shared" si="100"/>
        <v>75.9047916666667</v>
      </c>
      <c r="L112" s="18">
        <f t="shared" si="101"/>
        <v>0.759047916666667</v>
      </c>
      <c r="M112" s="13" t="s">
        <v>110</v>
      </c>
      <c r="N112" s="13"/>
      <c r="O112" s="18">
        <f t="shared" si="115"/>
        <v>2.6241881694026</v>
      </c>
      <c r="P112" s="18">
        <f t="shared" si="102"/>
        <v>0.570090431625573</v>
      </c>
      <c r="Q112" s="24">
        <f t="shared" si="103"/>
        <v>0.11971899064137</v>
      </c>
      <c r="R112" s="18">
        <f t="shared" si="104"/>
        <v>0.1594000625</v>
      </c>
      <c r="S112" s="25">
        <f t="shared" si="105"/>
        <v>0.751059872648232</v>
      </c>
      <c r="T112" s="3">
        <v>0.01</v>
      </c>
      <c r="U112" s="26">
        <f t="shared" si="106"/>
        <v>0.00751059872648232</v>
      </c>
      <c r="V112" s="25"/>
      <c r="W112" s="3"/>
      <c r="X112" s="3"/>
      <c r="Y112" s="28"/>
      <c r="Z112" s="3"/>
      <c r="AA112" s="27"/>
      <c r="AB112" s="3"/>
      <c r="AC112" s="3"/>
      <c r="AD112" s="3"/>
      <c r="AE112" s="25">
        <v>0.005</v>
      </c>
      <c r="AF112" s="3">
        <v>0.49</v>
      </c>
      <c r="AG112" s="26">
        <f t="shared" si="107"/>
        <v>0.00245</v>
      </c>
      <c r="AH112" s="35"/>
      <c r="AI112" s="3"/>
      <c r="AJ112" s="26"/>
      <c r="AK112" s="36"/>
      <c r="AL112" s="27"/>
      <c r="AM112" s="27"/>
      <c r="AN112" s="36"/>
      <c r="AO112" s="27"/>
      <c r="AP112" s="26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0.0174605987264823</v>
      </c>
      <c r="AU112" s="29">
        <f t="shared" si="110"/>
        <v>75.9047916666667</v>
      </c>
      <c r="AV112" s="1">
        <f t="shared" si="111"/>
        <v>0.21</v>
      </c>
      <c r="AW112" s="2">
        <f t="shared" si="112"/>
        <v>0.2181</v>
      </c>
      <c r="AX112" s="1">
        <f t="shared" si="113"/>
        <v>406.703666137243</v>
      </c>
      <c r="AZ112" s="2"/>
    </row>
    <row r="113" s="1" customFormat="1" spans="1:52">
      <c r="A113" s="13"/>
      <c r="B113" s="13"/>
      <c r="C113" s="16">
        <v>8</v>
      </c>
      <c r="D113" s="19">
        <v>20.0703764593548</v>
      </c>
      <c r="E113" s="20">
        <f t="shared" si="114"/>
        <v>20.8061580367742</v>
      </c>
      <c r="F113" s="16" t="s">
        <v>110</v>
      </c>
      <c r="G113" s="13">
        <v>9</v>
      </c>
      <c r="H113" s="18">
        <f t="shared" si="97"/>
        <v>20.0703764593548</v>
      </c>
      <c r="I113" s="18">
        <f t="shared" si="98"/>
        <v>293.220376459355</v>
      </c>
      <c r="J113" s="18">
        <f t="shared" si="99"/>
        <v>0.199917900236077</v>
      </c>
      <c r="K113" s="18">
        <f t="shared" si="100"/>
        <v>75.9047916666667</v>
      </c>
      <c r="L113" s="18">
        <f t="shared" si="101"/>
        <v>0.759047916666667</v>
      </c>
      <c r="M113" s="13" t="s">
        <v>110</v>
      </c>
      <c r="N113" s="13"/>
      <c r="O113" s="18">
        <f t="shared" si="115"/>
        <v>2.8131456544437</v>
      </c>
      <c r="P113" s="18">
        <f t="shared" si="102"/>
        <v>0.562398172294629</v>
      </c>
      <c r="Q113" s="24">
        <f t="shared" si="103"/>
        <v>0.118103616181872</v>
      </c>
      <c r="R113" s="18">
        <f t="shared" si="104"/>
        <v>0.1594000625</v>
      </c>
      <c r="S113" s="25">
        <f t="shared" si="105"/>
        <v>0.740925783400317</v>
      </c>
      <c r="T113" s="3">
        <v>0.01</v>
      </c>
      <c r="U113" s="26">
        <f t="shared" si="106"/>
        <v>0.00740925783400317</v>
      </c>
      <c r="V113" s="25"/>
      <c r="W113" s="3"/>
      <c r="X113" s="3"/>
      <c r="Y113" s="28"/>
      <c r="Z113" s="3"/>
      <c r="AA113" s="27"/>
      <c r="AB113" s="3"/>
      <c r="AC113" s="3"/>
      <c r="AD113" s="3"/>
      <c r="AE113" s="25">
        <v>0.001</v>
      </c>
      <c r="AF113" s="3">
        <v>0.49</v>
      </c>
      <c r="AG113" s="26">
        <f t="shared" si="107"/>
        <v>0.00049</v>
      </c>
      <c r="AH113" s="35"/>
      <c r="AI113" s="3"/>
      <c r="AJ113" s="26"/>
      <c r="AK113" s="36"/>
      <c r="AL113" s="27"/>
      <c r="AM113" s="27"/>
      <c r="AN113" s="36"/>
      <c r="AO113" s="27"/>
      <c r="AP113" s="26"/>
      <c r="AQ113" s="3">
        <v>0.01</v>
      </c>
      <c r="AR113" s="3">
        <v>0.5</v>
      </c>
      <c r="AS113" s="3">
        <f t="shared" si="108"/>
        <v>0.005</v>
      </c>
      <c r="AT113" s="2">
        <f t="shared" si="109"/>
        <v>0.0128992578340032</v>
      </c>
      <c r="AU113" s="29">
        <f t="shared" si="110"/>
        <v>75.9047916666667</v>
      </c>
      <c r="AV113" s="1">
        <f t="shared" si="111"/>
        <v>0.21</v>
      </c>
      <c r="AW113" s="2">
        <f t="shared" si="112"/>
        <v>0.2181</v>
      </c>
      <c r="AX113" s="1">
        <f t="shared" si="113"/>
        <v>300.457935819911</v>
      </c>
      <c r="AZ113" s="2"/>
    </row>
    <row r="114" s="1" customFormat="1" spans="1:52">
      <c r="A114" s="13"/>
      <c r="B114" s="13"/>
      <c r="C114" s="16">
        <v>9</v>
      </c>
      <c r="D114" s="19">
        <v>14.5370466533333</v>
      </c>
      <c r="E114" s="20">
        <f t="shared" si="114"/>
        <v>20.0703764593548</v>
      </c>
      <c r="F114" s="16" t="s">
        <v>110</v>
      </c>
      <c r="G114" s="13">
        <v>10</v>
      </c>
      <c r="H114" s="18">
        <f t="shared" si="97"/>
        <v>14.5370466533333</v>
      </c>
      <c r="I114" s="18">
        <f t="shared" si="98"/>
        <v>287.687046653333</v>
      </c>
      <c r="J114" s="18">
        <f t="shared" si="99"/>
        <v>0.10555372793282</v>
      </c>
      <c r="K114" s="18">
        <f t="shared" si="100"/>
        <v>75.9047916666667</v>
      </c>
      <c r="L114" s="18">
        <f t="shared" si="101"/>
        <v>0.759047916666667</v>
      </c>
      <c r="M114" s="13" t="s">
        <v>110</v>
      </c>
      <c r="N114" s="13"/>
      <c r="O114" s="18">
        <f t="shared" si="115"/>
        <v>3.00979539881574</v>
      </c>
      <c r="P114" s="18">
        <f t="shared" si="102"/>
        <v>0.31769512466005</v>
      </c>
      <c r="Q114" s="24">
        <f t="shared" si="103"/>
        <v>0.0667159761786104</v>
      </c>
      <c r="R114" s="18">
        <f t="shared" si="104"/>
        <v>0.1594000625</v>
      </c>
      <c r="S114" s="25">
        <f t="shared" si="105"/>
        <v>0.418544228479273</v>
      </c>
      <c r="T114" s="3">
        <v>0.01</v>
      </c>
      <c r="U114" s="26">
        <f t="shared" si="106"/>
        <v>0.00418544228479273</v>
      </c>
      <c r="V114" s="25"/>
      <c r="W114" s="3"/>
      <c r="X114" s="3"/>
      <c r="Y114" s="28"/>
      <c r="Z114" s="3"/>
      <c r="AA114" s="27"/>
      <c r="AB114" s="3"/>
      <c r="AC114" s="3"/>
      <c r="AD114" s="3"/>
      <c r="AE114" s="25">
        <v>0.001</v>
      </c>
      <c r="AF114" s="3">
        <v>0.49</v>
      </c>
      <c r="AG114" s="26">
        <f t="shared" si="107"/>
        <v>0.00049</v>
      </c>
      <c r="AH114" s="35"/>
      <c r="AI114" s="3"/>
      <c r="AJ114" s="26"/>
      <c r="AK114" s="36"/>
      <c r="AL114" s="27"/>
      <c r="AM114" s="27"/>
      <c r="AN114" s="36"/>
      <c r="AO114" s="27"/>
      <c r="AP114" s="26"/>
      <c r="AQ114" s="3">
        <v>0.01</v>
      </c>
      <c r="AR114" s="3">
        <v>0.5</v>
      </c>
      <c r="AS114" s="3">
        <f t="shared" si="108"/>
        <v>0.005</v>
      </c>
      <c r="AT114" s="2">
        <f t="shared" si="109"/>
        <v>0.00967544228479273</v>
      </c>
      <c r="AU114" s="29">
        <f t="shared" si="110"/>
        <v>75.9047916666667</v>
      </c>
      <c r="AV114" s="1">
        <f t="shared" si="111"/>
        <v>0.21</v>
      </c>
      <c r="AW114" s="2">
        <f t="shared" si="112"/>
        <v>0.2181</v>
      </c>
      <c r="AX114" s="1">
        <f t="shared" si="113"/>
        <v>225.366719112345</v>
      </c>
      <c r="AZ114" s="2"/>
    </row>
    <row r="115" s="1" customFormat="1" spans="1:52">
      <c r="A115" s="13"/>
      <c r="B115" s="13"/>
      <c r="C115" s="16">
        <v>10</v>
      </c>
      <c r="D115" s="19">
        <v>6.39726508267742</v>
      </c>
      <c r="E115" s="20">
        <f t="shared" si="114"/>
        <v>14.5370466533333</v>
      </c>
      <c r="F115" s="16" t="s">
        <v>110</v>
      </c>
      <c r="G115" s="13">
        <v>11</v>
      </c>
      <c r="H115" s="18">
        <f t="shared" si="97"/>
        <v>6.39726508267742</v>
      </c>
      <c r="I115" s="18">
        <f t="shared" si="98"/>
        <v>279.547265082677</v>
      </c>
      <c r="J115" s="18">
        <f t="shared" si="99"/>
        <v>0.0393985265369176</v>
      </c>
      <c r="K115" s="18">
        <f t="shared" si="100"/>
        <v>75.9047916666667</v>
      </c>
      <c r="L115" s="18">
        <f t="shared" si="101"/>
        <v>0.759047916666667</v>
      </c>
      <c r="M115" s="13" t="s">
        <v>112</v>
      </c>
      <c r="N115" s="18">
        <f>(O114-P114)*$C$22/100</f>
        <v>2.5574952604479</v>
      </c>
      <c r="O115" s="18">
        <f t="shared" si="115"/>
        <v>0.893652930374451</v>
      </c>
      <c r="P115" s="18">
        <f t="shared" si="102"/>
        <v>0.035208608692152</v>
      </c>
      <c r="Q115" s="24">
        <f t="shared" si="103"/>
        <v>0.00739380782535192</v>
      </c>
      <c r="R115" s="18">
        <f t="shared" si="104"/>
        <v>0.1594000625</v>
      </c>
      <c r="S115" s="25">
        <f t="shared" si="105"/>
        <v>0.0463852253844124</v>
      </c>
      <c r="T115" s="3">
        <v>0.01</v>
      </c>
      <c r="U115" s="26">
        <f t="shared" si="106"/>
        <v>0.000463852253844124</v>
      </c>
      <c r="V115" s="25"/>
      <c r="W115" s="3"/>
      <c r="X115" s="3"/>
      <c r="Y115" s="28"/>
      <c r="Z115" s="3"/>
      <c r="AA115" s="27"/>
      <c r="AB115" s="3"/>
      <c r="AC115" s="3"/>
      <c r="AD115" s="3"/>
      <c r="AE115" s="25">
        <v>0.001</v>
      </c>
      <c r="AF115" s="3">
        <v>0.49</v>
      </c>
      <c r="AG115" s="26">
        <f t="shared" si="107"/>
        <v>0.00049</v>
      </c>
      <c r="AH115" s="35"/>
      <c r="AI115" s="3"/>
      <c r="AJ115" s="26"/>
      <c r="AK115" s="36"/>
      <c r="AL115" s="27"/>
      <c r="AM115" s="27"/>
      <c r="AN115" s="36"/>
      <c r="AO115" s="27"/>
      <c r="AP115" s="26"/>
      <c r="AQ115" s="3">
        <v>0.01</v>
      </c>
      <c r="AR115" s="3">
        <v>0.5</v>
      </c>
      <c r="AS115" s="3">
        <f t="shared" si="108"/>
        <v>0.005</v>
      </c>
      <c r="AT115" s="2">
        <f t="shared" si="109"/>
        <v>0.00595385225384412</v>
      </c>
      <c r="AU115" s="29">
        <f t="shared" si="110"/>
        <v>75.9047916666667</v>
      </c>
      <c r="AV115" s="1">
        <f t="shared" si="111"/>
        <v>0.21</v>
      </c>
      <c r="AW115" s="2">
        <f t="shared" si="112"/>
        <v>0.2181</v>
      </c>
      <c r="AX115" s="1">
        <f t="shared" si="113"/>
        <v>138.681014162779</v>
      </c>
      <c r="AZ115" s="2"/>
    </row>
    <row r="116" s="1" customFormat="1" spans="1:52">
      <c r="A116" s="13"/>
      <c r="B116" s="13"/>
      <c r="C116" s="16">
        <v>11</v>
      </c>
      <c r="D116" s="19">
        <v>-1.1188971066</v>
      </c>
      <c r="E116" s="20">
        <f t="shared" si="114"/>
        <v>6.39726508267742</v>
      </c>
      <c r="F116" s="16" t="s">
        <v>112</v>
      </c>
      <c r="G116" s="13">
        <v>12</v>
      </c>
      <c r="H116" s="18">
        <f t="shared" si="97"/>
        <v>-1.1188971066</v>
      </c>
      <c r="I116" s="18">
        <f t="shared" si="98"/>
        <v>272.0311028934</v>
      </c>
      <c r="J116" s="18">
        <f t="shared" si="99"/>
        <v>0.0150498381133797</v>
      </c>
      <c r="K116" s="18">
        <f t="shared" si="100"/>
        <v>75.9047916666667</v>
      </c>
      <c r="L116" s="18">
        <f t="shared" si="101"/>
        <v>0.759047916666667</v>
      </c>
      <c r="M116" s="13" t="s">
        <v>110</v>
      </c>
      <c r="N116" s="13"/>
      <c r="O116" s="18">
        <f t="shared" si="115"/>
        <v>1.61749223834897</v>
      </c>
      <c r="P116" s="18">
        <f t="shared" si="102"/>
        <v>0.0243429963368001</v>
      </c>
      <c r="Q116" s="24">
        <f t="shared" si="103"/>
        <v>0.00511202923072802</v>
      </c>
      <c r="R116" s="18">
        <f t="shared" si="104"/>
        <v>0.1594000625</v>
      </c>
      <c r="S116" s="25">
        <f t="shared" si="105"/>
        <v>0.032070434293136</v>
      </c>
      <c r="T116" s="3">
        <v>0.01</v>
      </c>
      <c r="U116" s="26">
        <f t="shared" si="106"/>
        <v>0.00032070434293136</v>
      </c>
      <c r="V116" s="25"/>
      <c r="W116" s="3"/>
      <c r="X116" s="3"/>
      <c r="Y116" s="28"/>
      <c r="Z116" s="3"/>
      <c r="AA116" s="27"/>
      <c r="AB116" s="3"/>
      <c r="AC116" s="3"/>
      <c r="AD116" s="3"/>
      <c r="AE116" s="25">
        <v>0.001</v>
      </c>
      <c r="AF116" s="3">
        <v>0.49</v>
      </c>
      <c r="AG116" s="26">
        <f t="shared" si="107"/>
        <v>0.00049</v>
      </c>
      <c r="AH116" s="35"/>
      <c r="AI116" s="3"/>
      <c r="AJ116" s="26"/>
      <c r="AK116" s="36"/>
      <c r="AL116" s="27"/>
      <c r="AM116" s="27"/>
      <c r="AN116" s="36"/>
      <c r="AO116" s="27"/>
      <c r="AP116" s="26"/>
      <c r="AQ116" s="3">
        <v>0.01</v>
      </c>
      <c r="AR116" s="3">
        <v>0.5</v>
      </c>
      <c r="AS116" s="3">
        <f t="shared" si="108"/>
        <v>0.005</v>
      </c>
      <c r="AT116" s="2">
        <f t="shared" si="109"/>
        <v>0.00581070434293136</v>
      </c>
      <c r="AU116" s="29">
        <f t="shared" si="110"/>
        <v>75.9047916666667</v>
      </c>
      <c r="AV116" s="1">
        <f t="shared" si="111"/>
        <v>0.21</v>
      </c>
      <c r="AW116" s="2">
        <f t="shared" si="112"/>
        <v>0.2181</v>
      </c>
      <c r="AX116" s="1">
        <f t="shared" si="113"/>
        <v>135.346719555813</v>
      </c>
      <c r="AY116" s="1">
        <f>SUM(AX105:AX116)</f>
        <v>2513.20415227084</v>
      </c>
      <c r="AZ116" s="2"/>
    </row>
    <row r="117" s="1" customFormat="1" spans="1:46">
      <c r="A117" s="13"/>
      <c r="B117" s="13"/>
      <c r="C117" s="16">
        <v>12</v>
      </c>
      <c r="D117" s="19">
        <v>-4.66046114064516</v>
      </c>
      <c r="E117" s="20">
        <f t="shared" si="114"/>
        <v>-1.1188971066</v>
      </c>
      <c r="F117" s="16" t="s">
        <v>110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workbookViewId="0">
      <selection activeCell="F14" sqref="F1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41</v>
      </c>
      <c r="B2" s="5" t="s">
        <v>42</v>
      </c>
      <c r="C2" s="3"/>
      <c r="D2" s="3"/>
      <c r="E2" s="6">
        <v>736.5672</v>
      </c>
      <c r="F2" s="3">
        <v>734.672</v>
      </c>
      <c r="G2" s="7">
        <f>(F2+F3+F4)/3</f>
        <v>1194.134</v>
      </c>
      <c r="H2" s="3">
        <v>0.18</v>
      </c>
      <c r="I2" s="21">
        <f>(H2+H3+H4)/3</f>
        <v>0.136666666666667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45</v>
      </c>
      <c r="B5" s="5" t="s">
        <v>46</v>
      </c>
      <c r="C5" s="3"/>
      <c r="D5" s="3"/>
      <c r="E5" s="6">
        <v>1688.2744109589</v>
      </c>
      <c r="F5" s="3">
        <v>91.104</v>
      </c>
      <c r="G5" s="7">
        <f>(F5+F6)/2</f>
        <v>92.50925</v>
      </c>
      <c r="H5" s="3">
        <v>0.13</v>
      </c>
      <c r="I5" s="21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47</v>
      </c>
      <c r="C6" s="3"/>
      <c r="D6" s="3"/>
      <c r="E6" s="10"/>
      <c r="F6" s="3">
        <v>93.9145</v>
      </c>
      <c r="G6" s="11"/>
      <c r="H6" s="3">
        <v>0.19</v>
      </c>
      <c r="I6" s="2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48</v>
      </c>
      <c r="B7" s="5"/>
      <c r="C7" s="3"/>
      <c r="D7" s="3"/>
      <c r="E7" s="12">
        <v>170.444886180517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49</v>
      </c>
      <c r="B8" s="5"/>
      <c r="C8" s="3"/>
      <c r="D8" s="3"/>
      <c r="E8" s="12">
        <v>10.7320784187491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50</v>
      </c>
      <c r="B9" s="5"/>
      <c r="C9" s="3"/>
      <c r="D9" s="3"/>
      <c r="E9" s="12">
        <v>0.433</v>
      </c>
      <c r="F9" s="3">
        <v>341.64</v>
      </c>
      <c r="G9" s="3"/>
      <c r="H9" s="3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51</v>
      </c>
      <c r="B10" s="5"/>
      <c r="C10" s="3"/>
      <c r="D10" s="3"/>
      <c r="E10" s="12">
        <v>0.198528475009776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52</v>
      </c>
      <c r="B11" s="5"/>
      <c r="C11" s="3"/>
      <c r="D11" s="3"/>
      <c r="E11" s="12">
        <v>1.25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AV38+AV53+BB69+AY85+AY101+BB101+AY116+AG69</f>
        <v>6183266.83398265</v>
      </c>
      <c r="J14" s="14" t="s">
        <v>35</v>
      </c>
      <c r="K14" s="14">
        <f>I14/(10000*1000)</f>
        <v>0.618326683398265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14">
        <v>12423502.7736146</v>
      </c>
      <c r="J15" s="14" t="s">
        <v>35</v>
      </c>
      <c r="K15" s="14">
        <f>I15/(10000*1000)</f>
        <v>1.24235027736146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1194.134</v>
      </c>
      <c r="C27" s="16" t="s">
        <v>109</v>
      </c>
      <c r="D27" s="17">
        <v>-14</v>
      </c>
      <c r="E27" s="16"/>
      <c r="F27" s="16"/>
      <c r="G27" s="13">
        <v>1</v>
      </c>
      <c r="H27" s="18">
        <f t="shared" ref="H27:H38" si="0">E28</f>
        <v>-14</v>
      </c>
      <c r="I27" s="18">
        <f t="shared" ref="I27:I38" si="1">H27+273.15</f>
        <v>259.15</v>
      </c>
      <c r="J27" s="18">
        <f t="shared" ref="J27:J38" si="2">EXP(($C$16*(I27-$C$14))/($C$17*I27*$C$14))</f>
        <v>0.00254027577249845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110</v>
      </c>
      <c r="N27" s="13"/>
      <c r="O27" s="18">
        <f>L27</f>
        <v>0.995111666666667</v>
      </c>
      <c r="P27" s="18">
        <f t="shared" ref="P27:P38" si="5">O27*J27</f>
        <v>0.00252785805776389</v>
      </c>
      <c r="Q27" s="24">
        <f t="shared" ref="Q27:Q38" si="6">P27*$B$29</f>
        <v>0.000345473934561065</v>
      </c>
      <c r="R27" s="18">
        <f t="shared" ref="R27:R38" si="7">L27*$B$29</f>
        <v>0.135998594444444</v>
      </c>
      <c r="S27" s="25">
        <f t="shared" ref="S27:S38" si="8">Q27/R27</f>
        <v>0.00254027577249845</v>
      </c>
      <c r="T27" s="3">
        <v>0.01</v>
      </c>
      <c r="U27" s="26">
        <f t="shared" ref="U27:U38" si="9">S27*T27</f>
        <v>2.54027577249845e-5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0.021925402757725</v>
      </c>
      <c r="AR27" s="29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61.3806</v>
      </c>
      <c r="AU27" s="1">
        <f t="shared" ref="AU27:AU38" si="17">AT27*10000*AS27*0.67*AR27*AQ27</f>
        <v>122627.516223194</v>
      </c>
    </row>
    <row r="28" s="1" customFormat="1" spans="1:47">
      <c r="A28" s="13" t="s">
        <v>111</v>
      </c>
      <c r="B28" s="13">
        <v>1</v>
      </c>
      <c r="C28" s="16">
        <v>1</v>
      </c>
      <c r="D28" s="37">
        <v>-15.4674344406452</v>
      </c>
      <c r="E28" s="20">
        <f t="shared" ref="E28:E39" si="18">D27</f>
        <v>-14</v>
      </c>
      <c r="F28" s="16" t="s">
        <v>110</v>
      </c>
      <c r="G28" s="13">
        <v>2</v>
      </c>
      <c r="H28" s="18">
        <f t="shared" si="0"/>
        <v>-15.4674344406452</v>
      </c>
      <c r="I28" s="18">
        <f t="shared" si="1"/>
        <v>257.682565559355</v>
      </c>
      <c r="J28" s="18">
        <f t="shared" si="2"/>
        <v>0.00205096388667563</v>
      </c>
      <c r="K28" s="18">
        <f t="shared" si="3"/>
        <v>99.5111666666667</v>
      </c>
      <c r="L28" s="18">
        <f t="shared" si="4"/>
        <v>0.995111666666667</v>
      </c>
      <c r="M28" s="13" t="s">
        <v>110</v>
      </c>
      <c r="N28" s="13"/>
      <c r="O28" s="18">
        <f t="shared" ref="O28:O38" si="19">L28+O27-P27-N28</f>
        <v>1.98769547527557</v>
      </c>
      <c r="P28" s="18">
        <f t="shared" si="5"/>
        <v>0.00407669163749875</v>
      </c>
      <c r="Q28" s="24">
        <f t="shared" si="6"/>
        <v>0.000557147857124829</v>
      </c>
      <c r="R28" s="18">
        <f t="shared" si="7"/>
        <v>0.135998594444444</v>
      </c>
      <c r="S28" s="25">
        <f t="shared" si="8"/>
        <v>0.00409671775947967</v>
      </c>
      <c r="T28" s="3">
        <v>0.01</v>
      </c>
      <c r="U28" s="26">
        <f t="shared" si="9"/>
        <v>4.09671775947967e-5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0.0219409671775948</v>
      </c>
      <c r="AR28" s="29">
        <f t="shared" si="15"/>
        <v>99.5111666666667</v>
      </c>
      <c r="AS28" s="1">
        <f t="shared" si="16"/>
        <v>0.136666666666667</v>
      </c>
      <c r="AT28" s="2">
        <f t="shared" ref="AT28:AT38" si="20">$E$2/12</f>
        <v>61.3806</v>
      </c>
      <c r="AU28" s="1">
        <f t="shared" si="17"/>
        <v>122714.567128082</v>
      </c>
    </row>
    <row r="29" s="1" customFormat="1" spans="1:47">
      <c r="A29" s="13" t="s">
        <v>73</v>
      </c>
      <c r="B29" s="13">
        <f>I2</f>
        <v>0.136666666666667</v>
      </c>
      <c r="C29" s="16">
        <v>2</v>
      </c>
      <c r="D29" s="37">
        <v>-12.2530079889655</v>
      </c>
      <c r="E29" s="20">
        <f t="shared" si="18"/>
        <v>-15.4674344406452</v>
      </c>
      <c r="F29" s="16" t="s">
        <v>110</v>
      </c>
      <c r="G29" s="13">
        <v>3</v>
      </c>
      <c r="H29" s="18">
        <f t="shared" si="0"/>
        <v>-12.2530079889655</v>
      </c>
      <c r="I29" s="18">
        <f t="shared" si="1"/>
        <v>260.896992011034</v>
      </c>
      <c r="J29" s="18">
        <f t="shared" si="2"/>
        <v>0.00326695580665814</v>
      </c>
      <c r="K29" s="18">
        <f t="shared" si="3"/>
        <v>99.5111666666667</v>
      </c>
      <c r="L29" s="18">
        <f t="shared" si="4"/>
        <v>0.995111666666667</v>
      </c>
      <c r="M29" s="13" t="s">
        <v>110</v>
      </c>
      <c r="N29" s="13"/>
      <c r="O29" s="18">
        <f t="shared" si="19"/>
        <v>2.97873045030474</v>
      </c>
      <c r="P29" s="18">
        <f t="shared" si="5"/>
        <v>0.00973138074109248</v>
      </c>
      <c r="Q29" s="24">
        <f t="shared" si="6"/>
        <v>0.00132995536794931</v>
      </c>
      <c r="R29" s="18">
        <f t="shared" si="7"/>
        <v>0.135998594444444</v>
      </c>
      <c r="S29" s="25">
        <f t="shared" si="8"/>
        <v>0.00977918465541637</v>
      </c>
      <c r="T29" s="3">
        <v>0.01</v>
      </c>
      <c r="U29" s="26">
        <f t="shared" si="9"/>
        <v>9.77918465541637e-5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0.0219977918465542</v>
      </c>
      <c r="AR29" s="29">
        <f t="shared" si="15"/>
        <v>99.5111666666667</v>
      </c>
      <c r="AS29" s="1">
        <f t="shared" si="16"/>
        <v>0.136666666666667</v>
      </c>
      <c r="AT29" s="2">
        <f t="shared" si="20"/>
        <v>61.3806</v>
      </c>
      <c r="AU29" s="1">
        <f t="shared" si="17"/>
        <v>123032.384232365</v>
      </c>
    </row>
    <row r="30" s="1" customFormat="1" spans="1:47">
      <c r="A30" s="13"/>
      <c r="B30" s="13"/>
      <c r="C30" s="16">
        <v>3</v>
      </c>
      <c r="D30" s="37">
        <v>-5.8383866653871</v>
      </c>
      <c r="E30" s="20">
        <f t="shared" si="18"/>
        <v>-12.2530079889655</v>
      </c>
      <c r="F30" s="16" t="s">
        <v>110</v>
      </c>
      <c r="G30" s="13">
        <v>4</v>
      </c>
      <c r="H30" s="18">
        <f t="shared" si="0"/>
        <v>-5.8383866653871</v>
      </c>
      <c r="I30" s="18">
        <f t="shared" si="1"/>
        <v>267.311613334613</v>
      </c>
      <c r="J30" s="18">
        <f t="shared" si="2"/>
        <v>0.0079999023180904</v>
      </c>
      <c r="K30" s="18">
        <f t="shared" si="3"/>
        <v>99.5111666666667</v>
      </c>
      <c r="L30" s="18">
        <f t="shared" si="4"/>
        <v>0.995111666666667</v>
      </c>
      <c r="M30" s="13" t="s">
        <v>110</v>
      </c>
      <c r="N30" s="13"/>
      <c r="O30" s="18">
        <f t="shared" si="19"/>
        <v>3.96411073623031</v>
      </c>
      <c r="P30" s="18">
        <f t="shared" si="5"/>
        <v>0.0317124986679359</v>
      </c>
      <c r="Q30" s="24">
        <f t="shared" si="6"/>
        <v>0.00433404148461791</v>
      </c>
      <c r="R30" s="18">
        <f t="shared" si="7"/>
        <v>0.135998594444444</v>
      </c>
      <c r="S30" s="25">
        <f t="shared" si="8"/>
        <v>0.0318682814504261</v>
      </c>
      <c r="T30" s="3">
        <v>0.01</v>
      </c>
      <c r="U30" s="26">
        <f t="shared" si="9"/>
        <v>0.000318682814504261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0.0222186828145043</v>
      </c>
      <c r="AR30" s="29">
        <f t="shared" si="15"/>
        <v>99.5111666666667</v>
      </c>
      <c r="AS30" s="1">
        <f t="shared" si="16"/>
        <v>0.136666666666667</v>
      </c>
      <c r="AT30" s="2">
        <f t="shared" si="20"/>
        <v>61.3806</v>
      </c>
      <c r="AU30" s="1">
        <f t="shared" si="17"/>
        <v>124267.814707927</v>
      </c>
    </row>
    <row r="31" s="1" customFormat="1" spans="1:47">
      <c r="A31" s="13"/>
      <c r="B31" s="13"/>
      <c r="C31" s="16">
        <v>4</v>
      </c>
      <c r="D31" s="37">
        <v>-1.844164019</v>
      </c>
      <c r="E31" s="20">
        <f t="shared" si="18"/>
        <v>-5.8383866653871</v>
      </c>
      <c r="F31" s="16" t="s">
        <v>110</v>
      </c>
      <c r="G31" s="13">
        <v>5</v>
      </c>
      <c r="H31" s="18">
        <f t="shared" si="0"/>
        <v>-1.844164019</v>
      </c>
      <c r="I31" s="18">
        <f t="shared" si="1"/>
        <v>271.305835981</v>
      </c>
      <c r="J31" s="18">
        <f t="shared" si="2"/>
        <v>0.0136765677012325</v>
      </c>
      <c r="K31" s="18">
        <f t="shared" si="3"/>
        <v>99.5111666666667</v>
      </c>
      <c r="L31" s="18">
        <f t="shared" si="4"/>
        <v>0.995111666666667</v>
      </c>
      <c r="M31" s="13" t="s">
        <v>112</v>
      </c>
      <c r="N31" s="18">
        <f>(O30-P30)*C22/100</f>
        <v>3.73577832568426</v>
      </c>
      <c r="O31" s="18">
        <f t="shared" si="19"/>
        <v>1.19173157854479</v>
      </c>
      <c r="P31" s="18">
        <f t="shared" si="5"/>
        <v>0.0162987976156644</v>
      </c>
      <c r="Q31" s="24">
        <f t="shared" si="6"/>
        <v>0.00222750234080747</v>
      </c>
      <c r="R31" s="18">
        <f t="shared" si="7"/>
        <v>0.135998594444444</v>
      </c>
      <c r="S31" s="25">
        <f t="shared" si="8"/>
        <v>0.0163788629574213</v>
      </c>
      <c r="T31" s="3">
        <v>0.01</v>
      </c>
      <c r="U31" s="26">
        <f t="shared" si="9"/>
        <v>0.000163788629574213</v>
      </c>
      <c r="V31" s="25"/>
      <c r="W31" s="3"/>
      <c r="X31" s="26"/>
      <c r="Y31" s="28">
        <v>0.02</v>
      </c>
      <c r="Z31" s="3">
        <v>0.21</v>
      </c>
      <c r="AA31" s="27">
        <f t="shared" si="10"/>
        <v>0.0042</v>
      </c>
      <c r="AB31" s="3">
        <v>0.01</v>
      </c>
      <c r="AC31" s="3">
        <v>0.29</v>
      </c>
      <c r="AD31" s="27">
        <f t="shared" si="11"/>
        <v>0.0029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0.0220637886295742</v>
      </c>
      <c r="AR31" s="29">
        <f t="shared" si="15"/>
        <v>99.5111666666667</v>
      </c>
      <c r="AS31" s="1">
        <f t="shared" si="16"/>
        <v>0.136666666666667</v>
      </c>
      <c r="AT31" s="2">
        <f t="shared" si="20"/>
        <v>61.3806</v>
      </c>
      <c r="AU31" s="1">
        <f t="shared" si="17"/>
        <v>123401.500442904</v>
      </c>
    </row>
    <row r="32" s="1" customFormat="1" spans="1:47">
      <c r="A32" s="13"/>
      <c r="B32" s="13"/>
      <c r="C32" s="16">
        <v>5</v>
      </c>
      <c r="D32" s="37">
        <v>3.00431582458065</v>
      </c>
      <c r="E32" s="20">
        <f t="shared" si="18"/>
        <v>-1.844164019</v>
      </c>
      <c r="F32" s="16" t="s">
        <v>112</v>
      </c>
      <c r="G32" s="13">
        <v>6</v>
      </c>
      <c r="H32" s="18">
        <f t="shared" si="0"/>
        <v>3.00431582458065</v>
      </c>
      <c r="I32" s="18">
        <f t="shared" si="1"/>
        <v>276.154315824581</v>
      </c>
      <c r="J32" s="18">
        <f t="shared" si="2"/>
        <v>0.0256818701164434</v>
      </c>
      <c r="K32" s="18">
        <f t="shared" si="3"/>
        <v>99.5111666666667</v>
      </c>
      <c r="L32" s="18">
        <f t="shared" si="4"/>
        <v>0.995111666666667</v>
      </c>
      <c r="M32" s="13" t="s">
        <v>110</v>
      </c>
      <c r="N32" s="13"/>
      <c r="O32" s="18">
        <f t="shared" si="19"/>
        <v>2.17054444759579</v>
      </c>
      <c r="P32" s="18">
        <f t="shared" si="5"/>
        <v>0.0557436405851224</v>
      </c>
      <c r="Q32" s="24">
        <f t="shared" si="6"/>
        <v>0.0076182975466334</v>
      </c>
      <c r="R32" s="18">
        <f t="shared" si="7"/>
        <v>0.135998594444444</v>
      </c>
      <c r="S32" s="25">
        <f t="shared" si="8"/>
        <v>0.0560174726639949</v>
      </c>
      <c r="T32" s="3">
        <v>0.01</v>
      </c>
      <c r="U32" s="26">
        <f t="shared" si="9"/>
        <v>0.000560174726639949</v>
      </c>
      <c r="V32" s="25"/>
      <c r="W32" s="3"/>
      <c r="X32" s="26"/>
      <c r="Y32" s="28">
        <v>0.02</v>
      </c>
      <c r="Z32" s="3">
        <v>0.21</v>
      </c>
      <c r="AA32" s="27">
        <f t="shared" si="10"/>
        <v>0.0042</v>
      </c>
      <c r="AB32" s="3">
        <v>0.01</v>
      </c>
      <c r="AC32" s="3">
        <v>0.29</v>
      </c>
      <c r="AD32" s="27">
        <f t="shared" si="11"/>
        <v>0.0029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0.0224601747266399</v>
      </c>
      <c r="AR32" s="29">
        <f t="shared" si="15"/>
        <v>99.5111666666667</v>
      </c>
      <c r="AS32" s="1">
        <f t="shared" si="16"/>
        <v>0.136666666666667</v>
      </c>
      <c r="AT32" s="2">
        <f t="shared" si="20"/>
        <v>61.3806</v>
      </c>
      <c r="AU32" s="1">
        <f t="shared" si="17"/>
        <v>125618.465079116</v>
      </c>
    </row>
    <row r="33" s="1" customFormat="1" spans="1:47">
      <c r="A33" s="13"/>
      <c r="B33" s="13"/>
      <c r="C33" s="16">
        <v>6</v>
      </c>
      <c r="D33" s="37">
        <v>8.05727721053333</v>
      </c>
      <c r="E33" s="20">
        <f t="shared" si="18"/>
        <v>3.00431582458065</v>
      </c>
      <c r="F33" s="16" t="s">
        <v>110</v>
      </c>
      <c r="G33" s="13">
        <v>7</v>
      </c>
      <c r="H33" s="18">
        <f t="shared" si="0"/>
        <v>8.05727721053333</v>
      </c>
      <c r="I33" s="18">
        <f t="shared" si="1"/>
        <v>281.207277210533</v>
      </c>
      <c r="J33" s="18">
        <f t="shared" si="2"/>
        <v>0.0483922117461418</v>
      </c>
      <c r="K33" s="18">
        <f t="shared" si="3"/>
        <v>99.5111666666667</v>
      </c>
      <c r="L33" s="18">
        <f t="shared" si="4"/>
        <v>0.995111666666667</v>
      </c>
      <c r="M33" s="13" t="s">
        <v>110</v>
      </c>
      <c r="N33" s="13"/>
      <c r="O33" s="18">
        <f t="shared" si="19"/>
        <v>3.10991247367733</v>
      </c>
      <c r="P33" s="18">
        <f t="shared" si="5"/>
        <v>0.150495542938161</v>
      </c>
      <c r="Q33" s="24">
        <f t="shared" si="6"/>
        <v>0.0205677242015487</v>
      </c>
      <c r="R33" s="18">
        <f t="shared" si="7"/>
        <v>0.135998594444444</v>
      </c>
      <c r="S33" s="25">
        <f t="shared" si="8"/>
        <v>0.151234829194875</v>
      </c>
      <c r="T33" s="3">
        <v>0.01</v>
      </c>
      <c r="U33" s="26">
        <f t="shared" si="9"/>
        <v>0.00151234829194875</v>
      </c>
      <c r="V33" s="25"/>
      <c r="W33" s="3"/>
      <c r="X33" s="26"/>
      <c r="Y33" s="28">
        <v>0.02</v>
      </c>
      <c r="Z33" s="3">
        <v>0.21</v>
      </c>
      <c r="AA33" s="27">
        <f t="shared" si="10"/>
        <v>0.0042</v>
      </c>
      <c r="AB33" s="3">
        <v>0.01</v>
      </c>
      <c r="AC33" s="3">
        <v>0.29</v>
      </c>
      <c r="AD33" s="27">
        <f t="shared" si="11"/>
        <v>0.0029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0.0234123482919488</v>
      </c>
      <c r="AR33" s="29">
        <f t="shared" si="15"/>
        <v>99.5111666666667</v>
      </c>
      <c r="AS33" s="1">
        <f t="shared" si="16"/>
        <v>0.136666666666667</v>
      </c>
      <c r="AT33" s="2">
        <f t="shared" si="20"/>
        <v>61.3806</v>
      </c>
      <c r="AU33" s="1">
        <f t="shared" si="17"/>
        <v>130943.917049938</v>
      </c>
    </row>
    <row r="34" s="1" customFormat="1" spans="1:47">
      <c r="A34" s="13"/>
      <c r="B34" s="13"/>
      <c r="C34" s="16">
        <v>7</v>
      </c>
      <c r="D34" s="37">
        <v>10.9028840226129</v>
      </c>
      <c r="E34" s="20">
        <f t="shared" si="18"/>
        <v>8.05727721053333</v>
      </c>
      <c r="F34" s="16" t="s">
        <v>110</v>
      </c>
      <c r="G34" s="13">
        <v>8</v>
      </c>
      <c r="H34" s="18">
        <f t="shared" si="0"/>
        <v>10.9028840226129</v>
      </c>
      <c r="I34" s="18">
        <f t="shared" si="1"/>
        <v>284.052884022613</v>
      </c>
      <c r="J34" s="18">
        <f t="shared" si="2"/>
        <v>0.0684571098052377</v>
      </c>
      <c r="K34" s="18">
        <f t="shared" si="3"/>
        <v>99.5111666666667</v>
      </c>
      <c r="L34" s="18">
        <f t="shared" si="4"/>
        <v>0.995111666666667</v>
      </c>
      <c r="M34" s="13" t="s">
        <v>110</v>
      </c>
      <c r="N34" s="13"/>
      <c r="O34" s="18">
        <f t="shared" si="19"/>
        <v>3.95452859740584</v>
      </c>
      <c r="P34" s="18">
        <f t="shared" si="5"/>
        <v>0.270715598420564</v>
      </c>
      <c r="Q34" s="24">
        <f t="shared" si="6"/>
        <v>0.0369977984508104</v>
      </c>
      <c r="R34" s="18">
        <f t="shared" si="7"/>
        <v>0.135998594444444</v>
      </c>
      <c r="S34" s="25">
        <f t="shared" si="8"/>
        <v>0.272045447248531</v>
      </c>
      <c r="T34" s="3">
        <v>0.01</v>
      </c>
      <c r="U34" s="26">
        <f t="shared" si="9"/>
        <v>0.00272045447248531</v>
      </c>
      <c r="V34" s="25"/>
      <c r="W34" s="3"/>
      <c r="X34" s="26"/>
      <c r="Y34" s="28">
        <v>0.02</v>
      </c>
      <c r="Z34" s="3">
        <v>0.21</v>
      </c>
      <c r="AA34" s="27">
        <f t="shared" si="10"/>
        <v>0.0042</v>
      </c>
      <c r="AB34" s="3">
        <v>0.01</v>
      </c>
      <c r="AC34" s="3">
        <v>0.29</v>
      </c>
      <c r="AD34" s="27">
        <f t="shared" si="11"/>
        <v>0.0029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0.0246204544724853</v>
      </c>
      <c r="AR34" s="29">
        <f t="shared" si="15"/>
        <v>99.5111666666667</v>
      </c>
      <c r="AS34" s="1">
        <f t="shared" si="16"/>
        <v>0.136666666666667</v>
      </c>
      <c r="AT34" s="2">
        <f t="shared" si="20"/>
        <v>61.3806</v>
      </c>
      <c r="AU34" s="1">
        <f t="shared" si="17"/>
        <v>137700.785413548</v>
      </c>
    </row>
    <row r="35" s="1" customFormat="1" spans="1:47">
      <c r="A35" s="13"/>
      <c r="B35" s="13"/>
      <c r="C35" s="16">
        <v>8</v>
      </c>
      <c r="D35" s="37">
        <v>11.9784786694516</v>
      </c>
      <c r="E35" s="20">
        <f t="shared" si="18"/>
        <v>10.9028840226129</v>
      </c>
      <c r="F35" s="16" t="s">
        <v>110</v>
      </c>
      <c r="G35" s="13">
        <v>9</v>
      </c>
      <c r="H35" s="18">
        <f t="shared" si="0"/>
        <v>11.9784786694516</v>
      </c>
      <c r="I35" s="18">
        <f t="shared" si="1"/>
        <v>285.128478669452</v>
      </c>
      <c r="J35" s="18">
        <f t="shared" si="2"/>
        <v>0.0779069508990421</v>
      </c>
      <c r="K35" s="18">
        <f t="shared" si="3"/>
        <v>99.5111666666667</v>
      </c>
      <c r="L35" s="18">
        <f t="shared" si="4"/>
        <v>0.995111666666667</v>
      </c>
      <c r="M35" s="13" t="s">
        <v>110</v>
      </c>
      <c r="N35" s="13"/>
      <c r="O35" s="18">
        <f t="shared" si="19"/>
        <v>4.67892466565194</v>
      </c>
      <c r="P35" s="18">
        <f t="shared" si="5"/>
        <v>0.364520754187263</v>
      </c>
      <c r="Q35" s="24">
        <f t="shared" si="6"/>
        <v>0.0498178364055926</v>
      </c>
      <c r="R35" s="18">
        <f t="shared" si="7"/>
        <v>0.135998594444444</v>
      </c>
      <c r="S35" s="25">
        <f t="shared" si="8"/>
        <v>0.366311406445772</v>
      </c>
      <c r="T35" s="3">
        <v>0.01</v>
      </c>
      <c r="U35" s="26">
        <f t="shared" si="9"/>
        <v>0.00366311406445772</v>
      </c>
      <c r="V35" s="25"/>
      <c r="W35" s="3"/>
      <c r="X35" s="26"/>
      <c r="Y35" s="28">
        <v>0.02</v>
      </c>
      <c r="Z35" s="3">
        <v>0.21</v>
      </c>
      <c r="AA35" s="27">
        <f t="shared" si="10"/>
        <v>0.0042</v>
      </c>
      <c r="AB35" s="3">
        <v>0.01</v>
      </c>
      <c r="AC35" s="3">
        <v>0.29</v>
      </c>
      <c r="AD35" s="27">
        <f t="shared" si="11"/>
        <v>0.0029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0.0255631140644577</v>
      </c>
      <c r="AR35" s="29">
        <f t="shared" si="15"/>
        <v>99.5111666666667</v>
      </c>
      <c r="AS35" s="1">
        <f t="shared" si="16"/>
        <v>0.136666666666667</v>
      </c>
      <c r="AT35" s="2">
        <f t="shared" si="20"/>
        <v>61.3806</v>
      </c>
      <c r="AU35" s="1">
        <f t="shared" si="17"/>
        <v>142973.026278853</v>
      </c>
    </row>
    <row r="36" s="1" customFormat="1" spans="1:47">
      <c r="A36" s="13"/>
      <c r="B36" s="13"/>
      <c r="C36" s="16">
        <v>9</v>
      </c>
      <c r="D36" s="37">
        <v>4.54641933763333</v>
      </c>
      <c r="E36" s="20">
        <f t="shared" si="18"/>
        <v>11.9784786694516</v>
      </c>
      <c r="F36" s="16" t="s">
        <v>110</v>
      </c>
      <c r="G36" s="13">
        <v>10</v>
      </c>
      <c r="H36" s="18">
        <f t="shared" si="0"/>
        <v>4.54641933763333</v>
      </c>
      <c r="I36" s="18">
        <f t="shared" si="1"/>
        <v>277.696419337633</v>
      </c>
      <c r="J36" s="18">
        <f t="shared" si="2"/>
        <v>0.0312363604506653</v>
      </c>
      <c r="K36" s="18">
        <f t="shared" si="3"/>
        <v>99.5111666666667</v>
      </c>
      <c r="L36" s="18">
        <f t="shared" si="4"/>
        <v>0.995111666666667</v>
      </c>
      <c r="M36" s="13" t="s">
        <v>110</v>
      </c>
      <c r="N36" s="13"/>
      <c r="O36" s="18">
        <f t="shared" si="19"/>
        <v>5.30951557813134</v>
      </c>
      <c r="P36" s="18">
        <f t="shared" si="5"/>
        <v>0.165849942416933</v>
      </c>
      <c r="Q36" s="24">
        <f t="shared" si="6"/>
        <v>0.0226661587969809</v>
      </c>
      <c r="R36" s="18">
        <f t="shared" si="7"/>
        <v>0.135998594444444</v>
      </c>
      <c r="S36" s="25">
        <f t="shared" si="8"/>
        <v>0.166664654804503</v>
      </c>
      <c r="T36" s="3">
        <v>0.01</v>
      </c>
      <c r="U36" s="26">
        <f t="shared" si="9"/>
        <v>0.00166664654804503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0.023566646548045</v>
      </c>
      <c r="AR36" s="29">
        <f t="shared" si="15"/>
        <v>99.5111666666667</v>
      </c>
      <c r="AS36" s="1">
        <f t="shared" si="16"/>
        <v>0.136666666666667</v>
      </c>
      <c r="AT36" s="2">
        <f t="shared" si="20"/>
        <v>61.3806</v>
      </c>
      <c r="AU36" s="1">
        <f t="shared" si="17"/>
        <v>131806.898319278</v>
      </c>
    </row>
    <row r="37" s="1" customFormat="1" spans="1:47">
      <c r="A37" s="13"/>
      <c r="B37" s="13"/>
      <c r="C37" s="16">
        <v>10</v>
      </c>
      <c r="D37" s="37">
        <v>-2.22077700390323</v>
      </c>
      <c r="E37" s="20">
        <f t="shared" si="18"/>
        <v>4.54641933763333</v>
      </c>
      <c r="F37" s="16" t="s">
        <v>110</v>
      </c>
      <c r="G37" s="13">
        <v>11</v>
      </c>
      <c r="H37" s="18">
        <f t="shared" si="0"/>
        <v>-2.22077700390323</v>
      </c>
      <c r="I37" s="18">
        <f t="shared" si="1"/>
        <v>270.929222996097</v>
      </c>
      <c r="J37" s="18">
        <f t="shared" si="2"/>
        <v>0.0130110108150862</v>
      </c>
      <c r="K37" s="18">
        <f t="shared" si="3"/>
        <v>99.5111666666667</v>
      </c>
      <c r="L37" s="18">
        <f t="shared" si="4"/>
        <v>0.995111666666667</v>
      </c>
      <c r="M37" s="13" t="s">
        <v>112</v>
      </c>
      <c r="N37" s="18">
        <f>(O36-P36)*C22/100</f>
        <v>4.88648235392869</v>
      </c>
      <c r="O37" s="18">
        <f t="shared" si="19"/>
        <v>1.25229494845239</v>
      </c>
      <c r="P37" s="18">
        <f t="shared" si="5"/>
        <v>0.0162936231179918</v>
      </c>
      <c r="Q37" s="24">
        <f t="shared" si="6"/>
        <v>0.00222679515945888</v>
      </c>
      <c r="R37" s="18">
        <f t="shared" si="7"/>
        <v>0.135998594444444</v>
      </c>
      <c r="S37" s="25">
        <f t="shared" si="8"/>
        <v>0.016373663040823</v>
      </c>
      <c r="T37" s="3">
        <v>0.01</v>
      </c>
      <c r="U37" s="26">
        <f t="shared" si="9"/>
        <v>0.00016373663040823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0.0220637366304082</v>
      </c>
      <c r="AR37" s="29">
        <f t="shared" si="15"/>
        <v>99.5111666666667</v>
      </c>
      <c r="AS37" s="1">
        <f t="shared" si="16"/>
        <v>0.136666666666667</v>
      </c>
      <c r="AT37" s="2">
        <f t="shared" si="20"/>
        <v>61.3806</v>
      </c>
      <c r="AU37" s="1">
        <f t="shared" si="17"/>
        <v>123401.20961456</v>
      </c>
    </row>
    <row r="38" s="1" customFormat="1" spans="1:48">
      <c r="A38" s="13"/>
      <c r="B38" s="13"/>
      <c r="C38" s="16">
        <v>11</v>
      </c>
      <c r="D38" s="37">
        <v>-9.7935258338</v>
      </c>
      <c r="E38" s="20">
        <f t="shared" si="18"/>
        <v>-2.22077700390323</v>
      </c>
      <c r="F38" s="16" t="s">
        <v>112</v>
      </c>
      <c r="G38" s="13">
        <v>12</v>
      </c>
      <c r="H38" s="18">
        <f t="shared" si="0"/>
        <v>-9.7935258338</v>
      </c>
      <c r="I38" s="18">
        <f t="shared" si="1"/>
        <v>263.3564741662</v>
      </c>
      <c r="J38" s="18">
        <f t="shared" si="2"/>
        <v>0.00462924405339439</v>
      </c>
      <c r="K38" s="18">
        <f t="shared" si="3"/>
        <v>99.5111666666667</v>
      </c>
      <c r="L38" s="18">
        <f t="shared" si="4"/>
        <v>0.995111666666667</v>
      </c>
      <c r="M38" s="13" t="s">
        <v>110</v>
      </c>
      <c r="N38" s="13"/>
      <c r="O38" s="18">
        <f t="shared" si="19"/>
        <v>2.23111299200106</v>
      </c>
      <c r="P38" s="18">
        <f t="shared" si="5"/>
        <v>0.0103283665506719</v>
      </c>
      <c r="Q38" s="24">
        <f t="shared" si="6"/>
        <v>0.00141154342859182</v>
      </c>
      <c r="R38" s="18">
        <f t="shared" si="7"/>
        <v>0.135998594444444</v>
      </c>
      <c r="S38" s="25">
        <f t="shared" si="8"/>
        <v>0.0103791030661603</v>
      </c>
      <c r="T38" s="3">
        <v>0.01</v>
      </c>
      <c r="U38" s="26">
        <f t="shared" si="9"/>
        <v>0.000103791030661603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0.0220037910306616</v>
      </c>
      <c r="AR38" s="29">
        <f t="shared" si="15"/>
        <v>99.5111666666667</v>
      </c>
      <c r="AS38" s="1">
        <f t="shared" si="16"/>
        <v>0.136666666666667</v>
      </c>
      <c r="AT38" s="2">
        <f t="shared" si="20"/>
        <v>61.3806</v>
      </c>
      <c r="AU38" s="1">
        <f t="shared" si="17"/>
        <v>123065.937323936</v>
      </c>
      <c r="AV38" s="1">
        <f>SUM(AU27:AU38)</f>
        <v>1531554.0218137</v>
      </c>
    </row>
    <row r="39" s="1" customFormat="1" spans="1:46">
      <c r="A39" s="13"/>
      <c r="B39" s="13"/>
      <c r="C39" s="16">
        <v>12</v>
      </c>
      <c r="D39" s="37">
        <v>-11.7568357696129</v>
      </c>
      <c r="E39" s="20">
        <f t="shared" si="18"/>
        <v>-9.7935258338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-14</v>
      </c>
      <c r="E42" s="16"/>
      <c r="F42" s="16"/>
      <c r="G42" s="13">
        <v>1</v>
      </c>
      <c r="H42" s="18">
        <f t="shared" ref="H42:H53" si="21">E43</f>
        <v>-14</v>
      </c>
      <c r="I42" s="18">
        <f t="shared" ref="I42:I53" si="22">H42+273.15</f>
        <v>259.15</v>
      </c>
      <c r="J42" s="18">
        <f t="shared" ref="J42:J53" si="23">EXP(($C$16*(I42-$C$14))/($C$17*I42*$C$14))</f>
        <v>0.00254027577249845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0.000195832505422502</v>
      </c>
      <c r="Q42" s="24">
        <f t="shared" ref="Q42:Q53" si="27">P42*$B$44</f>
        <v>3.13332008676003e-5</v>
      </c>
      <c r="R42" s="18">
        <f t="shared" ref="R42:R53" si="28">L42*$B$44</f>
        <v>0.0123345666666667</v>
      </c>
      <c r="S42" s="25">
        <f t="shared" ref="S42:S53" si="29">Q42/R42</f>
        <v>0.00254027577249845</v>
      </c>
      <c r="T42" s="3">
        <v>0.01</v>
      </c>
      <c r="U42" s="26">
        <f t="shared" ref="U42:U53" si="30">S42*T42</f>
        <v>2.54027577249845e-5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0.014825402757725</v>
      </c>
      <c r="AR42" s="29">
        <f t="shared" ref="AR42:AR53" si="34">$B$42/12</f>
        <v>7.70910416666667</v>
      </c>
      <c r="AS42" s="1">
        <f t="shared" ref="AS42:AS53" si="35">$B$44</f>
        <v>0.16</v>
      </c>
      <c r="AT42" s="2">
        <f t="shared" ref="AT42:AT53" si="36">$E$5/12</f>
        <v>140.689534246575</v>
      </c>
      <c r="AU42" s="1">
        <f t="shared" ref="AU42:AU53" si="37">AT42*10000*AS42*0.67*AR42*AQ42</f>
        <v>17237.2107597761</v>
      </c>
    </row>
    <row r="43" s="1" customFormat="1" spans="1:47">
      <c r="A43" s="13" t="s">
        <v>111</v>
      </c>
      <c r="B43" s="13">
        <v>1</v>
      </c>
      <c r="C43" s="16">
        <v>1</v>
      </c>
      <c r="D43" s="37">
        <v>-15.4674344406452</v>
      </c>
      <c r="E43" s="20">
        <f t="shared" ref="E43:E54" si="38">D42</f>
        <v>-14</v>
      </c>
      <c r="F43" s="16" t="s">
        <v>110</v>
      </c>
      <c r="G43" s="13">
        <v>2</v>
      </c>
      <c r="H43" s="18">
        <f t="shared" si="21"/>
        <v>-15.4674344406452</v>
      </c>
      <c r="I43" s="18">
        <f t="shared" si="22"/>
        <v>257.682565559355</v>
      </c>
      <c r="J43" s="18">
        <f t="shared" si="23"/>
        <v>0.00205096388667563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0.153986250827911</v>
      </c>
      <c r="P43" s="18">
        <f t="shared" si="26"/>
        <v>0.00031582023949262</v>
      </c>
      <c r="Q43" s="24">
        <f t="shared" si="27"/>
        <v>5.05312383188193e-5</v>
      </c>
      <c r="R43" s="18">
        <f t="shared" si="28"/>
        <v>0.0123345666666667</v>
      </c>
      <c r="S43" s="25">
        <f t="shared" si="29"/>
        <v>0.00409671775947967</v>
      </c>
      <c r="T43" s="3">
        <v>0.01</v>
      </c>
      <c r="U43" s="26">
        <f t="shared" si="30"/>
        <v>4.09671775947967e-5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0.0148409671775948</v>
      </c>
      <c r="AR43" s="29">
        <f t="shared" si="34"/>
        <v>7.70910416666667</v>
      </c>
      <c r="AS43" s="1">
        <f t="shared" si="35"/>
        <v>0.16</v>
      </c>
      <c r="AT43" s="2">
        <f t="shared" si="36"/>
        <v>140.689534246575</v>
      </c>
      <c r="AU43" s="1">
        <f t="shared" si="37"/>
        <v>17255.3072115241</v>
      </c>
    </row>
    <row r="44" s="1" customFormat="1" spans="1:47">
      <c r="A44" s="13" t="s">
        <v>73</v>
      </c>
      <c r="B44" s="13">
        <f>I5</f>
        <v>0.16</v>
      </c>
      <c r="C44" s="16">
        <v>2</v>
      </c>
      <c r="D44" s="37">
        <v>-12.2530079889655</v>
      </c>
      <c r="E44" s="20">
        <f t="shared" si="38"/>
        <v>-15.4674344406452</v>
      </c>
      <c r="F44" s="16" t="s">
        <v>110</v>
      </c>
      <c r="G44" s="13">
        <v>3</v>
      </c>
      <c r="H44" s="18">
        <f t="shared" si="21"/>
        <v>-12.2530079889655</v>
      </c>
      <c r="I44" s="18">
        <f t="shared" si="22"/>
        <v>260.896992011034</v>
      </c>
      <c r="J44" s="18">
        <f t="shared" si="23"/>
        <v>0.00326695580665814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0.230761472255085</v>
      </c>
      <c r="P44" s="18">
        <f t="shared" si="26"/>
        <v>0.000753887531736731</v>
      </c>
      <c r="Q44" s="24">
        <f t="shared" si="27"/>
        <v>0.000120622005077877</v>
      </c>
      <c r="R44" s="18">
        <f t="shared" si="28"/>
        <v>0.0123345666666667</v>
      </c>
      <c r="S44" s="25">
        <f t="shared" si="29"/>
        <v>0.00977918465541637</v>
      </c>
      <c r="T44" s="3">
        <v>0.01</v>
      </c>
      <c r="U44" s="26">
        <f t="shared" si="30"/>
        <v>9.77918465541637e-5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0.0148977918465542</v>
      </c>
      <c r="AR44" s="29">
        <f t="shared" si="34"/>
        <v>7.70910416666667</v>
      </c>
      <c r="AS44" s="1">
        <f t="shared" si="35"/>
        <v>0.16</v>
      </c>
      <c r="AT44" s="2">
        <f t="shared" si="36"/>
        <v>140.689534246575</v>
      </c>
      <c r="AU44" s="1">
        <f t="shared" si="37"/>
        <v>17321.3761616372</v>
      </c>
    </row>
    <row r="45" s="1" customFormat="1" spans="1:47">
      <c r="A45" s="13"/>
      <c r="B45" s="13"/>
      <c r="C45" s="16">
        <v>3</v>
      </c>
      <c r="D45" s="37">
        <v>-5.8383866653871</v>
      </c>
      <c r="E45" s="20">
        <f t="shared" si="38"/>
        <v>-12.2530079889655</v>
      </c>
      <c r="F45" s="16" t="s">
        <v>110</v>
      </c>
      <c r="G45" s="13">
        <v>4</v>
      </c>
      <c r="H45" s="18">
        <f t="shared" si="21"/>
        <v>-5.8383866653871</v>
      </c>
      <c r="I45" s="18">
        <f t="shared" si="22"/>
        <v>267.311613334613</v>
      </c>
      <c r="J45" s="18">
        <f t="shared" si="23"/>
        <v>0.0079999023180904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0.307098626390015</v>
      </c>
      <c r="P45" s="18">
        <f t="shared" si="26"/>
        <v>0.00245675901313986</v>
      </c>
      <c r="Q45" s="24">
        <f t="shared" si="27"/>
        <v>0.000393081442102377</v>
      </c>
      <c r="R45" s="18">
        <f t="shared" si="28"/>
        <v>0.0123345666666667</v>
      </c>
      <c r="S45" s="25">
        <f t="shared" si="29"/>
        <v>0.0318682814504261</v>
      </c>
      <c r="T45" s="3">
        <v>0.01</v>
      </c>
      <c r="U45" s="26">
        <f t="shared" si="30"/>
        <v>0.000318682814504261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0.0151186828145043</v>
      </c>
      <c r="AR45" s="29">
        <f t="shared" si="34"/>
        <v>7.70910416666667</v>
      </c>
      <c r="AS45" s="1">
        <f t="shared" si="35"/>
        <v>0.16</v>
      </c>
      <c r="AT45" s="2">
        <f t="shared" si="36"/>
        <v>140.689534246575</v>
      </c>
      <c r="AU45" s="1">
        <f t="shared" si="37"/>
        <v>17578.2018433208</v>
      </c>
    </row>
    <row r="46" s="1" customFormat="1" spans="1:47">
      <c r="A46" s="13"/>
      <c r="B46" s="13"/>
      <c r="C46" s="16">
        <v>4</v>
      </c>
      <c r="D46" s="37">
        <v>-1.844164019</v>
      </c>
      <c r="E46" s="20">
        <f t="shared" si="38"/>
        <v>-5.8383866653871</v>
      </c>
      <c r="F46" s="16" t="s">
        <v>110</v>
      </c>
      <c r="G46" s="13">
        <v>5</v>
      </c>
      <c r="H46" s="18">
        <f t="shared" si="21"/>
        <v>-1.844164019</v>
      </c>
      <c r="I46" s="18">
        <f t="shared" si="22"/>
        <v>271.305835981</v>
      </c>
      <c r="J46" s="18">
        <f t="shared" si="23"/>
        <v>0.0136765677012325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0.289409774008031</v>
      </c>
      <c r="O46" s="18">
        <f t="shared" si="39"/>
        <v>0.0923231350355104</v>
      </c>
      <c r="P46" s="18">
        <f t="shared" si="26"/>
        <v>0.00126266360670319</v>
      </c>
      <c r="Q46" s="24">
        <f t="shared" si="27"/>
        <v>0.00020202617707251</v>
      </c>
      <c r="R46" s="18">
        <f t="shared" si="28"/>
        <v>0.0123345666666667</v>
      </c>
      <c r="S46" s="25">
        <f t="shared" si="29"/>
        <v>0.0163788629574213</v>
      </c>
      <c r="T46" s="3">
        <v>0.01</v>
      </c>
      <c r="U46" s="26">
        <f t="shared" si="30"/>
        <v>0.000163788629574213</v>
      </c>
      <c r="V46" s="25"/>
      <c r="W46" s="3"/>
      <c r="X46" s="26"/>
      <c r="Y46" s="28">
        <v>0.02</v>
      </c>
      <c r="Z46" s="3">
        <v>0.49</v>
      </c>
      <c r="AA46" s="27">
        <f t="shared" si="31"/>
        <v>0.0098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</v>
      </c>
      <c r="AO46" s="3">
        <v>0.5</v>
      </c>
      <c r="AP46" s="3">
        <f t="shared" si="32"/>
        <v>0.005</v>
      </c>
      <c r="AQ46" s="1">
        <f t="shared" si="33"/>
        <v>0.0149637886295742</v>
      </c>
      <c r="AR46" s="29">
        <f t="shared" si="34"/>
        <v>7.70910416666667</v>
      </c>
      <c r="AS46" s="1">
        <f t="shared" si="35"/>
        <v>0.16</v>
      </c>
      <c r="AT46" s="2">
        <f t="shared" si="36"/>
        <v>140.689534246575</v>
      </c>
      <c r="AU46" s="1">
        <f t="shared" si="37"/>
        <v>17398.1093524297</v>
      </c>
    </row>
    <row r="47" s="1" customFormat="1" spans="1:47">
      <c r="A47" s="13"/>
      <c r="B47" s="13"/>
      <c r="C47" s="16">
        <v>5</v>
      </c>
      <c r="D47" s="37">
        <v>3.00431582458065</v>
      </c>
      <c r="E47" s="20">
        <f t="shared" si="38"/>
        <v>-1.844164019</v>
      </c>
      <c r="F47" s="16" t="s">
        <v>112</v>
      </c>
      <c r="G47" s="13">
        <v>6</v>
      </c>
      <c r="H47" s="18">
        <f t="shared" si="21"/>
        <v>3.00431582458065</v>
      </c>
      <c r="I47" s="18">
        <f t="shared" si="22"/>
        <v>276.154315824581</v>
      </c>
      <c r="J47" s="18">
        <f t="shared" si="23"/>
        <v>0.0256818701164434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0.168151513095474</v>
      </c>
      <c r="P47" s="18">
        <f t="shared" si="26"/>
        <v>0.00431844531920139</v>
      </c>
      <c r="Q47" s="24">
        <f t="shared" si="27"/>
        <v>0.000690951251072223</v>
      </c>
      <c r="R47" s="18">
        <f t="shared" si="28"/>
        <v>0.0123345666666667</v>
      </c>
      <c r="S47" s="25">
        <f t="shared" si="29"/>
        <v>0.0560174726639949</v>
      </c>
      <c r="T47" s="3">
        <v>0.01</v>
      </c>
      <c r="U47" s="26">
        <f t="shared" si="30"/>
        <v>0.000560174726639949</v>
      </c>
      <c r="V47" s="25"/>
      <c r="W47" s="3"/>
      <c r="X47" s="26"/>
      <c r="Y47" s="28">
        <v>0.02</v>
      </c>
      <c r="Z47" s="3">
        <v>0.49</v>
      </c>
      <c r="AA47" s="27">
        <f t="shared" si="31"/>
        <v>0.0098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</v>
      </c>
      <c r="AO47" s="3">
        <v>0.5</v>
      </c>
      <c r="AP47" s="3">
        <f t="shared" si="32"/>
        <v>0.005</v>
      </c>
      <c r="AQ47" s="1">
        <f t="shared" si="33"/>
        <v>0.01536017472664</v>
      </c>
      <c r="AR47" s="29">
        <f t="shared" si="34"/>
        <v>7.70910416666667</v>
      </c>
      <c r="AS47" s="1">
        <f t="shared" si="35"/>
        <v>0.16</v>
      </c>
      <c r="AT47" s="2">
        <f t="shared" si="36"/>
        <v>140.689534246575</v>
      </c>
      <c r="AU47" s="1">
        <f t="shared" si="37"/>
        <v>17858.9798467444</v>
      </c>
    </row>
    <row r="48" s="1" customFormat="1" spans="1:47">
      <c r="A48" s="13"/>
      <c r="B48" s="13"/>
      <c r="C48" s="16">
        <v>6</v>
      </c>
      <c r="D48" s="37">
        <v>8.05727721053333</v>
      </c>
      <c r="E48" s="20">
        <f t="shared" si="38"/>
        <v>3.00431582458065</v>
      </c>
      <c r="F48" s="16" t="s">
        <v>110</v>
      </c>
      <c r="G48" s="13">
        <v>7</v>
      </c>
      <c r="H48" s="18">
        <f t="shared" si="21"/>
        <v>8.05727721053333</v>
      </c>
      <c r="I48" s="18">
        <f t="shared" si="22"/>
        <v>281.207277210533</v>
      </c>
      <c r="J48" s="18">
        <f t="shared" si="23"/>
        <v>0.0483922117461418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0.240924109442939</v>
      </c>
      <c r="P48" s="18">
        <f t="shared" si="26"/>
        <v>0.0116588505189134</v>
      </c>
      <c r="Q48" s="24">
        <f t="shared" si="27"/>
        <v>0.00186541608302614</v>
      </c>
      <c r="R48" s="18">
        <f t="shared" si="28"/>
        <v>0.0123345666666667</v>
      </c>
      <c r="S48" s="25">
        <f t="shared" si="29"/>
        <v>0.151234829194875</v>
      </c>
      <c r="T48" s="3">
        <v>0.01</v>
      </c>
      <c r="U48" s="26">
        <f t="shared" si="30"/>
        <v>0.00151234829194875</v>
      </c>
      <c r="V48" s="25"/>
      <c r="W48" s="3"/>
      <c r="X48" s="26"/>
      <c r="Y48" s="28">
        <v>0.02</v>
      </c>
      <c r="Z48" s="3">
        <v>0.49</v>
      </c>
      <c r="AA48" s="27">
        <f t="shared" si="31"/>
        <v>0.0098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</v>
      </c>
      <c r="AO48" s="3">
        <v>0.5</v>
      </c>
      <c r="AP48" s="3">
        <f t="shared" si="32"/>
        <v>0.005</v>
      </c>
      <c r="AQ48" s="1">
        <f t="shared" si="33"/>
        <v>0.0163123482919488</v>
      </c>
      <c r="AR48" s="29">
        <f t="shared" si="34"/>
        <v>7.70910416666667</v>
      </c>
      <c r="AS48" s="1">
        <f t="shared" si="35"/>
        <v>0.16</v>
      </c>
      <c r="AT48" s="2">
        <f t="shared" si="36"/>
        <v>140.689534246575</v>
      </c>
      <c r="AU48" s="1">
        <f t="shared" si="37"/>
        <v>18966.0537450614</v>
      </c>
    </row>
    <row r="49" s="1" customFormat="1" spans="1:47">
      <c r="A49" s="13"/>
      <c r="B49" s="13"/>
      <c r="C49" s="16">
        <v>7</v>
      </c>
      <c r="D49" s="37">
        <v>10.9028840226129</v>
      </c>
      <c r="E49" s="20">
        <f t="shared" si="38"/>
        <v>8.05727721053333</v>
      </c>
      <c r="F49" s="16" t="s">
        <v>110</v>
      </c>
      <c r="G49" s="13">
        <v>8</v>
      </c>
      <c r="H49" s="18">
        <f t="shared" si="21"/>
        <v>10.9028840226129</v>
      </c>
      <c r="I49" s="18">
        <f t="shared" si="22"/>
        <v>284.052884022613</v>
      </c>
      <c r="J49" s="18">
        <f t="shared" si="23"/>
        <v>0.0684571098052377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0.306356300590693</v>
      </c>
      <c r="P49" s="18">
        <f t="shared" si="26"/>
        <v>0.0209722669090634</v>
      </c>
      <c r="Q49" s="24">
        <f t="shared" si="27"/>
        <v>0.00335556270545015</v>
      </c>
      <c r="R49" s="18">
        <f t="shared" si="28"/>
        <v>0.0123345666666667</v>
      </c>
      <c r="S49" s="25">
        <f t="shared" si="29"/>
        <v>0.272045447248531</v>
      </c>
      <c r="T49" s="3">
        <v>0.01</v>
      </c>
      <c r="U49" s="26">
        <f t="shared" si="30"/>
        <v>0.00272045447248531</v>
      </c>
      <c r="V49" s="25"/>
      <c r="W49" s="3"/>
      <c r="X49" s="26"/>
      <c r="Y49" s="28">
        <v>0.02</v>
      </c>
      <c r="Z49" s="3">
        <v>0.49</v>
      </c>
      <c r="AA49" s="27">
        <f t="shared" si="31"/>
        <v>0.0098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</v>
      </c>
      <c r="AO49" s="3">
        <v>0.5</v>
      </c>
      <c r="AP49" s="3">
        <f t="shared" si="32"/>
        <v>0.005</v>
      </c>
      <c r="AQ49" s="1">
        <f t="shared" si="33"/>
        <v>0.0175204544724853</v>
      </c>
      <c r="AR49" s="29">
        <f t="shared" si="34"/>
        <v>7.70910416666667</v>
      </c>
      <c r="AS49" s="1">
        <f t="shared" si="35"/>
        <v>0.16</v>
      </c>
      <c r="AT49" s="2">
        <f t="shared" si="36"/>
        <v>140.689534246575</v>
      </c>
      <c r="AU49" s="1">
        <f t="shared" si="37"/>
        <v>20370.6955746567</v>
      </c>
    </row>
    <row r="50" s="1" customFormat="1" spans="1:47">
      <c r="A50" s="13"/>
      <c r="B50" s="13"/>
      <c r="C50" s="16">
        <v>8</v>
      </c>
      <c r="D50" s="37">
        <v>11.9784786694516</v>
      </c>
      <c r="E50" s="20">
        <f t="shared" si="38"/>
        <v>10.9028840226129</v>
      </c>
      <c r="F50" s="16" t="s">
        <v>110</v>
      </c>
      <c r="G50" s="13">
        <v>9</v>
      </c>
      <c r="H50" s="18">
        <f t="shared" si="21"/>
        <v>11.9784786694516</v>
      </c>
      <c r="I50" s="18">
        <f t="shared" si="22"/>
        <v>285.128478669452</v>
      </c>
      <c r="J50" s="18">
        <f t="shared" si="23"/>
        <v>0.0779069508990421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0.362475075348296</v>
      </c>
      <c r="P50" s="18">
        <f t="shared" si="26"/>
        <v>0.0282393278972863</v>
      </c>
      <c r="Q50" s="24">
        <f t="shared" si="27"/>
        <v>0.0045182924635658</v>
      </c>
      <c r="R50" s="18">
        <f t="shared" si="28"/>
        <v>0.0123345666666667</v>
      </c>
      <c r="S50" s="25">
        <f t="shared" si="29"/>
        <v>0.366311406445772</v>
      </c>
      <c r="T50" s="3">
        <v>0.01</v>
      </c>
      <c r="U50" s="26">
        <f t="shared" si="30"/>
        <v>0.00366311406445772</v>
      </c>
      <c r="V50" s="25"/>
      <c r="W50" s="3"/>
      <c r="X50" s="26"/>
      <c r="Y50" s="28">
        <v>0.02</v>
      </c>
      <c r="Z50" s="3">
        <v>0.49</v>
      </c>
      <c r="AA50" s="27">
        <f t="shared" si="31"/>
        <v>0.0098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</v>
      </c>
      <c r="AO50" s="3">
        <v>0.5</v>
      </c>
      <c r="AP50" s="3">
        <f t="shared" si="32"/>
        <v>0.005</v>
      </c>
      <c r="AQ50" s="1">
        <f t="shared" si="33"/>
        <v>0.0184631140644577</v>
      </c>
      <c r="AR50" s="29">
        <f t="shared" si="34"/>
        <v>7.70910416666667</v>
      </c>
      <c r="AS50" s="1">
        <f t="shared" si="35"/>
        <v>0.16</v>
      </c>
      <c r="AT50" s="2">
        <f t="shared" si="36"/>
        <v>140.689534246575</v>
      </c>
      <c r="AU50" s="1">
        <f t="shared" si="37"/>
        <v>21466.7077590869</v>
      </c>
    </row>
    <row r="51" s="1" customFormat="1" spans="1:47">
      <c r="A51" s="13"/>
      <c r="B51" s="13"/>
      <c r="C51" s="16">
        <v>9</v>
      </c>
      <c r="D51" s="37">
        <v>4.54641933763333</v>
      </c>
      <c r="E51" s="20">
        <f t="shared" si="38"/>
        <v>11.9784786694516</v>
      </c>
      <c r="F51" s="16" t="s">
        <v>110</v>
      </c>
      <c r="G51" s="13">
        <v>10</v>
      </c>
      <c r="H51" s="18">
        <f t="shared" si="21"/>
        <v>4.54641933763333</v>
      </c>
      <c r="I51" s="18">
        <f t="shared" si="22"/>
        <v>277.696419337633</v>
      </c>
      <c r="J51" s="18">
        <f t="shared" si="23"/>
        <v>0.0312363604506653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0.411326789117676</v>
      </c>
      <c r="P51" s="18">
        <f t="shared" si="26"/>
        <v>0.0128483518478945</v>
      </c>
      <c r="Q51" s="24">
        <f t="shared" si="27"/>
        <v>0.00205573629566312</v>
      </c>
      <c r="R51" s="18">
        <f t="shared" si="28"/>
        <v>0.0123345666666667</v>
      </c>
      <c r="S51" s="25">
        <f t="shared" si="29"/>
        <v>0.166664654804503</v>
      </c>
      <c r="T51" s="3">
        <v>0.01</v>
      </c>
      <c r="U51" s="26">
        <f t="shared" si="30"/>
        <v>0.00166664654804503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0.016466646548045</v>
      </c>
      <c r="AR51" s="29">
        <f t="shared" si="34"/>
        <v>7.70910416666667</v>
      </c>
      <c r="AS51" s="1">
        <f t="shared" si="35"/>
        <v>0.16</v>
      </c>
      <c r="AT51" s="2">
        <f t="shared" si="36"/>
        <v>140.689534246575</v>
      </c>
      <c r="AU51" s="1">
        <f t="shared" si="37"/>
        <v>19145.4533609546</v>
      </c>
    </row>
    <row r="52" s="1" customFormat="1" spans="1:47">
      <c r="A52" s="13"/>
      <c r="B52" s="13"/>
      <c r="C52" s="16">
        <v>10</v>
      </c>
      <c r="D52" s="37">
        <v>-2.22077700390323</v>
      </c>
      <c r="E52" s="20">
        <f t="shared" si="38"/>
        <v>4.54641933763333</v>
      </c>
      <c r="F52" s="16" t="s">
        <v>110</v>
      </c>
      <c r="G52" s="13">
        <v>11</v>
      </c>
      <c r="H52" s="18">
        <f t="shared" si="21"/>
        <v>-2.22077700390323</v>
      </c>
      <c r="I52" s="18">
        <f t="shared" si="22"/>
        <v>270.929222996097</v>
      </c>
      <c r="J52" s="18">
        <f t="shared" si="23"/>
        <v>0.0130110108150862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0.378554515406293</v>
      </c>
      <c r="O52" s="18">
        <f t="shared" si="39"/>
        <v>0.0970149635301557</v>
      </c>
      <c r="P52" s="18">
        <f t="shared" si="26"/>
        <v>0.00126226273971605</v>
      </c>
      <c r="Q52" s="24">
        <f t="shared" si="27"/>
        <v>0.000201962038354568</v>
      </c>
      <c r="R52" s="18">
        <f t="shared" si="28"/>
        <v>0.0123345666666667</v>
      </c>
      <c r="S52" s="25">
        <f t="shared" si="29"/>
        <v>0.016373663040823</v>
      </c>
      <c r="T52" s="3">
        <v>0.01</v>
      </c>
      <c r="U52" s="26">
        <f t="shared" si="30"/>
        <v>0.00016373663040823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0.0149637366304082</v>
      </c>
      <c r="AR52" s="29">
        <f t="shared" si="34"/>
        <v>7.70910416666667</v>
      </c>
      <c r="AS52" s="1">
        <f t="shared" si="35"/>
        <v>0.16</v>
      </c>
      <c r="AT52" s="2">
        <f t="shared" si="36"/>
        <v>140.689534246575</v>
      </c>
      <c r="AU52" s="1">
        <f t="shared" si="37"/>
        <v>17398.0488939991</v>
      </c>
    </row>
    <row r="53" s="1" customFormat="1" spans="1:48">
      <c r="A53" s="13"/>
      <c r="B53" s="13"/>
      <c r="C53" s="16">
        <v>11</v>
      </c>
      <c r="D53" s="37">
        <v>-9.7935258338</v>
      </c>
      <c r="E53" s="20">
        <f t="shared" si="38"/>
        <v>-2.22077700390323</v>
      </c>
      <c r="F53" s="16" t="s">
        <v>112</v>
      </c>
      <c r="G53" s="13">
        <v>12</v>
      </c>
      <c r="H53" s="18">
        <f t="shared" si="21"/>
        <v>-9.7935258338</v>
      </c>
      <c r="I53" s="18">
        <f t="shared" si="22"/>
        <v>263.3564741662</v>
      </c>
      <c r="J53" s="18">
        <f t="shared" si="23"/>
        <v>0.00462924405339439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0.172843742457106</v>
      </c>
      <c r="P53" s="18">
        <f t="shared" si="26"/>
        <v>0.000800135866935991</v>
      </c>
      <c r="Q53" s="24">
        <f t="shared" si="27"/>
        <v>0.000128021738709759</v>
      </c>
      <c r="R53" s="18">
        <f t="shared" si="28"/>
        <v>0.0123345666666667</v>
      </c>
      <c r="S53" s="25">
        <f t="shared" si="29"/>
        <v>0.0103791030661603</v>
      </c>
      <c r="T53" s="3">
        <v>0.01</v>
      </c>
      <c r="U53" s="26">
        <f t="shared" si="30"/>
        <v>0.000103791030661603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0.0149037910306616</v>
      </c>
      <c r="AR53" s="29">
        <f t="shared" si="34"/>
        <v>7.70910416666667</v>
      </c>
      <c r="AS53" s="1">
        <f t="shared" si="35"/>
        <v>0.16</v>
      </c>
      <c r="AT53" s="2">
        <f t="shared" si="36"/>
        <v>140.689534246575</v>
      </c>
      <c r="AU53" s="1">
        <f t="shared" si="37"/>
        <v>17328.3512976613</v>
      </c>
      <c r="AV53" s="1">
        <f>SUM(AU42:AU53)</f>
        <v>219324.495806852</v>
      </c>
    </row>
    <row r="54" s="1" customFormat="1" spans="1:46">
      <c r="A54" s="13"/>
      <c r="B54" s="13"/>
      <c r="C54" s="16">
        <v>12</v>
      </c>
      <c r="D54" s="37">
        <v>-11.7568357696129</v>
      </c>
      <c r="E54" s="20">
        <f t="shared" si="38"/>
        <v>-9.7935258338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134.758</v>
      </c>
      <c r="C58" s="16" t="s">
        <v>109</v>
      </c>
      <c r="D58" s="17">
        <v>-14</v>
      </c>
      <c r="E58" s="16"/>
      <c r="F58" s="16"/>
      <c r="G58" s="13">
        <v>1</v>
      </c>
      <c r="H58" s="18">
        <f t="shared" ref="H58:H69" si="40">E59</f>
        <v>-14</v>
      </c>
      <c r="I58" s="18">
        <f t="shared" ref="I58:I69" si="41">H58+273.15</f>
        <v>259.15</v>
      </c>
      <c r="J58" s="18">
        <f t="shared" ref="J58:J69" si="42">EXP(($C$16*(I58-$C$14))/($C$17*I58*$C$14))</f>
        <v>0.00254027577249845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110</v>
      </c>
      <c r="N58" s="13"/>
      <c r="O58" s="18">
        <f>L58</f>
        <v>3.032055</v>
      </c>
      <c r="P58" s="18">
        <f t="shared" ref="P58:P69" si="45">O58*J58</f>
        <v>0.00770225585738279</v>
      </c>
      <c r="Q58" s="24">
        <f t="shared" ref="Q58:Q69" si="46">P58*$B$60</f>
        <v>0.00223365419864101</v>
      </c>
      <c r="R58" s="18">
        <f t="shared" ref="R58:R69" si="47">L58*$B$60</f>
        <v>0.87929595</v>
      </c>
      <c r="S58" s="25">
        <f t="shared" ref="S58:S69" si="48">Q58/R58</f>
        <v>0.00254027577249845</v>
      </c>
      <c r="T58" s="3">
        <v>0.27</v>
      </c>
      <c r="U58" s="26">
        <f t="shared" ref="U58:U69" si="49">S58*T58</f>
        <v>0.000685874458574582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0.226533265407301</v>
      </c>
      <c r="AC58" s="29">
        <f t="shared" ref="AC58:AC69" si="51">$B$58/12</f>
        <v>11.2298333333333</v>
      </c>
      <c r="AD58" s="1">
        <f t="shared" ref="AD58:AD69" si="52">$B$60</f>
        <v>0.29</v>
      </c>
      <c r="AE58" s="30">
        <f t="shared" ref="AE58:AE69" si="53">$E$7/12</f>
        <v>14.2037405150431</v>
      </c>
      <c r="AF58" s="1">
        <f t="shared" ref="AF58:AF69" si="54">AE58*10000*AC58*AB58</f>
        <v>361333.331841945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37">
        <v>-15.4674344406452</v>
      </c>
      <c r="E59" s="20">
        <f t="shared" ref="E59:E70" si="55">D58</f>
        <v>-14</v>
      </c>
      <c r="F59" s="16" t="s">
        <v>110</v>
      </c>
      <c r="G59" s="13">
        <v>2</v>
      </c>
      <c r="H59" s="18">
        <f t="shared" si="40"/>
        <v>-15.4674344406452</v>
      </c>
      <c r="I59" s="18">
        <f t="shared" si="41"/>
        <v>257.682565559355</v>
      </c>
      <c r="J59" s="18">
        <f t="shared" si="42"/>
        <v>0.00205096388667563</v>
      </c>
      <c r="K59" s="18">
        <f t="shared" si="43"/>
        <v>11.2298333333333</v>
      </c>
      <c r="L59" s="18">
        <f t="shared" si="44"/>
        <v>3.032055</v>
      </c>
      <c r="M59" s="13" t="s">
        <v>110</v>
      </c>
      <c r="N59" s="13"/>
      <c r="O59" s="18">
        <f t="shared" ref="O59:O69" si="56">L59+O58-P58-N59</f>
        <v>6.05640774414262</v>
      </c>
      <c r="P59" s="18">
        <f t="shared" si="45"/>
        <v>0.0124214735662191</v>
      </c>
      <c r="Q59" s="24">
        <f t="shared" si="46"/>
        <v>0.00360222733420355</v>
      </c>
      <c r="R59" s="18">
        <f t="shared" si="47"/>
        <v>0.87929595</v>
      </c>
      <c r="S59" s="25">
        <f t="shared" si="48"/>
        <v>0.00409671775947967</v>
      </c>
      <c r="T59" s="3">
        <v>0.27</v>
      </c>
      <c r="U59" s="26">
        <f t="shared" si="49"/>
        <v>0.00110611379505951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0.22661491791038</v>
      </c>
      <c r="AC59" s="29">
        <f t="shared" si="51"/>
        <v>11.2298333333333</v>
      </c>
      <c r="AD59" s="1">
        <f t="shared" si="52"/>
        <v>0.29</v>
      </c>
      <c r="AE59" s="30">
        <f t="shared" si="53"/>
        <v>14.2037405150431</v>
      </c>
      <c r="AF59" s="1">
        <f t="shared" si="54"/>
        <v>361463.572188491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37">
        <v>-12.2530079889655</v>
      </c>
      <c r="E60" s="20">
        <f t="shared" si="55"/>
        <v>-15.4674344406452</v>
      </c>
      <c r="F60" s="16" t="s">
        <v>110</v>
      </c>
      <c r="G60" s="13">
        <v>3</v>
      </c>
      <c r="H60" s="18">
        <f t="shared" si="40"/>
        <v>-12.2530079889655</v>
      </c>
      <c r="I60" s="18">
        <f t="shared" si="41"/>
        <v>260.896992011034</v>
      </c>
      <c r="J60" s="18">
        <f t="shared" si="42"/>
        <v>0.00326695580665814</v>
      </c>
      <c r="K60" s="18">
        <f t="shared" si="43"/>
        <v>11.2298333333333</v>
      </c>
      <c r="L60" s="18">
        <f t="shared" si="44"/>
        <v>3.032055</v>
      </c>
      <c r="M60" s="13" t="s">
        <v>110</v>
      </c>
      <c r="N60" s="13"/>
      <c r="O60" s="18">
        <f t="shared" si="56"/>
        <v>9.0760412705764</v>
      </c>
      <c r="P60" s="18">
        <f t="shared" si="45"/>
        <v>0.0296510257303785</v>
      </c>
      <c r="Q60" s="24">
        <f t="shared" si="46"/>
        <v>0.00859879746180976</v>
      </c>
      <c r="R60" s="18">
        <f t="shared" si="47"/>
        <v>0.87929595</v>
      </c>
      <c r="S60" s="25">
        <f t="shared" si="48"/>
        <v>0.00977918465541637</v>
      </c>
      <c r="T60" s="3">
        <v>0.27</v>
      </c>
      <c r="U60" s="26">
        <f t="shared" si="49"/>
        <v>0.00264037985696242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0.226913025806208</v>
      </c>
      <c r="AC60" s="29">
        <f t="shared" si="51"/>
        <v>11.2298333333333</v>
      </c>
      <c r="AD60" s="1">
        <f t="shared" si="52"/>
        <v>0.29</v>
      </c>
      <c r="AE60" s="30">
        <f t="shared" si="53"/>
        <v>14.2037405150431</v>
      </c>
      <c r="AF60" s="1">
        <f t="shared" si="54"/>
        <v>361939.071091728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37">
        <v>-5.8383866653871</v>
      </c>
      <c r="E61" s="20">
        <f t="shared" si="55"/>
        <v>-12.2530079889655</v>
      </c>
      <c r="F61" s="16" t="s">
        <v>110</v>
      </c>
      <c r="G61" s="13">
        <v>4</v>
      </c>
      <c r="H61" s="18">
        <f t="shared" si="40"/>
        <v>-5.8383866653871</v>
      </c>
      <c r="I61" s="18">
        <f t="shared" si="41"/>
        <v>267.311613334613</v>
      </c>
      <c r="J61" s="18">
        <f t="shared" si="42"/>
        <v>0.0079999023180904</v>
      </c>
      <c r="K61" s="18">
        <f t="shared" si="43"/>
        <v>11.2298333333333</v>
      </c>
      <c r="L61" s="18">
        <f t="shared" si="44"/>
        <v>3.032055</v>
      </c>
      <c r="M61" s="13" t="s">
        <v>110</v>
      </c>
      <c r="N61" s="13"/>
      <c r="O61" s="18">
        <f t="shared" si="56"/>
        <v>12.078445244846</v>
      </c>
      <c r="P61" s="18">
        <f t="shared" si="45"/>
        <v>0.0966263821131716</v>
      </c>
      <c r="Q61" s="24">
        <f t="shared" si="46"/>
        <v>0.0280216508128198</v>
      </c>
      <c r="R61" s="18">
        <f t="shared" si="47"/>
        <v>0.87929595</v>
      </c>
      <c r="S61" s="25">
        <f t="shared" si="48"/>
        <v>0.0318682814504261</v>
      </c>
      <c r="T61" s="3">
        <v>0.27</v>
      </c>
      <c r="U61" s="26">
        <f t="shared" si="49"/>
        <v>0.00860443599161504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0.228071841913171</v>
      </c>
      <c r="AC61" s="29">
        <f t="shared" si="51"/>
        <v>11.2298333333333</v>
      </c>
      <c r="AD61" s="1">
        <f t="shared" si="52"/>
        <v>0.29</v>
      </c>
      <c r="AE61" s="30">
        <f t="shared" si="53"/>
        <v>14.2037405150431</v>
      </c>
      <c r="AF61" s="1">
        <f t="shared" si="54"/>
        <v>363787.448124426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37">
        <v>-1.844164019</v>
      </c>
      <c r="E62" s="20">
        <f t="shared" si="55"/>
        <v>-5.8383866653871</v>
      </c>
      <c r="F62" s="16" t="s">
        <v>110</v>
      </c>
      <c r="G62" s="13">
        <v>5</v>
      </c>
      <c r="H62" s="18">
        <f t="shared" si="40"/>
        <v>-1.844164019</v>
      </c>
      <c r="I62" s="18">
        <f t="shared" si="41"/>
        <v>271.305835981</v>
      </c>
      <c r="J62" s="18">
        <f t="shared" si="42"/>
        <v>0.0136765677012325</v>
      </c>
      <c r="K62" s="18">
        <f t="shared" si="43"/>
        <v>11.2298333333333</v>
      </c>
      <c r="L62" s="18">
        <f t="shared" si="44"/>
        <v>3.032055</v>
      </c>
      <c r="M62" s="13" t="s">
        <v>112</v>
      </c>
      <c r="N62" s="18">
        <f>(O61-P61)*$C$22/100</f>
        <v>11.3827279195962</v>
      </c>
      <c r="O62" s="18">
        <f t="shared" si="56"/>
        <v>3.63114594313664</v>
      </c>
      <c r="P62" s="18">
        <f t="shared" si="45"/>
        <v>0.049661613324364</v>
      </c>
      <c r="Q62" s="24">
        <f t="shared" si="46"/>
        <v>0.0144018678640656</v>
      </c>
      <c r="R62" s="18">
        <f t="shared" si="47"/>
        <v>0.87929595</v>
      </c>
      <c r="S62" s="25">
        <f t="shared" si="48"/>
        <v>0.0163788629574213</v>
      </c>
      <c r="T62" s="3">
        <v>0.27</v>
      </c>
      <c r="U62" s="26">
        <f t="shared" si="49"/>
        <v>0.00442229299850375</v>
      </c>
      <c r="V62" s="3">
        <v>180.9</v>
      </c>
      <c r="W62" s="27">
        <v>6</v>
      </c>
      <c r="X62" s="27">
        <v>3</v>
      </c>
      <c r="Y62" s="27">
        <v>0.3</v>
      </c>
      <c r="Z62" s="27">
        <v>6</v>
      </c>
      <c r="AA62" s="3">
        <v>30.2</v>
      </c>
      <c r="AB62" s="2">
        <f t="shared" si="50"/>
        <v>0.227259251529609</v>
      </c>
      <c r="AC62" s="29">
        <f t="shared" si="51"/>
        <v>11.2298333333333</v>
      </c>
      <c r="AD62" s="1">
        <f t="shared" si="52"/>
        <v>0.29</v>
      </c>
      <c r="AE62" s="30">
        <f t="shared" si="53"/>
        <v>14.2037405150431</v>
      </c>
      <c r="AF62" s="1">
        <f t="shared" si="54"/>
        <v>362491.320643162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37">
        <v>3.00431582458065</v>
      </c>
      <c r="E63" s="20">
        <f t="shared" si="55"/>
        <v>-1.844164019</v>
      </c>
      <c r="F63" s="16" t="s">
        <v>112</v>
      </c>
      <c r="G63" s="13">
        <v>6</v>
      </c>
      <c r="H63" s="18">
        <f t="shared" si="40"/>
        <v>3.00431582458065</v>
      </c>
      <c r="I63" s="18">
        <f t="shared" si="41"/>
        <v>276.154315824581</v>
      </c>
      <c r="J63" s="18">
        <f t="shared" si="42"/>
        <v>0.0256818701164434</v>
      </c>
      <c r="K63" s="18">
        <f t="shared" si="43"/>
        <v>11.2298333333333</v>
      </c>
      <c r="L63" s="18">
        <f t="shared" si="44"/>
        <v>3.032055</v>
      </c>
      <c r="M63" s="13" t="s">
        <v>110</v>
      </c>
      <c r="N63" s="13"/>
      <c r="O63" s="18">
        <f t="shared" si="56"/>
        <v>6.61353932981228</v>
      </c>
      <c r="P63" s="18">
        <f t="shared" si="45"/>
        <v>0.169848058078229</v>
      </c>
      <c r="Q63" s="24">
        <f t="shared" si="46"/>
        <v>0.0492559368426864</v>
      </c>
      <c r="R63" s="18">
        <f t="shared" si="47"/>
        <v>0.87929595</v>
      </c>
      <c r="S63" s="25">
        <f t="shared" si="48"/>
        <v>0.0560174726639949</v>
      </c>
      <c r="T63" s="3">
        <v>0.27</v>
      </c>
      <c r="U63" s="26">
        <f t="shared" si="49"/>
        <v>0.0151247176192786</v>
      </c>
      <c r="V63" s="3">
        <v>180.9</v>
      </c>
      <c r="W63" s="27">
        <v>6</v>
      </c>
      <c r="X63" s="27">
        <v>3</v>
      </c>
      <c r="Y63" s="27">
        <v>0.3</v>
      </c>
      <c r="Z63" s="27">
        <v>6</v>
      </c>
      <c r="AA63" s="3">
        <v>30.2</v>
      </c>
      <c r="AB63" s="2">
        <f t="shared" si="50"/>
        <v>0.229338732633426</v>
      </c>
      <c r="AC63" s="29">
        <f t="shared" si="51"/>
        <v>11.2298333333333</v>
      </c>
      <c r="AD63" s="1">
        <f t="shared" si="52"/>
        <v>0.29</v>
      </c>
      <c r="AE63" s="30">
        <f t="shared" si="53"/>
        <v>14.2037405150431</v>
      </c>
      <c r="AF63" s="1">
        <f t="shared" si="54"/>
        <v>365808.210259322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37">
        <v>8.05727721053333</v>
      </c>
      <c r="E64" s="20">
        <f t="shared" si="55"/>
        <v>3.00431582458065</v>
      </c>
      <c r="F64" s="16" t="s">
        <v>110</v>
      </c>
      <c r="G64" s="13">
        <v>7</v>
      </c>
      <c r="H64" s="18">
        <f t="shared" si="40"/>
        <v>8.05727721053333</v>
      </c>
      <c r="I64" s="18">
        <f t="shared" si="41"/>
        <v>281.207277210533</v>
      </c>
      <c r="J64" s="18">
        <f t="shared" si="42"/>
        <v>0.0483922117461418</v>
      </c>
      <c r="K64" s="18">
        <f t="shared" si="43"/>
        <v>11.2298333333333</v>
      </c>
      <c r="L64" s="18">
        <f t="shared" si="44"/>
        <v>3.032055</v>
      </c>
      <c r="M64" s="13" t="s">
        <v>110</v>
      </c>
      <c r="N64" s="13"/>
      <c r="O64" s="18">
        <f t="shared" si="56"/>
        <v>9.47574627173405</v>
      </c>
      <c r="P64" s="18">
        <f t="shared" si="45"/>
        <v>0.458552320034468</v>
      </c>
      <c r="Q64" s="24">
        <f t="shared" si="46"/>
        <v>0.132980172809996</v>
      </c>
      <c r="R64" s="18">
        <f t="shared" si="47"/>
        <v>0.87929595</v>
      </c>
      <c r="S64" s="25">
        <f t="shared" si="48"/>
        <v>0.151234829194875</v>
      </c>
      <c r="T64" s="3">
        <v>0.27</v>
      </c>
      <c r="U64" s="26">
        <f t="shared" si="49"/>
        <v>0.0408334038826163</v>
      </c>
      <c r="V64" s="3">
        <v>180.9</v>
      </c>
      <c r="W64" s="27">
        <v>6</v>
      </c>
      <c r="X64" s="27">
        <v>3</v>
      </c>
      <c r="Y64" s="27">
        <v>0.3</v>
      </c>
      <c r="Z64" s="27">
        <v>6</v>
      </c>
      <c r="AA64" s="3">
        <v>30.2</v>
      </c>
      <c r="AB64" s="2">
        <f t="shared" si="50"/>
        <v>0.234333930374392</v>
      </c>
      <c r="AC64" s="29">
        <f t="shared" si="51"/>
        <v>11.2298333333333</v>
      </c>
      <c r="AD64" s="1">
        <f t="shared" si="52"/>
        <v>0.29</v>
      </c>
      <c r="AE64" s="30">
        <f t="shared" si="53"/>
        <v>14.2037405150431</v>
      </c>
      <c r="AF64" s="1">
        <f t="shared" si="54"/>
        <v>373775.832320072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37">
        <v>10.9028840226129</v>
      </c>
      <c r="E65" s="20">
        <f t="shared" si="55"/>
        <v>8.05727721053333</v>
      </c>
      <c r="F65" s="16" t="s">
        <v>110</v>
      </c>
      <c r="G65" s="13">
        <v>8</v>
      </c>
      <c r="H65" s="18">
        <f t="shared" si="40"/>
        <v>10.9028840226129</v>
      </c>
      <c r="I65" s="18">
        <f t="shared" si="41"/>
        <v>284.052884022613</v>
      </c>
      <c r="J65" s="18">
        <f t="shared" si="42"/>
        <v>0.0684571098052377</v>
      </c>
      <c r="K65" s="18">
        <f t="shared" si="43"/>
        <v>11.2298333333333</v>
      </c>
      <c r="L65" s="18">
        <f t="shared" si="44"/>
        <v>3.032055</v>
      </c>
      <c r="M65" s="13" t="s">
        <v>110</v>
      </c>
      <c r="N65" s="13"/>
      <c r="O65" s="18">
        <f t="shared" si="56"/>
        <v>12.0492489516996</v>
      </c>
      <c r="P65" s="18">
        <f t="shared" si="45"/>
        <v>0.824856758557143</v>
      </c>
      <c r="Q65" s="24">
        <f t="shared" si="46"/>
        <v>0.239208459981572</v>
      </c>
      <c r="R65" s="18">
        <f t="shared" si="47"/>
        <v>0.87929595</v>
      </c>
      <c r="S65" s="25">
        <f t="shared" si="48"/>
        <v>0.272045447248531</v>
      </c>
      <c r="T65" s="3">
        <v>0.27</v>
      </c>
      <c r="U65" s="26">
        <f t="shared" si="49"/>
        <v>0.0734522707571033</v>
      </c>
      <c r="V65" s="3">
        <v>180.9</v>
      </c>
      <c r="W65" s="27">
        <v>6</v>
      </c>
      <c r="X65" s="27">
        <v>3</v>
      </c>
      <c r="Y65" s="27">
        <v>0.3</v>
      </c>
      <c r="Z65" s="27">
        <v>6</v>
      </c>
      <c r="AA65" s="3">
        <v>30.2</v>
      </c>
      <c r="AB65" s="2">
        <f t="shared" si="50"/>
        <v>0.240671776208105</v>
      </c>
      <c r="AC65" s="29">
        <f t="shared" si="51"/>
        <v>11.2298333333333</v>
      </c>
      <c r="AD65" s="1">
        <f t="shared" si="52"/>
        <v>0.29</v>
      </c>
      <c r="AE65" s="30">
        <f t="shared" si="53"/>
        <v>14.2037405150431</v>
      </c>
      <c r="AF65" s="1">
        <f t="shared" si="54"/>
        <v>383885.053796567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37">
        <v>11.9784786694516</v>
      </c>
      <c r="E66" s="20">
        <f t="shared" si="55"/>
        <v>10.9028840226129</v>
      </c>
      <c r="F66" s="16" t="s">
        <v>110</v>
      </c>
      <c r="G66" s="13">
        <v>9</v>
      </c>
      <c r="H66" s="18">
        <f t="shared" si="40"/>
        <v>11.9784786694516</v>
      </c>
      <c r="I66" s="18">
        <f t="shared" si="41"/>
        <v>285.128478669452</v>
      </c>
      <c r="J66" s="18">
        <f t="shared" si="42"/>
        <v>0.0779069508990421</v>
      </c>
      <c r="K66" s="18">
        <f t="shared" si="43"/>
        <v>11.2298333333333</v>
      </c>
      <c r="L66" s="18">
        <f t="shared" si="44"/>
        <v>3.032055</v>
      </c>
      <c r="M66" s="13" t="s">
        <v>110</v>
      </c>
      <c r="N66" s="13"/>
      <c r="O66" s="18">
        <f t="shared" si="56"/>
        <v>14.2564471931424</v>
      </c>
      <c r="P66" s="18">
        <f t="shared" si="45"/>
        <v>1.11067633147093</v>
      </c>
      <c r="Q66" s="24">
        <f t="shared" si="46"/>
        <v>0.322096136126571</v>
      </c>
      <c r="R66" s="18">
        <f t="shared" si="47"/>
        <v>0.87929595</v>
      </c>
      <c r="S66" s="25">
        <f t="shared" si="48"/>
        <v>0.366311406445772</v>
      </c>
      <c r="T66" s="3">
        <v>0.27</v>
      </c>
      <c r="U66" s="26">
        <f t="shared" si="49"/>
        <v>0.0989040797403584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0.245617062693552</v>
      </c>
      <c r="AC66" s="29">
        <f t="shared" si="51"/>
        <v>11.2298333333333</v>
      </c>
      <c r="AD66" s="1">
        <f t="shared" si="52"/>
        <v>0.29</v>
      </c>
      <c r="AE66" s="30">
        <f t="shared" si="53"/>
        <v>14.2037405150431</v>
      </c>
      <c r="AF66" s="1">
        <f t="shared" si="54"/>
        <v>391773.064590419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37">
        <v>4.54641933763333</v>
      </c>
      <c r="E67" s="20">
        <f t="shared" si="55"/>
        <v>11.9784786694516</v>
      </c>
      <c r="F67" s="16" t="s">
        <v>110</v>
      </c>
      <c r="G67" s="13">
        <v>10</v>
      </c>
      <c r="H67" s="18">
        <f t="shared" si="40"/>
        <v>4.54641933763333</v>
      </c>
      <c r="I67" s="18">
        <f t="shared" si="41"/>
        <v>277.696419337633</v>
      </c>
      <c r="J67" s="18">
        <f t="shared" si="42"/>
        <v>0.0312363604506653</v>
      </c>
      <c r="K67" s="18">
        <f t="shared" si="43"/>
        <v>11.2298333333333</v>
      </c>
      <c r="L67" s="18">
        <f t="shared" si="44"/>
        <v>3.032055</v>
      </c>
      <c r="M67" s="13" t="s">
        <v>110</v>
      </c>
      <c r="N67" s="13"/>
      <c r="O67" s="18">
        <f t="shared" si="56"/>
        <v>16.1778258616715</v>
      </c>
      <c r="P67" s="18">
        <f t="shared" si="45"/>
        <v>0.505336399923266</v>
      </c>
      <c r="Q67" s="24">
        <f t="shared" si="46"/>
        <v>0.146547555977747</v>
      </c>
      <c r="R67" s="18">
        <f t="shared" si="47"/>
        <v>0.87929595</v>
      </c>
      <c r="S67" s="25">
        <f t="shared" si="48"/>
        <v>0.166664654804503</v>
      </c>
      <c r="T67" s="3">
        <v>0.27</v>
      </c>
      <c r="U67" s="26">
        <f t="shared" si="49"/>
        <v>0.0449994567972157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0.235143394455699</v>
      </c>
      <c r="AC67" s="29">
        <f t="shared" si="51"/>
        <v>11.2298333333333</v>
      </c>
      <c r="AD67" s="1">
        <f t="shared" si="52"/>
        <v>0.29</v>
      </c>
      <c r="AE67" s="30">
        <f t="shared" si="53"/>
        <v>14.2037405150431</v>
      </c>
      <c r="AF67" s="1">
        <f t="shared" si="54"/>
        <v>375066.973172957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37">
        <v>-2.22077700390323</v>
      </c>
      <c r="E68" s="20">
        <f t="shared" si="55"/>
        <v>4.54641933763333</v>
      </c>
      <c r="F68" s="16" t="s">
        <v>110</v>
      </c>
      <c r="G68" s="13">
        <v>11</v>
      </c>
      <c r="H68" s="18">
        <f t="shared" si="40"/>
        <v>-2.22077700390323</v>
      </c>
      <c r="I68" s="18">
        <f t="shared" si="41"/>
        <v>270.929222996097</v>
      </c>
      <c r="J68" s="18">
        <f t="shared" si="42"/>
        <v>0.0130110108150862</v>
      </c>
      <c r="K68" s="18">
        <f t="shared" si="43"/>
        <v>11.2298333333333</v>
      </c>
      <c r="L68" s="18">
        <f t="shared" si="44"/>
        <v>3.032055</v>
      </c>
      <c r="M68" s="13" t="s">
        <v>112</v>
      </c>
      <c r="N68" s="18">
        <f>(O67-P67)*$C$22/100</f>
        <v>14.8888649886608</v>
      </c>
      <c r="O68" s="18">
        <f t="shared" si="56"/>
        <v>3.81567947308741</v>
      </c>
      <c r="P68" s="18">
        <f t="shared" si="45"/>
        <v>0.0496458468912427</v>
      </c>
      <c r="Q68" s="24">
        <f t="shared" si="46"/>
        <v>0.0143972955984604</v>
      </c>
      <c r="R68" s="18">
        <f t="shared" si="47"/>
        <v>0.87929595</v>
      </c>
      <c r="S68" s="25">
        <f t="shared" si="48"/>
        <v>0.016373663040823</v>
      </c>
      <c r="T68" s="3">
        <v>0.27</v>
      </c>
      <c r="U68" s="26">
        <f t="shared" si="49"/>
        <v>0.00442088902102222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0.227258978736785</v>
      </c>
      <c r="AC68" s="29">
        <f t="shared" si="51"/>
        <v>11.2298333333333</v>
      </c>
      <c r="AD68" s="1">
        <f t="shared" si="52"/>
        <v>0.29</v>
      </c>
      <c r="AE68" s="30">
        <f t="shared" si="53"/>
        <v>14.2037405150431</v>
      </c>
      <c r="AF68" s="1">
        <f t="shared" si="54"/>
        <v>362490.885523225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37">
        <v>-9.7935258338</v>
      </c>
      <c r="E69" s="20">
        <f t="shared" si="55"/>
        <v>-2.22077700390323</v>
      </c>
      <c r="F69" s="16" t="s">
        <v>112</v>
      </c>
      <c r="G69" s="13">
        <v>12</v>
      </c>
      <c r="H69" s="18">
        <f t="shared" si="40"/>
        <v>-9.7935258338</v>
      </c>
      <c r="I69" s="18">
        <f t="shared" si="41"/>
        <v>263.3564741662</v>
      </c>
      <c r="J69" s="18">
        <f t="shared" si="42"/>
        <v>0.00462924405339439</v>
      </c>
      <c r="K69" s="18">
        <f t="shared" si="43"/>
        <v>11.2298333333333</v>
      </c>
      <c r="L69" s="18">
        <f t="shared" si="44"/>
        <v>3.032055</v>
      </c>
      <c r="M69" s="13" t="s">
        <v>110</v>
      </c>
      <c r="N69" s="13"/>
      <c r="O69" s="18">
        <f t="shared" si="56"/>
        <v>6.79808862619617</v>
      </c>
      <c r="P69" s="18">
        <f t="shared" si="45"/>
        <v>0.0314700113472667</v>
      </c>
      <c r="Q69" s="24">
        <f t="shared" si="46"/>
        <v>0.00912630329070733</v>
      </c>
      <c r="R69" s="18">
        <f t="shared" si="47"/>
        <v>0.87929595</v>
      </c>
      <c r="S69" s="25">
        <f t="shared" si="48"/>
        <v>0.0103791030661603</v>
      </c>
      <c r="T69" s="3">
        <v>0.27</v>
      </c>
      <c r="U69" s="26">
        <f t="shared" si="49"/>
        <v>0.00280235782786328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0.226944498125954</v>
      </c>
      <c r="AC69" s="29">
        <f t="shared" si="51"/>
        <v>11.2298333333333</v>
      </c>
      <c r="AD69" s="1">
        <f t="shared" si="52"/>
        <v>0.29</v>
      </c>
      <c r="AE69" s="30">
        <f t="shared" si="53"/>
        <v>14.2037405150431</v>
      </c>
      <c r="AF69" s="1">
        <f t="shared" si="54"/>
        <v>361989.271216351</v>
      </c>
      <c r="AG69" s="1">
        <f>SUM(AF58:AF69)</f>
        <v>4425804.03476866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37">
        <v>-11.7568357696129</v>
      </c>
      <c r="E70" s="20">
        <f t="shared" si="55"/>
        <v>-9.7935258338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-14</v>
      </c>
      <c r="E74" s="16"/>
      <c r="F74" s="16"/>
      <c r="G74" s="13">
        <v>1</v>
      </c>
      <c r="H74" s="18">
        <f t="shared" ref="H74:H85" si="57">E75</f>
        <v>-14</v>
      </c>
      <c r="I74" s="18">
        <f t="shared" ref="I74:I85" si="58">H74+273.15</f>
        <v>259.15</v>
      </c>
      <c r="J74" s="18">
        <f t="shared" ref="J74:J85" si="59">EXP(($C$16*(I74-$C$14))/($C$17*I74*$C$14))</f>
        <v>0.00254027577249845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0.00132404253814164</v>
      </c>
      <c r="Q74" s="24">
        <f t="shared" ref="Q74:Q85" si="63">P74*$B$76</f>
        <v>0.000344251059916827</v>
      </c>
      <c r="R74" s="18">
        <f t="shared" ref="R74:R85" si="64">L74*$B$76</f>
        <v>0.1355172</v>
      </c>
      <c r="S74" s="25">
        <f t="shared" ref="S74:S85" si="65">Q74/R74</f>
        <v>0.00254027577249845</v>
      </c>
      <c r="T74" s="3">
        <v>0.01</v>
      </c>
      <c r="U74" s="26">
        <f t="shared" ref="U74:U85" si="66">S74*T74</f>
        <v>2.54027577249845e-5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0.00551540275772498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$E$8/12</f>
        <v>0.894339868229092</v>
      </c>
      <c r="AX74" s="1">
        <f t="shared" ref="AX74:AX85" si="73">AW74*10000*AV74*0.67*AU74*AT74</f>
        <v>447.866981589587</v>
      </c>
    </row>
    <row r="75" s="1" customFormat="1" spans="1:50">
      <c r="A75" s="13" t="s">
        <v>111</v>
      </c>
      <c r="B75" s="13">
        <v>1</v>
      </c>
      <c r="C75" s="16">
        <v>1</v>
      </c>
      <c r="D75" s="37">
        <v>-15.4674344406452</v>
      </c>
      <c r="E75" s="20">
        <f t="shared" ref="E75:E86" si="74">D74</f>
        <v>-14</v>
      </c>
      <c r="F75" s="16" t="s">
        <v>110</v>
      </c>
      <c r="G75" s="13">
        <v>2</v>
      </c>
      <c r="H75" s="18">
        <f t="shared" si="57"/>
        <v>-15.4674344406452</v>
      </c>
      <c r="I75" s="18">
        <f t="shared" si="58"/>
        <v>257.682565559355</v>
      </c>
      <c r="J75" s="18">
        <f t="shared" si="59"/>
        <v>0.00205096388667563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5">L75+O74-P74-N75</f>
        <v>1.04111595746186</v>
      </c>
      <c r="P75" s="18">
        <f t="shared" si="62"/>
        <v>0.00213529123059599</v>
      </c>
      <c r="Q75" s="24">
        <f t="shared" si="63"/>
        <v>0.000555175719954958</v>
      </c>
      <c r="R75" s="18">
        <f t="shared" si="64"/>
        <v>0.1355172</v>
      </c>
      <c r="S75" s="25">
        <f t="shared" si="65"/>
        <v>0.00409671775947967</v>
      </c>
      <c r="T75" s="3">
        <v>0.01</v>
      </c>
      <c r="U75" s="26">
        <f t="shared" si="66"/>
        <v>4.09671775947967e-5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0.0055309671775948</v>
      </c>
      <c r="AU75" s="29">
        <f t="shared" si="70"/>
        <v>52.122</v>
      </c>
      <c r="AV75" s="1">
        <f t="shared" si="71"/>
        <v>0.26</v>
      </c>
      <c r="AW75" s="2">
        <f t="shared" si="72"/>
        <v>0.894339868229092</v>
      </c>
      <c r="AX75" s="1">
        <f t="shared" si="73"/>
        <v>449.130858418441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37">
        <v>-12.2530079889655</v>
      </c>
      <c r="E76" s="20">
        <f t="shared" si="74"/>
        <v>-15.4674344406452</v>
      </c>
      <c r="F76" s="16" t="s">
        <v>110</v>
      </c>
      <c r="G76" s="13">
        <v>3</v>
      </c>
      <c r="H76" s="18">
        <f t="shared" si="57"/>
        <v>-12.2530079889655</v>
      </c>
      <c r="I76" s="18">
        <f t="shared" si="58"/>
        <v>260.896992011034</v>
      </c>
      <c r="J76" s="18">
        <f t="shared" si="59"/>
        <v>0.00326695580665814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5"/>
        <v>1.56020066623126</v>
      </c>
      <c r="P76" s="18">
        <f t="shared" si="62"/>
        <v>0.00509710662609612</v>
      </c>
      <c r="Q76" s="24">
        <f t="shared" si="63"/>
        <v>0.00132524772278499</v>
      </c>
      <c r="R76" s="18">
        <f t="shared" si="64"/>
        <v>0.1355172</v>
      </c>
      <c r="S76" s="25">
        <f t="shared" si="65"/>
        <v>0.00977918465541637</v>
      </c>
      <c r="T76" s="3">
        <v>0.01</v>
      </c>
      <c r="U76" s="26">
        <f t="shared" si="66"/>
        <v>9.77918465541637e-5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0.00558779184655416</v>
      </c>
      <c r="AU76" s="29">
        <f t="shared" si="70"/>
        <v>52.122</v>
      </c>
      <c r="AV76" s="1">
        <f t="shared" si="71"/>
        <v>0.26</v>
      </c>
      <c r="AW76" s="2">
        <f t="shared" si="72"/>
        <v>0.894339868229092</v>
      </c>
      <c r="AX76" s="1">
        <f t="shared" si="73"/>
        <v>453.745189245145</v>
      </c>
    </row>
    <row r="77" s="1" customFormat="1" spans="1:50">
      <c r="A77" s="13"/>
      <c r="B77" s="13"/>
      <c r="C77" s="16">
        <v>3</v>
      </c>
      <c r="D77" s="37">
        <v>-5.8383866653871</v>
      </c>
      <c r="E77" s="20">
        <f t="shared" si="74"/>
        <v>-12.2530079889655</v>
      </c>
      <c r="F77" s="16" t="s">
        <v>110</v>
      </c>
      <c r="G77" s="13">
        <v>4</v>
      </c>
      <c r="H77" s="18">
        <f t="shared" si="57"/>
        <v>-5.8383866653871</v>
      </c>
      <c r="I77" s="18">
        <f t="shared" si="58"/>
        <v>267.311613334613</v>
      </c>
      <c r="J77" s="18">
        <f t="shared" si="59"/>
        <v>0.0079999023180904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5"/>
        <v>2.07632355960517</v>
      </c>
      <c r="P77" s="18">
        <f t="shared" si="62"/>
        <v>0.0166103856575911</v>
      </c>
      <c r="Q77" s="24">
        <f t="shared" si="63"/>
        <v>0.00431870027097368</v>
      </c>
      <c r="R77" s="18">
        <f t="shared" si="64"/>
        <v>0.1355172</v>
      </c>
      <c r="S77" s="25">
        <f t="shared" si="65"/>
        <v>0.0318682814504261</v>
      </c>
      <c r="T77" s="3">
        <v>0.01</v>
      </c>
      <c r="U77" s="26">
        <f t="shared" si="66"/>
        <v>0.000318682814504261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0.00580868281450426</v>
      </c>
      <c r="AU77" s="29">
        <f t="shared" si="70"/>
        <v>52.122</v>
      </c>
      <c r="AV77" s="1">
        <f t="shared" si="71"/>
        <v>0.26</v>
      </c>
      <c r="AW77" s="2">
        <f t="shared" si="72"/>
        <v>0.894339868229092</v>
      </c>
      <c r="AX77" s="1">
        <f t="shared" si="73"/>
        <v>471.682187760375</v>
      </c>
    </row>
    <row r="78" s="1" customFormat="1" spans="1:50">
      <c r="A78" s="13"/>
      <c r="B78" s="13"/>
      <c r="C78" s="16">
        <v>4</v>
      </c>
      <c r="D78" s="37">
        <v>-1.844164019</v>
      </c>
      <c r="E78" s="20">
        <f t="shared" si="74"/>
        <v>-5.8383866653871</v>
      </c>
      <c r="F78" s="16" t="s">
        <v>110</v>
      </c>
      <c r="G78" s="13">
        <v>5</v>
      </c>
      <c r="H78" s="18">
        <f t="shared" si="57"/>
        <v>-1.844164019</v>
      </c>
      <c r="I78" s="18">
        <f t="shared" si="58"/>
        <v>271.305835981</v>
      </c>
      <c r="J78" s="18">
        <f t="shared" si="59"/>
        <v>0.0136765677012325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1.9567275152502</v>
      </c>
      <c r="O78" s="18">
        <f t="shared" si="75"/>
        <v>0.624205658697379</v>
      </c>
      <c r="P78" s="18">
        <f t="shared" si="62"/>
        <v>0.00853699095066713</v>
      </c>
      <c r="Q78" s="24">
        <f t="shared" si="63"/>
        <v>0.00221961764717345</v>
      </c>
      <c r="R78" s="18">
        <f t="shared" si="64"/>
        <v>0.1355172</v>
      </c>
      <c r="S78" s="25">
        <f t="shared" si="65"/>
        <v>0.0163788629574213</v>
      </c>
      <c r="T78" s="3">
        <v>0.01</v>
      </c>
      <c r="U78" s="26">
        <f t="shared" si="66"/>
        <v>0.000163788629574213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0.001</v>
      </c>
      <c r="AF78" s="3">
        <v>0.49</v>
      </c>
      <c r="AG78" s="26">
        <f t="shared" si="67"/>
        <v>0.00049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</v>
      </c>
      <c r="AR78" s="3">
        <v>0.5</v>
      </c>
      <c r="AS78" s="3">
        <f t="shared" si="68"/>
        <v>0.005</v>
      </c>
      <c r="AT78" s="2">
        <f t="shared" si="69"/>
        <v>0.00565378862957421</v>
      </c>
      <c r="AU78" s="29">
        <f t="shared" si="70"/>
        <v>52.122</v>
      </c>
      <c r="AV78" s="1">
        <f t="shared" si="71"/>
        <v>0.26</v>
      </c>
      <c r="AW78" s="2">
        <f t="shared" si="72"/>
        <v>0.894339868229092</v>
      </c>
      <c r="AX78" s="1">
        <f t="shared" si="73"/>
        <v>459.104322803326</v>
      </c>
    </row>
    <row r="79" s="1" customFormat="1" spans="1:50">
      <c r="A79" s="13"/>
      <c r="B79" s="13"/>
      <c r="C79" s="16">
        <v>5</v>
      </c>
      <c r="D79" s="37">
        <v>3.00431582458065</v>
      </c>
      <c r="E79" s="20">
        <f t="shared" si="74"/>
        <v>-1.844164019</v>
      </c>
      <c r="F79" s="16" t="s">
        <v>112</v>
      </c>
      <c r="G79" s="13">
        <v>6</v>
      </c>
      <c r="H79" s="18">
        <f t="shared" si="57"/>
        <v>3.00431582458065</v>
      </c>
      <c r="I79" s="18">
        <f t="shared" si="58"/>
        <v>276.154315824581</v>
      </c>
      <c r="J79" s="18">
        <f t="shared" si="59"/>
        <v>0.0256818701164434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5"/>
        <v>1.13688866774671</v>
      </c>
      <c r="P79" s="18">
        <f t="shared" si="62"/>
        <v>0.0291974271019274</v>
      </c>
      <c r="Q79" s="24">
        <f t="shared" si="63"/>
        <v>0.00759133104650113</v>
      </c>
      <c r="R79" s="18">
        <f t="shared" si="64"/>
        <v>0.1355172</v>
      </c>
      <c r="S79" s="25">
        <f t="shared" si="65"/>
        <v>0.0560174726639949</v>
      </c>
      <c r="T79" s="3">
        <v>0.01</v>
      </c>
      <c r="U79" s="26">
        <f t="shared" si="66"/>
        <v>0.000560174726639949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0.001</v>
      </c>
      <c r="AF79" s="3">
        <v>0.49</v>
      </c>
      <c r="AG79" s="26">
        <f t="shared" si="67"/>
        <v>0.00049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</v>
      </c>
      <c r="AR79" s="3">
        <v>0.5</v>
      </c>
      <c r="AS79" s="3">
        <f t="shared" si="68"/>
        <v>0.005</v>
      </c>
      <c r="AT79" s="2">
        <f t="shared" si="69"/>
        <v>0.00605017472663995</v>
      </c>
      <c r="AU79" s="29">
        <f t="shared" si="70"/>
        <v>52.122</v>
      </c>
      <c r="AV79" s="1">
        <f t="shared" si="71"/>
        <v>0.26</v>
      </c>
      <c r="AW79" s="2">
        <f t="shared" si="72"/>
        <v>0.894339868229092</v>
      </c>
      <c r="AX79" s="1">
        <f t="shared" si="73"/>
        <v>491.292043743245</v>
      </c>
    </row>
    <row r="80" s="1" customFormat="1" spans="1:50">
      <c r="A80" s="13"/>
      <c r="B80" s="13"/>
      <c r="C80" s="16">
        <v>6</v>
      </c>
      <c r="D80" s="37">
        <v>8.05727721053333</v>
      </c>
      <c r="E80" s="20">
        <f t="shared" si="74"/>
        <v>3.00431582458065</v>
      </c>
      <c r="F80" s="16" t="s">
        <v>110</v>
      </c>
      <c r="G80" s="13">
        <v>7</v>
      </c>
      <c r="H80" s="18">
        <f t="shared" si="57"/>
        <v>8.05727721053333</v>
      </c>
      <c r="I80" s="18">
        <f t="shared" si="58"/>
        <v>281.207277210533</v>
      </c>
      <c r="J80" s="18">
        <f t="shared" si="59"/>
        <v>0.0483922117461418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5"/>
        <v>1.62891124064478</v>
      </c>
      <c r="P80" s="18">
        <f t="shared" si="62"/>
        <v>0.0788266176729529</v>
      </c>
      <c r="Q80" s="24">
        <f t="shared" si="63"/>
        <v>0.0204949205949678</v>
      </c>
      <c r="R80" s="18">
        <f t="shared" si="64"/>
        <v>0.1355172</v>
      </c>
      <c r="S80" s="25">
        <f t="shared" si="65"/>
        <v>0.151234829194875</v>
      </c>
      <c r="T80" s="3">
        <v>0.01</v>
      </c>
      <c r="U80" s="26">
        <f t="shared" si="66"/>
        <v>0.00151234829194875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0.001</v>
      </c>
      <c r="AF80" s="3">
        <v>0.49</v>
      </c>
      <c r="AG80" s="26">
        <f t="shared" si="67"/>
        <v>0.00049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</v>
      </c>
      <c r="AR80" s="3">
        <v>0.5</v>
      </c>
      <c r="AS80" s="3">
        <f t="shared" si="68"/>
        <v>0.005</v>
      </c>
      <c r="AT80" s="2">
        <f t="shared" si="69"/>
        <v>0.00700234829194875</v>
      </c>
      <c r="AU80" s="29">
        <f t="shared" si="70"/>
        <v>52.122</v>
      </c>
      <c r="AV80" s="1">
        <f t="shared" si="71"/>
        <v>0.26</v>
      </c>
      <c r="AW80" s="2">
        <f t="shared" si="72"/>
        <v>0.894339868229092</v>
      </c>
      <c r="AX80" s="1">
        <f t="shared" si="73"/>
        <v>568.611347405513</v>
      </c>
    </row>
    <row r="81" s="1" customFormat="1" spans="1:50">
      <c r="A81" s="13"/>
      <c r="B81" s="13"/>
      <c r="C81" s="16">
        <v>7</v>
      </c>
      <c r="D81" s="37">
        <v>10.9028840226129</v>
      </c>
      <c r="E81" s="20">
        <f t="shared" si="74"/>
        <v>8.05727721053333</v>
      </c>
      <c r="F81" s="16" t="s">
        <v>110</v>
      </c>
      <c r="G81" s="13">
        <v>8</v>
      </c>
      <c r="H81" s="18">
        <f t="shared" si="57"/>
        <v>10.9028840226129</v>
      </c>
      <c r="I81" s="18">
        <f t="shared" si="58"/>
        <v>284.052884022613</v>
      </c>
      <c r="J81" s="18">
        <f t="shared" si="59"/>
        <v>0.0684571098052377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5"/>
        <v>2.07130462297183</v>
      </c>
      <c r="P81" s="18">
        <f t="shared" si="62"/>
        <v>0.141795528014879</v>
      </c>
      <c r="Q81" s="24">
        <f t="shared" si="63"/>
        <v>0.0368668372838686</v>
      </c>
      <c r="R81" s="18">
        <f t="shared" si="64"/>
        <v>0.1355172</v>
      </c>
      <c r="S81" s="25">
        <f t="shared" si="65"/>
        <v>0.272045447248531</v>
      </c>
      <c r="T81" s="3">
        <v>0.01</v>
      </c>
      <c r="U81" s="26">
        <f t="shared" si="66"/>
        <v>0.00272045447248531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0.001</v>
      </c>
      <c r="AF81" s="3">
        <v>0.49</v>
      </c>
      <c r="AG81" s="26">
        <f t="shared" si="67"/>
        <v>0.00049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</v>
      </c>
      <c r="AR81" s="3">
        <v>0.5</v>
      </c>
      <c r="AS81" s="3">
        <f t="shared" si="68"/>
        <v>0.005</v>
      </c>
      <c r="AT81" s="2">
        <f t="shared" si="69"/>
        <v>0.00821045447248531</v>
      </c>
      <c r="AU81" s="29">
        <f t="shared" si="70"/>
        <v>52.122</v>
      </c>
      <c r="AV81" s="1">
        <f t="shared" si="71"/>
        <v>0.26</v>
      </c>
      <c r="AW81" s="2">
        <f t="shared" si="72"/>
        <v>0.894339868229092</v>
      </c>
      <c r="AX81" s="1">
        <f t="shared" si="73"/>
        <v>666.713134760715</v>
      </c>
    </row>
    <row r="82" s="1" customFormat="1" spans="1:50">
      <c r="A82" s="13"/>
      <c r="B82" s="13"/>
      <c r="C82" s="16">
        <v>8</v>
      </c>
      <c r="D82" s="37">
        <v>11.9784786694516</v>
      </c>
      <c r="E82" s="20">
        <f t="shared" si="74"/>
        <v>10.9028840226129</v>
      </c>
      <c r="F82" s="16" t="s">
        <v>110</v>
      </c>
      <c r="G82" s="13">
        <v>9</v>
      </c>
      <c r="H82" s="18">
        <f t="shared" si="57"/>
        <v>11.9784786694516</v>
      </c>
      <c r="I82" s="18">
        <f t="shared" si="58"/>
        <v>285.128478669452</v>
      </c>
      <c r="J82" s="18">
        <f t="shared" si="59"/>
        <v>0.0779069508990421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5"/>
        <v>2.45072909495695</v>
      </c>
      <c r="P82" s="18">
        <f t="shared" si="62"/>
        <v>0.190928831267665</v>
      </c>
      <c r="Q82" s="24">
        <f t="shared" si="63"/>
        <v>0.0496414961295929</v>
      </c>
      <c r="R82" s="18">
        <f t="shared" si="64"/>
        <v>0.1355172</v>
      </c>
      <c r="S82" s="25">
        <f t="shared" si="65"/>
        <v>0.366311406445772</v>
      </c>
      <c r="T82" s="3">
        <v>0.01</v>
      </c>
      <c r="U82" s="26">
        <f t="shared" si="66"/>
        <v>0.00366311406445772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0.001</v>
      </c>
      <c r="AF82" s="3">
        <v>0.49</v>
      </c>
      <c r="AG82" s="26">
        <f t="shared" si="67"/>
        <v>0.00049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</v>
      </c>
      <c r="AR82" s="3">
        <v>0.5</v>
      </c>
      <c r="AS82" s="3">
        <f t="shared" si="68"/>
        <v>0.005</v>
      </c>
      <c r="AT82" s="2">
        <f t="shared" si="69"/>
        <v>0.00915311406445772</v>
      </c>
      <c r="AU82" s="29">
        <f t="shared" si="70"/>
        <v>52.122</v>
      </c>
      <c r="AV82" s="1">
        <f t="shared" si="71"/>
        <v>0.26</v>
      </c>
      <c r="AW82" s="2">
        <f t="shared" si="72"/>
        <v>0.894339868229092</v>
      </c>
      <c r="AX82" s="1">
        <f t="shared" si="73"/>
        <v>743.259875709385</v>
      </c>
    </row>
    <row r="83" s="1" customFormat="1" spans="1:50">
      <c r="A83" s="13"/>
      <c r="B83" s="13"/>
      <c r="C83" s="16">
        <v>9</v>
      </c>
      <c r="D83" s="37">
        <v>4.54641933763333</v>
      </c>
      <c r="E83" s="20">
        <f t="shared" si="74"/>
        <v>11.9784786694516</v>
      </c>
      <c r="F83" s="16" t="s">
        <v>110</v>
      </c>
      <c r="G83" s="13">
        <v>10</v>
      </c>
      <c r="H83" s="18">
        <f t="shared" si="57"/>
        <v>4.54641933763333</v>
      </c>
      <c r="I83" s="18">
        <f t="shared" si="58"/>
        <v>277.696419337633</v>
      </c>
      <c r="J83" s="18">
        <f t="shared" si="59"/>
        <v>0.0312363604506653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5"/>
        <v>2.78102026368929</v>
      </c>
      <c r="P83" s="18">
        <f t="shared" si="62"/>
        <v>0.0868689513772028</v>
      </c>
      <c r="Q83" s="24">
        <f t="shared" si="63"/>
        <v>0.0225859273580727</v>
      </c>
      <c r="R83" s="18">
        <f t="shared" si="64"/>
        <v>0.1355172</v>
      </c>
      <c r="S83" s="25">
        <f t="shared" si="65"/>
        <v>0.166664654804503</v>
      </c>
      <c r="T83" s="3">
        <v>0.01</v>
      </c>
      <c r="U83" s="26">
        <f t="shared" si="66"/>
        <v>0.00166664654804503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0.00715664654804503</v>
      </c>
      <c r="AU83" s="29">
        <f t="shared" si="70"/>
        <v>52.122</v>
      </c>
      <c r="AV83" s="1">
        <f t="shared" si="71"/>
        <v>0.26</v>
      </c>
      <c r="AW83" s="2">
        <f t="shared" si="72"/>
        <v>0.894339868229092</v>
      </c>
      <c r="AX83" s="1">
        <f t="shared" si="73"/>
        <v>581.140821182489</v>
      </c>
    </row>
    <row r="84" s="1" customFormat="1" spans="1:50">
      <c r="A84" s="13"/>
      <c r="B84" s="13"/>
      <c r="C84" s="16">
        <v>10</v>
      </c>
      <c r="D84" s="37">
        <v>-2.22077700390323</v>
      </c>
      <c r="E84" s="20">
        <f t="shared" si="74"/>
        <v>4.54641933763333</v>
      </c>
      <c r="F84" s="16" t="s">
        <v>110</v>
      </c>
      <c r="G84" s="13">
        <v>11</v>
      </c>
      <c r="H84" s="18">
        <f t="shared" si="57"/>
        <v>-2.22077700390323</v>
      </c>
      <c r="I84" s="18">
        <f t="shared" si="58"/>
        <v>270.929222996097</v>
      </c>
      <c r="J84" s="18">
        <f t="shared" si="59"/>
        <v>0.0130110108150862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2.55944374669648</v>
      </c>
      <c r="O84" s="18">
        <f t="shared" si="75"/>
        <v>0.655927565615604</v>
      </c>
      <c r="P84" s="18">
        <f t="shared" si="62"/>
        <v>0.00853428065013779</v>
      </c>
      <c r="Q84" s="24">
        <f t="shared" si="63"/>
        <v>0.00221891296903583</v>
      </c>
      <c r="R84" s="18">
        <f t="shared" si="64"/>
        <v>0.1355172</v>
      </c>
      <c r="S84" s="25">
        <f t="shared" si="65"/>
        <v>0.016373663040823</v>
      </c>
      <c r="T84" s="3">
        <v>0.01</v>
      </c>
      <c r="U84" s="26">
        <f t="shared" si="66"/>
        <v>0.00016373663040823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0.00565373663040823</v>
      </c>
      <c r="AU84" s="29">
        <f t="shared" si="70"/>
        <v>52.122</v>
      </c>
      <c r="AV84" s="1">
        <f t="shared" si="71"/>
        <v>0.26</v>
      </c>
      <c r="AW84" s="2">
        <f t="shared" si="72"/>
        <v>0.894339868229092</v>
      </c>
      <c r="AX84" s="1">
        <f t="shared" si="73"/>
        <v>459.100100317583</v>
      </c>
    </row>
    <row r="85" s="1" customFormat="1" spans="1:51">
      <c r="A85" s="13"/>
      <c r="B85" s="13"/>
      <c r="C85" s="16">
        <v>11</v>
      </c>
      <c r="D85" s="37">
        <v>-9.7935258338</v>
      </c>
      <c r="E85" s="20">
        <f t="shared" si="74"/>
        <v>-2.22077700390323</v>
      </c>
      <c r="F85" s="16" t="s">
        <v>112</v>
      </c>
      <c r="G85" s="13">
        <v>12</v>
      </c>
      <c r="H85" s="18">
        <f t="shared" si="57"/>
        <v>-9.7935258338</v>
      </c>
      <c r="I85" s="18">
        <f t="shared" si="58"/>
        <v>263.3564741662</v>
      </c>
      <c r="J85" s="18">
        <f t="shared" si="59"/>
        <v>0.00462924405339439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5"/>
        <v>1.16861328496547</v>
      </c>
      <c r="P85" s="18">
        <f t="shared" si="62"/>
        <v>0.00540979610014407</v>
      </c>
      <c r="Q85" s="24">
        <f t="shared" si="63"/>
        <v>0.00140654698603746</v>
      </c>
      <c r="R85" s="18">
        <f t="shared" si="64"/>
        <v>0.1355172</v>
      </c>
      <c r="S85" s="25">
        <f t="shared" si="65"/>
        <v>0.0103791030661603</v>
      </c>
      <c r="T85" s="3">
        <v>0.01</v>
      </c>
      <c r="U85" s="26">
        <f t="shared" si="66"/>
        <v>0.000103791030661603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0.0055937910306616</v>
      </c>
      <c r="AU85" s="29">
        <f t="shared" si="70"/>
        <v>52.122</v>
      </c>
      <c r="AV85" s="1">
        <f t="shared" si="71"/>
        <v>0.26</v>
      </c>
      <c r="AW85" s="2">
        <f t="shared" si="72"/>
        <v>0.894339868229092</v>
      </c>
      <c r="AX85" s="1">
        <f t="shared" si="73"/>
        <v>454.23234070012</v>
      </c>
      <c r="AY85" s="1">
        <f>SUM(AX74:AX85)</f>
        <v>6245.87920363592</v>
      </c>
    </row>
    <row r="86" s="1" customFormat="1" spans="1:46">
      <c r="A86" s="13"/>
      <c r="B86" s="13"/>
      <c r="C86" s="16">
        <v>12</v>
      </c>
      <c r="D86" s="37">
        <v>-11.7568357696129</v>
      </c>
      <c r="E86" s="20">
        <f t="shared" si="74"/>
        <v>-9.7935258338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-14</v>
      </c>
      <c r="E90" s="16"/>
      <c r="F90" s="16"/>
      <c r="G90" s="13">
        <v>1</v>
      </c>
      <c r="H90" s="18">
        <f t="shared" ref="H90:H101" si="76">E91</f>
        <v>-14</v>
      </c>
      <c r="I90" s="18">
        <f t="shared" ref="I90:I101" si="77">H90+273.15</f>
        <v>259.15</v>
      </c>
      <c r="J90" s="18">
        <f t="shared" ref="J90:J101" si="78">EXP(($C$16*(I90-$C$14))/($C$17*I90*$C$14))</f>
        <v>0.00254027577249845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0.000723216512430309</v>
      </c>
      <c r="Q90" s="24">
        <f t="shared" ref="Q90:Q101" si="82">P90*$B$76</f>
        <v>0.00018803629323188</v>
      </c>
      <c r="R90" s="18">
        <f t="shared" ref="R90:R101" si="83">L90*$B$76</f>
        <v>0.074022</v>
      </c>
      <c r="S90" s="25">
        <f t="shared" ref="S90:S101" si="84">Q90/R90</f>
        <v>0.00254027577249845</v>
      </c>
      <c r="T90" s="3">
        <v>0.01</v>
      </c>
      <c r="U90" s="26">
        <f t="shared" ref="U90:U101" si="85">S90*T90</f>
        <v>2.54027577249845e-5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0.00551540275772498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$E$9/12</f>
        <v>0.0360833333333333</v>
      </c>
      <c r="AX90" s="1">
        <f t="shared" ref="AX90:AX101" si="92">AW90*10000*AV90*0.67*AU90*AT90</f>
        <v>9.87005334800792</v>
      </c>
      <c r="AZ90" s="2">
        <f t="shared" ref="AZ90:AZ101" si="93">$E$10/12</f>
        <v>0.016544039584148</v>
      </c>
      <c r="BA90" s="1">
        <f t="shared" ref="BA90:BA101" si="94">AZ90*10000*AV90*0.67*AU90*AT90</f>
        <v>4.525373301259</v>
      </c>
    </row>
    <row r="91" s="1" customFormat="1" spans="1:53">
      <c r="A91" s="13" t="s">
        <v>111</v>
      </c>
      <c r="B91" s="13">
        <v>1</v>
      </c>
      <c r="C91" s="16">
        <v>1</v>
      </c>
      <c r="D91" s="37">
        <v>-15.4674344406452</v>
      </c>
      <c r="E91" s="20">
        <f t="shared" ref="E91:E102" si="95">D90</f>
        <v>-14</v>
      </c>
      <c r="F91" s="16" t="s">
        <v>110</v>
      </c>
      <c r="G91" s="13">
        <v>2</v>
      </c>
      <c r="H91" s="18">
        <f t="shared" si="76"/>
        <v>-15.4674344406452</v>
      </c>
      <c r="I91" s="18">
        <f t="shared" si="77"/>
        <v>257.682565559355</v>
      </c>
      <c r="J91" s="18">
        <f t="shared" si="78"/>
        <v>0.00205096388667563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6">L91+O90-P90-N91</f>
        <v>0.56867678348757</v>
      </c>
      <c r="P91" s="18">
        <f t="shared" si="81"/>
        <v>0.00116633554612386</v>
      </c>
      <c r="Q91" s="24">
        <f t="shared" si="82"/>
        <v>0.000303247241992204</v>
      </c>
      <c r="R91" s="18">
        <f t="shared" si="83"/>
        <v>0.074022</v>
      </c>
      <c r="S91" s="25">
        <f t="shared" si="84"/>
        <v>0.00409671775947967</v>
      </c>
      <c r="T91" s="3">
        <v>0.01</v>
      </c>
      <c r="U91" s="26">
        <f t="shared" si="85"/>
        <v>4.09671775947967e-5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0.0055309671775948</v>
      </c>
      <c r="AU91" s="29">
        <f t="shared" si="89"/>
        <v>28.47</v>
      </c>
      <c r="AV91" s="1">
        <f t="shared" si="90"/>
        <v>0.26</v>
      </c>
      <c r="AW91" s="2">
        <f t="shared" si="91"/>
        <v>0.0360833333333333</v>
      </c>
      <c r="AX91" s="1">
        <f t="shared" si="92"/>
        <v>9.89790655496197</v>
      </c>
      <c r="AZ91" s="2">
        <f t="shared" si="93"/>
        <v>0.016544039584148</v>
      </c>
      <c r="BA91" s="1">
        <f t="shared" si="94"/>
        <v>4.53814386638768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37">
        <v>-12.2530079889655</v>
      </c>
      <c r="E92" s="20">
        <f t="shared" si="95"/>
        <v>-15.4674344406452</v>
      </c>
      <c r="F92" s="16" t="s">
        <v>110</v>
      </c>
      <c r="G92" s="13">
        <v>3</v>
      </c>
      <c r="H92" s="18">
        <f t="shared" si="76"/>
        <v>-12.2530079889655</v>
      </c>
      <c r="I92" s="18">
        <f t="shared" si="77"/>
        <v>260.896992011034</v>
      </c>
      <c r="J92" s="18">
        <f t="shared" si="78"/>
        <v>0.00326695580665814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6"/>
        <v>0.852210447941446</v>
      </c>
      <c r="P92" s="18">
        <f t="shared" si="81"/>
        <v>0.00278413387139704</v>
      </c>
      <c r="Q92" s="24">
        <f t="shared" si="82"/>
        <v>0.00072387480656323</v>
      </c>
      <c r="R92" s="18">
        <f t="shared" si="83"/>
        <v>0.074022</v>
      </c>
      <c r="S92" s="25">
        <f t="shared" si="84"/>
        <v>0.00977918465541637</v>
      </c>
      <c r="T92" s="3">
        <v>0.01</v>
      </c>
      <c r="U92" s="26">
        <f t="shared" si="85"/>
        <v>9.77918465541637e-5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0.00558779184655416</v>
      </c>
      <c r="AU92" s="29">
        <f t="shared" si="89"/>
        <v>28.47</v>
      </c>
      <c r="AV92" s="1">
        <f t="shared" si="90"/>
        <v>0.26</v>
      </c>
      <c r="AW92" s="2">
        <f t="shared" si="91"/>
        <v>0.0360833333333333</v>
      </c>
      <c r="AX92" s="1">
        <f t="shared" si="92"/>
        <v>9.99959677392672</v>
      </c>
      <c r="AZ92" s="2">
        <f t="shared" si="93"/>
        <v>0.016544039584148</v>
      </c>
      <c r="BA92" s="1">
        <f t="shared" si="94"/>
        <v>4.58476835621327</v>
      </c>
    </row>
    <row r="93" s="1" customFormat="1" spans="1:53">
      <c r="A93" s="13"/>
      <c r="B93" s="13"/>
      <c r="C93" s="16">
        <v>3</v>
      </c>
      <c r="D93" s="37">
        <v>-5.8383866653871</v>
      </c>
      <c r="E93" s="20">
        <f t="shared" si="95"/>
        <v>-12.2530079889655</v>
      </c>
      <c r="F93" s="16" t="s">
        <v>110</v>
      </c>
      <c r="G93" s="13">
        <v>4</v>
      </c>
      <c r="H93" s="18">
        <f t="shared" si="76"/>
        <v>-5.8383866653871</v>
      </c>
      <c r="I93" s="18">
        <f t="shared" si="77"/>
        <v>267.311613334613</v>
      </c>
      <c r="J93" s="18">
        <f t="shared" si="78"/>
        <v>0.0079999023180904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6"/>
        <v>1.13412631407005</v>
      </c>
      <c r="P93" s="18">
        <f t="shared" si="81"/>
        <v>0.0090728997289363</v>
      </c>
      <c r="Q93" s="24">
        <f t="shared" si="82"/>
        <v>0.00235895392952344</v>
      </c>
      <c r="R93" s="18">
        <f t="shared" si="83"/>
        <v>0.074022</v>
      </c>
      <c r="S93" s="25">
        <f t="shared" si="84"/>
        <v>0.0318682814504261</v>
      </c>
      <c r="T93" s="3">
        <v>0.01</v>
      </c>
      <c r="U93" s="26">
        <f t="shared" si="85"/>
        <v>0.000318682814504261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0.00580868281450426</v>
      </c>
      <c r="AU93" s="29">
        <f t="shared" si="89"/>
        <v>28.47</v>
      </c>
      <c r="AV93" s="1">
        <f t="shared" si="90"/>
        <v>0.26</v>
      </c>
      <c r="AW93" s="2">
        <f t="shared" si="91"/>
        <v>0.0360833333333333</v>
      </c>
      <c r="AX93" s="1">
        <f t="shared" si="92"/>
        <v>10.3948907775617</v>
      </c>
      <c r="AZ93" s="2">
        <f t="shared" si="93"/>
        <v>0.016544039584148</v>
      </c>
      <c r="BA93" s="1">
        <f t="shared" si="94"/>
        <v>4.76600880822751</v>
      </c>
    </row>
    <row r="94" s="1" customFormat="1" spans="1:53">
      <c r="A94" s="13"/>
      <c r="B94" s="13"/>
      <c r="C94" s="16">
        <v>4</v>
      </c>
      <c r="D94" s="37">
        <v>-1.844164019</v>
      </c>
      <c r="E94" s="20">
        <f t="shared" si="95"/>
        <v>-5.8383866653871</v>
      </c>
      <c r="F94" s="16" t="s">
        <v>110</v>
      </c>
      <c r="G94" s="13">
        <v>5</v>
      </c>
      <c r="H94" s="18">
        <f t="shared" si="76"/>
        <v>-1.844164019</v>
      </c>
      <c r="I94" s="18">
        <f t="shared" si="77"/>
        <v>271.305835981</v>
      </c>
      <c r="J94" s="18">
        <f t="shared" si="78"/>
        <v>0.0136765677012325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1.06880074362406</v>
      </c>
      <c r="O94" s="18">
        <f t="shared" si="96"/>
        <v>0.340952670717056</v>
      </c>
      <c r="P94" s="18">
        <f t="shared" si="81"/>
        <v>0.00466306228397784</v>
      </c>
      <c r="Q94" s="24">
        <f t="shared" si="82"/>
        <v>0.00121239619383424</v>
      </c>
      <c r="R94" s="18">
        <f t="shared" si="83"/>
        <v>0.074022</v>
      </c>
      <c r="S94" s="25">
        <f t="shared" si="84"/>
        <v>0.0163788629574213</v>
      </c>
      <c r="T94" s="3">
        <v>0.01</v>
      </c>
      <c r="U94" s="26">
        <f t="shared" si="85"/>
        <v>0.000163788629574213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0.001</v>
      </c>
      <c r="AF94" s="3">
        <v>0.49</v>
      </c>
      <c r="AG94" s="26">
        <f t="shared" si="86"/>
        <v>0.00049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</v>
      </c>
      <c r="AR94" s="3">
        <v>0.5</v>
      </c>
      <c r="AS94" s="3">
        <f t="shared" si="87"/>
        <v>0.005</v>
      </c>
      <c r="AT94" s="2">
        <f t="shared" si="88"/>
        <v>0.00565378862957421</v>
      </c>
      <c r="AU94" s="29">
        <f t="shared" si="89"/>
        <v>28.47</v>
      </c>
      <c r="AV94" s="1">
        <f t="shared" si="90"/>
        <v>0.26</v>
      </c>
      <c r="AW94" s="2">
        <f t="shared" si="91"/>
        <v>0.0360833333333333</v>
      </c>
      <c r="AX94" s="1">
        <f t="shared" si="92"/>
        <v>10.117700890311</v>
      </c>
      <c r="AZ94" s="2">
        <f t="shared" si="93"/>
        <v>0.016544039584148</v>
      </c>
      <c r="BA94" s="1">
        <f t="shared" si="94"/>
        <v>4.63891854124366</v>
      </c>
    </row>
    <row r="95" s="1" customFormat="1" spans="1:53">
      <c r="A95" s="13"/>
      <c r="B95" s="13"/>
      <c r="C95" s="16">
        <v>5</v>
      </c>
      <c r="D95" s="37">
        <v>3.00431582458065</v>
      </c>
      <c r="E95" s="20">
        <f t="shared" si="95"/>
        <v>-1.844164019</v>
      </c>
      <c r="F95" s="16" t="s">
        <v>112</v>
      </c>
      <c r="G95" s="13">
        <v>6</v>
      </c>
      <c r="H95" s="18">
        <f t="shared" si="76"/>
        <v>3.00431582458065</v>
      </c>
      <c r="I95" s="18">
        <f t="shared" si="77"/>
        <v>276.154315824581</v>
      </c>
      <c r="J95" s="18">
        <f t="shared" si="78"/>
        <v>0.0256818701164434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6"/>
        <v>0.620989608433078</v>
      </c>
      <c r="P95" s="18">
        <f t="shared" si="81"/>
        <v>0.0159481744674393</v>
      </c>
      <c r="Q95" s="24">
        <f t="shared" si="82"/>
        <v>0.00414652536153423</v>
      </c>
      <c r="R95" s="18">
        <f t="shared" si="83"/>
        <v>0.074022</v>
      </c>
      <c r="S95" s="25">
        <f t="shared" si="84"/>
        <v>0.0560174726639949</v>
      </c>
      <c r="T95" s="3">
        <v>0.01</v>
      </c>
      <c r="U95" s="26">
        <f t="shared" si="85"/>
        <v>0.000560174726639949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0.001</v>
      </c>
      <c r="AF95" s="3">
        <v>0.49</v>
      </c>
      <c r="AG95" s="26">
        <f t="shared" si="86"/>
        <v>0.00049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</v>
      </c>
      <c r="AR95" s="3">
        <v>0.5</v>
      </c>
      <c r="AS95" s="3">
        <f t="shared" si="87"/>
        <v>0.005</v>
      </c>
      <c r="AT95" s="2">
        <f t="shared" si="88"/>
        <v>0.00605017472663995</v>
      </c>
      <c r="AU95" s="29">
        <f t="shared" si="89"/>
        <v>28.47</v>
      </c>
      <c r="AV95" s="1">
        <f t="shared" si="90"/>
        <v>0.26</v>
      </c>
      <c r="AW95" s="2">
        <f t="shared" si="91"/>
        <v>0.0360833333333333</v>
      </c>
      <c r="AX95" s="1">
        <f t="shared" si="92"/>
        <v>10.8270510676789</v>
      </c>
      <c r="AZ95" s="2">
        <f t="shared" si="93"/>
        <v>0.016544039584148</v>
      </c>
      <c r="BA95" s="1">
        <f t="shared" si="94"/>
        <v>4.96415228018305</v>
      </c>
    </row>
    <row r="96" s="1" customFormat="1" spans="1:53">
      <c r="A96" s="13"/>
      <c r="B96" s="13"/>
      <c r="C96" s="16">
        <v>6</v>
      </c>
      <c r="D96" s="37">
        <v>8.05727721053333</v>
      </c>
      <c r="E96" s="20">
        <f t="shared" si="95"/>
        <v>3.00431582458065</v>
      </c>
      <c r="F96" s="16" t="s">
        <v>110</v>
      </c>
      <c r="G96" s="13">
        <v>7</v>
      </c>
      <c r="H96" s="18">
        <f t="shared" si="76"/>
        <v>8.05727721053333</v>
      </c>
      <c r="I96" s="18">
        <f t="shared" si="77"/>
        <v>281.207277210533</v>
      </c>
      <c r="J96" s="18">
        <f t="shared" si="78"/>
        <v>0.0483922117461418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6"/>
        <v>0.889741433965638</v>
      </c>
      <c r="P96" s="18">
        <f t="shared" si="81"/>
        <v>0.043056555871781</v>
      </c>
      <c r="Q96" s="24">
        <f t="shared" si="82"/>
        <v>0.0111947045266631</v>
      </c>
      <c r="R96" s="18">
        <f t="shared" si="83"/>
        <v>0.074022</v>
      </c>
      <c r="S96" s="25">
        <f t="shared" si="84"/>
        <v>0.151234829194875</v>
      </c>
      <c r="T96" s="3">
        <v>0.01</v>
      </c>
      <c r="U96" s="26">
        <f t="shared" si="85"/>
        <v>0.00151234829194875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0.001</v>
      </c>
      <c r="AF96" s="3">
        <v>0.49</v>
      </c>
      <c r="AG96" s="26">
        <f t="shared" si="86"/>
        <v>0.00049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</v>
      </c>
      <c r="AR96" s="3">
        <v>0.5</v>
      </c>
      <c r="AS96" s="3">
        <f t="shared" si="87"/>
        <v>0.005</v>
      </c>
      <c r="AT96" s="2">
        <f t="shared" si="88"/>
        <v>0.00700234829194875</v>
      </c>
      <c r="AU96" s="29">
        <f t="shared" si="89"/>
        <v>28.47</v>
      </c>
      <c r="AV96" s="1">
        <f t="shared" si="90"/>
        <v>0.26</v>
      </c>
      <c r="AW96" s="2">
        <f t="shared" si="91"/>
        <v>0.0360833333333333</v>
      </c>
      <c r="AX96" s="1">
        <f t="shared" si="92"/>
        <v>12.5310071156752</v>
      </c>
      <c r="AZ96" s="2">
        <f t="shared" si="93"/>
        <v>0.016544039584148</v>
      </c>
      <c r="BA96" s="1">
        <f t="shared" si="94"/>
        <v>5.74540815938025</v>
      </c>
    </row>
    <row r="97" s="1" customFormat="1" spans="1:53">
      <c r="A97" s="13"/>
      <c r="B97" s="13"/>
      <c r="C97" s="16">
        <v>7</v>
      </c>
      <c r="D97" s="37">
        <v>10.9028840226129</v>
      </c>
      <c r="E97" s="20">
        <f t="shared" si="95"/>
        <v>8.05727721053333</v>
      </c>
      <c r="F97" s="16" t="s">
        <v>110</v>
      </c>
      <c r="G97" s="13">
        <v>8</v>
      </c>
      <c r="H97" s="18">
        <f t="shared" si="76"/>
        <v>10.9028840226129</v>
      </c>
      <c r="I97" s="18">
        <f t="shared" si="77"/>
        <v>284.052884022613</v>
      </c>
      <c r="J97" s="18">
        <f t="shared" si="78"/>
        <v>0.0684571098052377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6"/>
        <v>1.13138487809386</v>
      </c>
      <c r="P97" s="18">
        <f t="shared" si="81"/>
        <v>0.0774513388316567</v>
      </c>
      <c r="Q97" s="24">
        <f t="shared" si="82"/>
        <v>0.0201373480962307</v>
      </c>
      <c r="R97" s="18">
        <f t="shared" si="83"/>
        <v>0.074022</v>
      </c>
      <c r="S97" s="25">
        <f t="shared" si="84"/>
        <v>0.272045447248531</v>
      </c>
      <c r="T97" s="3">
        <v>0.01</v>
      </c>
      <c r="U97" s="26">
        <f t="shared" si="85"/>
        <v>0.00272045447248531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0.001</v>
      </c>
      <c r="AF97" s="3">
        <v>0.49</v>
      </c>
      <c r="AG97" s="26">
        <f t="shared" si="86"/>
        <v>0.00049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</v>
      </c>
      <c r="AR97" s="3">
        <v>0.5</v>
      </c>
      <c r="AS97" s="3">
        <f t="shared" si="87"/>
        <v>0.005</v>
      </c>
      <c r="AT97" s="2">
        <f t="shared" si="88"/>
        <v>0.00821045447248531</v>
      </c>
      <c r="AU97" s="29">
        <f t="shared" si="89"/>
        <v>28.47</v>
      </c>
      <c r="AV97" s="1">
        <f t="shared" si="90"/>
        <v>0.26</v>
      </c>
      <c r="AW97" s="2">
        <f t="shared" si="91"/>
        <v>0.0360833333333333</v>
      </c>
      <c r="AX97" s="1">
        <f t="shared" si="92"/>
        <v>14.6929657206479</v>
      </c>
      <c r="AZ97" s="2">
        <f t="shared" si="93"/>
        <v>0.016544039584148</v>
      </c>
      <c r="BA97" s="1">
        <f t="shared" si="94"/>
        <v>6.73665606903267</v>
      </c>
    </row>
    <row r="98" s="1" customFormat="1" spans="1:53">
      <c r="A98" s="13"/>
      <c r="B98" s="13"/>
      <c r="C98" s="16">
        <v>8</v>
      </c>
      <c r="D98" s="37">
        <v>11.9784786694516</v>
      </c>
      <c r="E98" s="20">
        <f t="shared" si="95"/>
        <v>10.9028840226129</v>
      </c>
      <c r="F98" s="16" t="s">
        <v>110</v>
      </c>
      <c r="G98" s="13">
        <v>9</v>
      </c>
      <c r="H98" s="18">
        <f t="shared" si="76"/>
        <v>11.9784786694516</v>
      </c>
      <c r="I98" s="18">
        <f t="shared" si="77"/>
        <v>285.128478669452</v>
      </c>
      <c r="J98" s="18">
        <f t="shared" si="78"/>
        <v>0.0779069508990421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6"/>
        <v>1.3386335392622</v>
      </c>
      <c r="P98" s="18">
        <f t="shared" si="81"/>
        <v>0.104288857415111</v>
      </c>
      <c r="Q98" s="24">
        <f t="shared" si="82"/>
        <v>0.0271151029279289</v>
      </c>
      <c r="R98" s="18">
        <f t="shared" si="83"/>
        <v>0.074022</v>
      </c>
      <c r="S98" s="25">
        <f t="shared" si="84"/>
        <v>0.366311406445772</v>
      </c>
      <c r="T98" s="3">
        <v>0.01</v>
      </c>
      <c r="U98" s="26">
        <f t="shared" si="85"/>
        <v>0.00366311406445772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0.001</v>
      </c>
      <c r="AF98" s="3">
        <v>0.49</v>
      </c>
      <c r="AG98" s="26">
        <f t="shared" si="86"/>
        <v>0.00049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</v>
      </c>
      <c r="AR98" s="3">
        <v>0.5</v>
      </c>
      <c r="AS98" s="3">
        <f t="shared" si="87"/>
        <v>0.005</v>
      </c>
      <c r="AT98" s="2">
        <f t="shared" si="88"/>
        <v>0.00915311406445772</v>
      </c>
      <c r="AU98" s="29">
        <f t="shared" si="89"/>
        <v>28.47</v>
      </c>
      <c r="AV98" s="1">
        <f t="shared" si="90"/>
        <v>0.26</v>
      </c>
      <c r="AW98" s="2">
        <f t="shared" si="91"/>
        <v>0.0360833333333333</v>
      </c>
      <c r="AX98" s="1">
        <f t="shared" si="92"/>
        <v>16.3798960991679</v>
      </c>
      <c r="AZ98" s="2">
        <f t="shared" si="93"/>
        <v>0.016544039584148</v>
      </c>
      <c r="BA98" s="1">
        <f t="shared" si="94"/>
        <v>7.5101057583981</v>
      </c>
    </row>
    <row r="99" s="1" customFormat="1" spans="1:53">
      <c r="A99" s="13"/>
      <c r="B99" s="13"/>
      <c r="C99" s="16">
        <v>9</v>
      </c>
      <c r="D99" s="37">
        <v>4.54641933763333</v>
      </c>
      <c r="E99" s="20">
        <f t="shared" si="95"/>
        <v>11.9784786694516</v>
      </c>
      <c r="F99" s="16" t="s">
        <v>110</v>
      </c>
      <c r="G99" s="13">
        <v>10</v>
      </c>
      <c r="H99" s="18">
        <f t="shared" si="76"/>
        <v>4.54641933763333</v>
      </c>
      <c r="I99" s="18">
        <f t="shared" si="77"/>
        <v>277.696419337633</v>
      </c>
      <c r="J99" s="18">
        <f t="shared" si="78"/>
        <v>0.0312363604506653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6"/>
        <v>1.51904468184709</v>
      </c>
      <c r="P99" s="18">
        <f t="shared" si="81"/>
        <v>0.0474494272228419</v>
      </c>
      <c r="Q99" s="24">
        <f t="shared" si="82"/>
        <v>0.0123368510779389</v>
      </c>
      <c r="R99" s="18">
        <f t="shared" si="83"/>
        <v>0.074022</v>
      </c>
      <c r="S99" s="25">
        <f t="shared" si="84"/>
        <v>0.166664654804503</v>
      </c>
      <c r="T99" s="3">
        <v>0.01</v>
      </c>
      <c r="U99" s="26">
        <f t="shared" si="85"/>
        <v>0.00166664654804503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0.00715664654804503</v>
      </c>
      <c r="AU99" s="29">
        <f t="shared" si="89"/>
        <v>28.47</v>
      </c>
      <c r="AV99" s="1">
        <f t="shared" si="90"/>
        <v>0.26</v>
      </c>
      <c r="AW99" s="2">
        <f t="shared" si="91"/>
        <v>0.0360833333333333</v>
      </c>
      <c r="AX99" s="1">
        <f t="shared" si="92"/>
        <v>12.807130562334</v>
      </c>
      <c r="AZ99" s="2">
        <f t="shared" si="93"/>
        <v>0.016544039584148</v>
      </c>
      <c r="BA99" s="1">
        <f t="shared" si="94"/>
        <v>5.87200946834012</v>
      </c>
    </row>
    <row r="100" s="1" customFormat="1" spans="1:53">
      <c r="A100" s="13"/>
      <c r="B100" s="13"/>
      <c r="C100" s="16">
        <v>10</v>
      </c>
      <c r="D100" s="37">
        <v>-2.22077700390323</v>
      </c>
      <c r="E100" s="20">
        <f t="shared" si="95"/>
        <v>4.54641933763333</v>
      </c>
      <c r="F100" s="16" t="s">
        <v>110</v>
      </c>
      <c r="G100" s="13">
        <v>11</v>
      </c>
      <c r="H100" s="18">
        <f t="shared" si="76"/>
        <v>-2.22077700390323</v>
      </c>
      <c r="I100" s="18">
        <f t="shared" si="77"/>
        <v>270.929222996097</v>
      </c>
      <c r="J100" s="18">
        <f t="shared" si="78"/>
        <v>0.0130110108150862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1.39801549189303</v>
      </c>
      <c r="O100" s="18">
        <f t="shared" si="96"/>
        <v>0.358279762731212</v>
      </c>
      <c r="P100" s="18">
        <f t="shared" si="81"/>
        <v>0.00466158186772232</v>
      </c>
      <c r="Q100" s="24">
        <f t="shared" si="82"/>
        <v>0.0012120112856078</v>
      </c>
      <c r="R100" s="18">
        <f t="shared" si="83"/>
        <v>0.074022</v>
      </c>
      <c r="S100" s="25">
        <f t="shared" si="84"/>
        <v>0.016373663040823</v>
      </c>
      <c r="T100" s="3">
        <v>0.01</v>
      </c>
      <c r="U100" s="26">
        <f t="shared" si="85"/>
        <v>0.00016373663040823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0.00565373663040823</v>
      </c>
      <c r="AU100" s="29">
        <f t="shared" si="89"/>
        <v>28.47</v>
      </c>
      <c r="AV100" s="1">
        <f t="shared" si="90"/>
        <v>0.26</v>
      </c>
      <c r="AW100" s="2">
        <f t="shared" si="91"/>
        <v>0.0360833333333333</v>
      </c>
      <c r="AX100" s="1">
        <f t="shared" si="92"/>
        <v>10.1176078355397</v>
      </c>
      <c r="AZ100" s="2">
        <f t="shared" si="93"/>
        <v>0.016544039584148</v>
      </c>
      <c r="BA100" s="1">
        <f t="shared" si="94"/>
        <v>4.6388758760662</v>
      </c>
    </row>
    <row r="101" s="1" customFormat="1" spans="1:54">
      <c r="A101" s="13"/>
      <c r="B101" s="13"/>
      <c r="C101" s="16">
        <v>11</v>
      </c>
      <c r="D101" s="37">
        <v>-9.7935258338</v>
      </c>
      <c r="E101" s="20">
        <f t="shared" si="95"/>
        <v>-2.22077700390323</v>
      </c>
      <c r="F101" s="16" t="s">
        <v>112</v>
      </c>
      <c r="G101" s="13">
        <v>12</v>
      </c>
      <c r="H101" s="18">
        <f t="shared" si="76"/>
        <v>-9.7935258338</v>
      </c>
      <c r="I101" s="18">
        <f t="shared" si="77"/>
        <v>263.3564741662</v>
      </c>
      <c r="J101" s="18">
        <f t="shared" si="78"/>
        <v>0.00462924405339439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6"/>
        <v>0.63831818086349</v>
      </c>
      <c r="P101" s="18">
        <f t="shared" si="81"/>
        <v>0.00295493064293584</v>
      </c>
      <c r="Q101" s="24">
        <f t="shared" si="82"/>
        <v>0.000768281967163317</v>
      </c>
      <c r="R101" s="18">
        <f t="shared" si="83"/>
        <v>0.074022</v>
      </c>
      <c r="S101" s="25">
        <f t="shared" si="84"/>
        <v>0.0103791030661603</v>
      </c>
      <c r="T101" s="3">
        <v>0.01</v>
      </c>
      <c r="U101" s="26">
        <f t="shared" si="85"/>
        <v>0.000103791030661603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0.0055937910306616</v>
      </c>
      <c r="AU101" s="29">
        <f t="shared" si="89"/>
        <v>28.47</v>
      </c>
      <c r="AV101" s="1">
        <f t="shared" si="90"/>
        <v>0.26</v>
      </c>
      <c r="AW101" s="2">
        <f t="shared" si="91"/>
        <v>0.0360833333333333</v>
      </c>
      <c r="AX101" s="1">
        <f t="shared" si="92"/>
        <v>10.0103325750615</v>
      </c>
      <c r="AY101" s="1">
        <f>SUM(AX90:AX101)</f>
        <v>137.646139320874</v>
      </c>
      <c r="AZ101" s="2">
        <f t="shared" si="93"/>
        <v>0.016544039584148</v>
      </c>
      <c r="BA101" s="1">
        <f t="shared" si="94"/>
        <v>4.58969067082595</v>
      </c>
      <c r="BB101" s="1">
        <f>SUM(BA90:BA101)</f>
        <v>63.1101111555575</v>
      </c>
    </row>
    <row r="102" s="1" customFormat="1" spans="1:46">
      <c r="A102" s="13"/>
      <c r="B102" s="13"/>
      <c r="C102" s="16">
        <v>12</v>
      </c>
      <c r="D102" s="37">
        <v>-11.7568357696129</v>
      </c>
      <c r="E102" s="20">
        <f t="shared" si="95"/>
        <v>-9.7935258338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3" t="s">
        <v>80</v>
      </c>
      <c r="T103" s="23"/>
      <c r="U103" s="23"/>
      <c r="V103" s="23" t="s">
        <v>81</v>
      </c>
      <c r="W103" s="23"/>
      <c r="X103" s="23"/>
      <c r="Y103" s="23" t="s">
        <v>82</v>
      </c>
      <c r="Z103" s="23"/>
      <c r="AA103" s="23"/>
      <c r="AB103" s="23" t="s">
        <v>83</v>
      </c>
      <c r="AC103" s="23"/>
      <c r="AD103" s="23"/>
      <c r="AE103" s="23" t="s">
        <v>84</v>
      </c>
      <c r="AF103" s="23"/>
      <c r="AG103" s="23"/>
      <c r="AH103" s="23" t="s">
        <v>85</v>
      </c>
      <c r="AI103" s="23"/>
      <c r="AJ103" s="23"/>
      <c r="AK103" s="31" t="s">
        <v>115</v>
      </c>
      <c r="AL103" s="32"/>
      <c r="AM103" s="33"/>
      <c r="AN103" s="32" t="s">
        <v>116</v>
      </c>
      <c r="AO103" s="32"/>
      <c r="AP103" s="33"/>
      <c r="AQ103" s="23" t="s">
        <v>87</v>
      </c>
      <c r="AR103" s="23"/>
      <c r="AS103" s="23"/>
      <c r="AT103" s="2"/>
    </row>
    <row r="104" s="1" customFormat="1" spans="1:50">
      <c r="A104" s="15" t="s">
        <v>52</v>
      </c>
      <c r="B104" s="15"/>
      <c r="C104" s="16" t="s">
        <v>88</v>
      </c>
      <c r="D104" s="16" t="s">
        <v>89</v>
      </c>
      <c r="E104" s="16" t="s">
        <v>90</v>
      </c>
      <c r="F104" s="16" t="s">
        <v>91</v>
      </c>
      <c r="G104" s="13" t="s">
        <v>88</v>
      </c>
      <c r="H104" s="13" t="s">
        <v>90</v>
      </c>
      <c r="I104" s="13" t="s">
        <v>92</v>
      </c>
      <c r="J104" s="13" t="s">
        <v>93</v>
      </c>
      <c r="K104" s="22" t="s">
        <v>94</v>
      </c>
      <c r="L104" s="22" t="s">
        <v>95</v>
      </c>
      <c r="M104" s="13" t="s">
        <v>96</v>
      </c>
      <c r="N104" s="22" t="s">
        <v>97</v>
      </c>
      <c r="O104" s="13" t="s">
        <v>98</v>
      </c>
      <c r="P104" s="13" t="s">
        <v>99</v>
      </c>
      <c r="Q104" s="22" t="s">
        <v>100</v>
      </c>
      <c r="R104" s="22" t="s">
        <v>101</v>
      </c>
      <c r="S104" s="4" t="s">
        <v>102</v>
      </c>
      <c r="T104" s="3" t="s">
        <v>103</v>
      </c>
      <c r="U104" s="3"/>
      <c r="V104" s="4" t="s">
        <v>102</v>
      </c>
      <c r="W104" s="3" t="s">
        <v>103</v>
      </c>
      <c r="X104" s="3"/>
      <c r="Y104" s="4" t="s">
        <v>102</v>
      </c>
      <c r="Z104" s="3" t="s">
        <v>103</v>
      </c>
      <c r="AA104" s="3"/>
      <c r="AB104" s="4" t="s">
        <v>102</v>
      </c>
      <c r="AC104" s="3" t="s">
        <v>103</v>
      </c>
      <c r="AD104" s="3"/>
      <c r="AE104" s="4" t="s">
        <v>102</v>
      </c>
      <c r="AF104" s="3" t="s">
        <v>103</v>
      </c>
      <c r="AG104" s="3"/>
      <c r="AH104" s="4" t="s">
        <v>102</v>
      </c>
      <c r="AI104" s="3" t="s">
        <v>103</v>
      </c>
      <c r="AJ104" s="3"/>
      <c r="AK104" s="4" t="s">
        <v>102</v>
      </c>
      <c r="AL104" s="3" t="s">
        <v>103</v>
      </c>
      <c r="AM104" s="3"/>
      <c r="AN104" s="4" t="s">
        <v>102</v>
      </c>
      <c r="AO104" s="3" t="s">
        <v>103</v>
      </c>
      <c r="AP104" s="3"/>
      <c r="AQ104" s="34" t="s">
        <v>102</v>
      </c>
      <c r="AR104" s="34" t="s">
        <v>103</v>
      </c>
      <c r="AS104" s="34"/>
      <c r="AT104" s="2" t="s">
        <v>104</v>
      </c>
      <c r="AU104" s="1" t="s">
        <v>105</v>
      </c>
      <c r="AV104" s="1" t="s">
        <v>73</v>
      </c>
      <c r="AW104" s="1" t="s">
        <v>118</v>
      </c>
      <c r="AX104" s="1" t="s">
        <v>119</v>
      </c>
    </row>
    <row r="105" s="1" customFormat="1" spans="1:50">
      <c r="A105" s="13" t="s">
        <v>108</v>
      </c>
      <c r="B105" s="13">
        <f>F11</f>
        <v>910.8575</v>
      </c>
      <c r="C105" s="16" t="s">
        <v>109</v>
      </c>
      <c r="D105" s="17">
        <v>-14</v>
      </c>
      <c r="E105" s="16"/>
      <c r="F105" s="16"/>
      <c r="G105" s="13">
        <v>1</v>
      </c>
      <c r="H105" s="18">
        <f t="shared" ref="H105:H116" si="97">E106</f>
        <v>-14</v>
      </c>
      <c r="I105" s="18">
        <f t="shared" ref="I105:I116" si="98">H105+273.15</f>
        <v>259.15</v>
      </c>
      <c r="J105" s="18">
        <f t="shared" ref="J105:J116" si="99">EXP(($C$16*(I105-$C$14))/($C$17*I105*$C$14))</f>
        <v>0.00254027577249845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110</v>
      </c>
      <c r="N105" s="13"/>
      <c r="O105" s="18">
        <f>L105</f>
        <v>0.759047916666667</v>
      </c>
      <c r="P105" s="18">
        <f t="shared" ref="P105:P116" si="102">O105*J105</f>
        <v>0.00192819103287376</v>
      </c>
      <c r="Q105" s="24">
        <f t="shared" ref="Q105:Q116" si="103">P105*$B$107</f>
        <v>0.000404920116903489</v>
      </c>
      <c r="R105" s="18">
        <f t="shared" ref="R105:R116" si="104">L105*$B$107</f>
        <v>0.1594000625</v>
      </c>
      <c r="S105" s="25">
        <f t="shared" ref="S105:S116" si="105">Q105/R105</f>
        <v>0.00254027577249845</v>
      </c>
      <c r="T105" s="3">
        <v>0.01</v>
      </c>
      <c r="U105" s="26">
        <f t="shared" ref="U105:U116" si="106">S105*T105</f>
        <v>2.54027577249845e-5</v>
      </c>
      <c r="V105" s="25"/>
      <c r="W105" s="3"/>
      <c r="X105" s="3"/>
      <c r="Y105" s="28"/>
      <c r="Z105" s="3"/>
      <c r="AA105" s="27"/>
      <c r="AB105" s="3"/>
      <c r="AC105" s="3"/>
      <c r="AD105" s="27"/>
      <c r="AE105" s="25">
        <v>0.001</v>
      </c>
      <c r="AF105" s="3">
        <v>0.49</v>
      </c>
      <c r="AG105" s="26">
        <f t="shared" ref="AG105:AG116" si="107">AF105*AE105</f>
        <v>0.00049</v>
      </c>
      <c r="AH105" s="35"/>
      <c r="AI105" s="3"/>
      <c r="AJ105" s="26"/>
      <c r="AK105" s="36"/>
      <c r="AL105" s="27"/>
      <c r="AM105" s="27"/>
      <c r="AN105" s="36"/>
      <c r="AO105" s="27"/>
      <c r="AP105" s="26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0.00551540275772498</v>
      </c>
      <c r="AU105" s="29">
        <f t="shared" ref="AU105:AU116" si="110">$B$90/12</f>
        <v>28.47</v>
      </c>
      <c r="AV105" s="1">
        <f t="shared" ref="AV105:AV116" si="111">$B$76</f>
        <v>0.26</v>
      </c>
      <c r="AW105" s="2">
        <f t="shared" ref="AW105:AW116" si="112">$E$9/12</f>
        <v>0.0360833333333333</v>
      </c>
      <c r="AX105" s="1">
        <f t="shared" ref="AX105:AX116" si="113">AW105*10000*AV105*0.67*AU105*AT105</f>
        <v>9.87005334800792</v>
      </c>
    </row>
    <row r="106" s="1" customFormat="1" spans="1:50">
      <c r="A106" s="13" t="s">
        <v>111</v>
      </c>
      <c r="B106" s="13">
        <v>1</v>
      </c>
      <c r="C106" s="16">
        <v>1</v>
      </c>
      <c r="D106" s="37">
        <v>-15.4674344406452</v>
      </c>
      <c r="E106" s="20">
        <f t="shared" ref="E106:E117" si="114">D105</f>
        <v>-14</v>
      </c>
      <c r="F106" s="16" t="s">
        <v>110</v>
      </c>
      <c r="G106" s="13">
        <v>2</v>
      </c>
      <c r="H106" s="18">
        <f t="shared" si="97"/>
        <v>-15.4674344406452</v>
      </c>
      <c r="I106" s="18">
        <f t="shared" si="98"/>
        <v>257.682565559355</v>
      </c>
      <c r="J106" s="18">
        <f t="shared" si="99"/>
        <v>0.00205096388667563</v>
      </c>
      <c r="K106" s="18">
        <f t="shared" si="100"/>
        <v>75.9047916666667</v>
      </c>
      <c r="L106" s="18">
        <f t="shared" si="101"/>
        <v>0.759047916666667</v>
      </c>
      <c r="M106" s="13" t="s">
        <v>110</v>
      </c>
      <c r="N106" s="13"/>
      <c r="O106" s="18">
        <f t="shared" ref="O106:O116" si="115">L106+O105-P105-N106</f>
        <v>1.51616764230046</v>
      </c>
      <c r="P106" s="18">
        <f t="shared" si="102"/>
        <v>0.00310960508050438</v>
      </c>
      <c r="Q106" s="24">
        <f t="shared" si="103"/>
        <v>0.000653017066905919</v>
      </c>
      <c r="R106" s="18">
        <f t="shared" si="104"/>
        <v>0.1594000625</v>
      </c>
      <c r="S106" s="25">
        <f t="shared" si="105"/>
        <v>0.00409671775947967</v>
      </c>
      <c r="T106" s="3">
        <v>0.01</v>
      </c>
      <c r="U106" s="26">
        <f t="shared" si="106"/>
        <v>4.09671775947967e-5</v>
      </c>
      <c r="V106" s="25"/>
      <c r="W106" s="3"/>
      <c r="X106" s="3"/>
      <c r="Y106" s="28"/>
      <c r="Z106" s="3"/>
      <c r="AA106" s="27"/>
      <c r="AB106" s="3"/>
      <c r="AC106" s="3"/>
      <c r="AD106" s="27"/>
      <c r="AE106" s="25">
        <v>0.001</v>
      </c>
      <c r="AF106" s="3">
        <v>0.49</v>
      </c>
      <c r="AG106" s="26">
        <f t="shared" si="107"/>
        <v>0.00049</v>
      </c>
      <c r="AH106" s="35"/>
      <c r="AI106" s="3"/>
      <c r="AJ106" s="26"/>
      <c r="AK106" s="36"/>
      <c r="AL106" s="27"/>
      <c r="AM106" s="27"/>
      <c r="AN106" s="36"/>
      <c r="AO106" s="27"/>
      <c r="AP106" s="26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0.0055309671775948</v>
      </c>
      <c r="AU106" s="29">
        <f t="shared" si="110"/>
        <v>28.47</v>
      </c>
      <c r="AV106" s="1">
        <f t="shared" si="111"/>
        <v>0.26</v>
      </c>
      <c r="AW106" s="2">
        <f t="shared" si="112"/>
        <v>0.0360833333333333</v>
      </c>
      <c r="AX106" s="1">
        <f t="shared" si="113"/>
        <v>9.89790655496197</v>
      </c>
    </row>
    <row r="107" s="1" customFormat="1" spans="1:50">
      <c r="A107" s="13" t="s">
        <v>73</v>
      </c>
      <c r="B107" s="13">
        <f>H11</f>
        <v>0.21</v>
      </c>
      <c r="C107" s="16">
        <v>2</v>
      </c>
      <c r="D107" s="37">
        <v>-12.2530079889655</v>
      </c>
      <c r="E107" s="20">
        <f t="shared" si="114"/>
        <v>-15.4674344406452</v>
      </c>
      <c r="F107" s="16" t="s">
        <v>110</v>
      </c>
      <c r="G107" s="13">
        <v>3</v>
      </c>
      <c r="H107" s="18">
        <f t="shared" si="97"/>
        <v>-12.2530079889655</v>
      </c>
      <c r="I107" s="18">
        <f t="shared" si="98"/>
        <v>260.896992011034</v>
      </c>
      <c r="J107" s="18">
        <f t="shared" si="99"/>
        <v>0.00326695580665814</v>
      </c>
      <c r="K107" s="18">
        <f t="shared" si="100"/>
        <v>75.9047916666667</v>
      </c>
      <c r="L107" s="18">
        <f t="shared" si="101"/>
        <v>0.759047916666667</v>
      </c>
      <c r="M107" s="13" t="s">
        <v>110</v>
      </c>
      <c r="N107" s="13"/>
      <c r="O107" s="18">
        <f t="shared" si="115"/>
        <v>2.27210595388662</v>
      </c>
      <c r="P107" s="18">
        <f t="shared" si="102"/>
        <v>0.00742286973939243</v>
      </c>
      <c r="Q107" s="24">
        <f t="shared" si="103"/>
        <v>0.00155880264527241</v>
      </c>
      <c r="R107" s="18">
        <f t="shared" si="104"/>
        <v>0.1594000625</v>
      </c>
      <c r="S107" s="25">
        <f t="shared" si="105"/>
        <v>0.00977918465541637</v>
      </c>
      <c r="T107" s="3">
        <v>0.01</v>
      </c>
      <c r="U107" s="26">
        <f t="shared" si="106"/>
        <v>9.77918465541637e-5</v>
      </c>
      <c r="V107" s="25"/>
      <c r="W107" s="3"/>
      <c r="X107" s="3"/>
      <c r="Y107" s="28"/>
      <c r="Z107" s="3"/>
      <c r="AA107" s="27"/>
      <c r="AB107" s="3"/>
      <c r="AC107" s="3"/>
      <c r="AD107" s="27"/>
      <c r="AE107" s="25">
        <v>0.001</v>
      </c>
      <c r="AF107" s="3">
        <v>0.49</v>
      </c>
      <c r="AG107" s="26">
        <f t="shared" si="107"/>
        <v>0.00049</v>
      </c>
      <c r="AH107" s="35"/>
      <c r="AI107" s="3"/>
      <c r="AJ107" s="26"/>
      <c r="AK107" s="36"/>
      <c r="AL107" s="27"/>
      <c r="AM107" s="27"/>
      <c r="AN107" s="36"/>
      <c r="AO107" s="27"/>
      <c r="AP107" s="26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0.00558779184655416</v>
      </c>
      <c r="AU107" s="29">
        <f t="shared" si="110"/>
        <v>28.47</v>
      </c>
      <c r="AV107" s="1">
        <f t="shared" si="111"/>
        <v>0.26</v>
      </c>
      <c r="AW107" s="2">
        <f t="shared" si="112"/>
        <v>0.0360833333333333</v>
      </c>
      <c r="AX107" s="1">
        <f t="shared" si="113"/>
        <v>9.99959677392672</v>
      </c>
    </row>
    <row r="108" s="1" customFormat="1" spans="1:50">
      <c r="A108" s="13"/>
      <c r="B108" s="13"/>
      <c r="C108" s="16">
        <v>3</v>
      </c>
      <c r="D108" s="37">
        <v>-5.8383866653871</v>
      </c>
      <c r="E108" s="20">
        <f t="shared" si="114"/>
        <v>-12.2530079889655</v>
      </c>
      <c r="F108" s="16" t="s">
        <v>110</v>
      </c>
      <c r="G108" s="13">
        <v>4</v>
      </c>
      <c r="H108" s="18">
        <f t="shared" si="97"/>
        <v>-5.8383866653871</v>
      </c>
      <c r="I108" s="18">
        <f t="shared" si="98"/>
        <v>267.311613334613</v>
      </c>
      <c r="J108" s="18">
        <f t="shared" si="99"/>
        <v>0.0079999023180904</v>
      </c>
      <c r="K108" s="18">
        <f t="shared" si="100"/>
        <v>75.9047916666667</v>
      </c>
      <c r="L108" s="18">
        <f t="shared" si="101"/>
        <v>0.759047916666667</v>
      </c>
      <c r="M108" s="13" t="s">
        <v>110</v>
      </c>
      <c r="N108" s="13"/>
      <c r="O108" s="18">
        <f t="shared" si="115"/>
        <v>3.0237310008139</v>
      </c>
      <c r="P108" s="18">
        <f t="shared" si="102"/>
        <v>0.0241895526426929</v>
      </c>
      <c r="Q108" s="24">
        <f t="shared" si="103"/>
        <v>0.00507980605496551</v>
      </c>
      <c r="R108" s="18">
        <f t="shared" si="104"/>
        <v>0.1594000625</v>
      </c>
      <c r="S108" s="25">
        <f t="shared" si="105"/>
        <v>0.0318682814504261</v>
      </c>
      <c r="T108" s="3">
        <v>0.01</v>
      </c>
      <c r="U108" s="26">
        <f t="shared" si="106"/>
        <v>0.000318682814504261</v>
      </c>
      <c r="V108" s="25"/>
      <c r="W108" s="3"/>
      <c r="X108" s="3"/>
      <c r="Y108" s="28"/>
      <c r="Z108" s="3"/>
      <c r="AA108" s="27"/>
      <c r="AB108" s="3"/>
      <c r="AC108" s="3"/>
      <c r="AD108" s="27"/>
      <c r="AE108" s="25">
        <v>0.001</v>
      </c>
      <c r="AF108" s="3">
        <v>0.49</v>
      </c>
      <c r="AG108" s="26">
        <f t="shared" si="107"/>
        <v>0.00049</v>
      </c>
      <c r="AH108" s="35"/>
      <c r="AI108" s="3"/>
      <c r="AJ108" s="26"/>
      <c r="AK108" s="36"/>
      <c r="AL108" s="27"/>
      <c r="AM108" s="27"/>
      <c r="AN108" s="36"/>
      <c r="AO108" s="27"/>
      <c r="AP108" s="26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0.00580868281450426</v>
      </c>
      <c r="AU108" s="29">
        <f t="shared" si="110"/>
        <v>28.47</v>
      </c>
      <c r="AV108" s="1">
        <f t="shared" si="111"/>
        <v>0.26</v>
      </c>
      <c r="AW108" s="2">
        <f t="shared" si="112"/>
        <v>0.0360833333333333</v>
      </c>
      <c r="AX108" s="1">
        <f t="shared" si="113"/>
        <v>10.3948907775617</v>
      </c>
    </row>
    <row r="109" s="1" customFormat="1" spans="1:50">
      <c r="A109" s="13"/>
      <c r="B109" s="13"/>
      <c r="C109" s="16">
        <v>4</v>
      </c>
      <c r="D109" s="37">
        <v>-1.844164019</v>
      </c>
      <c r="E109" s="20">
        <f t="shared" si="114"/>
        <v>-5.8383866653871</v>
      </c>
      <c r="F109" s="16" t="s">
        <v>110</v>
      </c>
      <c r="G109" s="13">
        <v>5</v>
      </c>
      <c r="H109" s="18">
        <f t="shared" si="97"/>
        <v>-1.844164019</v>
      </c>
      <c r="I109" s="18">
        <f t="shared" si="98"/>
        <v>271.305835981</v>
      </c>
      <c r="J109" s="18">
        <f t="shared" si="99"/>
        <v>0.0136765677012325</v>
      </c>
      <c r="K109" s="18">
        <f t="shared" si="100"/>
        <v>75.9047916666667</v>
      </c>
      <c r="L109" s="18">
        <f t="shared" si="101"/>
        <v>0.759047916666667</v>
      </c>
      <c r="M109" s="13" t="s">
        <v>112</v>
      </c>
      <c r="N109" s="18">
        <f>(O108-P108)*$C$22/100</f>
        <v>2.84956437576264</v>
      </c>
      <c r="O109" s="18">
        <f t="shared" si="115"/>
        <v>0.909024989075227</v>
      </c>
      <c r="P109" s="18">
        <f t="shared" si="102"/>
        <v>0.0124323418051995</v>
      </c>
      <c r="Q109" s="24">
        <f t="shared" si="103"/>
        <v>0.00261079177909189</v>
      </c>
      <c r="R109" s="18">
        <f t="shared" si="104"/>
        <v>0.1594000625</v>
      </c>
      <c r="S109" s="25">
        <f t="shared" si="105"/>
        <v>0.0163788629574213</v>
      </c>
      <c r="T109" s="3">
        <v>0.01</v>
      </c>
      <c r="U109" s="26">
        <f t="shared" si="106"/>
        <v>0.000163788629574213</v>
      </c>
      <c r="V109" s="25"/>
      <c r="W109" s="3"/>
      <c r="X109" s="3"/>
      <c r="Y109" s="28"/>
      <c r="Z109" s="3"/>
      <c r="AA109" s="27"/>
      <c r="AB109" s="3"/>
      <c r="AC109" s="3"/>
      <c r="AD109" s="27"/>
      <c r="AE109" s="25">
        <v>0.001</v>
      </c>
      <c r="AF109" s="3">
        <v>0.49</v>
      </c>
      <c r="AG109" s="26">
        <f t="shared" si="107"/>
        <v>0.00049</v>
      </c>
      <c r="AH109" s="35"/>
      <c r="AI109" s="3"/>
      <c r="AJ109" s="26"/>
      <c r="AK109" s="36"/>
      <c r="AL109" s="27"/>
      <c r="AM109" s="27"/>
      <c r="AN109" s="36"/>
      <c r="AO109" s="27"/>
      <c r="AP109" s="26"/>
      <c r="AQ109" s="3">
        <v>0.01</v>
      </c>
      <c r="AR109" s="3">
        <v>0.5</v>
      </c>
      <c r="AS109" s="3">
        <f t="shared" si="108"/>
        <v>0.005</v>
      </c>
      <c r="AT109" s="2">
        <f t="shared" si="109"/>
        <v>0.00565378862957421</v>
      </c>
      <c r="AU109" s="29">
        <f t="shared" si="110"/>
        <v>28.47</v>
      </c>
      <c r="AV109" s="1">
        <f t="shared" si="111"/>
        <v>0.26</v>
      </c>
      <c r="AW109" s="2">
        <f t="shared" si="112"/>
        <v>0.0360833333333333</v>
      </c>
      <c r="AX109" s="1">
        <f t="shared" si="113"/>
        <v>10.117700890311</v>
      </c>
    </row>
    <row r="110" s="1" customFormat="1" spans="1:52">
      <c r="A110" s="13"/>
      <c r="B110" s="13"/>
      <c r="C110" s="16">
        <v>5</v>
      </c>
      <c r="D110" s="37">
        <v>3.00431582458065</v>
      </c>
      <c r="E110" s="20">
        <f t="shared" si="114"/>
        <v>-1.844164019</v>
      </c>
      <c r="F110" s="16" t="s">
        <v>112</v>
      </c>
      <c r="G110" s="13">
        <v>6</v>
      </c>
      <c r="H110" s="18">
        <f t="shared" si="97"/>
        <v>3.00431582458065</v>
      </c>
      <c r="I110" s="18">
        <f t="shared" si="98"/>
        <v>276.154315824581</v>
      </c>
      <c r="J110" s="18">
        <f t="shared" si="99"/>
        <v>0.0256818701164434</v>
      </c>
      <c r="K110" s="18">
        <f t="shared" si="100"/>
        <v>75.9047916666667</v>
      </c>
      <c r="L110" s="18">
        <f t="shared" si="101"/>
        <v>0.759047916666667</v>
      </c>
      <c r="M110" s="13" t="s">
        <v>110</v>
      </c>
      <c r="N110" s="13"/>
      <c r="O110" s="18">
        <f t="shared" si="115"/>
        <v>1.65564056393669</v>
      </c>
      <c r="P110" s="18">
        <f t="shared" si="102"/>
        <v>0.0425199459225373</v>
      </c>
      <c r="Q110" s="24">
        <f t="shared" si="103"/>
        <v>0.00892918864373283</v>
      </c>
      <c r="R110" s="18">
        <f t="shared" si="104"/>
        <v>0.1594000625</v>
      </c>
      <c r="S110" s="25">
        <f t="shared" si="105"/>
        <v>0.0560174726639949</v>
      </c>
      <c r="T110" s="3">
        <v>0.01</v>
      </c>
      <c r="U110" s="26">
        <f t="shared" si="106"/>
        <v>0.000560174726639949</v>
      </c>
      <c r="V110" s="25"/>
      <c r="W110" s="3"/>
      <c r="X110" s="3"/>
      <c r="Y110" s="28"/>
      <c r="Z110" s="3"/>
      <c r="AA110" s="27"/>
      <c r="AB110" s="3"/>
      <c r="AC110" s="3"/>
      <c r="AD110" s="27"/>
      <c r="AE110" s="25">
        <v>0.001</v>
      </c>
      <c r="AF110" s="3">
        <v>0.49</v>
      </c>
      <c r="AG110" s="26">
        <f t="shared" si="107"/>
        <v>0.00049</v>
      </c>
      <c r="AH110" s="35"/>
      <c r="AI110" s="3"/>
      <c r="AJ110" s="26"/>
      <c r="AK110" s="36"/>
      <c r="AL110" s="27"/>
      <c r="AM110" s="27"/>
      <c r="AN110" s="36"/>
      <c r="AO110" s="27"/>
      <c r="AP110" s="26"/>
      <c r="AQ110" s="3">
        <v>0.01</v>
      </c>
      <c r="AR110" s="3">
        <v>0.5</v>
      </c>
      <c r="AS110" s="3">
        <f t="shared" si="108"/>
        <v>0.005</v>
      </c>
      <c r="AT110" s="2">
        <f t="shared" si="109"/>
        <v>0.00605017472663995</v>
      </c>
      <c r="AU110" s="29">
        <f t="shared" si="110"/>
        <v>28.47</v>
      </c>
      <c r="AV110" s="1">
        <f t="shared" si="111"/>
        <v>0.26</v>
      </c>
      <c r="AW110" s="2">
        <f t="shared" si="112"/>
        <v>0.0360833333333333</v>
      </c>
      <c r="AX110" s="1">
        <f t="shared" si="113"/>
        <v>10.8270510676789</v>
      </c>
      <c r="AZ110" s="2"/>
    </row>
    <row r="111" s="1" customFormat="1" spans="1:52">
      <c r="A111" s="13"/>
      <c r="B111" s="13"/>
      <c r="C111" s="16">
        <v>6</v>
      </c>
      <c r="D111" s="37">
        <v>8.05727721053333</v>
      </c>
      <c r="E111" s="20">
        <f t="shared" si="114"/>
        <v>3.00431582458065</v>
      </c>
      <c r="F111" s="16" t="s">
        <v>110</v>
      </c>
      <c r="G111" s="13">
        <v>7</v>
      </c>
      <c r="H111" s="18">
        <f t="shared" si="97"/>
        <v>8.05727721053333</v>
      </c>
      <c r="I111" s="18">
        <f t="shared" si="98"/>
        <v>281.207277210533</v>
      </c>
      <c r="J111" s="18">
        <f t="shared" si="99"/>
        <v>0.0483922117461418</v>
      </c>
      <c r="K111" s="18">
        <f t="shared" si="100"/>
        <v>75.9047916666667</v>
      </c>
      <c r="L111" s="18">
        <f t="shared" si="101"/>
        <v>0.759047916666667</v>
      </c>
      <c r="M111" s="13" t="s">
        <v>110</v>
      </c>
      <c r="N111" s="13"/>
      <c r="O111" s="18">
        <f t="shared" si="115"/>
        <v>2.37216853468082</v>
      </c>
      <c r="P111" s="18">
        <f t="shared" si="102"/>
        <v>0.114794482027809</v>
      </c>
      <c r="Q111" s="24">
        <f t="shared" si="103"/>
        <v>0.02410684122584</v>
      </c>
      <c r="R111" s="18">
        <f t="shared" si="104"/>
        <v>0.1594000625</v>
      </c>
      <c r="S111" s="25">
        <f t="shared" si="105"/>
        <v>0.151234829194875</v>
      </c>
      <c r="T111" s="3">
        <v>0.01</v>
      </c>
      <c r="U111" s="26">
        <f t="shared" si="106"/>
        <v>0.00151234829194875</v>
      </c>
      <c r="V111" s="25"/>
      <c r="W111" s="3"/>
      <c r="X111" s="3"/>
      <c r="Y111" s="28"/>
      <c r="Z111" s="3"/>
      <c r="AA111" s="27"/>
      <c r="AB111" s="3"/>
      <c r="AC111" s="3"/>
      <c r="AD111" s="27"/>
      <c r="AE111" s="25">
        <v>0.001</v>
      </c>
      <c r="AF111" s="3">
        <v>0.49</v>
      </c>
      <c r="AG111" s="26">
        <f t="shared" si="107"/>
        <v>0.00049</v>
      </c>
      <c r="AH111" s="35"/>
      <c r="AI111" s="3"/>
      <c r="AJ111" s="26"/>
      <c r="AK111" s="36"/>
      <c r="AL111" s="27"/>
      <c r="AM111" s="27"/>
      <c r="AN111" s="36"/>
      <c r="AO111" s="27"/>
      <c r="AP111" s="26"/>
      <c r="AQ111" s="3">
        <v>0.01</v>
      </c>
      <c r="AR111" s="3">
        <v>0.5</v>
      </c>
      <c r="AS111" s="3">
        <f t="shared" si="108"/>
        <v>0.005</v>
      </c>
      <c r="AT111" s="2">
        <f t="shared" si="109"/>
        <v>0.00700234829194875</v>
      </c>
      <c r="AU111" s="29">
        <f t="shared" si="110"/>
        <v>28.47</v>
      </c>
      <c r="AV111" s="1">
        <f t="shared" si="111"/>
        <v>0.26</v>
      </c>
      <c r="AW111" s="2">
        <f t="shared" si="112"/>
        <v>0.0360833333333333</v>
      </c>
      <c r="AX111" s="1">
        <f t="shared" si="113"/>
        <v>12.5310071156752</v>
      </c>
      <c r="AZ111" s="2"/>
    </row>
    <row r="112" s="1" customFormat="1" spans="1:52">
      <c r="A112" s="13"/>
      <c r="B112" s="13"/>
      <c r="C112" s="16">
        <v>7</v>
      </c>
      <c r="D112" s="37">
        <v>10.9028840226129</v>
      </c>
      <c r="E112" s="20">
        <f t="shared" si="114"/>
        <v>8.05727721053333</v>
      </c>
      <c r="F112" s="16" t="s">
        <v>110</v>
      </c>
      <c r="G112" s="13">
        <v>8</v>
      </c>
      <c r="H112" s="18">
        <f t="shared" si="97"/>
        <v>10.9028840226129</v>
      </c>
      <c r="I112" s="18">
        <f t="shared" si="98"/>
        <v>284.052884022613</v>
      </c>
      <c r="J112" s="18">
        <f t="shared" si="99"/>
        <v>0.0684571098052377</v>
      </c>
      <c r="K112" s="18">
        <f t="shared" si="100"/>
        <v>75.9047916666667</v>
      </c>
      <c r="L112" s="18">
        <f t="shared" si="101"/>
        <v>0.759047916666667</v>
      </c>
      <c r="M112" s="13" t="s">
        <v>110</v>
      </c>
      <c r="N112" s="13"/>
      <c r="O112" s="18">
        <f t="shared" si="115"/>
        <v>3.01642196931968</v>
      </c>
      <c r="P112" s="18">
        <f t="shared" si="102"/>
        <v>0.206495529972649</v>
      </c>
      <c r="Q112" s="24">
        <f t="shared" si="103"/>
        <v>0.0433640612942562</v>
      </c>
      <c r="R112" s="18">
        <f t="shared" si="104"/>
        <v>0.1594000625</v>
      </c>
      <c r="S112" s="25">
        <f t="shared" si="105"/>
        <v>0.272045447248531</v>
      </c>
      <c r="T112" s="3">
        <v>0.01</v>
      </c>
      <c r="U112" s="26">
        <f t="shared" si="106"/>
        <v>0.00272045447248531</v>
      </c>
      <c r="V112" s="25"/>
      <c r="W112" s="3"/>
      <c r="X112" s="3"/>
      <c r="Y112" s="28"/>
      <c r="Z112" s="3"/>
      <c r="AA112" s="27"/>
      <c r="AB112" s="3"/>
      <c r="AC112" s="3"/>
      <c r="AD112" s="27"/>
      <c r="AE112" s="25">
        <v>0.001</v>
      </c>
      <c r="AF112" s="3">
        <v>0.49</v>
      </c>
      <c r="AG112" s="26">
        <f t="shared" si="107"/>
        <v>0.00049</v>
      </c>
      <c r="AH112" s="35"/>
      <c r="AI112" s="3"/>
      <c r="AJ112" s="26"/>
      <c r="AK112" s="36"/>
      <c r="AL112" s="27"/>
      <c r="AM112" s="27"/>
      <c r="AN112" s="36"/>
      <c r="AO112" s="27"/>
      <c r="AP112" s="26"/>
      <c r="AQ112" s="3">
        <v>0.01</v>
      </c>
      <c r="AR112" s="3">
        <v>0.5</v>
      </c>
      <c r="AS112" s="3">
        <f t="shared" si="108"/>
        <v>0.005</v>
      </c>
      <c r="AT112" s="2">
        <f t="shared" si="109"/>
        <v>0.00821045447248531</v>
      </c>
      <c r="AU112" s="29">
        <f t="shared" si="110"/>
        <v>28.47</v>
      </c>
      <c r="AV112" s="1">
        <f t="shared" si="111"/>
        <v>0.26</v>
      </c>
      <c r="AW112" s="2">
        <f t="shared" si="112"/>
        <v>0.0360833333333333</v>
      </c>
      <c r="AX112" s="1">
        <f t="shared" si="113"/>
        <v>14.6929657206479</v>
      </c>
      <c r="AZ112" s="2"/>
    </row>
    <row r="113" s="1" customFormat="1" spans="1:52">
      <c r="A113" s="13"/>
      <c r="B113" s="13"/>
      <c r="C113" s="16">
        <v>8</v>
      </c>
      <c r="D113" s="37">
        <v>11.9784786694516</v>
      </c>
      <c r="E113" s="20">
        <f t="shared" si="114"/>
        <v>10.9028840226129</v>
      </c>
      <c r="F113" s="16" t="s">
        <v>110</v>
      </c>
      <c r="G113" s="13">
        <v>9</v>
      </c>
      <c r="H113" s="18">
        <f t="shared" si="97"/>
        <v>11.9784786694516</v>
      </c>
      <c r="I113" s="18">
        <f t="shared" si="98"/>
        <v>285.128478669452</v>
      </c>
      <c r="J113" s="18">
        <f t="shared" si="99"/>
        <v>0.0779069508990421</v>
      </c>
      <c r="K113" s="18">
        <f t="shared" si="100"/>
        <v>75.9047916666667</v>
      </c>
      <c r="L113" s="18">
        <f t="shared" si="101"/>
        <v>0.759047916666667</v>
      </c>
      <c r="M113" s="13" t="s">
        <v>110</v>
      </c>
      <c r="N113" s="13"/>
      <c r="O113" s="18">
        <f t="shared" si="115"/>
        <v>3.5689743560137</v>
      </c>
      <c r="P113" s="18">
        <f t="shared" si="102"/>
        <v>0.2780479099139</v>
      </c>
      <c r="Q113" s="24">
        <f t="shared" si="103"/>
        <v>0.0583900610819189</v>
      </c>
      <c r="R113" s="18">
        <f t="shared" si="104"/>
        <v>0.1594000625</v>
      </c>
      <c r="S113" s="25">
        <f t="shared" si="105"/>
        <v>0.366311406445772</v>
      </c>
      <c r="T113" s="3">
        <v>0.01</v>
      </c>
      <c r="U113" s="26">
        <f t="shared" si="106"/>
        <v>0.00366311406445772</v>
      </c>
      <c r="V113" s="25"/>
      <c r="W113" s="3"/>
      <c r="X113" s="3"/>
      <c r="Y113" s="28"/>
      <c r="Z113" s="3"/>
      <c r="AA113" s="27"/>
      <c r="AB113" s="3"/>
      <c r="AC113" s="3"/>
      <c r="AD113" s="27"/>
      <c r="AE113" s="25">
        <v>0.001</v>
      </c>
      <c r="AF113" s="3">
        <v>0.49</v>
      </c>
      <c r="AG113" s="26">
        <f t="shared" si="107"/>
        <v>0.00049</v>
      </c>
      <c r="AH113" s="35"/>
      <c r="AI113" s="3"/>
      <c r="AJ113" s="26"/>
      <c r="AK113" s="36"/>
      <c r="AL113" s="27"/>
      <c r="AM113" s="27"/>
      <c r="AN113" s="36"/>
      <c r="AO113" s="27"/>
      <c r="AP113" s="26"/>
      <c r="AQ113" s="3">
        <v>0.01</v>
      </c>
      <c r="AR113" s="3">
        <v>0.5</v>
      </c>
      <c r="AS113" s="3">
        <f t="shared" si="108"/>
        <v>0.005</v>
      </c>
      <c r="AT113" s="2">
        <f t="shared" si="109"/>
        <v>0.00915311406445772</v>
      </c>
      <c r="AU113" s="29">
        <f t="shared" si="110"/>
        <v>28.47</v>
      </c>
      <c r="AV113" s="1">
        <f t="shared" si="111"/>
        <v>0.26</v>
      </c>
      <c r="AW113" s="2">
        <f t="shared" si="112"/>
        <v>0.0360833333333333</v>
      </c>
      <c r="AX113" s="1">
        <f t="shared" si="113"/>
        <v>16.3798960991679</v>
      </c>
      <c r="AZ113" s="2"/>
    </row>
    <row r="114" s="1" customFormat="1" spans="1:52">
      <c r="A114" s="13"/>
      <c r="B114" s="13"/>
      <c r="C114" s="16">
        <v>9</v>
      </c>
      <c r="D114" s="37">
        <v>4.54641933763333</v>
      </c>
      <c r="E114" s="20">
        <f t="shared" si="114"/>
        <v>11.9784786694516</v>
      </c>
      <c r="F114" s="16" t="s">
        <v>110</v>
      </c>
      <c r="G114" s="13">
        <v>10</v>
      </c>
      <c r="H114" s="18">
        <f t="shared" si="97"/>
        <v>4.54641933763333</v>
      </c>
      <c r="I114" s="18">
        <f t="shared" si="98"/>
        <v>277.696419337633</v>
      </c>
      <c r="J114" s="18">
        <f t="shared" si="99"/>
        <v>0.0312363604506653</v>
      </c>
      <c r="K114" s="18">
        <f t="shared" si="100"/>
        <v>75.9047916666667</v>
      </c>
      <c r="L114" s="18">
        <f t="shared" si="101"/>
        <v>0.759047916666667</v>
      </c>
      <c r="M114" s="13" t="s">
        <v>110</v>
      </c>
      <c r="N114" s="13"/>
      <c r="O114" s="18">
        <f t="shared" si="115"/>
        <v>4.04997436276647</v>
      </c>
      <c r="P114" s="18">
        <f t="shared" si="102"/>
        <v>0.126506459011327</v>
      </c>
      <c r="Q114" s="24">
        <f t="shared" si="103"/>
        <v>0.0265663563923786</v>
      </c>
      <c r="R114" s="18">
        <f t="shared" si="104"/>
        <v>0.1594000625</v>
      </c>
      <c r="S114" s="25">
        <f t="shared" si="105"/>
        <v>0.166664654804503</v>
      </c>
      <c r="T114" s="3">
        <v>0.01</v>
      </c>
      <c r="U114" s="26">
        <f t="shared" si="106"/>
        <v>0.00166664654804503</v>
      </c>
      <c r="V114" s="25"/>
      <c r="W114" s="3"/>
      <c r="X114" s="3"/>
      <c r="Y114" s="28"/>
      <c r="Z114" s="3"/>
      <c r="AA114" s="27"/>
      <c r="AB114" s="3"/>
      <c r="AC114" s="3"/>
      <c r="AD114" s="27"/>
      <c r="AE114" s="25">
        <v>0.001</v>
      </c>
      <c r="AF114" s="3">
        <v>0.49</v>
      </c>
      <c r="AG114" s="26">
        <f t="shared" si="107"/>
        <v>0.00049</v>
      </c>
      <c r="AH114" s="35"/>
      <c r="AI114" s="3"/>
      <c r="AJ114" s="26"/>
      <c r="AK114" s="36"/>
      <c r="AL114" s="27"/>
      <c r="AM114" s="27"/>
      <c r="AN114" s="36"/>
      <c r="AO114" s="27"/>
      <c r="AP114" s="26"/>
      <c r="AQ114" s="3">
        <v>0.01</v>
      </c>
      <c r="AR114" s="3">
        <v>0.5</v>
      </c>
      <c r="AS114" s="3">
        <f t="shared" si="108"/>
        <v>0.005</v>
      </c>
      <c r="AT114" s="2">
        <f t="shared" si="109"/>
        <v>0.00715664654804503</v>
      </c>
      <c r="AU114" s="29">
        <f t="shared" si="110"/>
        <v>28.47</v>
      </c>
      <c r="AV114" s="1">
        <f t="shared" si="111"/>
        <v>0.26</v>
      </c>
      <c r="AW114" s="2">
        <f t="shared" si="112"/>
        <v>0.0360833333333333</v>
      </c>
      <c r="AX114" s="1">
        <f t="shared" si="113"/>
        <v>12.807130562334</v>
      </c>
      <c r="AZ114" s="2"/>
    </row>
    <row r="115" s="1" customFormat="1" spans="1:52">
      <c r="A115" s="13"/>
      <c r="B115" s="13"/>
      <c r="C115" s="16">
        <v>10</v>
      </c>
      <c r="D115" s="37">
        <v>-2.22077700390323</v>
      </c>
      <c r="E115" s="20">
        <f t="shared" si="114"/>
        <v>4.54641933763333</v>
      </c>
      <c r="F115" s="16" t="s">
        <v>110</v>
      </c>
      <c r="G115" s="13">
        <v>11</v>
      </c>
      <c r="H115" s="18">
        <f t="shared" si="97"/>
        <v>-2.22077700390323</v>
      </c>
      <c r="I115" s="18">
        <f t="shared" si="98"/>
        <v>270.929222996097</v>
      </c>
      <c r="J115" s="18">
        <f t="shared" si="99"/>
        <v>0.0130110108150862</v>
      </c>
      <c r="K115" s="18">
        <f t="shared" si="100"/>
        <v>75.9047916666667</v>
      </c>
      <c r="L115" s="18">
        <f t="shared" si="101"/>
        <v>0.759047916666667</v>
      </c>
      <c r="M115" s="13" t="s">
        <v>112</v>
      </c>
      <c r="N115" s="18">
        <f>(O114-P114)*$C$22/100</f>
        <v>3.72729450856738</v>
      </c>
      <c r="O115" s="18">
        <f t="shared" si="115"/>
        <v>0.955221311854424</v>
      </c>
      <c r="P115" s="18">
        <f t="shared" si="102"/>
        <v>0.0124283948193387</v>
      </c>
      <c r="Q115" s="24">
        <f t="shared" si="103"/>
        <v>0.00260996291206113</v>
      </c>
      <c r="R115" s="18">
        <f t="shared" si="104"/>
        <v>0.1594000625</v>
      </c>
      <c r="S115" s="25">
        <f t="shared" si="105"/>
        <v>0.0163736630408231</v>
      </c>
      <c r="T115" s="3">
        <v>0.01</v>
      </c>
      <c r="U115" s="26">
        <f t="shared" si="106"/>
        <v>0.000163736630408231</v>
      </c>
      <c r="V115" s="25"/>
      <c r="W115" s="3"/>
      <c r="X115" s="3"/>
      <c r="Y115" s="28"/>
      <c r="Z115" s="3"/>
      <c r="AA115" s="27"/>
      <c r="AB115" s="3"/>
      <c r="AC115" s="3"/>
      <c r="AD115" s="27"/>
      <c r="AE115" s="25">
        <v>0.001</v>
      </c>
      <c r="AF115" s="3">
        <v>0.49</v>
      </c>
      <c r="AG115" s="26">
        <f t="shared" si="107"/>
        <v>0.00049</v>
      </c>
      <c r="AH115" s="35"/>
      <c r="AI115" s="3"/>
      <c r="AJ115" s="26"/>
      <c r="AK115" s="36"/>
      <c r="AL115" s="27"/>
      <c r="AM115" s="27"/>
      <c r="AN115" s="36"/>
      <c r="AO115" s="27"/>
      <c r="AP115" s="26"/>
      <c r="AQ115" s="3">
        <v>0.01</v>
      </c>
      <c r="AR115" s="3">
        <v>0.5</v>
      </c>
      <c r="AS115" s="3">
        <f t="shared" si="108"/>
        <v>0.005</v>
      </c>
      <c r="AT115" s="2">
        <f t="shared" si="109"/>
        <v>0.00565373663040823</v>
      </c>
      <c r="AU115" s="29">
        <f t="shared" si="110"/>
        <v>28.47</v>
      </c>
      <c r="AV115" s="1">
        <f t="shared" si="111"/>
        <v>0.26</v>
      </c>
      <c r="AW115" s="2">
        <f t="shared" si="112"/>
        <v>0.0360833333333333</v>
      </c>
      <c r="AX115" s="1">
        <f t="shared" si="113"/>
        <v>10.1176078355397</v>
      </c>
      <c r="AZ115" s="2"/>
    </row>
    <row r="116" s="1" customFormat="1" spans="1:52">
      <c r="A116" s="13"/>
      <c r="B116" s="13"/>
      <c r="C116" s="16">
        <v>11</v>
      </c>
      <c r="D116" s="37">
        <v>-9.7935258338</v>
      </c>
      <c r="E116" s="20">
        <f t="shared" si="114"/>
        <v>-2.22077700390323</v>
      </c>
      <c r="F116" s="16" t="s">
        <v>112</v>
      </c>
      <c r="G116" s="13">
        <v>12</v>
      </c>
      <c r="H116" s="18">
        <f t="shared" si="97"/>
        <v>-9.7935258338</v>
      </c>
      <c r="I116" s="18">
        <f t="shared" si="98"/>
        <v>263.3564741662</v>
      </c>
      <c r="J116" s="18">
        <f t="shared" si="99"/>
        <v>0.00462924405339439</v>
      </c>
      <c r="K116" s="18">
        <f t="shared" si="100"/>
        <v>75.9047916666667</v>
      </c>
      <c r="L116" s="18">
        <f t="shared" si="101"/>
        <v>0.759047916666667</v>
      </c>
      <c r="M116" s="13" t="s">
        <v>110</v>
      </c>
      <c r="N116" s="13"/>
      <c r="O116" s="18">
        <f t="shared" si="115"/>
        <v>1.70184083370175</v>
      </c>
      <c r="P116" s="18">
        <f t="shared" si="102"/>
        <v>0.00787823655923759</v>
      </c>
      <c r="Q116" s="24">
        <f t="shared" si="103"/>
        <v>0.00165442967743989</v>
      </c>
      <c r="R116" s="18">
        <f t="shared" si="104"/>
        <v>0.1594000625</v>
      </c>
      <c r="S116" s="25">
        <f t="shared" si="105"/>
        <v>0.0103791030661603</v>
      </c>
      <c r="T116" s="3">
        <v>0.01</v>
      </c>
      <c r="U116" s="26">
        <f t="shared" si="106"/>
        <v>0.000103791030661603</v>
      </c>
      <c r="V116" s="25"/>
      <c r="W116" s="3"/>
      <c r="X116" s="3"/>
      <c r="Y116" s="28"/>
      <c r="Z116" s="3"/>
      <c r="AA116" s="27"/>
      <c r="AB116" s="3"/>
      <c r="AC116" s="3"/>
      <c r="AD116" s="27"/>
      <c r="AE116" s="25">
        <v>0.001</v>
      </c>
      <c r="AF116" s="3">
        <v>0.49</v>
      </c>
      <c r="AG116" s="26">
        <f t="shared" si="107"/>
        <v>0.00049</v>
      </c>
      <c r="AH116" s="35"/>
      <c r="AI116" s="3"/>
      <c r="AJ116" s="26"/>
      <c r="AK116" s="36"/>
      <c r="AL116" s="27"/>
      <c r="AM116" s="27"/>
      <c r="AN116" s="36"/>
      <c r="AO116" s="27"/>
      <c r="AP116" s="26"/>
      <c r="AQ116" s="3">
        <v>0.01</v>
      </c>
      <c r="AR116" s="3">
        <v>0.5</v>
      </c>
      <c r="AS116" s="3">
        <f t="shared" si="108"/>
        <v>0.005</v>
      </c>
      <c r="AT116" s="2">
        <f t="shared" si="109"/>
        <v>0.0055937910306616</v>
      </c>
      <c r="AU116" s="29">
        <f t="shared" si="110"/>
        <v>28.47</v>
      </c>
      <c r="AV116" s="1">
        <f t="shared" si="111"/>
        <v>0.26</v>
      </c>
      <c r="AW116" s="2">
        <f t="shared" si="112"/>
        <v>0.0360833333333333</v>
      </c>
      <c r="AX116" s="1">
        <f t="shared" si="113"/>
        <v>10.0103325750615</v>
      </c>
      <c r="AY116" s="1">
        <f>SUM(AX105:AX116)</f>
        <v>137.646139320874</v>
      </c>
      <c r="AZ116" s="2"/>
    </row>
    <row r="117" s="1" customFormat="1" spans="1:46">
      <c r="A117" s="13"/>
      <c r="B117" s="13"/>
      <c r="C117" s="16">
        <v>12</v>
      </c>
      <c r="D117" s="37">
        <v>-11.7568357696129</v>
      </c>
      <c r="E117" s="20">
        <f t="shared" si="114"/>
        <v>-9.7935258338</v>
      </c>
      <c r="F117" s="16" t="s">
        <v>110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workbookViewId="0">
      <pane xSplit="4" topLeftCell="E1" activePane="topRight" state="frozen"/>
      <selection/>
      <selection pane="topRight" activeCell="E17" sqref="E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41</v>
      </c>
      <c r="B2" s="5" t="s">
        <v>42</v>
      </c>
      <c r="C2" s="3"/>
      <c r="D2" s="3"/>
      <c r="E2" s="6">
        <v>181.16</v>
      </c>
      <c r="F2" s="3">
        <v>1166.832</v>
      </c>
      <c r="G2" s="7">
        <f>(F2+F3+F4)/3</f>
        <v>1338.18733333333</v>
      </c>
      <c r="H2" s="3">
        <v>0.13</v>
      </c>
      <c r="I2" s="21">
        <f>(H2+H3+H4)/3</f>
        <v>0.12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43</v>
      </c>
      <c r="C3" s="3"/>
      <c r="D3" s="3"/>
      <c r="E3" s="8"/>
      <c r="F3" s="3">
        <v>1192.09</v>
      </c>
      <c r="G3" s="9"/>
      <c r="H3" s="3">
        <v>0.13</v>
      </c>
      <c r="I3" s="21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45</v>
      </c>
      <c r="B5" s="5" t="s">
        <v>46</v>
      </c>
      <c r="C5" s="3"/>
      <c r="D5" s="3"/>
      <c r="E5" s="6">
        <v>841.927589924191</v>
      </c>
      <c r="F5" s="3">
        <v>91.104</v>
      </c>
      <c r="G5" s="7">
        <f>(F5+F6)/2</f>
        <v>92.50925</v>
      </c>
      <c r="H5" s="3">
        <v>0.13</v>
      </c>
      <c r="I5" s="21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47</v>
      </c>
      <c r="C6" s="3"/>
      <c r="D6" s="3"/>
      <c r="E6" s="10"/>
      <c r="F6" s="3">
        <v>93.9145</v>
      </c>
      <c r="G6" s="11"/>
      <c r="H6" s="3">
        <v>0.19</v>
      </c>
      <c r="I6" s="2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48</v>
      </c>
      <c r="B7" s="5"/>
      <c r="C7" s="3"/>
      <c r="D7" s="3"/>
      <c r="E7" s="12">
        <v>147.312328767123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49</v>
      </c>
      <c r="B8" s="5"/>
      <c r="C8" s="3"/>
      <c r="D8" s="3"/>
      <c r="E8" s="12">
        <v>0.11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50</v>
      </c>
      <c r="B9" s="5"/>
      <c r="C9" s="3"/>
      <c r="D9" s="3"/>
      <c r="E9" s="12">
        <v>4.7</v>
      </c>
      <c r="F9" s="3">
        <v>341.64</v>
      </c>
      <c r="G9" s="3"/>
      <c r="H9" s="3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51</v>
      </c>
      <c r="B10" s="5"/>
      <c r="C10" s="3"/>
      <c r="D10" s="3"/>
      <c r="E10" s="12">
        <v>0.345900223399506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52</v>
      </c>
      <c r="B11" s="5"/>
      <c r="C11" s="3"/>
      <c r="D11" s="3"/>
      <c r="E11" s="3">
        <v>0.04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AV38+AV53+BB69+AY85+AY101+BB101+AY116+AG69</f>
        <v>4883939.4614776</v>
      </c>
      <c r="J14" s="14" t="s">
        <v>35</v>
      </c>
      <c r="K14" s="14">
        <f>I14/(10000*1000)</f>
        <v>0.48839394614776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14">
        <v>8583066.80363743</v>
      </c>
      <c r="J15" s="14" t="s">
        <v>35</v>
      </c>
      <c r="K15" s="14">
        <f>I15/(10000*1000)</f>
        <v>0.858306680363743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1338.18733333333</v>
      </c>
      <c r="C27" s="16" t="s">
        <v>109</v>
      </c>
      <c r="D27" s="17">
        <v>-5</v>
      </c>
      <c r="E27" s="16"/>
      <c r="F27" s="16"/>
      <c r="G27" s="13">
        <v>1</v>
      </c>
      <c r="H27" s="18">
        <f t="shared" ref="H27:H38" si="0">E28</f>
        <v>-5</v>
      </c>
      <c r="I27" s="18">
        <f t="shared" ref="I27:I38" si="1">H27+273.15</f>
        <v>268.15</v>
      </c>
      <c r="J27" s="18">
        <f t="shared" ref="J27:J38" si="2">EXP(($C$16*(I27-$C$14))/($C$17*I27*$C$14))</f>
        <v>0.00896487173486583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110</v>
      </c>
      <c r="N27" s="13"/>
      <c r="O27" s="18">
        <f>L27</f>
        <v>1.11515611111111</v>
      </c>
      <c r="P27" s="18">
        <f t="shared" ref="P27:P38" si="5">O27*J27</f>
        <v>0.0099972315004629</v>
      </c>
      <c r="Q27" s="24">
        <f t="shared" ref="Q27:Q38" si="6">P27*$B$29</f>
        <v>0.00119966778005555</v>
      </c>
      <c r="R27" s="18">
        <f t="shared" ref="R27:R38" si="7">L27*$B$29</f>
        <v>0.133818733333333</v>
      </c>
      <c r="S27" s="25">
        <f t="shared" ref="S27:S38" si="8">Q27/R27</f>
        <v>0.00896487173486583</v>
      </c>
      <c r="T27" s="3">
        <v>0.01</v>
      </c>
      <c r="U27" s="26">
        <f t="shared" ref="U27:U38" si="9">S27*T27</f>
        <v>8.96487173486583e-5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0.0219896487173487</v>
      </c>
      <c r="AR27" s="29">
        <f t="shared" ref="AR27:AR38" si="15">$B$27/12</f>
        <v>111.515611111111</v>
      </c>
      <c r="AS27" s="1">
        <f t="shared" ref="AS27:AS38" si="16">$B$29</f>
        <v>0.12</v>
      </c>
      <c r="AT27" s="2">
        <f>$E$2/12</f>
        <v>15.0966666666667</v>
      </c>
      <c r="AU27" s="1">
        <f t="shared" ref="AU27:AU38" si="17">AT27*10000*AS27*0.67*AR27*AQ27</f>
        <v>29763.9848629005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-9.037743531</v>
      </c>
      <c r="E28" s="20">
        <f t="shared" ref="E28:E39" si="18">D27</f>
        <v>-5</v>
      </c>
      <c r="F28" s="16" t="s">
        <v>110</v>
      </c>
      <c r="G28" s="13">
        <v>2</v>
      </c>
      <c r="H28" s="18">
        <f t="shared" si="0"/>
        <v>-9.037743531</v>
      </c>
      <c r="I28" s="18">
        <f t="shared" si="1"/>
        <v>264.112256469</v>
      </c>
      <c r="J28" s="18">
        <f t="shared" si="2"/>
        <v>0.0051458583390294</v>
      </c>
      <c r="K28" s="18">
        <f t="shared" si="3"/>
        <v>111.515611111111</v>
      </c>
      <c r="L28" s="18">
        <f t="shared" si="4"/>
        <v>1.11515611111111</v>
      </c>
      <c r="M28" s="13" t="s">
        <v>110</v>
      </c>
      <c r="N28" s="13"/>
      <c r="O28" s="18">
        <f t="shared" ref="O28:O38" si="19">L28+O27-P27-N28</f>
        <v>2.22031499072176</v>
      </c>
      <c r="P28" s="18">
        <f t="shared" si="5"/>
        <v>0.0114254264102776</v>
      </c>
      <c r="Q28" s="24">
        <f t="shared" si="6"/>
        <v>0.00137105116923331</v>
      </c>
      <c r="R28" s="18">
        <f t="shared" si="7"/>
        <v>0.133818733333333</v>
      </c>
      <c r="S28" s="25">
        <f t="shared" si="8"/>
        <v>0.0102455847180836</v>
      </c>
      <c r="T28" s="3">
        <v>0.01</v>
      </c>
      <c r="U28" s="26">
        <f t="shared" si="9"/>
        <v>0.000102455847180836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0.0220024558471808</v>
      </c>
      <c r="AR28" s="29">
        <f t="shared" si="15"/>
        <v>111.515611111111</v>
      </c>
      <c r="AS28" s="1">
        <f t="shared" si="16"/>
        <v>0.12</v>
      </c>
      <c r="AT28" s="2">
        <f t="shared" ref="AT28:AT38" si="20">$E$2/12</f>
        <v>15.0966666666667</v>
      </c>
      <c r="AU28" s="1">
        <f t="shared" si="17"/>
        <v>29781.3198928212</v>
      </c>
    </row>
    <row r="29" s="1" customFormat="1" spans="1:47">
      <c r="A29" s="13" t="s">
        <v>73</v>
      </c>
      <c r="B29" s="13">
        <f>I2</f>
        <v>0.12</v>
      </c>
      <c r="C29" s="16">
        <v>2</v>
      </c>
      <c r="D29" s="19">
        <v>-3.95705749586207</v>
      </c>
      <c r="E29" s="20">
        <f t="shared" si="18"/>
        <v>-9.037743531</v>
      </c>
      <c r="F29" s="16" t="s">
        <v>110</v>
      </c>
      <c r="G29" s="13">
        <v>3</v>
      </c>
      <c r="H29" s="18">
        <f t="shared" si="0"/>
        <v>-3.95705749586207</v>
      </c>
      <c r="I29" s="18">
        <f t="shared" si="1"/>
        <v>269.192942504138</v>
      </c>
      <c r="J29" s="18">
        <f t="shared" si="2"/>
        <v>0.0103190793415967</v>
      </c>
      <c r="K29" s="18">
        <f t="shared" si="3"/>
        <v>111.515611111111</v>
      </c>
      <c r="L29" s="18">
        <f t="shared" si="4"/>
        <v>1.11515611111111</v>
      </c>
      <c r="M29" s="13" t="s">
        <v>110</v>
      </c>
      <c r="N29" s="13"/>
      <c r="O29" s="18">
        <f t="shared" si="19"/>
        <v>3.32404567542259</v>
      </c>
      <c r="P29" s="18">
        <f t="shared" si="5"/>
        <v>0.0343010910597771</v>
      </c>
      <c r="Q29" s="24">
        <f t="shared" si="6"/>
        <v>0.00411613092717326</v>
      </c>
      <c r="R29" s="18">
        <f t="shared" si="7"/>
        <v>0.133818733333333</v>
      </c>
      <c r="S29" s="25">
        <f t="shared" si="8"/>
        <v>0.0307590038004638</v>
      </c>
      <c r="T29" s="3">
        <v>0.01</v>
      </c>
      <c r="U29" s="26">
        <f t="shared" si="9"/>
        <v>0.000307590038004638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0.0222075900380046</v>
      </c>
      <c r="AR29" s="29">
        <f t="shared" si="15"/>
        <v>111.515611111111</v>
      </c>
      <c r="AS29" s="1">
        <f t="shared" si="16"/>
        <v>0.12</v>
      </c>
      <c r="AT29" s="2">
        <f t="shared" si="20"/>
        <v>15.0966666666667</v>
      </c>
      <c r="AU29" s="1">
        <f t="shared" si="17"/>
        <v>30058.9783051507</v>
      </c>
    </row>
    <row r="30" s="1" customFormat="1" spans="1:47">
      <c r="A30" s="13"/>
      <c r="B30" s="13"/>
      <c r="C30" s="16">
        <v>3</v>
      </c>
      <c r="D30" s="19">
        <v>4.91366883912903</v>
      </c>
      <c r="E30" s="20">
        <f t="shared" si="18"/>
        <v>-3.95705749586207</v>
      </c>
      <c r="F30" s="16" t="s">
        <v>110</v>
      </c>
      <c r="G30" s="13">
        <v>4</v>
      </c>
      <c r="H30" s="18">
        <f t="shared" si="0"/>
        <v>4.91366883912903</v>
      </c>
      <c r="I30" s="18">
        <f t="shared" si="1"/>
        <v>278.063668839129</v>
      </c>
      <c r="J30" s="18">
        <f t="shared" si="2"/>
        <v>0.0327168913818778</v>
      </c>
      <c r="K30" s="18">
        <f t="shared" si="3"/>
        <v>111.515611111111</v>
      </c>
      <c r="L30" s="18">
        <f t="shared" si="4"/>
        <v>1.11515611111111</v>
      </c>
      <c r="M30" s="13" t="s">
        <v>110</v>
      </c>
      <c r="N30" s="13"/>
      <c r="O30" s="18">
        <f t="shared" si="19"/>
        <v>4.40490069547393</v>
      </c>
      <c r="P30" s="18">
        <f t="shared" si="5"/>
        <v>0.144114657601778</v>
      </c>
      <c r="Q30" s="24">
        <f t="shared" si="6"/>
        <v>0.0172937589122134</v>
      </c>
      <c r="R30" s="18">
        <f t="shared" si="7"/>
        <v>0.133818733333333</v>
      </c>
      <c r="S30" s="25">
        <f t="shared" si="8"/>
        <v>0.129232720123989</v>
      </c>
      <c r="T30" s="3">
        <v>0.01</v>
      </c>
      <c r="U30" s="26">
        <f t="shared" si="9"/>
        <v>0.00129232720123989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0.0231923272012399</v>
      </c>
      <c r="AR30" s="29">
        <f t="shared" si="15"/>
        <v>111.515611111111</v>
      </c>
      <c r="AS30" s="1">
        <f t="shared" si="16"/>
        <v>0.12</v>
      </c>
      <c r="AT30" s="2">
        <f t="shared" si="20"/>
        <v>15.0966666666667</v>
      </c>
      <c r="AU30" s="1">
        <f t="shared" si="17"/>
        <v>31391.8646280389</v>
      </c>
    </row>
    <row r="31" s="1" customFormat="1" spans="1:47">
      <c r="A31" s="13"/>
      <c r="B31" s="13"/>
      <c r="C31" s="16">
        <v>4</v>
      </c>
      <c r="D31" s="19">
        <v>12.8313018363333</v>
      </c>
      <c r="E31" s="20">
        <f t="shared" si="18"/>
        <v>4.91366883912903</v>
      </c>
      <c r="F31" s="16" t="s">
        <v>110</v>
      </c>
      <c r="G31" s="13">
        <v>5</v>
      </c>
      <c r="H31" s="18">
        <f t="shared" si="0"/>
        <v>12.8313018363333</v>
      </c>
      <c r="I31" s="18">
        <f t="shared" si="1"/>
        <v>285.981301836333</v>
      </c>
      <c r="J31" s="18">
        <f t="shared" si="2"/>
        <v>0.0862586247960784</v>
      </c>
      <c r="K31" s="18">
        <f t="shared" si="3"/>
        <v>111.515611111111</v>
      </c>
      <c r="L31" s="18">
        <f t="shared" si="4"/>
        <v>1.11515611111111</v>
      </c>
      <c r="M31" s="13" t="s">
        <v>112</v>
      </c>
      <c r="N31" s="18">
        <f>(O30-P30)*C22/100</f>
        <v>4.04774673597854</v>
      </c>
      <c r="O31" s="18">
        <f t="shared" si="19"/>
        <v>1.32819541300472</v>
      </c>
      <c r="P31" s="18">
        <f t="shared" si="5"/>
        <v>0.114568309786246</v>
      </c>
      <c r="Q31" s="24">
        <f t="shared" si="6"/>
        <v>0.0137481971743496</v>
      </c>
      <c r="R31" s="18">
        <f t="shared" si="7"/>
        <v>0.133818733333333</v>
      </c>
      <c r="S31" s="25">
        <f t="shared" si="8"/>
        <v>0.102737463073303</v>
      </c>
      <c r="T31" s="3">
        <v>0.01</v>
      </c>
      <c r="U31" s="26">
        <f t="shared" si="9"/>
        <v>0.00102737463073303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0.030477374630733</v>
      </c>
      <c r="AR31" s="29">
        <f t="shared" si="15"/>
        <v>111.515611111111</v>
      </c>
      <c r="AS31" s="1">
        <f t="shared" si="16"/>
        <v>0.12</v>
      </c>
      <c r="AT31" s="2">
        <f t="shared" si="20"/>
        <v>15.0966666666667</v>
      </c>
      <c r="AU31" s="1">
        <f t="shared" si="17"/>
        <v>41252.5060691128</v>
      </c>
    </row>
    <row r="32" s="1" customFormat="1" spans="1:47">
      <c r="A32" s="13"/>
      <c r="B32" s="13"/>
      <c r="C32" s="16">
        <v>5</v>
      </c>
      <c r="D32" s="19">
        <v>15.0777302204839</v>
      </c>
      <c r="E32" s="20">
        <f t="shared" si="18"/>
        <v>12.8313018363333</v>
      </c>
      <c r="F32" s="16" t="s">
        <v>112</v>
      </c>
      <c r="G32" s="13">
        <v>6</v>
      </c>
      <c r="H32" s="18">
        <f t="shared" si="0"/>
        <v>15.0777302204839</v>
      </c>
      <c r="I32" s="18">
        <f t="shared" si="1"/>
        <v>288.227730220484</v>
      </c>
      <c r="J32" s="18">
        <f t="shared" si="2"/>
        <v>0.112472610851773</v>
      </c>
      <c r="K32" s="18">
        <f t="shared" si="3"/>
        <v>111.515611111111</v>
      </c>
      <c r="L32" s="18">
        <f t="shared" si="4"/>
        <v>1.11515611111111</v>
      </c>
      <c r="M32" s="13" t="s">
        <v>110</v>
      </c>
      <c r="N32" s="13"/>
      <c r="O32" s="18">
        <f t="shared" si="19"/>
        <v>2.32878321432958</v>
      </c>
      <c r="P32" s="18">
        <f t="shared" si="5"/>
        <v>0.261924328223432</v>
      </c>
      <c r="Q32" s="24">
        <f t="shared" si="6"/>
        <v>0.0314309193868119</v>
      </c>
      <c r="R32" s="18">
        <f t="shared" si="7"/>
        <v>0.133818733333333</v>
      </c>
      <c r="S32" s="25">
        <f t="shared" si="8"/>
        <v>0.23487682631489</v>
      </c>
      <c r="T32" s="3">
        <v>0.01</v>
      </c>
      <c r="U32" s="26">
        <f t="shared" si="9"/>
        <v>0.0023487682631489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0.0317987682631489</v>
      </c>
      <c r="AR32" s="29">
        <f t="shared" si="15"/>
        <v>111.515611111111</v>
      </c>
      <c r="AS32" s="1">
        <f t="shared" si="16"/>
        <v>0.12</v>
      </c>
      <c r="AT32" s="2">
        <f t="shared" si="20"/>
        <v>15.0966666666667</v>
      </c>
      <c r="AU32" s="1">
        <f t="shared" si="17"/>
        <v>43041.0721612182</v>
      </c>
    </row>
    <row r="33" s="1" customFormat="1" spans="1:47">
      <c r="A33" s="13"/>
      <c r="B33" s="13"/>
      <c r="C33" s="16">
        <v>6</v>
      </c>
      <c r="D33" s="19">
        <v>20.9897835623333</v>
      </c>
      <c r="E33" s="20">
        <f t="shared" si="18"/>
        <v>15.0777302204839</v>
      </c>
      <c r="F33" s="16" t="s">
        <v>110</v>
      </c>
      <c r="G33" s="13">
        <v>7</v>
      </c>
      <c r="H33" s="18">
        <f t="shared" si="0"/>
        <v>20.9897835623333</v>
      </c>
      <c r="I33" s="18">
        <f t="shared" si="1"/>
        <v>294.139783562333</v>
      </c>
      <c r="J33" s="18">
        <f t="shared" si="2"/>
        <v>0.221783484093119</v>
      </c>
      <c r="K33" s="18">
        <f t="shared" si="3"/>
        <v>111.515611111111</v>
      </c>
      <c r="L33" s="18">
        <f t="shared" si="4"/>
        <v>1.11515611111111</v>
      </c>
      <c r="M33" s="13" t="s">
        <v>110</v>
      </c>
      <c r="N33" s="13"/>
      <c r="O33" s="18">
        <f t="shared" si="19"/>
        <v>3.18201499721726</v>
      </c>
      <c r="P33" s="18">
        <f t="shared" si="5"/>
        <v>0.705718372519401</v>
      </c>
      <c r="Q33" s="24">
        <f t="shared" si="6"/>
        <v>0.0846862047023281</v>
      </c>
      <c r="R33" s="18">
        <f t="shared" si="7"/>
        <v>0.133818733333333</v>
      </c>
      <c r="S33" s="25">
        <f t="shared" si="8"/>
        <v>0.632842671521786</v>
      </c>
      <c r="T33" s="3">
        <v>0.01</v>
      </c>
      <c r="U33" s="26">
        <f t="shared" si="9"/>
        <v>0.00632842671521786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0.0357784267152179</v>
      </c>
      <c r="AR33" s="29">
        <f t="shared" si="15"/>
        <v>111.515611111111</v>
      </c>
      <c r="AS33" s="1">
        <f t="shared" si="16"/>
        <v>0.12</v>
      </c>
      <c r="AT33" s="2">
        <f t="shared" si="20"/>
        <v>15.0966666666667</v>
      </c>
      <c r="AU33" s="1">
        <f t="shared" si="17"/>
        <v>48427.7200085503</v>
      </c>
    </row>
    <row r="34" s="1" customFormat="1" spans="1:47">
      <c r="A34" s="13"/>
      <c r="B34" s="13"/>
      <c r="C34" s="16">
        <v>7</v>
      </c>
      <c r="D34" s="19">
        <v>22.9923755835484</v>
      </c>
      <c r="E34" s="20">
        <f t="shared" si="18"/>
        <v>20.9897835623333</v>
      </c>
      <c r="F34" s="16" t="s">
        <v>110</v>
      </c>
      <c r="G34" s="13">
        <v>8</v>
      </c>
      <c r="H34" s="18">
        <f t="shared" si="0"/>
        <v>22.9923755835484</v>
      </c>
      <c r="I34" s="18">
        <f t="shared" si="1"/>
        <v>296.142375583548</v>
      </c>
      <c r="J34" s="18">
        <f t="shared" si="2"/>
        <v>0.277424818325858</v>
      </c>
      <c r="K34" s="18">
        <f t="shared" si="3"/>
        <v>111.515611111111</v>
      </c>
      <c r="L34" s="18">
        <f t="shared" si="4"/>
        <v>1.11515611111111</v>
      </c>
      <c r="M34" s="13" t="s">
        <v>110</v>
      </c>
      <c r="N34" s="13"/>
      <c r="O34" s="18">
        <f t="shared" si="19"/>
        <v>3.59145273580897</v>
      </c>
      <c r="P34" s="18">
        <f t="shared" si="5"/>
        <v>0.99635812275771</v>
      </c>
      <c r="Q34" s="24">
        <f t="shared" si="6"/>
        <v>0.119562974730925</v>
      </c>
      <c r="R34" s="18">
        <f t="shared" si="7"/>
        <v>0.133818733333333</v>
      </c>
      <c r="S34" s="25">
        <f t="shared" si="8"/>
        <v>0.893469634278348</v>
      </c>
      <c r="T34" s="3">
        <v>0.01</v>
      </c>
      <c r="U34" s="26">
        <f t="shared" si="9"/>
        <v>0.00893469634278348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0.0383846963427835</v>
      </c>
      <c r="AR34" s="29">
        <f t="shared" si="15"/>
        <v>111.515611111111</v>
      </c>
      <c r="AS34" s="1">
        <f t="shared" si="16"/>
        <v>0.12</v>
      </c>
      <c r="AT34" s="2">
        <f t="shared" si="20"/>
        <v>15.0966666666667</v>
      </c>
      <c r="AU34" s="1">
        <f t="shared" si="17"/>
        <v>51955.4239178128</v>
      </c>
    </row>
    <row r="35" s="1" customFormat="1" spans="1:47">
      <c r="A35" s="13"/>
      <c r="B35" s="13"/>
      <c r="C35" s="16">
        <v>8</v>
      </c>
      <c r="D35" s="19">
        <v>22.5017375074194</v>
      </c>
      <c r="E35" s="20">
        <f t="shared" si="18"/>
        <v>22.9923755835484</v>
      </c>
      <c r="F35" s="16" t="s">
        <v>110</v>
      </c>
      <c r="G35" s="13">
        <v>9</v>
      </c>
      <c r="H35" s="18">
        <f t="shared" si="0"/>
        <v>22.5017375074194</v>
      </c>
      <c r="I35" s="18">
        <f t="shared" si="1"/>
        <v>295.651737507419</v>
      </c>
      <c r="J35" s="18">
        <f t="shared" si="2"/>
        <v>0.262693315322674</v>
      </c>
      <c r="K35" s="18">
        <f t="shared" si="3"/>
        <v>111.515611111111</v>
      </c>
      <c r="L35" s="18">
        <f t="shared" si="4"/>
        <v>1.11515611111111</v>
      </c>
      <c r="M35" s="13" t="s">
        <v>110</v>
      </c>
      <c r="N35" s="13"/>
      <c r="O35" s="18">
        <f t="shared" si="19"/>
        <v>3.71025072416237</v>
      </c>
      <c r="P35" s="18">
        <f t="shared" si="5"/>
        <v>0.974658063408566</v>
      </c>
      <c r="Q35" s="24">
        <f t="shared" si="6"/>
        <v>0.116958967609028</v>
      </c>
      <c r="R35" s="18">
        <f t="shared" si="7"/>
        <v>0.133818733333333</v>
      </c>
      <c r="S35" s="25">
        <f t="shared" si="8"/>
        <v>0.874010422125959</v>
      </c>
      <c r="T35" s="3">
        <v>0.01</v>
      </c>
      <c r="U35" s="26">
        <f t="shared" si="9"/>
        <v>0.00874010422125959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0.0381901042212596</v>
      </c>
      <c r="AR35" s="29">
        <f t="shared" si="15"/>
        <v>111.515611111111</v>
      </c>
      <c r="AS35" s="1">
        <f t="shared" si="16"/>
        <v>0.12</v>
      </c>
      <c r="AT35" s="2">
        <f t="shared" si="20"/>
        <v>15.0966666666667</v>
      </c>
      <c r="AU35" s="1">
        <f t="shared" si="17"/>
        <v>51692.0346734495</v>
      </c>
    </row>
    <row r="36" s="1" customFormat="1" spans="1:47">
      <c r="A36" s="13"/>
      <c r="B36" s="13"/>
      <c r="C36" s="16">
        <v>9</v>
      </c>
      <c r="D36" s="19">
        <v>16.7248684407333</v>
      </c>
      <c r="E36" s="20">
        <f t="shared" si="18"/>
        <v>22.5017375074194</v>
      </c>
      <c r="F36" s="16" t="s">
        <v>110</v>
      </c>
      <c r="G36" s="13">
        <v>10</v>
      </c>
      <c r="H36" s="18">
        <f t="shared" si="0"/>
        <v>16.7248684407333</v>
      </c>
      <c r="I36" s="18">
        <f t="shared" si="1"/>
        <v>289.874868440733</v>
      </c>
      <c r="J36" s="18">
        <f t="shared" si="2"/>
        <v>0.13627361733626</v>
      </c>
      <c r="K36" s="18">
        <f t="shared" si="3"/>
        <v>111.515611111111</v>
      </c>
      <c r="L36" s="18">
        <f t="shared" si="4"/>
        <v>1.11515611111111</v>
      </c>
      <c r="M36" s="13" t="s">
        <v>110</v>
      </c>
      <c r="N36" s="13"/>
      <c r="O36" s="18">
        <f t="shared" si="19"/>
        <v>3.85074877186492</v>
      </c>
      <c r="P36" s="18">
        <f t="shared" si="5"/>
        <v>0.524755464595193</v>
      </c>
      <c r="Q36" s="24">
        <f t="shared" si="6"/>
        <v>0.0629706557514232</v>
      </c>
      <c r="R36" s="18">
        <f t="shared" si="7"/>
        <v>0.133818733333333</v>
      </c>
      <c r="S36" s="25">
        <f t="shared" si="8"/>
        <v>0.470566819628815</v>
      </c>
      <c r="T36" s="3">
        <v>0.01</v>
      </c>
      <c r="U36" s="26">
        <f t="shared" si="9"/>
        <v>0.00470566819628815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0.0266056681962882</v>
      </c>
      <c r="AR36" s="29">
        <f t="shared" si="15"/>
        <v>111.515611111111</v>
      </c>
      <c r="AS36" s="1">
        <f t="shared" si="16"/>
        <v>0.12</v>
      </c>
      <c r="AT36" s="2">
        <f t="shared" si="20"/>
        <v>15.0966666666667</v>
      </c>
      <c r="AU36" s="1">
        <f t="shared" si="17"/>
        <v>36011.976163899</v>
      </c>
    </row>
    <row r="37" s="1" customFormat="1" spans="1:47">
      <c r="A37" s="13"/>
      <c r="B37" s="13"/>
      <c r="C37" s="16">
        <v>10</v>
      </c>
      <c r="D37" s="19">
        <v>9.78529879480645</v>
      </c>
      <c r="E37" s="20">
        <f t="shared" si="18"/>
        <v>16.7248684407333</v>
      </c>
      <c r="F37" s="16" t="s">
        <v>110</v>
      </c>
      <c r="G37" s="13">
        <v>11</v>
      </c>
      <c r="H37" s="18">
        <f t="shared" si="0"/>
        <v>9.78529879480645</v>
      </c>
      <c r="I37" s="18">
        <f t="shared" si="1"/>
        <v>282.935298794806</v>
      </c>
      <c r="J37" s="18">
        <f t="shared" si="2"/>
        <v>0.0597883060557732</v>
      </c>
      <c r="K37" s="18">
        <f t="shared" si="3"/>
        <v>111.515611111111</v>
      </c>
      <c r="L37" s="18">
        <f t="shared" si="4"/>
        <v>1.11515611111111</v>
      </c>
      <c r="M37" s="13" t="s">
        <v>112</v>
      </c>
      <c r="N37" s="18">
        <f>(O36-P36)*C22/100</f>
        <v>3.15969364190624</v>
      </c>
      <c r="O37" s="18">
        <f t="shared" si="19"/>
        <v>1.2814557764746</v>
      </c>
      <c r="P37" s="18">
        <f t="shared" si="5"/>
        <v>0.0766160701608017</v>
      </c>
      <c r="Q37" s="24">
        <f t="shared" si="6"/>
        <v>0.0091939284192962</v>
      </c>
      <c r="R37" s="18">
        <f t="shared" si="7"/>
        <v>0.133818733333333</v>
      </c>
      <c r="S37" s="25">
        <f t="shared" si="8"/>
        <v>0.0687043449768334</v>
      </c>
      <c r="T37" s="3">
        <v>0.01</v>
      </c>
      <c r="U37" s="26">
        <f t="shared" si="9"/>
        <v>0.000687043449768333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0.0225870434497683</v>
      </c>
      <c r="AR37" s="29">
        <f t="shared" si="15"/>
        <v>111.515611111111</v>
      </c>
      <c r="AS37" s="1">
        <f t="shared" si="16"/>
        <v>0.12</v>
      </c>
      <c r="AT37" s="2">
        <f t="shared" si="20"/>
        <v>15.0966666666667</v>
      </c>
      <c r="AU37" s="1">
        <f t="shared" si="17"/>
        <v>30572.5856732848</v>
      </c>
    </row>
    <row r="38" s="1" customFormat="1" spans="1:48">
      <c r="A38" s="13"/>
      <c r="B38" s="13"/>
      <c r="C38" s="16">
        <v>11</v>
      </c>
      <c r="D38" s="19">
        <v>2.45519124266667</v>
      </c>
      <c r="E38" s="20">
        <f t="shared" si="18"/>
        <v>9.78529879480645</v>
      </c>
      <c r="F38" s="16" t="s">
        <v>112</v>
      </c>
      <c r="G38" s="13">
        <v>12</v>
      </c>
      <c r="H38" s="18">
        <f t="shared" si="0"/>
        <v>2.45519124266667</v>
      </c>
      <c r="I38" s="18">
        <f t="shared" si="1"/>
        <v>275.605191242667</v>
      </c>
      <c r="J38" s="18">
        <f t="shared" si="2"/>
        <v>0.023939627091309</v>
      </c>
      <c r="K38" s="18">
        <f t="shared" si="3"/>
        <v>111.515611111111</v>
      </c>
      <c r="L38" s="18">
        <f t="shared" si="4"/>
        <v>1.11515611111111</v>
      </c>
      <c r="M38" s="13" t="s">
        <v>110</v>
      </c>
      <c r="N38" s="13"/>
      <c r="O38" s="18">
        <f t="shared" si="19"/>
        <v>2.31999581742491</v>
      </c>
      <c r="P38" s="18">
        <f t="shared" si="5"/>
        <v>0.0555398347225489</v>
      </c>
      <c r="Q38" s="24">
        <f t="shared" si="6"/>
        <v>0.00666478016670586</v>
      </c>
      <c r="R38" s="18">
        <f t="shared" si="7"/>
        <v>0.133818733333333</v>
      </c>
      <c r="S38" s="25">
        <f t="shared" si="8"/>
        <v>0.0498045378303227</v>
      </c>
      <c r="T38" s="3">
        <v>0.01</v>
      </c>
      <c r="U38" s="26">
        <f t="shared" si="9"/>
        <v>0.000498045378303227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0.0223980453783032</v>
      </c>
      <c r="AR38" s="29">
        <f t="shared" si="15"/>
        <v>111.515611111111</v>
      </c>
      <c r="AS38" s="1">
        <f t="shared" si="16"/>
        <v>0.12</v>
      </c>
      <c r="AT38" s="2">
        <f t="shared" si="20"/>
        <v>15.0966666666667</v>
      </c>
      <c r="AU38" s="1">
        <f t="shared" si="17"/>
        <v>30316.7682288812</v>
      </c>
      <c r="AV38" s="1">
        <f>SUM(AU27:AU38)</f>
        <v>454266.23458512</v>
      </c>
    </row>
    <row r="39" s="1" customFormat="1" spans="1:46">
      <c r="A39" s="13"/>
      <c r="B39" s="13"/>
      <c r="C39" s="16">
        <v>12</v>
      </c>
      <c r="D39" s="19">
        <v>-1.68156157680645</v>
      </c>
      <c r="E39" s="20">
        <f t="shared" si="18"/>
        <v>2.45519124266667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-5</v>
      </c>
      <c r="E42" s="16"/>
      <c r="F42" s="16"/>
      <c r="G42" s="13">
        <v>1</v>
      </c>
      <c r="H42" s="18">
        <f t="shared" ref="H42:H53" si="21">E43</f>
        <v>-5</v>
      </c>
      <c r="I42" s="18">
        <f t="shared" ref="I42:I53" si="22">H42+273.15</f>
        <v>268.15</v>
      </c>
      <c r="J42" s="18">
        <f t="shared" ref="J42:J53" si="23">EXP(($C$16*(I42-$C$14))/($C$17*I42*$C$14))</f>
        <v>0.00896487173486583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0.000691111300448864</v>
      </c>
      <c r="Q42" s="24">
        <f t="shared" ref="Q42:Q53" si="27">P42*$B$44</f>
        <v>0.000110577808071818</v>
      </c>
      <c r="R42" s="18">
        <f t="shared" ref="R42:R53" si="28">L42*$B$44</f>
        <v>0.0123345666666667</v>
      </c>
      <c r="S42" s="25">
        <f t="shared" ref="S42:S53" si="29">Q42/R42</f>
        <v>0.00896487173486583</v>
      </c>
      <c r="T42" s="3">
        <v>0.01</v>
      </c>
      <c r="U42" s="26">
        <f t="shared" ref="U42:U53" si="30">S42*T42</f>
        <v>8.96487173486583e-5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0.0148896487173487</v>
      </c>
      <c r="AR42" s="29">
        <f t="shared" ref="AR42:AR53" si="34">$B$42/12</f>
        <v>7.70910416666667</v>
      </c>
      <c r="AS42" s="1">
        <f t="shared" ref="AS42:AS53" si="35">$B$44</f>
        <v>0.16</v>
      </c>
      <c r="AT42" s="2">
        <f t="shared" ref="AT42:AT53" si="36">$E$5/12</f>
        <v>70.1606324936826</v>
      </c>
      <c r="AU42" s="1">
        <f t="shared" ref="AU42:AU53" si="37">AT42*10000*AS42*0.67*AR42*AQ42</f>
        <v>8633.29630477566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-9.037743531</v>
      </c>
      <c r="E43" s="20">
        <f t="shared" ref="E43:E54" si="38">D42</f>
        <v>-5</v>
      </c>
      <c r="F43" s="16" t="s">
        <v>110</v>
      </c>
      <c r="G43" s="13">
        <v>2</v>
      </c>
      <c r="H43" s="18">
        <f t="shared" si="21"/>
        <v>-9.037743531</v>
      </c>
      <c r="I43" s="18">
        <f t="shared" si="22"/>
        <v>264.112256469</v>
      </c>
      <c r="J43" s="18">
        <f t="shared" si="23"/>
        <v>0.0051458583390294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0.153490972032884</v>
      </c>
      <c r="P43" s="18">
        <f t="shared" si="26"/>
        <v>0.000789842798401147</v>
      </c>
      <c r="Q43" s="24">
        <f t="shared" si="27"/>
        <v>0.000126374847744184</v>
      </c>
      <c r="R43" s="18">
        <f t="shared" si="28"/>
        <v>0.0123345666666667</v>
      </c>
      <c r="S43" s="25">
        <f t="shared" si="29"/>
        <v>0.0102455847180836</v>
      </c>
      <c r="T43" s="3">
        <v>0.01</v>
      </c>
      <c r="U43" s="26">
        <f t="shared" si="30"/>
        <v>0.000102455847180836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0.0149024558471808</v>
      </c>
      <c r="AR43" s="29">
        <f t="shared" si="34"/>
        <v>7.70910416666667</v>
      </c>
      <c r="AS43" s="1">
        <f t="shared" si="35"/>
        <v>0.16</v>
      </c>
      <c r="AT43" s="2">
        <f t="shared" si="36"/>
        <v>70.1606324936826</v>
      </c>
      <c r="AU43" s="1">
        <f t="shared" si="37"/>
        <v>8640.72211775176</v>
      </c>
    </row>
    <row r="44" s="1" customFormat="1" spans="1:47">
      <c r="A44" s="13" t="s">
        <v>73</v>
      </c>
      <c r="B44" s="13">
        <f>I5</f>
        <v>0.16</v>
      </c>
      <c r="C44" s="16">
        <v>2</v>
      </c>
      <c r="D44" s="19">
        <v>-3.95705749586207</v>
      </c>
      <c r="E44" s="20">
        <f t="shared" si="38"/>
        <v>-9.037743531</v>
      </c>
      <c r="F44" s="16" t="s">
        <v>110</v>
      </c>
      <c r="G44" s="13">
        <v>3</v>
      </c>
      <c r="H44" s="18">
        <f t="shared" si="21"/>
        <v>-3.95705749586207</v>
      </c>
      <c r="I44" s="18">
        <f t="shared" si="22"/>
        <v>269.192942504138</v>
      </c>
      <c r="J44" s="18">
        <f t="shared" si="23"/>
        <v>0.0103190793415967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0.22979217090115</v>
      </c>
      <c r="P44" s="18">
        <f t="shared" si="26"/>
        <v>0.00237124364360672</v>
      </c>
      <c r="Q44" s="24">
        <f t="shared" si="27"/>
        <v>0.000379398982977074</v>
      </c>
      <c r="R44" s="18">
        <f t="shared" si="28"/>
        <v>0.0123345666666667</v>
      </c>
      <c r="S44" s="25">
        <f t="shared" si="29"/>
        <v>0.0307590038004638</v>
      </c>
      <c r="T44" s="3">
        <v>0.01</v>
      </c>
      <c r="U44" s="26">
        <f t="shared" si="30"/>
        <v>0.000307590038004638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0.0151075900380046</v>
      </c>
      <c r="AR44" s="29">
        <f t="shared" si="34"/>
        <v>7.70910416666667</v>
      </c>
      <c r="AS44" s="1">
        <f t="shared" si="35"/>
        <v>0.16</v>
      </c>
      <c r="AT44" s="2">
        <f t="shared" si="36"/>
        <v>70.1606324936826</v>
      </c>
      <c r="AU44" s="1">
        <f t="shared" si="37"/>
        <v>8759.66275129128</v>
      </c>
    </row>
    <row r="45" s="1" customFormat="1" spans="1:47">
      <c r="A45" s="13"/>
      <c r="B45" s="13"/>
      <c r="C45" s="16">
        <v>3</v>
      </c>
      <c r="D45" s="19">
        <v>4.91366883912903</v>
      </c>
      <c r="E45" s="20">
        <f t="shared" si="38"/>
        <v>-3.95705749586207</v>
      </c>
      <c r="F45" s="16" t="s">
        <v>110</v>
      </c>
      <c r="G45" s="13">
        <v>4</v>
      </c>
      <c r="H45" s="18">
        <f t="shared" si="21"/>
        <v>4.91366883912903</v>
      </c>
      <c r="I45" s="18">
        <f t="shared" si="22"/>
        <v>278.063668839129</v>
      </c>
      <c r="J45" s="18">
        <f t="shared" si="23"/>
        <v>0.0327168913818778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0.30451196892421</v>
      </c>
      <c r="P45" s="18">
        <f t="shared" si="26"/>
        <v>0.00996268501177513</v>
      </c>
      <c r="Q45" s="24">
        <f t="shared" si="27"/>
        <v>0.00159402960188402</v>
      </c>
      <c r="R45" s="18">
        <f t="shared" si="28"/>
        <v>0.0123345666666667</v>
      </c>
      <c r="S45" s="25">
        <f t="shared" si="29"/>
        <v>0.129232720123989</v>
      </c>
      <c r="T45" s="3">
        <v>0.01</v>
      </c>
      <c r="U45" s="26">
        <f t="shared" si="30"/>
        <v>0.00129232720123989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0.0160923272012399</v>
      </c>
      <c r="AR45" s="29">
        <f t="shared" si="34"/>
        <v>7.70910416666667</v>
      </c>
      <c r="AS45" s="1">
        <f t="shared" si="35"/>
        <v>0.16</v>
      </c>
      <c r="AT45" s="2">
        <f t="shared" si="36"/>
        <v>70.1606324936826</v>
      </c>
      <c r="AU45" s="1">
        <f t="shared" si="37"/>
        <v>9330.6317428316</v>
      </c>
    </row>
    <row r="46" s="1" customFormat="1" spans="1:47">
      <c r="A46" s="13"/>
      <c r="B46" s="13"/>
      <c r="C46" s="16">
        <v>4</v>
      </c>
      <c r="D46" s="19">
        <v>12.8313018363333</v>
      </c>
      <c r="E46" s="20">
        <f t="shared" si="38"/>
        <v>4.91366883912903</v>
      </c>
      <c r="F46" s="16" t="s">
        <v>110</v>
      </c>
      <c r="G46" s="13">
        <v>5</v>
      </c>
      <c r="H46" s="18">
        <f t="shared" si="21"/>
        <v>12.8313018363333</v>
      </c>
      <c r="I46" s="18">
        <f t="shared" si="22"/>
        <v>285.981301836333</v>
      </c>
      <c r="J46" s="18">
        <f t="shared" si="23"/>
        <v>0.0862586247960784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0.279821819716813</v>
      </c>
      <c r="O46" s="18">
        <f t="shared" si="39"/>
        <v>0.0918185058622884</v>
      </c>
      <c r="P46" s="18">
        <f t="shared" si="26"/>
        <v>0.00792013804651166</v>
      </c>
      <c r="Q46" s="24">
        <f t="shared" si="27"/>
        <v>0.00126722208744187</v>
      </c>
      <c r="R46" s="18">
        <f t="shared" si="28"/>
        <v>0.0123345666666667</v>
      </c>
      <c r="S46" s="25">
        <f t="shared" si="29"/>
        <v>0.102737463073303</v>
      </c>
      <c r="T46" s="3">
        <v>0.01</v>
      </c>
      <c r="U46" s="26">
        <f t="shared" si="30"/>
        <v>0.00102737463073303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0.028127374630733</v>
      </c>
      <c r="AR46" s="29">
        <f t="shared" si="34"/>
        <v>7.70910416666667</v>
      </c>
      <c r="AS46" s="1">
        <f t="shared" si="35"/>
        <v>0.16</v>
      </c>
      <c r="AT46" s="2">
        <f t="shared" si="36"/>
        <v>70.1606324936826</v>
      </c>
      <c r="AU46" s="1">
        <f t="shared" si="37"/>
        <v>16308.776927666</v>
      </c>
    </row>
    <row r="47" s="1" customFormat="1" spans="1:47">
      <c r="A47" s="13"/>
      <c r="B47" s="13"/>
      <c r="C47" s="16">
        <v>5</v>
      </c>
      <c r="D47" s="19">
        <v>15.0777302204839</v>
      </c>
      <c r="E47" s="20">
        <f t="shared" si="38"/>
        <v>12.8313018363333</v>
      </c>
      <c r="F47" s="16" t="s">
        <v>112</v>
      </c>
      <c r="G47" s="13">
        <v>6</v>
      </c>
      <c r="H47" s="18">
        <f t="shared" si="21"/>
        <v>15.0777302204839</v>
      </c>
      <c r="I47" s="18">
        <f t="shared" si="22"/>
        <v>288.227730220484</v>
      </c>
      <c r="J47" s="18">
        <f t="shared" si="23"/>
        <v>0.112472610851773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0.160989409482443</v>
      </c>
      <c r="P47" s="18">
        <f t="shared" si="26"/>
        <v>0.0181068992039756</v>
      </c>
      <c r="Q47" s="24">
        <f t="shared" si="27"/>
        <v>0.00289710387263609</v>
      </c>
      <c r="R47" s="18">
        <f t="shared" si="28"/>
        <v>0.0123345666666667</v>
      </c>
      <c r="S47" s="25">
        <f t="shared" si="29"/>
        <v>0.23487682631489</v>
      </c>
      <c r="T47" s="3">
        <v>0.01</v>
      </c>
      <c r="U47" s="26">
        <f t="shared" si="30"/>
        <v>0.0023487682631489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0.0294487682631489</v>
      </c>
      <c r="AR47" s="29">
        <f t="shared" si="34"/>
        <v>7.70910416666667</v>
      </c>
      <c r="AS47" s="1">
        <f t="shared" si="35"/>
        <v>0.16</v>
      </c>
      <c r="AT47" s="2">
        <f t="shared" si="36"/>
        <v>70.1606324936826</v>
      </c>
      <c r="AU47" s="1">
        <f t="shared" si="37"/>
        <v>17074.9456251584</v>
      </c>
    </row>
    <row r="48" s="1" customFormat="1" spans="1:47">
      <c r="A48" s="13"/>
      <c r="B48" s="13"/>
      <c r="C48" s="16">
        <v>6</v>
      </c>
      <c r="D48" s="19">
        <v>20.9897835623333</v>
      </c>
      <c r="E48" s="20">
        <f t="shared" si="38"/>
        <v>15.0777302204839</v>
      </c>
      <c r="F48" s="16" t="s">
        <v>110</v>
      </c>
      <c r="G48" s="13">
        <v>7</v>
      </c>
      <c r="H48" s="18">
        <f t="shared" si="21"/>
        <v>20.9897835623333</v>
      </c>
      <c r="I48" s="18">
        <f t="shared" si="22"/>
        <v>294.139783562333</v>
      </c>
      <c r="J48" s="18">
        <f t="shared" si="23"/>
        <v>0.221783484093119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0.219973551945134</v>
      </c>
      <c r="P48" s="18">
        <f t="shared" si="26"/>
        <v>0.0487865007587306</v>
      </c>
      <c r="Q48" s="24">
        <f t="shared" si="27"/>
        <v>0.0078058401213969</v>
      </c>
      <c r="R48" s="18">
        <f t="shared" si="28"/>
        <v>0.0123345666666667</v>
      </c>
      <c r="S48" s="25">
        <f t="shared" si="29"/>
        <v>0.632842671521786</v>
      </c>
      <c r="T48" s="3">
        <v>0.01</v>
      </c>
      <c r="U48" s="26">
        <f t="shared" si="30"/>
        <v>0.00632842671521786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0.0334284267152179</v>
      </c>
      <c r="AR48" s="29">
        <f t="shared" si="34"/>
        <v>7.70910416666667</v>
      </c>
      <c r="AS48" s="1">
        <f t="shared" si="35"/>
        <v>0.16</v>
      </c>
      <c r="AT48" s="2">
        <f t="shared" si="36"/>
        <v>70.1606324936826</v>
      </c>
      <c r="AU48" s="1">
        <f t="shared" si="37"/>
        <v>19382.4258928752</v>
      </c>
    </row>
    <row r="49" s="1" customFormat="1" spans="1:47">
      <c r="A49" s="13"/>
      <c r="B49" s="13"/>
      <c r="C49" s="16">
        <v>7</v>
      </c>
      <c r="D49" s="19">
        <v>22.9923755835484</v>
      </c>
      <c r="E49" s="20">
        <f t="shared" si="38"/>
        <v>20.9897835623333</v>
      </c>
      <c r="F49" s="16" t="s">
        <v>110</v>
      </c>
      <c r="G49" s="13">
        <v>8</v>
      </c>
      <c r="H49" s="18">
        <f t="shared" si="21"/>
        <v>22.9923755835484</v>
      </c>
      <c r="I49" s="18">
        <f t="shared" si="22"/>
        <v>296.142375583548</v>
      </c>
      <c r="J49" s="18">
        <f t="shared" si="23"/>
        <v>0.277424818325858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0.248278092853071</v>
      </c>
      <c r="P49" s="18">
        <f t="shared" si="26"/>
        <v>0.0688785048040536</v>
      </c>
      <c r="Q49" s="24">
        <f t="shared" si="27"/>
        <v>0.0110205607686486</v>
      </c>
      <c r="R49" s="18">
        <f t="shared" si="28"/>
        <v>0.0123345666666667</v>
      </c>
      <c r="S49" s="25">
        <f t="shared" si="29"/>
        <v>0.893469634278349</v>
      </c>
      <c r="T49" s="3">
        <v>0.01</v>
      </c>
      <c r="U49" s="26">
        <f t="shared" si="30"/>
        <v>0.00893469634278349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0.0360346963427835</v>
      </c>
      <c r="AR49" s="29">
        <f t="shared" si="34"/>
        <v>7.70910416666667</v>
      </c>
      <c r="AS49" s="1">
        <f t="shared" si="35"/>
        <v>0.16</v>
      </c>
      <c r="AT49" s="2">
        <f t="shared" si="36"/>
        <v>70.1606324936826</v>
      </c>
      <c r="AU49" s="1">
        <f t="shared" si="37"/>
        <v>20893.5896800164</v>
      </c>
    </row>
    <row r="50" s="1" customFormat="1" spans="1:47">
      <c r="A50" s="13"/>
      <c r="B50" s="13"/>
      <c r="C50" s="16">
        <v>8</v>
      </c>
      <c r="D50" s="19">
        <v>22.5017375074194</v>
      </c>
      <c r="E50" s="20">
        <f t="shared" si="38"/>
        <v>22.9923755835484</v>
      </c>
      <c r="F50" s="16" t="s">
        <v>110</v>
      </c>
      <c r="G50" s="13">
        <v>9</v>
      </c>
      <c r="H50" s="18">
        <f t="shared" si="21"/>
        <v>22.5017375074194</v>
      </c>
      <c r="I50" s="18">
        <f t="shared" si="22"/>
        <v>295.651737507419</v>
      </c>
      <c r="J50" s="18">
        <f t="shared" si="23"/>
        <v>0.262693315322674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0.256490629715684</v>
      </c>
      <c r="P50" s="18">
        <f t="shared" si="26"/>
        <v>0.0673783738692133</v>
      </c>
      <c r="Q50" s="24">
        <f t="shared" si="27"/>
        <v>0.0107805398190741</v>
      </c>
      <c r="R50" s="18">
        <f t="shared" si="28"/>
        <v>0.0123345666666667</v>
      </c>
      <c r="S50" s="25">
        <f t="shared" si="29"/>
        <v>0.87401042212596</v>
      </c>
      <c r="T50" s="3">
        <v>0.01</v>
      </c>
      <c r="U50" s="26">
        <f t="shared" si="30"/>
        <v>0.0087401042212596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0.0358401042212596</v>
      </c>
      <c r="AR50" s="29">
        <f t="shared" si="34"/>
        <v>7.70910416666667</v>
      </c>
      <c r="AS50" s="1">
        <f t="shared" si="35"/>
        <v>0.16</v>
      </c>
      <c r="AT50" s="2">
        <f t="shared" si="36"/>
        <v>70.1606324936826</v>
      </c>
      <c r="AU50" s="1">
        <f t="shared" si="37"/>
        <v>20780.7615350694</v>
      </c>
    </row>
    <row r="51" s="1" customFormat="1" spans="1:47">
      <c r="A51" s="13"/>
      <c r="B51" s="13"/>
      <c r="C51" s="16">
        <v>9</v>
      </c>
      <c r="D51" s="19">
        <v>16.7248684407333</v>
      </c>
      <c r="E51" s="20">
        <f t="shared" si="38"/>
        <v>22.5017375074194</v>
      </c>
      <c r="F51" s="16" t="s">
        <v>110</v>
      </c>
      <c r="G51" s="13">
        <v>10</v>
      </c>
      <c r="H51" s="18">
        <f t="shared" si="21"/>
        <v>16.7248684407333</v>
      </c>
      <c r="I51" s="18">
        <f t="shared" si="22"/>
        <v>289.874868440733</v>
      </c>
      <c r="J51" s="18">
        <f t="shared" si="23"/>
        <v>0.13627361733626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0.266203297513137</v>
      </c>
      <c r="P51" s="18">
        <f t="shared" si="26"/>
        <v>0.0362764862989558</v>
      </c>
      <c r="Q51" s="24">
        <f t="shared" si="27"/>
        <v>0.00580423780783293</v>
      </c>
      <c r="R51" s="18">
        <f t="shared" si="28"/>
        <v>0.0123345666666667</v>
      </c>
      <c r="S51" s="25">
        <f t="shared" si="29"/>
        <v>0.470566819628815</v>
      </c>
      <c r="T51" s="3">
        <v>0.01</v>
      </c>
      <c r="U51" s="26">
        <f t="shared" si="30"/>
        <v>0.00470566819628815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0.0195056681962882</v>
      </c>
      <c r="AR51" s="29">
        <f t="shared" si="34"/>
        <v>7.70910416666667</v>
      </c>
      <c r="AS51" s="1">
        <f t="shared" si="35"/>
        <v>0.16</v>
      </c>
      <c r="AT51" s="2">
        <f t="shared" si="36"/>
        <v>70.1606324936826</v>
      </c>
      <c r="AU51" s="1">
        <f t="shared" si="37"/>
        <v>11309.75057625</v>
      </c>
    </row>
    <row r="52" s="1" customFormat="1" spans="1:47">
      <c r="A52" s="13"/>
      <c r="B52" s="13"/>
      <c r="C52" s="16">
        <v>10</v>
      </c>
      <c r="D52" s="19">
        <v>9.78529879480645</v>
      </c>
      <c r="E52" s="20">
        <f t="shared" si="38"/>
        <v>16.7248684407333</v>
      </c>
      <c r="F52" s="16" t="s">
        <v>110</v>
      </c>
      <c r="G52" s="13">
        <v>11</v>
      </c>
      <c r="H52" s="18">
        <f t="shared" si="21"/>
        <v>9.78529879480645</v>
      </c>
      <c r="I52" s="18">
        <f t="shared" si="22"/>
        <v>282.935298794806</v>
      </c>
      <c r="J52" s="18">
        <f t="shared" si="23"/>
        <v>0.0597883060557732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0.218430470653472</v>
      </c>
      <c r="O52" s="18">
        <f t="shared" si="39"/>
        <v>0.0885873822273758</v>
      </c>
      <c r="P52" s="18">
        <f t="shared" si="26"/>
        <v>0.00529648952129011</v>
      </c>
      <c r="Q52" s="24">
        <f t="shared" si="27"/>
        <v>0.000847438323406417</v>
      </c>
      <c r="R52" s="18">
        <f t="shared" si="28"/>
        <v>0.0123345666666667</v>
      </c>
      <c r="S52" s="25">
        <f t="shared" si="29"/>
        <v>0.0687043449768334</v>
      </c>
      <c r="T52" s="3">
        <v>0.01</v>
      </c>
      <c r="U52" s="26">
        <f t="shared" si="30"/>
        <v>0.000687043449768334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0.0154870434497683</v>
      </c>
      <c r="AR52" s="29">
        <f t="shared" si="34"/>
        <v>7.70910416666667</v>
      </c>
      <c r="AS52" s="1">
        <f t="shared" si="35"/>
        <v>0.16</v>
      </c>
      <c r="AT52" s="2">
        <f t="shared" si="36"/>
        <v>70.1606324936826</v>
      </c>
      <c r="AU52" s="1">
        <f t="shared" si="37"/>
        <v>8979.67692353948</v>
      </c>
    </row>
    <row r="53" s="1" customFormat="1" spans="1:48">
      <c r="A53" s="13"/>
      <c r="B53" s="13"/>
      <c r="C53" s="16">
        <v>11</v>
      </c>
      <c r="D53" s="19">
        <v>2.45519124266667</v>
      </c>
      <c r="E53" s="20">
        <f t="shared" si="38"/>
        <v>9.78529879480645</v>
      </c>
      <c r="F53" s="16" t="s">
        <v>112</v>
      </c>
      <c r="G53" s="13">
        <v>12</v>
      </c>
      <c r="H53" s="18">
        <f t="shared" si="21"/>
        <v>2.45519124266667</v>
      </c>
      <c r="I53" s="18">
        <f t="shared" si="22"/>
        <v>275.605191242667</v>
      </c>
      <c r="J53" s="18">
        <f t="shared" si="23"/>
        <v>0.023939627091309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0.160381934372752</v>
      </c>
      <c r="P53" s="18">
        <f t="shared" si="26"/>
        <v>0.00383948370106648</v>
      </c>
      <c r="Q53" s="24">
        <f t="shared" si="27"/>
        <v>0.000614317392170637</v>
      </c>
      <c r="R53" s="18">
        <f t="shared" si="28"/>
        <v>0.0123345666666667</v>
      </c>
      <c r="S53" s="25">
        <f t="shared" si="29"/>
        <v>0.0498045378303227</v>
      </c>
      <c r="T53" s="3">
        <v>0.01</v>
      </c>
      <c r="U53" s="26">
        <f t="shared" si="30"/>
        <v>0.000498045378303227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0.0152980453783032</v>
      </c>
      <c r="AR53" s="29">
        <f t="shared" si="34"/>
        <v>7.70910416666667</v>
      </c>
      <c r="AS53" s="1">
        <f t="shared" si="35"/>
        <v>0.16</v>
      </c>
      <c r="AT53" s="2">
        <f t="shared" si="36"/>
        <v>70.1606324936826</v>
      </c>
      <c r="AU53" s="1">
        <f t="shared" si="37"/>
        <v>8870.09231325326</v>
      </c>
      <c r="AV53" s="1">
        <f>SUM(AU42:AU53)</f>
        <v>158964.332390479</v>
      </c>
    </row>
    <row r="54" s="1" customFormat="1" spans="1:46">
      <c r="A54" s="13"/>
      <c r="B54" s="13"/>
      <c r="C54" s="16">
        <v>12</v>
      </c>
      <c r="D54" s="19">
        <v>-1.68156157680645</v>
      </c>
      <c r="E54" s="20">
        <f t="shared" si="38"/>
        <v>2.45519124266667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134.758</v>
      </c>
      <c r="C58" s="16" t="s">
        <v>109</v>
      </c>
      <c r="D58" s="17">
        <v>-5</v>
      </c>
      <c r="E58" s="16"/>
      <c r="F58" s="16"/>
      <c r="G58" s="13">
        <v>1</v>
      </c>
      <c r="H58" s="18">
        <f t="shared" ref="H58:H69" si="40">E59</f>
        <v>-5</v>
      </c>
      <c r="I58" s="18">
        <f t="shared" ref="I58:I69" si="41">H58+273.15</f>
        <v>268.15</v>
      </c>
      <c r="J58" s="18">
        <f t="shared" ref="J58:J69" si="42">EXP(($C$16*(I58-$C$14))/($C$17*I58*$C$14))</f>
        <v>0.00896487173486583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110</v>
      </c>
      <c r="N58" s="13"/>
      <c r="O58" s="18">
        <f>L58</f>
        <v>3.032055</v>
      </c>
      <c r="P58" s="18">
        <f t="shared" ref="P58:P69" si="45">O58*J58</f>
        <v>0.0271819841680586</v>
      </c>
      <c r="Q58" s="24">
        <f t="shared" ref="Q58:Q69" si="46">P58*$B$60</f>
        <v>0.007882775408737</v>
      </c>
      <c r="R58" s="18">
        <f t="shared" ref="R58:R69" si="47">L58*$B$60</f>
        <v>0.87929595</v>
      </c>
      <c r="S58" s="25">
        <f t="shared" ref="S58:S69" si="48">Q58/R58</f>
        <v>0.00896487173486583</v>
      </c>
      <c r="T58" s="3">
        <v>0.27</v>
      </c>
      <c r="U58" s="26">
        <f t="shared" ref="U58:U69" si="49">S58*T58</f>
        <v>0.00242051536841378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0.226870306136083</v>
      </c>
      <c r="AC58" s="29">
        <f t="shared" ref="AC58:AC69" si="51">$B$58/12</f>
        <v>11.2298333333333</v>
      </c>
      <c r="AD58" s="1">
        <f t="shared" ref="AD58:AD69" si="52">$B$60</f>
        <v>0.29</v>
      </c>
      <c r="AE58" s="30">
        <f t="shared" ref="AE58:AE69" si="53">$E$7/12</f>
        <v>12.2760273972603</v>
      </c>
      <c r="AF58" s="1">
        <f t="shared" ref="AF58:AF69" si="54">AE58*10000*AC58*AB58</f>
        <v>312758.280551456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-9.037743531</v>
      </c>
      <c r="E59" s="20">
        <f t="shared" ref="E59:E70" si="55">D58</f>
        <v>-5</v>
      </c>
      <c r="F59" s="16" t="s">
        <v>110</v>
      </c>
      <c r="G59" s="13">
        <v>2</v>
      </c>
      <c r="H59" s="18">
        <f t="shared" si="40"/>
        <v>-9.037743531</v>
      </c>
      <c r="I59" s="18">
        <f t="shared" si="41"/>
        <v>264.112256469</v>
      </c>
      <c r="J59" s="18">
        <f t="shared" si="42"/>
        <v>0.0051458583390294</v>
      </c>
      <c r="K59" s="18">
        <f t="shared" si="43"/>
        <v>11.2298333333333</v>
      </c>
      <c r="L59" s="18">
        <f t="shared" si="44"/>
        <v>3.032055</v>
      </c>
      <c r="M59" s="13" t="s">
        <v>110</v>
      </c>
      <c r="N59" s="13"/>
      <c r="O59" s="18">
        <f t="shared" ref="O59:O69" si="56">L59+O58-P58-N59</f>
        <v>6.03692801583194</v>
      </c>
      <c r="P59" s="18">
        <f t="shared" si="45"/>
        <v>0.031065176372389</v>
      </c>
      <c r="Q59" s="24">
        <f t="shared" si="46"/>
        <v>0.00900890114799281</v>
      </c>
      <c r="R59" s="18">
        <f t="shared" si="47"/>
        <v>0.87929595</v>
      </c>
      <c r="S59" s="25">
        <f t="shared" si="48"/>
        <v>0.0102455847180836</v>
      </c>
      <c r="T59" s="3">
        <v>0.27</v>
      </c>
      <c r="U59" s="26">
        <f t="shared" si="49"/>
        <v>0.00276630787388258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0.226937493619895</v>
      </c>
      <c r="AC59" s="29">
        <f t="shared" si="51"/>
        <v>11.2298333333333</v>
      </c>
      <c r="AD59" s="1">
        <f t="shared" si="52"/>
        <v>0.29</v>
      </c>
      <c r="AE59" s="30">
        <f t="shared" si="53"/>
        <v>12.2760273972603</v>
      </c>
      <c r="AF59" s="1">
        <f t="shared" si="54"/>
        <v>312850.903699323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-3.95705749586207</v>
      </c>
      <c r="E60" s="20">
        <f t="shared" si="55"/>
        <v>-9.037743531</v>
      </c>
      <c r="F60" s="16" t="s">
        <v>110</v>
      </c>
      <c r="G60" s="13">
        <v>3</v>
      </c>
      <c r="H60" s="18">
        <f t="shared" si="40"/>
        <v>-3.95705749586207</v>
      </c>
      <c r="I60" s="18">
        <f t="shared" si="41"/>
        <v>269.192942504138</v>
      </c>
      <c r="J60" s="18">
        <f t="shared" si="42"/>
        <v>0.0103190793415967</v>
      </c>
      <c r="K60" s="18">
        <f t="shared" si="43"/>
        <v>11.2298333333333</v>
      </c>
      <c r="L60" s="18">
        <f t="shared" si="44"/>
        <v>3.032055</v>
      </c>
      <c r="M60" s="13" t="s">
        <v>110</v>
      </c>
      <c r="N60" s="13"/>
      <c r="O60" s="18">
        <f t="shared" si="56"/>
        <v>9.03791783945955</v>
      </c>
      <c r="P60" s="18">
        <f t="shared" si="45"/>
        <v>0.0932629912682154</v>
      </c>
      <c r="Q60" s="24">
        <f t="shared" si="46"/>
        <v>0.0270462674677825</v>
      </c>
      <c r="R60" s="18">
        <f t="shared" si="47"/>
        <v>0.87929595</v>
      </c>
      <c r="S60" s="25">
        <f t="shared" si="48"/>
        <v>0.0307590038004638</v>
      </c>
      <c r="T60" s="3">
        <v>0.27</v>
      </c>
      <c r="U60" s="26">
        <f t="shared" si="49"/>
        <v>0.00830493102612523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0.228013648098376</v>
      </c>
      <c r="AC60" s="29">
        <f t="shared" si="51"/>
        <v>11.2298333333333</v>
      </c>
      <c r="AD60" s="1">
        <f t="shared" si="52"/>
        <v>0.29</v>
      </c>
      <c r="AE60" s="30">
        <f t="shared" si="53"/>
        <v>12.2760273972603</v>
      </c>
      <c r="AF60" s="1">
        <f t="shared" si="54"/>
        <v>314334.465960201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4.91366883912903</v>
      </c>
      <c r="E61" s="20">
        <f t="shared" si="55"/>
        <v>-3.95705749586207</v>
      </c>
      <c r="F61" s="16" t="s">
        <v>110</v>
      </c>
      <c r="G61" s="13">
        <v>4</v>
      </c>
      <c r="H61" s="18">
        <f t="shared" si="40"/>
        <v>4.91366883912903</v>
      </c>
      <c r="I61" s="18">
        <f t="shared" si="41"/>
        <v>278.063668839129</v>
      </c>
      <c r="J61" s="18">
        <f t="shared" si="42"/>
        <v>0.0327168913818778</v>
      </c>
      <c r="K61" s="18">
        <f t="shared" si="43"/>
        <v>11.2298333333333</v>
      </c>
      <c r="L61" s="18">
        <f t="shared" si="44"/>
        <v>3.032055</v>
      </c>
      <c r="M61" s="13" t="s">
        <v>110</v>
      </c>
      <c r="N61" s="13"/>
      <c r="O61" s="18">
        <f t="shared" si="56"/>
        <v>11.9767098481913</v>
      </c>
      <c r="P61" s="18">
        <f t="shared" si="45"/>
        <v>0.391840715215542</v>
      </c>
      <c r="Q61" s="24">
        <f t="shared" si="46"/>
        <v>0.113633807412507</v>
      </c>
      <c r="R61" s="18">
        <f t="shared" si="47"/>
        <v>0.87929595</v>
      </c>
      <c r="S61" s="25">
        <f t="shared" si="48"/>
        <v>0.129232720123989</v>
      </c>
      <c r="T61" s="3">
        <v>0.27</v>
      </c>
      <c r="U61" s="26">
        <f t="shared" si="49"/>
        <v>0.0348928344334771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0.233179677730425</v>
      </c>
      <c r="AC61" s="29">
        <f t="shared" si="51"/>
        <v>11.2298333333333</v>
      </c>
      <c r="AD61" s="1">
        <f t="shared" si="52"/>
        <v>0.29</v>
      </c>
      <c r="AE61" s="30">
        <f t="shared" si="53"/>
        <v>12.2760273972603</v>
      </c>
      <c r="AF61" s="1">
        <f t="shared" si="54"/>
        <v>321456.237744774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12.8313018363333</v>
      </c>
      <c r="E62" s="20">
        <f t="shared" si="55"/>
        <v>4.91366883912903</v>
      </c>
      <c r="F62" s="16" t="s">
        <v>110</v>
      </c>
      <c r="G62" s="13">
        <v>5</v>
      </c>
      <c r="H62" s="18">
        <f t="shared" si="40"/>
        <v>12.8313018363333</v>
      </c>
      <c r="I62" s="18">
        <f t="shared" si="41"/>
        <v>285.981301836333</v>
      </c>
      <c r="J62" s="18">
        <f t="shared" si="42"/>
        <v>0.0862586247960784</v>
      </c>
      <c r="K62" s="18">
        <f t="shared" si="43"/>
        <v>11.2298333333333</v>
      </c>
      <c r="L62" s="18">
        <f t="shared" si="44"/>
        <v>3.032055</v>
      </c>
      <c r="M62" s="13" t="s">
        <v>112</v>
      </c>
      <c r="N62" s="18">
        <f>(O61-P61)*$C$22/100</f>
        <v>11.005625676327</v>
      </c>
      <c r="O62" s="18">
        <f t="shared" si="56"/>
        <v>3.61129845664879</v>
      </c>
      <c r="P62" s="18">
        <f t="shared" si="45"/>
        <v>0.311505638598725</v>
      </c>
      <c r="Q62" s="24">
        <f t="shared" si="46"/>
        <v>0.0903366351936302</v>
      </c>
      <c r="R62" s="18">
        <f t="shared" si="47"/>
        <v>0.87929595</v>
      </c>
      <c r="S62" s="25">
        <f t="shared" si="48"/>
        <v>0.102737463073303</v>
      </c>
      <c r="T62" s="3">
        <v>0.27</v>
      </c>
      <c r="U62" s="26">
        <f t="shared" si="49"/>
        <v>0.0277391150297919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0.280589710050289</v>
      </c>
      <c r="AC62" s="29">
        <f t="shared" si="51"/>
        <v>11.2298333333333</v>
      </c>
      <c r="AD62" s="1">
        <f t="shared" si="52"/>
        <v>0.29</v>
      </c>
      <c r="AE62" s="30">
        <f t="shared" si="53"/>
        <v>12.2760273972603</v>
      </c>
      <c r="AF62" s="1">
        <f t="shared" si="54"/>
        <v>386814.637624375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15.0777302204839</v>
      </c>
      <c r="E63" s="20">
        <f t="shared" si="55"/>
        <v>12.8313018363333</v>
      </c>
      <c r="F63" s="16" t="s">
        <v>112</v>
      </c>
      <c r="G63" s="13">
        <v>6</v>
      </c>
      <c r="H63" s="18">
        <f t="shared" si="40"/>
        <v>15.0777302204839</v>
      </c>
      <c r="I63" s="18">
        <f t="shared" si="41"/>
        <v>288.227730220484</v>
      </c>
      <c r="J63" s="18">
        <f t="shared" si="42"/>
        <v>0.112472610851773</v>
      </c>
      <c r="K63" s="18">
        <f t="shared" si="43"/>
        <v>11.2298333333333</v>
      </c>
      <c r="L63" s="18">
        <f t="shared" si="44"/>
        <v>3.032055</v>
      </c>
      <c r="M63" s="13" t="s">
        <v>110</v>
      </c>
      <c r="N63" s="13"/>
      <c r="O63" s="18">
        <f t="shared" si="56"/>
        <v>6.33184781805006</v>
      </c>
      <c r="P63" s="18">
        <f t="shared" si="45"/>
        <v>0.712159455612193</v>
      </c>
      <c r="Q63" s="24">
        <f t="shared" si="46"/>
        <v>0.206526242127536</v>
      </c>
      <c r="R63" s="18">
        <f t="shared" si="47"/>
        <v>0.87929595</v>
      </c>
      <c r="S63" s="25">
        <f t="shared" si="48"/>
        <v>0.23487682631489</v>
      </c>
      <c r="T63" s="3">
        <v>0.27</v>
      </c>
      <c r="U63" s="26">
        <f t="shared" si="49"/>
        <v>0.0634167431050202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0.287521873185305</v>
      </c>
      <c r="AC63" s="29">
        <f t="shared" si="51"/>
        <v>11.2298333333333</v>
      </c>
      <c r="AD63" s="1">
        <f t="shared" si="52"/>
        <v>0.29</v>
      </c>
      <c r="AE63" s="30">
        <f t="shared" si="53"/>
        <v>12.2760273972603</v>
      </c>
      <c r="AF63" s="1">
        <f t="shared" si="54"/>
        <v>396371.161170958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20.9897835623333</v>
      </c>
      <c r="E64" s="20">
        <f t="shared" si="55"/>
        <v>15.0777302204839</v>
      </c>
      <c r="F64" s="16" t="s">
        <v>110</v>
      </c>
      <c r="G64" s="13">
        <v>7</v>
      </c>
      <c r="H64" s="18">
        <f t="shared" si="40"/>
        <v>20.9897835623333</v>
      </c>
      <c r="I64" s="18">
        <f t="shared" si="41"/>
        <v>294.139783562333</v>
      </c>
      <c r="J64" s="18">
        <f t="shared" si="42"/>
        <v>0.221783484093119</v>
      </c>
      <c r="K64" s="18">
        <f t="shared" si="43"/>
        <v>11.2298333333333</v>
      </c>
      <c r="L64" s="18">
        <f t="shared" si="44"/>
        <v>3.032055</v>
      </c>
      <c r="M64" s="13" t="s">
        <v>110</v>
      </c>
      <c r="N64" s="13"/>
      <c r="O64" s="18">
        <f t="shared" si="56"/>
        <v>8.65174336243787</v>
      </c>
      <c r="P64" s="18">
        <f t="shared" si="45"/>
        <v>1.91881378640099</v>
      </c>
      <c r="Q64" s="24">
        <f t="shared" si="46"/>
        <v>0.556455998056286</v>
      </c>
      <c r="R64" s="18">
        <f t="shared" si="47"/>
        <v>0.87929595</v>
      </c>
      <c r="S64" s="25">
        <f t="shared" si="48"/>
        <v>0.632842671521785</v>
      </c>
      <c r="T64" s="3">
        <v>0.27</v>
      </c>
      <c r="U64" s="26">
        <f t="shared" si="49"/>
        <v>0.170867521310882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0.308399559390704</v>
      </c>
      <c r="AC64" s="29">
        <f t="shared" si="51"/>
        <v>11.2298333333333</v>
      </c>
      <c r="AD64" s="1">
        <f t="shared" si="52"/>
        <v>0.29</v>
      </c>
      <c r="AE64" s="30">
        <f t="shared" si="53"/>
        <v>12.2760273972603</v>
      </c>
      <c r="AF64" s="1">
        <f t="shared" si="54"/>
        <v>425152.667885975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22.9923755835484</v>
      </c>
      <c r="E65" s="20">
        <f t="shared" si="55"/>
        <v>20.9897835623333</v>
      </c>
      <c r="F65" s="16" t="s">
        <v>110</v>
      </c>
      <c r="G65" s="13">
        <v>8</v>
      </c>
      <c r="H65" s="18">
        <f t="shared" si="40"/>
        <v>22.9923755835484</v>
      </c>
      <c r="I65" s="18">
        <f t="shared" si="41"/>
        <v>296.142375583548</v>
      </c>
      <c r="J65" s="18">
        <f t="shared" si="42"/>
        <v>0.277424818325858</v>
      </c>
      <c r="K65" s="18">
        <f t="shared" si="43"/>
        <v>11.2298333333333</v>
      </c>
      <c r="L65" s="18">
        <f t="shared" si="44"/>
        <v>3.032055</v>
      </c>
      <c r="M65" s="13" t="s">
        <v>110</v>
      </c>
      <c r="N65" s="13"/>
      <c r="O65" s="18">
        <f t="shared" si="56"/>
        <v>9.76498457603688</v>
      </c>
      <c r="P65" s="18">
        <f t="shared" si="45"/>
        <v>2.70904907196184</v>
      </c>
      <c r="Q65" s="24">
        <f t="shared" si="46"/>
        <v>0.785624230868933</v>
      </c>
      <c r="R65" s="18">
        <f t="shared" si="47"/>
        <v>0.87929595</v>
      </c>
      <c r="S65" s="25">
        <f t="shared" si="48"/>
        <v>0.893469634278348</v>
      </c>
      <c r="T65" s="3">
        <v>0.27</v>
      </c>
      <c r="U65" s="26">
        <f t="shared" si="49"/>
        <v>0.241236801255154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0.322072310483876</v>
      </c>
      <c r="AC65" s="29">
        <f t="shared" si="51"/>
        <v>11.2298333333333</v>
      </c>
      <c r="AD65" s="1">
        <f t="shared" si="52"/>
        <v>0.29</v>
      </c>
      <c r="AE65" s="30">
        <f t="shared" si="53"/>
        <v>12.2760273972603</v>
      </c>
      <c r="AF65" s="1">
        <f t="shared" si="54"/>
        <v>444001.613766726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22.5017375074194</v>
      </c>
      <c r="E66" s="20">
        <f t="shared" si="55"/>
        <v>22.9923755835484</v>
      </c>
      <c r="F66" s="16" t="s">
        <v>110</v>
      </c>
      <c r="G66" s="13">
        <v>9</v>
      </c>
      <c r="H66" s="18">
        <f t="shared" si="40"/>
        <v>22.5017375074194</v>
      </c>
      <c r="I66" s="18">
        <f t="shared" si="41"/>
        <v>295.651737507419</v>
      </c>
      <c r="J66" s="18">
        <f t="shared" si="42"/>
        <v>0.262693315322674</v>
      </c>
      <c r="K66" s="18">
        <f t="shared" si="43"/>
        <v>11.2298333333333</v>
      </c>
      <c r="L66" s="18">
        <f t="shared" si="44"/>
        <v>3.032055</v>
      </c>
      <c r="M66" s="13" t="s">
        <v>110</v>
      </c>
      <c r="N66" s="13"/>
      <c r="O66" s="18">
        <f t="shared" si="56"/>
        <v>10.087990504075</v>
      </c>
      <c r="P66" s="18">
        <f t="shared" si="45"/>
        <v>2.65004767045913</v>
      </c>
      <c r="Q66" s="24">
        <f t="shared" si="46"/>
        <v>0.768513824433147</v>
      </c>
      <c r="R66" s="18">
        <f t="shared" si="47"/>
        <v>0.87929595</v>
      </c>
      <c r="S66" s="25">
        <f t="shared" si="48"/>
        <v>0.874010422125959</v>
      </c>
      <c r="T66" s="3">
        <v>0.27</v>
      </c>
      <c r="U66" s="26">
        <f t="shared" si="49"/>
        <v>0.235982813974009</v>
      </c>
      <c r="V66" s="3">
        <v>180.9</v>
      </c>
      <c r="W66" s="27">
        <v>6</v>
      </c>
      <c r="X66" s="27">
        <v>3</v>
      </c>
      <c r="Y66" s="27">
        <v>0.3</v>
      </c>
      <c r="Z66" s="27">
        <v>6</v>
      </c>
      <c r="AA66" s="3">
        <v>30.2</v>
      </c>
      <c r="AB66" s="2">
        <f t="shared" si="50"/>
        <v>0.27225146075515</v>
      </c>
      <c r="AC66" s="29">
        <f t="shared" si="51"/>
        <v>11.2298333333333</v>
      </c>
      <c r="AD66" s="1">
        <f t="shared" si="52"/>
        <v>0.29</v>
      </c>
      <c r="AE66" s="30">
        <f t="shared" si="53"/>
        <v>12.2760273972603</v>
      </c>
      <c r="AF66" s="1">
        <f t="shared" si="54"/>
        <v>375319.71545156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16.7248684407333</v>
      </c>
      <c r="E67" s="20">
        <f t="shared" si="55"/>
        <v>22.5017375074194</v>
      </c>
      <c r="F67" s="16" t="s">
        <v>110</v>
      </c>
      <c r="G67" s="13">
        <v>10</v>
      </c>
      <c r="H67" s="18">
        <f t="shared" si="40"/>
        <v>16.7248684407333</v>
      </c>
      <c r="I67" s="18">
        <f t="shared" si="41"/>
        <v>289.874868440733</v>
      </c>
      <c r="J67" s="18">
        <f t="shared" si="42"/>
        <v>0.13627361733626</v>
      </c>
      <c r="K67" s="18">
        <f t="shared" si="43"/>
        <v>11.2298333333333</v>
      </c>
      <c r="L67" s="18">
        <f t="shared" si="44"/>
        <v>3.032055</v>
      </c>
      <c r="M67" s="13" t="s">
        <v>110</v>
      </c>
      <c r="N67" s="13"/>
      <c r="O67" s="18">
        <f t="shared" si="56"/>
        <v>10.4699978336159</v>
      </c>
      <c r="P67" s="18">
        <f t="shared" si="45"/>
        <v>1.42678447828965</v>
      </c>
      <c r="Q67" s="24">
        <f t="shared" si="46"/>
        <v>0.413767498703998</v>
      </c>
      <c r="R67" s="18">
        <f t="shared" si="47"/>
        <v>0.87929595</v>
      </c>
      <c r="S67" s="25">
        <f t="shared" si="48"/>
        <v>0.470566819628815</v>
      </c>
      <c r="T67" s="3">
        <v>0.27</v>
      </c>
      <c r="U67" s="26">
        <f t="shared" si="49"/>
        <v>0.12705304129978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0.251086405924547</v>
      </c>
      <c r="AC67" s="29">
        <f t="shared" si="51"/>
        <v>11.2298333333333</v>
      </c>
      <c r="AD67" s="1">
        <f t="shared" si="52"/>
        <v>0.29</v>
      </c>
      <c r="AE67" s="30">
        <f t="shared" si="53"/>
        <v>12.2760273972603</v>
      </c>
      <c r="AF67" s="1">
        <f t="shared" si="54"/>
        <v>346142.04883958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9.78529879480645</v>
      </c>
      <c r="E68" s="20">
        <f t="shared" si="55"/>
        <v>16.7248684407333</v>
      </c>
      <c r="F68" s="16" t="s">
        <v>110</v>
      </c>
      <c r="G68" s="13">
        <v>11</v>
      </c>
      <c r="H68" s="18">
        <f t="shared" si="40"/>
        <v>9.78529879480645</v>
      </c>
      <c r="I68" s="18">
        <f t="shared" si="41"/>
        <v>282.935298794806</v>
      </c>
      <c r="J68" s="18">
        <f t="shared" si="42"/>
        <v>0.0597883060557732</v>
      </c>
      <c r="K68" s="18">
        <f t="shared" si="43"/>
        <v>11.2298333333333</v>
      </c>
      <c r="L68" s="18">
        <f t="shared" si="44"/>
        <v>3.032055</v>
      </c>
      <c r="M68" s="13" t="s">
        <v>112</v>
      </c>
      <c r="N68" s="18">
        <f>(O67-P67)*$C$22/100</f>
        <v>8.59105268755996</v>
      </c>
      <c r="O68" s="18">
        <f t="shared" si="56"/>
        <v>3.48421566776631</v>
      </c>
      <c r="P68" s="18">
        <f t="shared" si="45"/>
        <v>0.208315352708733</v>
      </c>
      <c r="Q68" s="24">
        <f t="shared" si="46"/>
        <v>0.0604114522855324</v>
      </c>
      <c r="R68" s="18">
        <f t="shared" si="47"/>
        <v>0.87929595</v>
      </c>
      <c r="S68" s="25">
        <f t="shared" si="48"/>
        <v>0.0687043449768334</v>
      </c>
      <c r="T68" s="3">
        <v>0.27</v>
      </c>
      <c r="U68" s="26">
        <f t="shared" si="49"/>
        <v>0.018550173143745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0.23000429864183</v>
      </c>
      <c r="AC68" s="29">
        <f t="shared" si="51"/>
        <v>11.2298333333333</v>
      </c>
      <c r="AD68" s="1">
        <f t="shared" si="52"/>
        <v>0.29</v>
      </c>
      <c r="AE68" s="30">
        <f t="shared" si="53"/>
        <v>12.2760273972603</v>
      </c>
      <c r="AF68" s="1">
        <f t="shared" si="54"/>
        <v>317078.731843881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2.45519124266667</v>
      </c>
      <c r="E69" s="20">
        <f t="shared" si="55"/>
        <v>9.78529879480645</v>
      </c>
      <c r="F69" s="16" t="s">
        <v>112</v>
      </c>
      <c r="G69" s="13">
        <v>12</v>
      </c>
      <c r="H69" s="18">
        <f t="shared" si="40"/>
        <v>2.45519124266667</v>
      </c>
      <c r="I69" s="18">
        <f t="shared" si="41"/>
        <v>275.605191242667</v>
      </c>
      <c r="J69" s="18">
        <f t="shared" si="42"/>
        <v>0.023939627091309</v>
      </c>
      <c r="K69" s="18">
        <f t="shared" si="43"/>
        <v>11.2298333333333</v>
      </c>
      <c r="L69" s="18">
        <f t="shared" si="44"/>
        <v>3.032055</v>
      </c>
      <c r="M69" s="13" t="s">
        <v>110</v>
      </c>
      <c r="N69" s="13"/>
      <c r="O69" s="18">
        <f t="shared" si="56"/>
        <v>6.30795531505758</v>
      </c>
      <c r="P69" s="18">
        <f t="shared" si="45"/>
        <v>0.151010097951119</v>
      </c>
      <c r="Q69" s="24">
        <f t="shared" si="46"/>
        <v>0.0437929284058245</v>
      </c>
      <c r="R69" s="18">
        <f t="shared" si="47"/>
        <v>0.87929595</v>
      </c>
      <c r="S69" s="25">
        <f t="shared" si="48"/>
        <v>0.0498045378303227</v>
      </c>
      <c r="T69" s="3">
        <v>0.27</v>
      </c>
      <c r="U69" s="26">
        <f t="shared" si="49"/>
        <v>0.0134472252141871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0.229012795859117</v>
      </c>
      <c r="AC69" s="29">
        <f t="shared" si="51"/>
        <v>11.2298333333333</v>
      </c>
      <c r="AD69" s="1">
        <f t="shared" si="52"/>
        <v>0.29</v>
      </c>
      <c r="AE69" s="30">
        <f t="shared" si="53"/>
        <v>12.2760273972603</v>
      </c>
      <c r="AF69" s="1">
        <f t="shared" si="54"/>
        <v>315711.868499071</v>
      </c>
      <c r="AG69" s="1">
        <f>SUM(AF58:AF69)</f>
        <v>4267992.33303788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-1.68156157680645</v>
      </c>
      <c r="E70" s="20">
        <f t="shared" si="55"/>
        <v>2.45519124266667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-5</v>
      </c>
      <c r="E74" s="16"/>
      <c r="F74" s="16"/>
      <c r="G74" s="13">
        <v>1</v>
      </c>
      <c r="H74" s="18">
        <f t="shared" ref="H74:H85" si="57">E75</f>
        <v>-5</v>
      </c>
      <c r="I74" s="18">
        <f t="shared" ref="I74:I85" si="58">H74+273.15</f>
        <v>268.15</v>
      </c>
      <c r="J74" s="18">
        <f t="shared" ref="J74:J85" si="59">EXP(($C$16*(I74-$C$14))/($C$17*I74*$C$14))</f>
        <v>0.00896487173486583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0.00467267044564677</v>
      </c>
      <c r="Q74" s="24">
        <f t="shared" ref="Q74:Q85" si="63">P74*$B$76</f>
        <v>0.00121489431586816</v>
      </c>
      <c r="R74" s="18">
        <f t="shared" ref="R74:R85" si="64">L74*$B$76</f>
        <v>0.1355172</v>
      </c>
      <c r="S74" s="25">
        <f t="shared" ref="S74:S85" si="65">Q74/R74</f>
        <v>0.00896487173486583</v>
      </c>
      <c r="T74" s="3">
        <v>0.01</v>
      </c>
      <c r="U74" s="26">
        <f t="shared" ref="U74:U85" si="66">S74*T74</f>
        <v>8.96487173486583e-5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0.00557964871734866</v>
      </c>
      <c r="AU74" s="29">
        <f t="shared" ref="AU74:AU85" si="70">$B$74/12</f>
        <v>52.122</v>
      </c>
      <c r="AV74" s="1">
        <f t="shared" ref="AV74:AV85" si="71">$B$76</f>
        <v>0.26</v>
      </c>
      <c r="AW74" s="2">
        <f>$E$8/12</f>
        <v>0.00916666666666667</v>
      </c>
      <c r="AX74" s="1">
        <f t="shared" ref="AX74:AX85" si="72">AW74*10000*AV74*0.67*AU74*AT74</f>
        <v>4.6439498295329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-9.037743531</v>
      </c>
      <c r="E75" s="20">
        <f t="shared" ref="E75:E86" si="73">D74</f>
        <v>-5</v>
      </c>
      <c r="F75" s="16" t="s">
        <v>110</v>
      </c>
      <c r="G75" s="13">
        <v>2</v>
      </c>
      <c r="H75" s="18">
        <f t="shared" si="57"/>
        <v>-9.037743531</v>
      </c>
      <c r="I75" s="18">
        <f t="shared" si="58"/>
        <v>264.112256469</v>
      </c>
      <c r="J75" s="18">
        <f t="shared" si="59"/>
        <v>0.0051458583390294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1.03776732955435</v>
      </c>
      <c r="P75" s="18">
        <f t="shared" si="62"/>
        <v>0.00534020366675954</v>
      </c>
      <c r="Q75" s="24">
        <f t="shared" si="63"/>
        <v>0.00138845295335748</v>
      </c>
      <c r="R75" s="18">
        <f t="shared" si="64"/>
        <v>0.1355172</v>
      </c>
      <c r="S75" s="25">
        <f t="shared" si="65"/>
        <v>0.0102455847180836</v>
      </c>
      <c r="T75" s="3">
        <v>0.01</v>
      </c>
      <c r="U75" s="26">
        <f t="shared" si="66"/>
        <v>0.000102455847180836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0.00559245584718084</v>
      </c>
      <c r="AU75" s="29">
        <f t="shared" si="70"/>
        <v>52.122</v>
      </c>
      <c r="AV75" s="1">
        <f t="shared" si="71"/>
        <v>0.26</v>
      </c>
      <c r="AW75" s="2">
        <f t="shared" ref="AW75:AW85" si="75">$E$8/12</f>
        <v>0.00916666666666667</v>
      </c>
      <c r="AX75" s="1">
        <f t="shared" si="72"/>
        <v>4.65460922251871</v>
      </c>
    </row>
    <row r="76" s="1" customFormat="1" spans="1:50">
      <c r="A76" s="13" t="s">
        <v>73</v>
      </c>
      <c r="B76" s="13">
        <f>H8</f>
        <v>0.26</v>
      </c>
      <c r="C76" s="16">
        <v>2</v>
      </c>
      <c r="D76" s="19">
        <v>-3.95705749586207</v>
      </c>
      <c r="E76" s="20">
        <f t="shared" si="73"/>
        <v>-9.037743531</v>
      </c>
      <c r="F76" s="16" t="s">
        <v>110</v>
      </c>
      <c r="G76" s="13">
        <v>3</v>
      </c>
      <c r="H76" s="18">
        <f t="shared" si="57"/>
        <v>-3.95705749586207</v>
      </c>
      <c r="I76" s="18">
        <f t="shared" si="58"/>
        <v>269.192942504138</v>
      </c>
      <c r="J76" s="18">
        <f t="shared" si="59"/>
        <v>0.0103190793415967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1.55364712588759</v>
      </c>
      <c r="P76" s="18">
        <f t="shared" si="62"/>
        <v>0.0160322079608778</v>
      </c>
      <c r="Q76" s="24">
        <f t="shared" si="63"/>
        <v>0.00416837406982822</v>
      </c>
      <c r="R76" s="18">
        <f t="shared" si="64"/>
        <v>0.1355172</v>
      </c>
      <c r="S76" s="25">
        <f t="shared" si="65"/>
        <v>0.0307590038004638</v>
      </c>
      <c r="T76" s="3">
        <v>0.01</v>
      </c>
      <c r="U76" s="26">
        <f t="shared" si="66"/>
        <v>0.000307590038004638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0.00579759003800464</v>
      </c>
      <c r="AU76" s="29">
        <f t="shared" si="70"/>
        <v>52.122</v>
      </c>
      <c r="AV76" s="1">
        <f t="shared" si="71"/>
        <v>0.26</v>
      </c>
      <c r="AW76" s="2">
        <f t="shared" si="75"/>
        <v>0.00916666666666667</v>
      </c>
      <c r="AX76" s="1">
        <f t="shared" si="72"/>
        <v>4.82534271108862</v>
      </c>
    </row>
    <row r="77" s="1" customFormat="1" spans="1:50">
      <c r="A77" s="13"/>
      <c r="B77" s="13"/>
      <c r="C77" s="16">
        <v>3</v>
      </c>
      <c r="D77" s="19">
        <v>4.91366883912903</v>
      </c>
      <c r="E77" s="20">
        <f t="shared" si="73"/>
        <v>-3.95705749586207</v>
      </c>
      <c r="F77" s="16" t="s">
        <v>110</v>
      </c>
      <c r="G77" s="13">
        <v>4</v>
      </c>
      <c r="H77" s="18">
        <f t="shared" si="57"/>
        <v>4.91366883912903</v>
      </c>
      <c r="I77" s="18">
        <f t="shared" si="58"/>
        <v>278.063668839129</v>
      </c>
      <c r="J77" s="18">
        <f t="shared" si="59"/>
        <v>0.0327168913818778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2.05883491792672</v>
      </c>
      <c r="P77" s="18">
        <f t="shared" si="62"/>
        <v>0.0673586783830257</v>
      </c>
      <c r="Q77" s="24">
        <f t="shared" si="63"/>
        <v>0.0175132563795867</v>
      </c>
      <c r="R77" s="18">
        <f t="shared" si="64"/>
        <v>0.1355172</v>
      </c>
      <c r="S77" s="25">
        <f t="shared" si="65"/>
        <v>0.129232720123989</v>
      </c>
      <c r="T77" s="3">
        <v>0.01</v>
      </c>
      <c r="U77" s="26">
        <f t="shared" si="66"/>
        <v>0.00129232720123989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0.00678232720123989</v>
      </c>
      <c r="AU77" s="29">
        <f t="shared" si="70"/>
        <v>52.122</v>
      </c>
      <c r="AV77" s="1">
        <f t="shared" si="71"/>
        <v>0.26</v>
      </c>
      <c r="AW77" s="2">
        <f t="shared" si="75"/>
        <v>0.00916666666666667</v>
      </c>
      <c r="AX77" s="1">
        <f t="shared" si="72"/>
        <v>5.64494089961295</v>
      </c>
    </row>
    <row r="78" s="1" customFormat="1" spans="1:50">
      <c r="A78" s="13"/>
      <c r="B78" s="13"/>
      <c r="C78" s="16">
        <v>4</v>
      </c>
      <c r="D78" s="19">
        <v>12.8313018363333</v>
      </c>
      <c r="E78" s="20">
        <f t="shared" si="73"/>
        <v>4.91366883912903</v>
      </c>
      <c r="F78" s="16" t="s">
        <v>110</v>
      </c>
      <c r="G78" s="13">
        <v>5</v>
      </c>
      <c r="H78" s="18">
        <f t="shared" si="57"/>
        <v>12.8313018363333</v>
      </c>
      <c r="I78" s="18">
        <f t="shared" si="58"/>
        <v>285.981301836333</v>
      </c>
      <c r="J78" s="18">
        <f t="shared" si="59"/>
        <v>0.0862586247960784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1.89190242756651</v>
      </c>
      <c r="O78" s="18">
        <f t="shared" si="74"/>
        <v>0.620793811977184</v>
      </c>
      <c r="P78" s="18">
        <f t="shared" si="62"/>
        <v>0.0535488205030672</v>
      </c>
      <c r="Q78" s="24">
        <f t="shared" si="63"/>
        <v>0.0139226933307975</v>
      </c>
      <c r="R78" s="18">
        <f t="shared" si="64"/>
        <v>0.1355172</v>
      </c>
      <c r="S78" s="25">
        <f t="shared" si="65"/>
        <v>0.102737463073303</v>
      </c>
      <c r="T78" s="3">
        <v>0.01</v>
      </c>
      <c r="U78" s="26">
        <f t="shared" si="66"/>
        <v>0.00102737463073303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0.010977374630733</v>
      </c>
      <c r="AU78" s="29">
        <f t="shared" si="70"/>
        <v>52.122</v>
      </c>
      <c r="AV78" s="1">
        <f t="shared" si="71"/>
        <v>0.26</v>
      </c>
      <c r="AW78" s="2">
        <f t="shared" si="75"/>
        <v>0.00916666666666667</v>
      </c>
      <c r="AX78" s="1">
        <f t="shared" si="72"/>
        <v>9.13648504189981</v>
      </c>
    </row>
    <row r="79" s="1" customFormat="1" spans="1:50">
      <c r="A79" s="13"/>
      <c r="B79" s="13"/>
      <c r="C79" s="16">
        <v>5</v>
      </c>
      <c r="D79" s="19">
        <v>15.0777302204839</v>
      </c>
      <c r="E79" s="20">
        <f t="shared" si="73"/>
        <v>12.8313018363333</v>
      </c>
      <c r="F79" s="16" t="s">
        <v>112</v>
      </c>
      <c r="G79" s="13">
        <v>6</v>
      </c>
      <c r="H79" s="18">
        <f t="shared" si="57"/>
        <v>15.0777302204839</v>
      </c>
      <c r="I79" s="18">
        <f t="shared" si="58"/>
        <v>288.227730220484</v>
      </c>
      <c r="J79" s="18">
        <f t="shared" si="59"/>
        <v>0.112472610851773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1.08846499147412</v>
      </c>
      <c r="P79" s="18">
        <f t="shared" si="62"/>
        <v>0.122422499411847</v>
      </c>
      <c r="Q79" s="24">
        <f t="shared" si="63"/>
        <v>0.0318298498470802</v>
      </c>
      <c r="R79" s="18">
        <f t="shared" si="64"/>
        <v>0.1355172</v>
      </c>
      <c r="S79" s="25">
        <f t="shared" si="65"/>
        <v>0.23487682631489</v>
      </c>
      <c r="T79" s="3">
        <v>0.01</v>
      </c>
      <c r="U79" s="26">
        <f t="shared" si="66"/>
        <v>0.0023487682631489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0.0122987682631489</v>
      </c>
      <c r="AU79" s="29">
        <f t="shared" si="70"/>
        <v>52.122</v>
      </c>
      <c r="AV79" s="1">
        <f t="shared" si="71"/>
        <v>0.26</v>
      </c>
      <c r="AW79" s="2">
        <f t="shared" si="75"/>
        <v>0.00916666666666667</v>
      </c>
      <c r="AX79" s="1">
        <f t="shared" si="72"/>
        <v>10.2362829046082</v>
      </c>
    </row>
    <row r="80" s="1" customFormat="1" spans="1:50">
      <c r="A80" s="13"/>
      <c r="B80" s="13"/>
      <c r="C80" s="16">
        <v>6</v>
      </c>
      <c r="D80" s="19">
        <v>20.9897835623333</v>
      </c>
      <c r="E80" s="20">
        <f t="shared" si="73"/>
        <v>15.0777302204839</v>
      </c>
      <c r="F80" s="16" t="s">
        <v>110</v>
      </c>
      <c r="G80" s="13">
        <v>7</v>
      </c>
      <c r="H80" s="18">
        <f t="shared" si="57"/>
        <v>20.9897835623333</v>
      </c>
      <c r="I80" s="18">
        <f t="shared" si="58"/>
        <v>294.139783562333</v>
      </c>
      <c r="J80" s="18">
        <f t="shared" si="59"/>
        <v>0.221783484093119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1.48726249206227</v>
      </c>
      <c r="P80" s="18">
        <f t="shared" si="62"/>
        <v>0.329850257250585</v>
      </c>
      <c r="Q80" s="24">
        <f t="shared" si="63"/>
        <v>0.0857610668851521</v>
      </c>
      <c r="R80" s="18">
        <f t="shared" si="64"/>
        <v>0.1355172</v>
      </c>
      <c r="S80" s="25">
        <f t="shared" si="65"/>
        <v>0.632842671521786</v>
      </c>
      <c r="T80" s="3">
        <v>0.01</v>
      </c>
      <c r="U80" s="26">
        <f t="shared" si="66"/>
        <v>0.00632842671521786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0.0162784267152179</v>
      </c>
      <c r="AU80" s="29">
        <f t="shared" si="70"/>
        <v>52.122</v>
      </c>
      <c r="AV80" s="1">
        <f t="shared" si="71"/>
        <v>0.26</v>
      </c>
      <c r="AW80" s="2">
        <f t="shared" si="75"/>
        <v>0.00916666666666667</v>
      </c>
      <c r="AX80" s="1">
        <f t="shared" si="72"/>
        <v>13.5485584843631</v>
      </c>
    </row>
    <row r="81" s="1" customFormat="1" spans="1:50">
      <c r="A81" s="13"/>
      <c r="B81" s="13"/>
      <c r="C81" s="16">
        <v>7</v>
      </c>
      <c r="D81" s="19">
        <v>22.9923755835484</v>
      </c>
      <c r="E81" s="20">
        <f t="shared" si="73"/>
        <v>20.9897835623333</v>
      </c>
      <c r="F81" s="16" t="s">
        <v>110</v>
      </c>
      <c r="G81" s="13">
        <v>8</v>
      </c>
      <c r="H81" s="18">
        <f t="shared" si="57"/>
        <v>22.9923755835484</v>
      </c>
      <c r="I81" s="18">
        <f t="shared" si="58"/>
        <v>296.142375583548</v>
      </c>
      <c r="J81" s="18">
        <f t="shared" si="59"/>
        <v>0.277424818325858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1.67863223481169</v>
      </c>
      <c r="P81" s="18">
        <f t="shared" si="62"/>
        <v>0.465694242778561</v>
      </c>
      <c r="Q81" s="24">
        <f t="shared" si="63"/>
        <v>0.121080503122426</v>
      </c>
      <c r="R81" s="18">
        <f t="shared" si="64"/>
        <v>0.1355172</v>
      </c>
      <c r="S81" s="25">
        <f t="shared" si="65"/>
        <v>0.893469634278349</v>
      </c>
      <c r="T81" s="3">
        <v>0.01</v>
      </c>
      <c r="U81" s="26">
        <f t="shared" si="66"/>
        <v>0.00893469634278349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0.0188846963427835</v>
      </c>
      <c r="AU81" s="29">
        <f t="shared" si="70"/>
        <v>52.122</v>
      </c>
      <c r="AV81" s="1">
        <f t="shared" si="71"/>
        <v>0.26</v>
      </c>
      <c r="AW81" s="2">
        <f t="shared" si="75"/>
        <v>0.00916666666666667</v>
      </c>
      <c r="AX81" s="1">
        <f t="shared" si="72"/>
        <v>15.7177605266023</v>
      </c>
    </row>
    <row r="82" s="1" customFormat="1" spans="1:50">
      <c r="A82" s="13"/>
      <c r="B82" s="13"/>
      <c r="C82" s="16">
        <v>8</v>
      </c>
      <c r="D82" s="19">
        <v>22.5017375074194</v>
      </c>
      <c r="E82" s="20">
        <f t="shared" si="73"/>
        <v>22.9923755835484</v>
      </c>
      <c r="F82" s="16" t="s">
        <v>110</v>
      </c>
      <c r="G82" s="13">
        <v>9</v>
      </c>
      <c r="H82" s="18">
        <f t="shared" si="57"/>
        <v>22.5017375074194</v>
      </c>
      <c r="I82" s="18">
        <f t="shared" si="58"/>
        <v>295.651737507419</v>
      </c>
      <c r="J82" s="18">
        <f t="shared" si="59"/>
        <v>0.262693315322674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1.73415799203312</v>
      </c>
      <c r="P82" s="18">
        <f t="shared" si="62"/>
        <v>0.455551712220493</v>
      </c>
      <c r="Q82" s="24">
        <f t="shared" si="63"/>
        <v>0.118443445177328</v>
      </c>
      <c r="R82" s="18">
        <f t="shared" si="64"/>
        <v>0.1355172</v>
      </c>
      <c r="S82" s="25">
        <f t="shared" si="65"/>
        <v>0.87401042212596</v>
      </c>
      <c r="T82" s="3">
        <v>0.01</v>
      </c>
      <c r="U82" s="26">
        <f t="shared" si="66"/>
        <v>0.0087401042212596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0.0186901042212596</v>
      </c>
      <c r="AU82" s="29">
        <f t="shared" si="70"/>
        <v>52.122</v>
      </c>
      <c r="AV82" s="1">
        <f t="shared" si="71"/>
        <v>0.26</v>
      </c>
      <c r="AW82" s="2">
        <f t="shared" si="75"/>
        <v>0.00916666666666667</v>
      </c>
      <c r="AX82" s="1">
        <f t="shared" si="72"/>
        <v>15.5558012178076</v>
      </c>
    </row>
    <row r="83" s="1" customFormat="1" spans="1:50">
      <c r="A83" s="13"/>
      <c r="B83" s="13"/>
      <c r="C83" s="16">
        <v>9</v>
      </c>
      <c r="D83" s="19">
        <v>16.7248684407333</v>
      </c>
      <c r="E83" s="20">
        <f t="shared" si="73"/>
        <v>22.5017375074194</v>
      </c>
      <c r="F83" s="16" t="s">
        <v>110</v>
      </c>
      <c r="G83" s="13">
        <v>10</v>
      </c>
      <c r="H83" s="18">
        <f t="shared" si="57"/>
        <v>16.7248684407333</v>
      </c>
      <c r="I83" s="18">
        <f t="shared" si="58"/>
        <v>289.874868440733</v>
      </c>
      <c r="J83" s="18">
        <f t="shared" si="59"/>
        <v>0.13627361733626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1.79982627981263</v>
      </c>
      <c r="P83" s="18">
        <f t="shared" si="62"/>
        <v>0.245268837726931</v>
      </c>
      <c r="Q83" s="24">
        <f t="shared" si="63"/>
        <v>0.0637698978090021</v>
      </c>
      <c r="R83" s="18">
        <f t="shared" si="64"/>
        <v>0.1355172</v>
      </c>
      <c r="S83" s="25">
        <f t="shared" si="65"/>
        <v>0.470566819628815</v>
      </c>
      <c r="T83" s="3">
        <v>0.01</v>
      </c>
      <c r="U83" s="26">
        <f t="shared" si="66"/>
        <v>0.00470566819628815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0.0101956681962882</v>
      </c>
      <c r="AU83" s="29">
        <f t="shared" si="70"/>
        <v>52.122</v>
      </c>
      <c r="AV83" s="1">
        <f t="shared" si="71"/>
        <v>0.26</v>
      </c>
      <c r="AW83" s="2">
        <f t="shared" si="75"/>
        <v>0.00916666666666667</v>
      </c>
      <c r="AX83" s="1">
        <f t="shared" si="72"/>
        <v>8.48586962740288</v>
      </c>
    </row>
    <row r="84" s="1" customFormat="1" spans="1:50">
      <c r="A84" s="13"/>
      <c r="B84" s="13"/>
      <c r="C84" s="16">
        <v>10</v>
      </c>
      <c r="D84" s="19">
        <v>9.78529879480645</v>
      </c>
      <c r="E84" s="20">
        <f t="shared" si="73"/>
        <v>16.7248684407333</v>
      </c>
      <c r="F84" s="16" t="s">
        <v>110</v>
      </c>
      <c r="G84" s="13">
        <v>11</v>
      </c>
      <c r="H84" s="18">
        <f t="shared" si="57"/>
        <v>9.78529879480645</v>
      </c>
      <c r="I84" s="18">
        <f t="shared" si="58"/>
        <v>282.935298794806</v>
      </c>
      <c r="J84" s="18">
        <f t="shared" si="59"/>
        <v>0.0597883060557732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1.47682956998142</v>
      </c>
      <c r="O84" s="18">
        <f t="shared" si="74"/>
        <v>0.598947872104285</v>
      </c>
      <c r="P84" s="18">
        <f t="shared" si="62"/>
        <v>0.0358100786888251</v>
      </c>
      <c r="Q84" s="24">
        <f t="shared" si="63"/>
        <v>0.00931062045909452</v>
      </c>
      <c r="R84" s="18">
        <f t="shared" si="64"/>
        <v>0.1355172</v>
      </c>
      <c r="S84" s="25">
        <f t="shared" si="65"/>
        <v>0.0687043449768333</v>
      </c>
      <c r="T84" s="3">
        <v>0.01</v>
      </c>
      <c r="U84" s="26">
        <f t="shared" si="66"/>
        <v>0.000687043449768333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0.00617704344976833</v>
      </c>
      <c r="AU84" s="29">
        <f t="shared" si="70"/>
        <v>52.122</v>
      </c>
      <c r="AV84" s="1">
        <f t="shared" si="71"/>
        <v>0.26</v>
      </c>
      <c r="AW84" s="2">
        <f t="shared" si="75"/>
        <v>0.00916666666666667</v>
      </c>
      <c r="AX84" s="1">
        <f t="shared" si="72"/>
        <v>5.14116234349606</v>
      </c>
    </row>
    <row r="85" s="1" customFormat="1" spans="1:51">
      <c r="A85" s="13"/>
      <c r="B85" s="13"/>
      <c r="C85" s="16">
        <v>11</v>
      </c>
      <c r="D85" s="19">
        <v>2.45519124266667</v>
      </c>
      <c r="E85" s="20">
        <f t="shared" si="73"/>
        <v>9.78529879480645</v>
      </c>
      <c r="F85" s="16" t="s">
        <v>112</v>
      </c>
      <c r="G85" s="13">
        <v>12</v>
      </c>
      <c r="H85" s="18">
        <f t="shared" si="57"/>
        <v>2.45519124266667</v>
      </c>
      <c r="I85" s="18">
        <f t="shared" si="58"/>
        <v>275.605191242667</v>
      </c>
      <c r="J85" s="18">
        <f t="shared" si="59"/>
        <v>0.023939627091309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1.08435779341546</v>
      </c>
      <c r="P85" s="18">
        <f t="shared" si="62"/>
        <v>0.0259591212079208</v>
      </c>
      <c r="Q85" s="24">
        <f t="shared" si="63"/>
        <v>0.0067493715140594</v>
      </c>
      <c r="R85" s="18">
        <f t="shared" si="64"/>
        <v>0.1355172</v>
      </c>
      <c r="S85" s="25">
        <f t="shared" si="65"/>
        <v>0.0498045378303227</v>
      </c>
      <c r="T85" s="3">
        <v>0.01</v>
      </c>
      <c r="U85" s="26">
        <f t="shared" si="66"/>
        <v>0.000498045378303227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0.00598804537830323</v>
      </c>
      <c r="AU85" s="29">
        <f t="shared" si="70"/>
        <v>52.122</v>
      </c>
      <c r="AV85" s="1">
        <f t="shared" si="71"/>
        <v>0.26</v>
      </c>
      <c r="AW85" s="2">
        <f t="shared" si="75"/>
        <v>0.00916666666666667</v>
      </c>
      <c r="AX85" s="1">
        <f t="shared" si="72"/>
        <v>4.98385897078848</v>
      </c>
      <c r="AY85" s="1">
        <f>SUM(AX74:AX85)</f>
        <v>102.574621779722</v>
      </c>
    </row>
    <row r="86" s="1" customFormat="1" spans="1:46">
      <c r="A86" s="13"/>
      <c r="B86" s="13"/>
      <c r="C86" s="16">
        <v>12</v>
      </c>
      <c r="D86" s="19">
        <v>-1.68156157680645</v>
      </c>
      <c r="E86" s="20">
        <f t="shared" si="73"/>
        <v>2.45519124266667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-5</v>
      </c>
      <c r="E90" s="16"/>
      <c r="F90" s="16"/>
      <c r="G90" s="13">
        <v>1</v>
      </c>
      <c r="H90" s="18">
        <f t="shared" ref="H90:H101" si="76">E91</f>
        <v>-5</v>
      </c>
      <c r="I90" s="18">
        <f t="shared" ref="I90:I101" si="77">H90+273.15</f>
        <v>268.15</v>
      </c>
      <c r="J90" s="18">
        <f t="shared" ref="J90:J101" si="78">EXP(($C$16*(I90-$C$14))/($C$17*I90*$C$14))</f>
        <v>0.00896487173486583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0.0025522989829163</v>
      </c>
      <c r="Q90" s="24">
        <f t="shared" ref="Q90:Q101" si="82">P90*$B$76</f>
        <v>0.000663597735558238</v>
      </c>
      <c r="R90" s="18">
        <f t="shared" ref="R90:R101" si="83">L90*$B$76</f>
        <v>0.074022</v>
      </c>
      <c r="S90" s="25">
        <f t="shared" ref="S90:S101" si="84">Q90/R90</f>
        <v>0.00896487173486583</v>
      </c>
      <c r="T90" s="3">
        <v>0.01</v>
      </c>
      <c r="U90" s="26">
        <f t="shared" ref="U90:U101" si="85">S90*T90</f>
        <v>8.96487173486583e-5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0.00557964871734866</v>
      </c>
      <c r="AU90" s="29">
        <f t="shared" ref="AU90:AU101" si="89">$B$90/12</f>
        <v>28.47</v>
      </c>
      <c r="AV90" s="1">
        <f t="shared" ref="AV90:AV101" si="90">$B$76</f>
        <v>0.26</v>
      </c>
      <c r="AW90" s="2">
        <f>$E$9/12</f>
        <v>0.391666666666667</v>
      </c>
      <c r="AX90" s="1">
        <f t="shared" ref="AX90:AX101" si="91">AW90*10000*AV90*0.67*AU90*AT90</f>
        <v>108.382480742727</v>
      </c>
      <c r="AZ90" s="2">
        <f>$E$10/12</f>
        <v>0.0288250186166255</v>
      </c>
      <c r="BA90" s="1">
        <f t="shared" ref="BA90:BA101" si="92">AZ90*10000*AV90*0.67*AU90*AT90</f>
        <v>7.97649453223448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-9.037743531</v>
      </c>
      <c r="E91" s="20">
        <f t="shared" ref="E91:E102" si="93">D90</f>
        <v>-5</v>
      </c>
      <c r="F91" s="16" t="s">
        <v>110</v>
      </c>
      <c r="G91" s="13">
        <v>2</v>
      </c>
      <c r="H91" s="18">
        <f t="shared" si="76"/>
        <v>-9.037743531</v>
      </c>
      <c r="I91" s="18">
        <f t="shared" si="77"/>
        <v>264.112256469</v>
      </c>
      <c r="J91" s="18">
        <f t="shared" si="78"/>
        <v>0.0051458583390294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0.566847701017084</v>
      </c>
      <c r="P91" s="18">
        <f t="shared" si="81"/>
        <v>0.0029169179692384</v>
      </c>
      <c r="Q91" s="24">
        <f t="shared" si="82"/>
        <v>0.000758398672001985</v>
      </c>
      <c r="R91" s="18">
        <f t="shared" si="83"/>
        <v>0.074022</v>
      </c>
      <c r="S91" s="25">
        <f t="shared" si="84"/>
        <v>0.0102455847180836</v>
      </c>
      <c r="T91" s="3">
        <v>0.01</v>
      </c>
      <c r="U91" s="26">
        <f t="shared" si="85"/>
        <v>0.000102455847180836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0.00559245584718084</v>
      </c>
      <c r="AU91" s="29">
        <f t="shared" si="89"/>
        <v>28.47</v>
      </c>
      <c r="AV91" s="1">
        <f t="shared" si="90"/>
        <v>0.26</v>
      </c>
      <c r="AW91" s="2">
        <f t="shared" ref="AW91:AW101" si="95">$E$9/12</f>
        <v>0.391666666666667</v>
      </c>
      <c r="AX91" s="1">
        <f t="shared" si="91"/>
        <v>108.631254200112</v>
      </c>
      <c r="AZ91" s="2">
        <f t="shared" ref="AZ91:AZ101" si="96">$E$10/12</f>
        <v>0.0288250186166255</v>
      </c>
      <c r="BA91" s="1">
        <f t="shared" si="92"/>
        <v>7.99480321191218</v>
      </c>
    </row>
    <row r="92" s="1" customFormat="1" spans="1:53">
      <c r="A92" s="13" t="s">
        <v>73</v>
      </c>
      <c r="B92" s="13">
        <f>H9</f>
        <v>0.26</v>
      </c>
      <c r="C92" s="16">
        <v>2</v>
      </c>
      <c r="D92" s="19">
        <v>-3.95705749586207</v>
      </c>
      <c r="E92" s="20">
        <f t="shared" si="93"/>
        <v>-9.037743531</v>
      </c>
      <c r="F92" s="16" t="s">
        <v>110</v>
      </c>
      <c r="G92" s="13">
        <v>3</v>
      </c>
      <c r="H92" s="18">
        <f t="shared" si="76"/>
        <v>-3.95705749586207</v>
      </c>
      <c r="I92" s="18">
        <f t="shared" si="77"/>
        <v>269.192942504138</v>
      </c>
      <c r="J92" s="18">
        <f t="shared" si="78"/>
        <v>0.0103190793415967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0.848630783047845</v>
      </c>
      <c r="P92" s="18">
        <f t="shared" si="81"/>
        <v>0.00875708838199205</v>
      </c>
      <c r="Q92" s="24">
        <f t="shared" si="82"/>
        <v>0.00227684297931793</v>
      </c>
      <c r="R92" s="18">
        <f t="shared" si="83"/>
        <v>0.074022</v>
      </c>
      <c r="S92" s="25">
        <f t="shared" si="84"/>
        <v>0.0307590038004638</v>
      </c>
      <c r="T92" s="3">
        <v>0.01</v>
      </c>
      <c r="U92" s="26">
        <f t="shared" si="85"/>
        <v>0.000307590038004638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0.00579759003800464</v>
      </c>
      <c r="AU92" s="29">
        <f t="shared" si="89"/>
        <v>28.47</v>
      </c>
      <c r="AV92" s="1">
        <f t="shared" si="90"/>
        <v>0.26</v>
      </c>
      <c r="AW92" s="2">
        <f t="shared" si="95"/>
        <v>0.391666666666667</v>
      </c>
      <c r="AX92" s="1">
        <f t="shared" si="91"/>
        <v>112.61590513656</v>
      </c>
      <c r="AZ92" s="2">
        <f t="shared" si="96"/>
        <v>0.0288250186166255</v>
      </c>
      <c r="BA92" s="1">
        <f t="shared" si="92"/>
        <v>8.28805675427101</v>
      </c>
    </row>
    <row r="93" s="1" customFormat="1" spans="1:53">
      <c r="A93" s="13"/>
      <c r="B93" s="13"/>
      <c r="C93" s="16">
        <v>3</v>
      </c>
      <c r="D93" s="19">
        <v>4.91366883912903</v>
      </c>
      <c r="E93" s="20">
        <f t="shared" si="93"/>
        <v>-3.95705749586207</v>
      </c>
      <c r="F93" s="16" t="s">
        <v>110</v>
      </c>
      <c r="G93" s="13">
        <v>4</v>
      </c>
      <c r="H93" s="18">
        <f t="shared" si="76"/>
        <v>4.91366883912903</v>
      </c>
      <c r="I93" s="18">
        <f t="shared" si="77"/>
        <v>278.063668839129</v>
      </c>
      <c r="J93" s="18">
        <f t="shared" si="78"/>
        <v>0.0327168913818778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1.12457369466585</v>
      </c>
      <c r="P93" s="18">
        <f t="shared" si="81"/>
        <v>0.0367925554192997</v>
      </c>
      <c r="Q93" s="24">
        <f t="shared" si="82"/>
        <v>0.00956606440901793</v>
      </c>
      <c r="R93" s="18">
        <f t="shared" si="83"/>
        <v>0.074022</v>
      </c>
      <c r="S93" s="25">
        <f t="shared" si="84"/>
        <v>0.129232720123989</v>
      </c>
      <c r="T93" s="3">
        <v>0.01</v>
      </c>
      <c r="U93" s="26">
        <f t="shared" si="85"/>
        <v>0.00129232720123989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0.00678232720123989</v>
      </c>
      <c r="AU93" s="29">
        <f t="shared" si="89"/>
        <v>28.47</v>
      </c>
      <c r="AV93" s="1">
        <f t="shared" si="90"/>
        <v>0.26</v>
      </c>
      <c r="AW93" s="2">
        <f t="shared" si="95"/>
        <v>0.391666666666667</v>
      </c>
      <c r="AX93" s="1">
        <f t="shared" si="91"/>
        <v>131.744037038331</v>
      </c>
      <c r="AZ93" s="2">
        <f t="shared" si="96"/>
        <v>0.0288250186166255</v>
      </c>
      <c r="BA93" s="1">
        <f t="shared" si="92"/>
        <v>9.69580677513012</v>
      </c>
    </row>
    <row r="94" s="1" customFormat="1" spans="1:53">
      <c r="A94" s="13"/>
      <c r="B94" s="13"/>
      <c r="C94" s="16">
        <v>4</v>
      </c>
      <c r="D94" s="19">
        <v>12.8313018363333</v>
      </c>
      <c r="E94" s="20">
        <f t="shared" si="93"/>
        <v>4.91366883912903</v>
      </c>
      <c r="F94" s="16" t="s">
        <v>110</v>
      </c>
      <c r="G94" s="13">
        <v>5</v>
      </c>
      <c r="H94" s="18">
        <f t="shared" si="76"/>
        <v>12.8313018363333</v>
      </c>
      <c r="I94" s="18">
        <f t="shared" si="77"/>
        <v>285.981301836333</v>
      </c>
      <c r="J94" s="18">
        <f t="shared" si="78"/>
        <v>0.0862586247960784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1.03339208228423</v>
      </c>
      <c r="O94" s="18">
        <f t="shared" si="94"/>
        <v>0.339089056962328</v>
      </c>
      <c r="P94" s="18">
        <f t="shared" si="81"/>
        <v>0.0292493557369695</v>
      </c>
      <c r="Q94" s="24">
        <f t="shared" si="82"/>
        <v>0.00760483249161207</v>
      </c>
      <c r="R94" s="18">
        <f t="shared" si="83"/>
        <v>0.074022</v>
      </c>
      <c r="S94" s="25">
        <f t="shared" si="84"/>
        <v>0.102737463073303</v>
      </c>
      <c r="T94" s="3">
        <v>0.01</v>
      </c>
      <c r="U94" s="26">
        <f t="shared" si="85"/>
        <v>0.00102737463073303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0.010977374630733</v>
      </c>
      <c r="AU94" s="29">
        <f t="shared" si="89"/>
        <v>28.47</v>
      </c>
      <c r="AV94" s="1">
        <f t="shared" si="90"/>
        <v>0.26</v>
      </c>
      <c r="AW94" s="2">
        <f t="shared" si="95"/>
        <v>0.391666666666667</v>
      </c>
      <c r="AX94" s="1">
        <f t="shared" si="91"/>
        <v>213.231182605072</v>
      </c>
      <c r="AZ94" s="2">
        <f t="shared" si="96"/>
        <v>0.0288250186166255</v>
      </c>
      <c r="BA94" s="1">
        <f t="shared" si="92"/>
        <v>15.6929178082628</v>
      </c>
    </row>
    <row r="95" s="1" customFormat="1" spans="1:53">
      <c r="A95" s="13"/>
      <c r="B95" s="13"/>
      <c r="C95" s="16">
        <v>5</v>
      </c>
      <c r="D95" s="19">
        <v>15.0777302204839</v>
      </c>
      <c r="E95" s="20">
        <f t="shared" si="93"/>
        <v>12.8313018363333</v>
      </c>
      <c r="F95" s="16" t="s">
        <v>112</v>
      </c>
      <c r="G95" s="13">
        <v>6</v>
      </c>
      <c r="H95" s="18">
        <f t="shared" si="76"/>
        <v>15.0777302204839</v>
      </c>
      <c r="I95" s="18">
        <f t="shared" si="77"/>
        <v>288.227730220484</v>
      </c>
      <c r="J95" s="18">
        <f t="shared" si="78"/>
        <v>0.112472610851773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0.594539701225358</v>
      </c>
      <c r="P95" s="18">
        <f t="shared" si="81"/>
        <v>0.0668694324518491</v>
      </c>
      <c r="Q95" s="24">
        <f t="shared" si="82"/>
        <v>0.0173860524374808</v>
      </c>
      <c r="R95" s="18">
        <f t="shared" si="83"/>
        <v>0.074022</v>
      </c>
      <c r="S95" s="25">
        <f t="shared" si="84"/>
        <v>0.23487682631489</v>
      </c>
      <c r="T95" s="3">
        <v>0.01</v>
      </c>
      <c r="U95" s="26">
        <f t="shared" si="85"/>
        <v>0.0023487682631489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0.0122987682631489</v>
      </c>
      <c r="AU95" s="29">
        <f t="shared" si="89"/>
        <v>28.47</v>
      </c>
      <c r="AV95" s="1">
        <f t="shared" si="90"/>
        <v>0.26</v>
      </c>
      <c r="AW95" s="2">
        <f t="shared" si="95"/>
        <v>0.391666666666667</v>
      </c>
      <c r="AX95" s="1">
        <f t="shared" si="91"/>
        <v>238.898733946356</v>
      </c>
      <c r="AZ95" s="2">
        <f t="shared" si="96"/>
        <v>0.0288250186166255</v>
      </c>
      <c r="BA95" s="1">
        <f t="shared" si="92"/>
        <v>17.5819415833837</v>
      </c>
    </row>
    <row r="96" s="1" customFormat="1" spans="1:53">
      <c r="A96" s="13"/>
      <c r="B96" s="13"/>
      <c r="C96" s="16">
        <v>6</v>
      </c>
      <c r="D96" s="19">
        <v>20.9897835623333</v>
      </c>
      <c r="E96" s="20">
        <f t="shared" si="93"/>
        <v>15.0777302204839</v>
      </c>
      <c r="F96" s="16" t="s">
        <v>110</v>
      </c>
      <c r="G96" s="13">
        <v>7</v>
      </c>
      <c r="H96" s="18">
        <f t="shared" si="76"/>
        <v>20.9897835623333</v>
      </c>
      <c r="I96" s="18">
        <f t="shared" si="77"/>
        <v>294.139783562333</v>
      </c>
      <c r="J96" s="18">
        <f t="shared" si="78"/>
        <v>0.221783484093119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0.812370268773509</v>
      </c>
      <c r="P96" s="18">
        <f t="shared" si="81"/>
        <v>0.180170308582252</v>
      </c>
      <c r="Q96" s="24">
        <f t="shared" si="82"/>
        <v>0.0468442802313856</v>
      </c>
      <c r="R96" s="18">
        <f t="shared" si="83"/>
        <v>0.074022</v>
      </c>
      <c r="S96" s="25">
        <f t="shared" si="84"/>
        <v>0.632842671521786</v>
      </c>
      <c r="T96" s="3">
        <v>0.01</v>
      </c>
      <c r="U96" s="26">
        <f t="shared" si="85"/>
        <v>0.00632842671521786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0.0162784267152179</v>
      </c>
      <c r="AU96" s="29">
        <f t="shared" si="89"/>
        <v>28.47</v>
      </c>
      <c r="AV96" s="1">
        <f t="shared" si="90"/>
        <v>0.26</v>
      </c>
      <c r="AW96" s="2">
        <f t="shared" si="95"/>
        <v>0.391666666666667</v>
      </c>
      <c r="AX96" s="1">
        <f t="shared" si="91"/>
        <v>316.202033382194</v>
      </c>
      <c r="AZ96" s="2">
        <f t="shared" si="96"/>
        <v>0.0288250186166255</v>
      </c>
      <c r="BA96" s="1">
        <f t="shared" si="92"/>
        <v>23.2711391460168</v>
      </c>
    </row>
    <row r="97" s="1" customFormat="1" spans="1:53">
      <c r="A97" s="13"/>
      <c r="B97" s="13"/>
      <c r="C97" s="16">
        <v>7</v>
      </c>
      <c r="D97" s="19">
        <v>22.9923755835484</v>
      </c>
      <c r="E97" s="20">
        <f t="shared" si="93"/>
        <v>20.9897835623333</v>
      </c>
      <c r="F97" s="16" t="s">
        <v>110</v>
      </c>
      <c r="G97" s="13">
        <v>8</v>
      </c>
      <c r="H97" s="18">
        <f t="shared" si="76"/>
        <v>22.9923755835484</v>
      </c>
      <c r="I97" s="18">
        <f t="shared" si="77"/>
        <v>296.142375583548</v>
      </c>
      <c r="J97" s="18">
        <f t="shared" si="78"/>
        <v>0.277424818325858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0.916899960191257</v>
      </c>
      <c r="P97" s="18">
        <f t="shared" si="81"/>
        <v>0.254370804879046</v>
      </c>
      <c r="Q97" s="24">
        <f t="shared" si="82"/>
        <v>0.0661364092685519</v>
      </c>
      <c r="R97" s="18">
        <f t="shared" si="83"/>
        <v>0.074022</v>
      </c>
      <c r="S97" s="25">
        <f t="shared" si="84"/>
        <v>0.893469634278349</v>
      </c>
      <c r="T97" s="3">
        <v>0.01</v>
      </c>
      <c r="U97" s="26">
        <f t="shared" si="85"/>
        <v>0.00893469634278349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0.0188846963427835</v>
      </c>
      <c r="AU97" s="29">
        <f t="shared" si="89"/>
        <v>28.47</v>
      </c>
      <c r="AV97" s="1">
        <f t="shared" si="90"/>
        <v>0.26</v>
      </c>
      <c r="AW97" s="2">
        <f t="shared" si="95"/>
        <v>0.391666666666667</v>
      </c>
      <c r="AX97" s="1">
        <f t="shared" si="91"/>
        <v>366.827795330558</v>
      </c>
      <c r="AZ97" s="2">
        <f t="shared" si="96"/>
        <v>0.0288250186166255</v>
      </c>
      <c r="BA97" s="1">
        <f t="shared" si="92"/>
        <v>26.9969822029763</v>
      </c>
    </row>
    <row r="98" s="1" customFormat="1" spans="1:53">
      <c r="A98" s="13"/>
      <c r="B98" s="13"/>
      <c r="C98" s="16">
        <v>8</v>
      </c>
      <c r="D98" s="19">
        <v>22.5017375074194</v>
      </c>
      <c r="E98" s="20">
        <f t="shared" si="93"/>
        <v>22.9923755835484</v>
      </c>
      <c r="F98" s="16" t="s">
        <v>110</v>
      </c>
      <c r="G98" s="13">
        <v>9</v>
      </c>
      <c r="H98" s="18">
        <f t="shared" si="76"/>
        <v>22.5017375074194</v>
      </c>
      <c r="I98" s="18">
        <f t="shared" si="77"/>
        <v>295.651737507419</v>
      </c>
      <c r="J98" s="18">
        <f t="shared" si="78"/>
        <v>0.262693315322674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0.947229155312211</v>
      </c>
      <c r="P98" s="18">
        <f t="shared" si="81"/>
        <v>0.248830767179261</v>
      </c>
      <c r="Q98" s="24">
        <f t="shared" si="82"/>
        <v>0.0646959994666078</v>
      </c>
      <c r="R98" s="18">
        <f t="shared" si="83"/>
        <v>0.074022</v>
      </c>
      <c r="S98" s="25">
        <f t="shared" si="84"/>
        <v>0.87401042212596</v>
      </c>
      <c r="T98" s="3">
        <v>0.01</v>
      </c>
      <c r="U98" s="26">
        <f t="shared" si="85"/>
        <v>0.0087401042212596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0.0186901042212596</v>
      </c>
      <c r="AU98" s="29">
        <f t="shared" si="89"/>
        <v>28.47</v>
      </c>
      <c r="AV98" s="1">
        <f t="shared" si="90"/>
        <v>0.26</v>
      </c>
      <c r="AW98" s="2">
        <f t="shared" si="95"/>
        <v>0.391666666666667</v>
      </c>
      <c r="AX98" s="1">
        <f t="shared" si="91"/>
        <v>363.047919941957</v>
      </c>
      <c r="AZ98" s="2">
        <f t="shared" si="96"/>
        <v>0.0288250186166255</v>
      </c>
      <c r="BA98" s="1">
        <f t="shared" si="92"/>
        <v>26.718799279287</v>
      </c>
    </row>
    <row r="99" s="1" customFormat="1" spans="1:53">
      <c r="A99" s="13"/>
      <c r="B99" s="13"/>
      <c r="C99" s="16">
        <v>9</v>
      </c>
      <c r="D99" s="19">
        <v>16.7248684407333</v>
      </c>
      <c r="E99" s="20">
        <f t="shared" si="93"/>
        <v>22.5017375074194</v>
      </c>
      <c r="F99" s="16" t="s">
        <v>110</v>
      </c>
      <c r="G99" s="13">
        <v>10</v>
      </c>
      <c r="H99" s="18">
        <f t="shared" si="76"/>
        <v>16.7248684407333</v>
      </c>
      <c r="I99" s="18">
        <f t="shared" si="77"/>
        <v>289.874868440733</v>
      </c>
      <c r="J99" s="18">
        <f t="shared" si="78"/>
        <v>0.13627361733626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0.98309838813295</v>
      </c>
      <c r="P99" s="18">
        <f t="shared" si="81"/>
        <v>0.133970373548324</v>
      </c>
      <c r="Q99" s="24">
        <f t="shared" si="82"/>
        <v>0.0348322971225641</v>
      </c>
      <c r="R99" s="18">
        <f t="shared" si="83"/>
        <v>0.074022</v>
      </c>
      <c r="S99" s="25">
        <f t="shared" si="84"/>
        <v>0.470566819628815</v>
      </c>
      <c r="T99" s="3">
        <v>0.01</v>
      </c>
      <c r="U99" s="26">
        <f t="shared" si="85"/>
        <v>0.00470566819628815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0.0101956681962882</v>
      </c>
      <c r="AU99" s="29">
        <f t="shared" si="89"/>
        <v>28.47</v>
      </c>
      <c r="AV99" s="1">
        <f t="shared" si="90"/>
        <v>0.26</v>
      </c>
      <c r="AW99" s="2">
        <f t="shared" si="95"/>
        <v>0.391666666666667</v>
      </c>
      <c r="AX99" s="1">
        <f t="shared" si="91"/>
        <v>198.046842717462</v>
      </c>
      <c r="AZ99" s="2">
        <f t="shared" si="96"/>
        <v>0.0288250186166255</v>
      </c>
      <c r="BA99" s="1">
        <f t="shared" si="92"/>
        <v>14.5754142850079</v>
      </c>
    </row>
    <row r="100" s="1" customFormat="1" spans="1:53">
      <c r="A100" s="13"/>
      <c r="B100" s="13"/>
      <c r="C100" s="16">
        <v>10</v>
      </c>
      <c r="D100" s="19">
        <v>9.78529879480645</v>
      </c>
      <c r="E100" s="20">
        <f t="shared" si="93"/>
        <v>16.7248684407333</v>
      </c>
      <c r="F100" s="16" t="s">
        <v>110</v>
      </c>
      <c r="G100" s="13">
        <v>11</v>
      </c>
      <c r="H100" s="18">
        <f t="shared" si="76"/>
        <v>9.78529879480645</v>
      </c>
      <c r="I100" s="18">
        <f t="shared" si="77"/>
        <v>282.935298794806</v>
      </c>
      <c r="J100" s="18">
        <f t="shared" si="78"/>
        <v>0.0597883060557732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0.806671613855395</v>
      </c>
      <c r="O100" s="18">
        <f t="shared" si="94"/>
        <v>0.327156400729231</v>
      </c>
      <c r="P100" s="18">
        <f t="shared" si="81"/>
        <v>0.0195601270149045</v>
      </c>
      <c r="Q100" s="24">
        <f t="shared" si="82"/>
        <v>0.00508563302387516</v>
      </c>
      <c r="R100" s="18">
        <f t="shared" si="83"/>
        <v>0.074022</v>
      </c>
      <c r="S100" s="25">
        <f t="shared" si="84"/>
        <v>0.0687043449768334</v>
      </c>
      <c r="T100" s="3">
        <v>0.01</v>
      </c>
      <c r="U100" s="26">
        <f t="shared" si="85"/>
        <v>0.000687043449768334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0.00617704344976833</v>
      </c>
      <c r="AU100" s="29">
        <f t="shared" si="89"/>
        <v>28.47</v>
      </c>
      <c r="AV100" s="1">
        <f t="shared" si="90"/>
        <v>0.26</v>
      </c>
      <c r="AW100" s="2">
        <f t="shared" si="95"/>
        <v>0.391666666666667</v>
      </c>
      <c r="AX100" s="1">
        <f t="shared" si="91"/>
        <v>119.986638345152</v>
      </c>
      <c r="AZ100" s="2">
        <f t="shared" si="96"/>
        <v>0.0288250186166255</v>
      </c>
      <c r="BA100" s="1">
        <f t="shared" si="92"/>
        <v>8.83051170394552</v>
      </c>
    </row>
    <row r="101" s="1" customFormat="1" spans="1:54">
      <c r="A101" s="13"/>
      <c r="B101" s="13"/>
      <c r="C101" s="16">
        <v>11</v>
      </c>
      <c r="D101" s="19">
        <v>2.45519124266667</v>
      </c>
      <c r="E101" s="20">
        <f t="shared" si="93"/>
        <v>9.78529879480645</v>
      </c>
      <c r="F101" s="16" t="s">
        <v>112</v>
      </c>
      <c r="G101" s="13">
        <v>12</v>
      </c>
      <c r="H101" s="18">
        <f t="shared" si="76"/>
        <v>2.45519124266667</v>
      </c>
      <c r="I101" s="18">
        <f t="shared" si="77"/>
        <v>275.605191242667</v>
      </c>
      <c r="J101" s="18">
        <f t="shared" si="78"/>
        <v>0.023939627091309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0.592296273714327</v>
      </c>
      <c r="P101" s="18">
        <f t="shared" si="81"/>
        <v>0.0141793519202929</v>
      </c>
      <c r="Q101" s="24">
        <f t="shared" si="82"/>
        <v>0.00368663149927615</v>
      </c>
      <c r="R101" s="18">
        <f t="shared" si="83"/>
        <v>0.074022</v>
      </c>
      <c r="S101" s="25">
        <f t="shared" si="84"/>
        <v>0.0498045378303227</v>
      </c>
      <c r="T101" s="3">
        <v>0.01</v>
      </c>
      <c r="U101" s="26">
        <f t="shared" si="85"/>
        <v>0.000498045378303227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0.00598804537830323</v>
      </c>
      <c r="AU101" s="29">
        <f t="shared" si="89"/>
        <v>28.47</v>
      </c>
      <c r="AV101" s="1">
        <f t="shared" si="90"/>
        <v>0.26</v>
      </c>
      <c r="AW101" s="2">
        <f t="shared" si="95"/>
        <v>0.391666666666667</v>
      </c>
      <c r="AX101" s="1">
        <f t="shared" si="91"/>
        <v>116.315425177684</v>
      </c>
      <c r="AY101" s="1">
        <f>SUM(AX90:AX101)</f>
        <v>2393.93024856417</v>
      </c>
      <c r="AZ101" s="2">
        <f t="shared" si="96"/>
        <v>0.0288250186166255</v>
      </c>
      <c r="BA101" s="1">
        <f t="shared" si="92"/>
        <v>8.56032586250412</v>
      </c>
      <c r="BB101" s="1">
        <f>SUM(BA90:BA101)</f>
        <v>176.183193144932</v>
      </c>
    </row>
    <row r="102" s="1" customFormat="1" spans="1:46">
      <c r="A102" s="13"/>
      <c r="B102" s="13"/>
      <c r="C102" s="16">
        <v>12</v>
      </c>
      <c r="D102" s="19">
        <v>-1.68156157680645</v>
      </c>
      <c r="E102" s="20">
        <f t="shared" si="93"/>
        <v>2.45519124266667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3" t="s">
        <v>80</v>
      </c>
      <c r="T103" s="23"/>
      <c r="U103" s="23"/>
      <c r="V103" s="23" t="s">
        <v>81</v>
      </c>
      <c r="W103" s="23"/>
      <c r="X103" s="23"/>
      <c r="Y103" s="23" t="s">
        <v>82</v>
      </c>
      <c r="Z103" s="23"/>
      <c r="AA103" s="23"/>
      <c r="AB103" s="23" t="s">
        <v>83</v>
      </c>
      <c r="AC103" s="23"/>
      <c r="AD103" s="23"/>
      <c r="AE103" s="23" t="s">
        <v>84</v>
      </c>
      <c r="AF103" s="23"/>
      <c r="AG103" s="23"/>
      <c r="AH103" s="23" t="s">
        <v>85</v>
      </c>
      <c r="AI103" s="23"/>
      <c r="AJ103" s="23"/>
      <c r="AK103" s="31" t="s">
        <v>115</v>
      </c>
      <c r="AL103" s="32"/>
      <c r="AM103" s="33"/>
      <c r="AN103" s="32" t="s">
        <v>116</v>
      </c>
      <c r="AO103" s="32"/>
      <c r="AP103" s="33"/>
      <c r="AQ103" s="23" t="s">
        <v>87</v>
      </c>
      <c r="AR103" s="23"/>
      <c r="AS103" s="23"/>
      <c r="AT103" s="2"/>
    </row>
    <row r="104" s="1" customFormat="1" spans="1:50">
      <c r="A104" s="15" t="s">
        <v>52</v>
      </c>
      <c r="B104" s="15"/>
      <c r="C104" s="16" t="s">
        <v>88</v>
      </c>
      <c r="D104" s="16" t="s">
        <v>89</v>
      </c>
      <c r="E104" s="16" t="s">
        <v>90</v>
      </c>
      <c r="F104" s="16" t="s">
        <v>91</v>
      </c>
      <c r="G104" s="13" t="s">
        <v>88</v>
      </c>
      <c r="H104" s="13" t="s">
        <v>90</v>
      </c>
      <c r="I104" s="13" t="s">
        <v>92</v>
      </c>
      <c r="J104" s="13" t="s">
        <v>93</v>
      </c>
      <c r="K104" s="22" t="s">
        <v>94</v>
      </c>
      <c r="L104" s="22" t="s">
        <v>95</v>
      </c>
      <c r="M104" s="13" t="s">
        <v>96</v>
      </c>
      <c r="N104" s="22" t="s">
        <v>97</v>
      </c>
      <c r="O104" s="13" t="s">
        <v>98</v>
      </c>
      <c r="P104" s="13" t="s">
        <v>99</v>
      </c>
      <c r="Q104" s="22" t="s">
        <v>100</v>
      </c>
      <c r="R104" s="22" t="s">
        <v>101</v>
      </c>
      <c r="S104" s="4" t="s">
        <v>102</v>
      </c>
      <c r="T104" s="3" t="s">
        <v>103</v>
      </c>
      <c r="U104" s="3"/>
      <c r="V104" s="4" t="s">
        <v>102</v>
      </c>
      <c r="W104" s="3" t="s">
        <v>103</v>
      </c>
      <c r="X104" s="3"/>
      <c r="Y104" s="4" t="s">
        <v>102</v>
      </c>
      <c r="Z104" s="3" t="s">
        <v>103</v>
      </c>
      <c r="AA104" s="3"/>
      <c r="AB104" s="4" t="s">
        <v>102</v>
      </c>
      <c r="AC104" s="3" t="s">
        <v>103</v>
      </c>
      <c r="AD104" s="3"/>
      <c r="AE104" s="4" t="s">
        <v>102</v>
      </c>
      <c r="AF104" s="3" t="s">
        <v>103</v>
      </c>
      <c r="AG104" s="3"/>
      <c r="AH104" s="4" t="s">
        <v>102</v>
      </c>
      <c r="AI104" s="3" t="s">
        <v>103</v>
      </c>
      <c r="AJ104" s="3"/>
      <c r="AK104" s="4" t="s">
        <v>102</v>
      </c>
      <c r="AL104" s="3" t="s">
        <v>103</v>
      </c>
      <c r="AM104" s="3"/>
      <c r="AN104" s="4" t="s">
        <v>102</v>
      </c>
      <c r="AO104" s="3" t="s">
        <v>103</v>
      </c>
      <c r="AP104" s="3"/>
      <c r="AQ104" s="34" t="s">
        <v>102</v>
      </c>
      <c r="AR104" s="34" t="s">
        <v>103</v>
      </c>
      <c r="AS104" s="34"/>
      <c r="AT104" s="2" t="s">
        <v>104</v>
      </c>
      <c r="AU104" s="1" t="s">
        <v>105</v>
      </c>
      <c r="AV104" s="1" t="s">
        <v>73</v>
      </c>
      <c r="AW104" s="1" t="s">
        <v>106</v>
      </c>
      <c r="AX104" s="1" t="s">
        <v>107</v>
      </c>
    </row>
    <row r="105" s="1" customFormat="1" spans="1:52">
      <c r="A105" s="13" t="s">
        <v>108</v>
      </c>
      <c r="B105" s="13">
        <f>F11</f>
        <v>910.8575</v>
      </c>
      <c r="C105" s="16" t="s">
        <v>109</v>
      </c>
      <c r="D105" s="17">
        <v>-5</v>
      </c>
      <c r="E105" s="16"/>
      <c r="F105" s="16"/>
      <c r="G105" s="13">
        <v>1</v>
      </c>
      <c r="H105" s="18">
        <f t="shared" ref="H105:H116" si="97">E106</f>
        <v>-5</v>
      </c>
      <c r="I105" s="18">
        <f t="shared" ref="I105:I116" si="98">H105+273.15</f>
        <v>268.15</v>
      </c>
      <c r="J105" s="18">
        <f t="shared" ref="J105:J116" si="99">EXP(($C$16*(I105-$C$14))/($C$17*I105*$C$14))</f>
        <v>0.00896487173486583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110</v>
      </c>
      <c r="N105" s="13"/>
      <c r="O105" s="18">
        <f>L105</f>
        <v>0.759047916666667</v>
      </c>
      <c r="P105" s="18">
        <f t="shared" ref="P105:P116" si="102">O105*J105</f>
        <v>0.00680476721353379</v>
      </c>
      <c r="Q105" s="24">
        <f t="shared" ref="Q105:Q116" si="103">P105*$B$107</f>
        <v>0.0014290011148421</v>
      </c>
      <c r="R105" s="18">
        <f t="shared" ref="R105:R116" si="104">L105*$B$107</f>
        <v>0.1594000625</v>
      </c>
      <c r="S105" s="25">
        <f t="shared" ref="S105:S116" si="105">Q105/R105</f>
        <v>0.00896487173486583</v>
      </c>
      <c r="T105" s="3">
        <v>0.01</v>
      </c>
      <c r="U105" s="26">
        <f t="shared" ref="U105:U116" si="106">S105*T105</f>
        <v>8.96487173486583e-5</v>
      </c>
      <c r="V105" s="25"/>
      <c r="W105" s="3"/>
      <c r="X105" s="3"/>
      <c r="Y105" s="28"/>
      <c r="Z105" s="3"/>
      <c r="AA105" s="27"/>
      <c r="AB105" s="3"/>
      <c r="AC105" s="3"/>
      <c r="AD105" s="3"/>
      <c r="AE105" s="25">
        <v>0.001</v>
      </c>
      <c r="AF105" s="3">
        <v>0.49</v>
      </c>
      <c r="AG105" s="26">
        <f t="shared" ref="AG105:AG116" si="107">AF105*AE105</f>
        <v>0.00049</v>
      </c>
      <c r="AH105" s="35"/>
      <c r="AI105" s="3"/>
      <c r="AJ105" s="26"/>
      <c r="AK105" s="36"/>
      <c r="AL105" s="27"/>
      <c r="AM105" s="27"/>
      <c r="AN105" s="36"/>
      <c r="AO105" s="27"/>
      <c r="AP105" s="26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0.00557964871734866</v>
      </c>
      <c r="AU105" s="29">
        <f t="shared" ref="AU105:AU116" si="110">$B$105/12</f>
        <v>75.9047916666667</v>
      </c>
      <c r="AV105" s="1">
        <f t="shared" ref="AV105:AV116" si="111">$B$107</f>
        <v>0.21</v>
      </c>
      <c r="AW105" s="2">
        <f t="shared" ref="AW105:AW116" si="112">$E$11/12</f>
        <v>0.00333333333333333</v>
      </c>
      <c r="AX105" s="1">
        <f t="shared" ref="AX105:AX116" si="113">AW105*10000*AV105*0.67*AU105*AT105</f>
        <v>1.98631852454397</v>
      </c>
      <c r="AZ105" s="2"/>
    </row>
    <row r="106" s="1" customFormat="1" spans="1:52">
      <c r="A106" s="13" t="s">
        <v>111</v>
      </c>
      <c r="B106" s="13">
        <v>1</v>
      </c>
      <c r="C106" s="16">
        <v>1</v>
      </c>
      <c r="D106" s="19">
        <v>-9.037743531</v>
      </c>
      <c r="E106" s="20">
        <f t="shared" ref="E106:E117" si="114">D105</f>
        <v>-5</v>
      </c>
      <c r="F106" s="16" t="s">
        <v>110</v>
      </c>
      <c r="G106" s="13">
        <v>2</v>
      </c>
      <c r="H106" s="18">
        <f t="shared" si="97"/>
        <v>-9.037743531</v>
      </c>
      <c r="I106" s="18">
        <f t="shared" si="98"/>
        <v>264.112256469</v>
      </c>
      <c r="J106" s="18">
        <f t="shared" si="99"/>
        <v>0.0051458583390294</v>
      </c>
      <c r="K106" s="18">
        <f t="shared" si="100"/>
        <v>75.9047916666667</v>
      </c>
      <c r="L106" s="18">
        <f t="shared" si="101"/>
        <v>0.759047916666667</v>
      </c>
      <c r="M106" s="13" t="s">
        <v>110</v>
      </c>
      <c r="N106" s="13"/>
      <c r="O106" s="18">
        <f t="shared" ref="O106:O116" si="115">L106+O105-P105-N106</f>
        <v>1.5112910661198</v>
      </c>
      <c r="P106" s="18">
        <f t="shared" si="102"/>
        <v>0.0077768897352932</v>
      </c>
      <c r="Q106" s="24">
        <f t="shared" si="103"/>
        <v>0.00163314684441157</v>
      </c>
      <c r="R106" s="18">
        <f t="shared" si="104"/>
        <v>0.1594000625</v>
      </c>
      <c r="S106" s="25">
        <f t="shared" si="105"/>
        <v>0.0102455847180836</v>
      </c>
      <c r="T106" s="3">
        <v>0.01</v>
      </c>
      <c r="U106" s="26">
        <f t="shared" si="106"/>
        <v>0.000102455847180836</v>
      </c>
      <c r="V106" s="25"/>
      <c r="W106" s="3"/>
      <c r="X106" s="3"/>
      <c r="Y106" s="28"/>
      <c r="Z106" s="3"/>
      <c r="AA106" s="27"/>
      <c r="AB106" s="3"/>
      <c r="AC106" s="3"/>
      <c r="AD106" s="3"/>
      <c r="AE106" s="25">
        <v>0.001</v>
      </c>
      <c r="AF106" s="3">
        <v>0.49</v>
      </c>
      <c r="AG106" s="26">
        <f t="shared" si="107"/>
        <v>0.00049</v>
      </c>
      <c r="AH106" s="35"/>
      <c r="AI106" s="3"/>
      <c r="AJ106" s="26"/>
      <c r="AK106" s="36"/>
      <c r="AL106" s="27"/>
      <c r="AM106" s="27"/>
      <c r="AN106" s="36"/>
      <c r="AO106" s="27"/>
      <c r="AP106" s="26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0.00559245584718084</v>
      </c>
      <c r="AU106" s="29">
        <f t="shared" si="110"/>
        <v>75.9047916666667</v>
      </c>
      <c r="AV106" s="1">
        <f t="shared" si="111"/>
        <v>0.21</v>
      </c>
      <c r="AW106" s="2">
        <f t="shared" si="112"/>
        <v>0.00333333333333333</v>
      </c>
      <c r="AX106" s="1">
        <f t="shared" si="113"/>
        <v>1.99087777917103</v>
      </c>
      <c r="AZ106" s="2"/>
    </row>
    <row r="107" s="1" customFormat="1" spans="1:52">
      <c r="A107" s="13" t="s">
        <v>73</v>
      </c>
      <c r="B107" s="13">
        <f>H11</f>
        <v>0.21</v>
      </c>
      <c r="C107" s="16">
        <v>2</v>
      </c>
      <c r="D107" s="19">
        <v>-3.95705749586207</v>
      </c>
      <c r="E107" s="20">
        <f t="shared" si="114"/>
        <v>-9.037743531</v>
      </c>
      <c r="F107" s="16" t="s">
        <v>110</v>
      </c>
      <c r="G107" s="13">
        <v>3</v>
      </c>
      <c r="H107" s="18">
        <f t="shared" si="97"/>
        <v>-3.95705749586207</v>
      </c>
      <c r="I107" s="18">
        <f t="shared" si="98"/>
        <v>269.192942504138</v>
      </c>
      <c r="J107" s="18">
        <f t="shared" si="99"/>
        <v>0.0103190793415967</v>
      </c>
      <c r="K107" s="18">
        <f t="shared" si="100"/>
        <v>75.9047916666667</v>
      </c>
      <c r="L107" s="18">
        <f t="shared" si="101"/>
        <v>0.759047916666667</v>
      </c>
      <c r="M107" s="13" t="s">
        <v>110</v>
      </c>
      <c r="N107" s="13"/>
      <c r="O107" s="18">
        <f t="shared" si="115"/>
        <v>2.26256209305117</v>
      </c>
      <c r="P107" s="18">
        <f t="shared" si="102"/>
        <v>0.0233475577534842</v>
      </c>
      <c r="Q107" s="24">
        <f t="shared" si="103"/>
        <v>0.00490298712823167</v>
      </c>
      <c r="R107" s="18">
        <f t="shared" si="104"/>
        <v>0.1594000625</v>
      </c>
      <c r="S107" s="25">
        <f t="shared" si="105"/>
        <v>0.0307590038004638</v>
      </c>
      <c r="T107" s="3">
        <v>0.01</v>
      </c>
      <c r="U107" s="26">
        <f t="shared" si="106"/>
        <v>0.000307590038004638</v>
      </c>
      <c r="V107" s="25"/>
      <c r="W107" s="3"/>
      <c r="X107" s="3"/>
      <c r="Y107" s="28"/>
      <c r="Z107" s="3"/>
      <c r="AA107" s="27"/>
      <c r="AB107" s="3"/>
      <c r="AC107" s="3"/>
      <c r="AD107" s="3"/>
      <c r="AE107" s="25">
        <v>0.001</v>
      </c>
      <c r="AF107" s="3">
        <v>0.49</v>
      </c>
      <c r="AG107" s="26">
        <f t="shared" si="107"/>
        <v>0.00049</v>
      </c>
      <c r="AH107" s="35"/>
      <c r="AI107" s="3"/>
      <c r="AJ107" s="26"/>
      <c r="AK107" s="36"/>
      <c r="AL107" s="27"/>
      <c r="AM107" s="27"/>
      <c r="AN107" s="36"/>
      <c r="AO107" s="27"/>
      <c r="AP107" s="26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0.00579759003800464</v>
      </c>
      <c r="AU107" s="29">
        <f t="shared" si="110"/>
        <v>75.9047916666667</v>
      </c>
      <c r="AV107" s="1">
        <f t="shared" si="111"/>
        <v>0.21</v>
      </c>
      <c r="AW107" s="2">
        <f t="shared" si="112"/>
        <v>0.00333333333333333</v>
      </c>
      <c r="AX107" s="1">
        <f t="shared" si="113"/>
        <v>2.06390421217634</v>
      </c>
      <c r="AZ107" s="2"/>
    </row>
    <row r="108" s="1" customFormat="1" spans="1:52">
      <c r="A108" s="13"/>
      <c r="B108" s="13"/>
      <c r="C108" s="16">
        <v>3</v>
      </c>
      <c r="D108" s="19">
        <v>4.91366883912903</v>
      </c>
      <c r="E108" s="20">
        <f t="shared" si="114"/>
        <v>-3.95705749586207</v>
      </c>
      <c r="F108" s="16" t="s">
        <v>110</v>
      </c>
      <c r="G108" s="13">
        <v>4</v>
      </c>
      <c r="H108" s="18">
        <f t="shared" si="97"/>
        <v>4.91366883912903</v>
      </c>
      <c r="I108" s="18">
        <f t="shared" si="98"/>
        <v>278.063668839129</v>
      </c>
      <c r="J108" s="18">
        <f t="shared" si="99"/>
        <v>0.0327168913818778</v>
      </c>
      <c r="K108" s="18">
        <f t="shared" si="100"/>
        <v>75.9047916666667</v>
      </c>
      <c r="L108" s="18">
        <f t="shared" si="101"/>
        <v>0.759047916666667</v>
      </c>
      <c r="M108" s="13" t="s">
        <v>110</v>
      </c>
      <c r="N108" s="13"/>
      <c r="O108" s="18">
        <f t="shared" si="115"/>
        <v>2.99826245196436</v>
      </c>
      <c r="P108" s="18">
        <f t="shared" si="102"/>
        <v>0.0980938269752804</v>
      </c>
      <c r="Q108" s="24">
        <f t="shared" si="103"/>
        <v>0.0205997036648089</v>
      </c>
      <c r="R108" s="18">
        <f t="shared" si="104"/>
        <v>0.1594000625</v>
      </c>
      <c r="S108" s="25">
        <f t="shared" si="105"/>
        <v>0.129232720123989</v>
      </c>
      <c r="T108" s="3">
        <v>0.01</v>
      </c>
      <c r="U108" s="26">
        <f t="shared" si="106"/>
        <v>0.00129232720123989</v>
      </c>
      <c r="V108" s="25"/>
      <c r="W108" s="3"/>
      <c r="X108" s="3"/>
      <c r="Y108" s="28"/>
      <c r="Z108" s="3"/>
      <c r="AA108" s="27"/>
      <c r="AB108" s="3"/>
      <c r="AC108" s="3"/>
      <c r="AD108" s="3"/>
      <c r="AE108" s="25">
        <v>0.001</v>
      </c>
      <c r="AF108" s="3">
        <v>0.49</v>
      </c>
      <c r="AG108" s="26">
        <f t="shared" si="107"/>
        <v>0.00049</v>
      </c>
      <c r="AH108" s="35"/>
      <c r="AI108" s="3"/>
      <c r="AJ108" s="26"/>
      <c r="AK108" s="36"/>
      <c r="AL108" s="27"/>
      <c r="AM108" s="27"/>
      <c r="AN108" s="36"/>
      <c r="AO108" s="27"/>
      <c r="AP108" s="26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0.00678232720123989</v>
      </c>
      <c r="AU108" s="29">
        <f t="shared" si="110"/>
        <v>75.9047916666667</v>
      </c>
      <c r="AV108" s="1">
        <f t="shared" si="111"/>
        <v>0.21</v>
      </c>
      <c r="AW108" s="2">
        <f t="shared" si="112"/>
        <v>0.00333333333333333</v>
      </c>
      <c r="AX108" s="1">
        <f t="shared" si="113"/>
        <v>2.41446421482657</v>
      </c>
      <c r="AZ108" s="2"/>
    </row>
    <row r="109" s="1" customFormat="1" spans="1:52">
      <c r="A109" s="13"/>
      <c r="B109" s="13"/>
      <c r="C109" s="16">
        <v>4</v>
      </c>
      <c r="D109" s="19">
        <v>12.8313018363333</v>
      </c>
      <c r="E109" s="20">
        <f t="shared" si="114"/>
        <v>4.91366883912903</v>
      </c>
      <c r="F109" s="16" t="s">
        <v>110</v>
      </c>
      <c r="G109" s="13">
        <v>5</v>
      </c>
      <c r="H109" s="18">
        <f t="shared" si="97"/>
        <v>12.8313018363333</v>
      </c>
      <c r="I109" s="18">
        <f t="shared" si="98"/>
        <v>285.981301836333</v>
      </c>
      <c r="J109" s="18">
        <f t="shared" si="99"/>
        <v>0.0862586247960784</v>
      </c>
      <c r="K109" s="18">
        <f t="shared" si="100"/>
        <v>75.9047916666667</v>
      </c>
      <c r="L109" s="18">
        <f t="shared" si="101"/>
        <v>0.759047916666667</v>
      </c>
      <c r="M109" s="13" t="s">
        <v>112</v>
      </c>
      <c r="N109" s="18">
        <f>(O108-P108)*$C$22/100</f>
        <v>2.75516019373962</v>
      </c>
      <c r="O109" s="18">
        <f t="shared" si="115"/>
        <v>0.904056347916121</v>
      </c>
      <c r="P109" s="18">
        <f t="shared" si="102"/>
        <v>0.0779826573094096</v>
      </c>
      <c r="Q109" s="24">
        <f t="shared" si="103"/>
        <v>0.016376358034976</v>
      </c>
      <c r="R109" s="18">
        <f t="shared" si="104"/>
        <v>0.1594000625</v>
      </c>
      <c r="S109" s="25">
        <f t="shared" si="105"/>
        <v>0.102737463073303</v>
      </c>
      <c r="T109" s="3">
        <v>0.01</v>
      </c>
      <c r="U109" s="26">
        <f t="shared" si="106"/>
        <v>0.00102737463073303</v>
      </c>
      <c r="V109" s="25"/>
      <c r="W109" s="3"/>
      <c r="X109" s="3"/>
      <c r="Y109" s="28"/>
      <c r="Z109" s="3"/>
      <c r="AA109" s="27"/>
      <c r="AB109" s="3"/>
      <c r="AC109" s="3"/>
      <c r="AD109" s="3"/>
      <c r="AE109" s="25">
        <v>0.005</v>
      </c>
      <c r="AF109" s="3">
        <v>0.49</v>
      </c>
      <c r="AG109" s="26">
        <f t="shared" si="107"/>
        <v>0.00245</v>
      </c>
      <c r="AH109" s="35"/>
      <c r="AI109" s="3"/>
      <c r="AJ109" s="26"/>
      <c r="AK109" s="36"/>
      <c r="AL109" s="27"/>
      <c r="AM109" s="27"/>
      <c r="AN109" s="36"/>
      <c r="AO109" s="27"/>
      <c r="AP109" s="26"/>
      <c r="AQ109" s="3">
        <v>0.015</v>
      </c>
      <c r="AR109" s="3">
        <v>0.5</v>
      </c>
      <c r="AS109" s="3">
        <f t="shared" si="108"/>
        <v>0.0075</v>
      </c>
      <c r="AT109" s="2">
        <f t="shared" si="109"/>
        <v>0.010977374630733</v>
      </c>
      <c r="AU109" s="29">
        <f t="shared" si="110"/>
        <v>75.9047916666667</v>
      </c>
      <c r="AV109" s="1">
        <f t="shared" si="111"/>
        <v>0.21</v>
      </c>
      <c r="AW109" s="2">
        <f t="shared" si="112"/>
        <v>0.00333333333333333</v>
      </c>
      <c r="AX109" s="1">
        <f t="shared" si="113"/>
        <v>3.90787371830196</v>
      </c>
      <c r="AZ109" s="2"/>
    </row>
    <row r="110" s="1" customFormat="1" spans="1:52">
      <c r="A110" s="13"/>
      <c r="B110" s="13"/>
      <c r="C110" s="16">
        <v>5</v>
      </c>
      <c r="D110" s="19">
        <v>15.0777302204839</v>
      </c>
      <c r="E110" s="20">
        <f t="shared" si="114"/>
        <v>12.8313018363333</v>
      </c>
      <c r="F110" s="16" t="s">
        <v>112</v>
      </c>
      <c r="G110" s="13">
        <v>6</v>
      </c>
      <c r="H110" s="18">
        <f t="shared" si="97"/>
        <v>15.0777302204839</v>
      </c>
      <c r="I110" s="18">
        <f t="shared" si="98"/>
        <v>288.227730220484</v>
      </c>
      <c r="J110" s="18">
        <f t="shared" si="99"/>
        <v>0.112472610851773</v>
      </c>
      <c r="K110" s="18">
        <f t="shared" si="100"/>
        <v>75.9047916666667</v>
      </c>
      <c r="L110" s="18">
        <f t="shared" si="101"/>
        <v>0.759047916666667</v>
      </c>
      <c r="M110" s="13" t="s">
        <v>110</v>
      </c>
      <c r="N110" s="13"/>
      <c r="O110" s="18">
        <f t="shared" si="115"/>
        <v>1.58512160727338</v>
      </c>
      <c r="P110" s="18">
        <f t="shared" si="102"/>
        <v>0.178282765687596</v>
      </c>
      <c r="Q110" s="24">
        <f t="shared" si="103"/>
        <v>0.0374393807943951</v>
      </c>
      <c r="R110" s="18">
        <f t="shared" si="104"/>
        <v>0.1594000625</v>
      </c>
      <c r="S110" s="25">
        <f t="shared" si="105"/>
        <v>0.23487682631489</v>
      </c>
      <c r="T110" s="3">
        <v>0.01</v>
      </c>
      <c r="U110" s="26">
        <f t="shared" si="106"/>
        <v>0.0023487682631489</v>
      </c>
      <c r="V110" s="25"/>
      <c r="W110" s="3"/>
      <c r="X110" s="3"/>
      <c r="Y110" s="28"/>
      <c r="Z110" s="3"/>
      <c r="AA110" s="27"/>
      <c r="AB110" s="3"/>
      <c r="AC110" s="3"/>
      <c r="AD110" s="3"/>
      <c r="AE110" s="25">
        <v>0.005</v>
      </c>
      <c r="AF110" s="3">
        <v>0.49</v>
      </c>
      <c r="AG110" s="26">
        <f t="shared" si="107"/>
        <v>0.00245</v>
      </c>
      <c r="AH110" s="35"/>
      <c r="AI110" s="3"/>
      <c r="AJ110" s="26"/>
      <c r="AK110" s="36"/>
      <c r="AL110" s="27"/>
      <c r="AM110" s="27"/>
      <c r="AN110" s="36"/>
      <c r="AO110" s="27"/>
      <c r="AP110" s="26"/>
      <c r="AQ110" s="3">
        <v>0.015</v>
      </c>
      <c r="AR110" s="3">
        <v>0.5</v>
      </c>
      <c r="AS110" s="3">
        <f t="shared" si="108"/>
        <v>0.0075</v>
      </c>
      <c r="AT110" s="2">
        <f t="shared" si="109"/>
        <v>0.0122987682631489</v>
      </c>
      <c r="AU110" s="29">
        <f t="shared" si="110"/>
        <v>75.9047916666667</v>
      </c>
      <c r="AV110" s="1">
        <f t="shared" si="111"/>
        <v>0.21</v>
      </c>
      <c r="AW110" s="2">
        <f t="shared" si="112"/>
        <v>0.00333333333333333</v>
      </c>
      <c r="AX110" s="1">
        <f t="shared" si="113"/>
        <v>4.37828122659566</v>
      </c>
      <c r="AZ110" s="2"/>
    </row>
    <row r="111" s="1" customFormat="1" spans="1:52">
      <c r="A111" s="13"/>
      <c r="B111" s="13"/>
      <c r="C111" s="16">
        <v>6</v>
      </c>
      <c r="D111" s="19">
        <v>20.9897835623333</v>
      </c>
      <c r="E111" s="20">
        <f t="shared" si="114"/>
        <v>15.0777302204839</v>
      </c>
      <c r="F111" s="16" t="s">
        <v>110</v>
      </c>
      <c r="G111" s="13">
        <v>7</v>
      </c>
      <c r="H111" s="18">
        <f t="shared" si="97"/>
        <v>20.9897835623333</v>
      </c>
      <c r="I111" s="18">
        <f t="shared" si="98"/>
        <v>294.139783562333</v>
      </c>
      <c r="J111" s="18">
        <f t="shared" si="99"/>
        <v>0.221783484093119</v>
      </c>
      <c r="K111" s="18">
        <f t="shared" si="100"/>
        <v>75.9047916666667</v>
      </c>
      <c r="L111" s="18">
        <f t="shared" si="101"/>
        <v>0.759047916666667</v>
      </c>
      <c r="M111" s="13" t="s">
        <v>110</v>
      </c>
      <c r="N111" s="13"/>
      <c r="O111" s="18">
        <f t="shared" si="115"/>
        <v>2.16588675825245</v>
      </c>
      <c r="P111" s="18">
        <f t="shared" si="102"/>
        <v>0.480357911396379</v>
      </c>
      <c r="Q111" s="24">
        <f t="shared" si="103"/>
        <v>0.10087516139324</v>
      </c>
      <c r="R111" s="18">
        <f t="shared" si="104"/>
        <v>0.1594000625</v>
      </c>
      <c r="S111" s="25">
        <f t="shared" si="105"/>
        <v>0.632842671521786</v>
      </c>
      <c r="T111" s="3">
        <v>0.01</v>
      </c>
      <c r="U111" s="26">
        <f t="shared" si="106"/>
        <v>0.00632842671521786</v>
      </c>
      <c r="V111" s="25"/>
      <c r="W111" s="3"/>
      <c r="X111" s="3"/>
      <c r="Y111" s="28"/>
      <c r="Z111" s="3"/>
      <c r="AA111" s="27"/>
      <c r="AB111" s="3"/>
      <c r="AC111" s="3"/>
      <c r="AD111" s="3"/>
      <c r="AE111" s="25">
        <v>0.005</v>
      </c>
      <c r="AF111" s="3">
        <v>0.49</v>
      </c>
      <c r="AG111" s="26">
        <f t="shared" si="107"/>
        <v>0.00245</v>
      </c>
      <c r="AH111" s="35"/>
      <c r="AI111" s="3"/>
      <c r="AJ111" s="26"/>
      <c r="AK111" s="36"/>
      <c r="AL111" s="27"/>
      <c r="AM111" s="27"/>
      <c r="AN111" s="36"/>
      <c r="AO111" s="27"/>
      <c r="AP111" s="26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0.0162784267152179</v>
      </c>
      <c r="AU111" s="29">
        <f t="shared" si="110"/>
        <v>75.9047916666667</v>
      </c>
      <c r="AV111" s="1">
        <f t="shared" si="111"/>
        <v>0.21</v>
      </c>
      <c r="AW111" s="2">
        <f t="shared" si="112"/>
        <v>0.00333333333333333</v>
      </c>
      <c r="AX111" s="1">
        <f t="shared" si="113"/>
        <v>5.79501365996985</v>
      </c>
      <c r="AZ111" s="2"/>
    </row>
    <row r="112" s="1" customFormat="1" spans="1:52">
      <c r="A112" s="13"/>
      <c r="B112" s="13"/>
      <c r="C112" s="16">
        <v>7</v>
      </c>
      <c r="D112" s="19">
        <v>22.9923755835484</v>
      </c>
      <c r="E112" s="20">
        <f t="shared" si="114"/>
        <v>20.9897835623333</v>
      </c>
      <c r="F112" s="16" t="s">
        <v>110</v>
      </c>
      <c r="G112" s="13">
        <v>8</v>
      </c>
      <c r="H112" s="18">
        <f t="shared" si="97"/>
        <v>22.9923755835484</v>
      </c>
      <c r="I112" s="18">
        <f t="shared" si="98"/>
        <v>296.142375583548</v>
      </c>
      <c r="J112" s="18">
        <f t="shared" si="99"/>
        <v>0.277424818325858</v>
      </c>
      <c r="K112" s="18">
        <f t="shared" si="100"/>
        <v>75.9047916666667</v>
      </c>
      <c r="L112" s="18">
        <f t="shared" si="101"/>
        <v>0.759047916666667</v>
      </c>
      <c r="M112" s="13" t="s">
        <v>110</v>
      </c>
      <c r="N112" s="13"/>
      <c r="O112" s="18">
        <f t="shared" si="115"/>
        <v>2.44457676352274</v>
      </c>
      <c r="P112" s="18">
        <f t="shared" si="102"/>
        <v>0.678186264503909</v>
      </c>
      <c r="Q112" s="24">
        <f t="shared" si="103"/>
        <v>0.142419115545821</v>
      </c>
      <c r="R112" s="18">
        <f t="shared" si="104"/>
        <v>0.1594000625</v>
      </c>
      <c r="S112" s="25">
        <f t="shared" si="105"/>
        <v>0.893469634278349</v>
      </c>
      <c r="T112" s="3">
        <v>0.01</v>
      </c>
      <c r="U112" s="26">
        <f t="shared" si="106"/>
        <v>0.00893469634278349</v>
      </c>
      <c r="V112" s="25"/>
      <c r="W112" s="3"/>
      <c r="X112" s="3"/>
      <c r="Y112" s="28"/>
      <c r="Z112" s="3"/>
      <c r="AA112" s="27"/>
      <c r="AB112" s="3"/>
      <c r="AC112" s="3"/>
      <c r="AD112" s="3"/>
      <c r="AE112" s="25">
        <v>0.005</v>
      </c>
      <c r="AF112" s="3">
        <v>0.49</v>
      </c>
      <c r="AG112" s="26">
        <f t="shared" si="107"/>
        <v>0.00245</v>
      </c>
      <c r="AH112" s="35"/>
      <c r="AI112" s="3"/>
      <c r="AJ112" s="26"/>
      <c r="AK112" s="36"/>
      <c r="AL112" s="27"/>
      <c r="AM112" s="27"/>
      <c r="AN112" s="36"/>
      <c r="AO112" s="27"/>
      <c r="AP112" s="26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0.0188846963427835</v>
      </c>
      <c r="AU112" s="29">
        <f t="shared" si="110"/>
        <v>75.9047916666667</v>
      </c>
      <c r="AV112" s="1">
        <f t="shared" si="111"/>
        <v>0.21</v>
      </c>
      <c r="AW112" s="2">
        <f t="shared" si="112"/>
        <v>0.00333333333333333</v>
      </c>
      <c r="AX112" s="1">
        <f t="shared" si="113"/>
        <v>6.72282863604417</v>
      </c>
      <c r="AZ112" s="2"/>
    </row>
    <row r="113" s="1" customFormat="1" spans="1:52">
      <c r="A113" s="13"/>
      <c r="B113" s="13"/>
      <c r="C113" s="16">
        <v>8</v>
      </c>
      <c r="D113" s="19">
        <v>22.5017375074194</v>
      </c>
      <c r="E113" s="20">
        <f t="shared" si="114"/>
        <v>22.9923755835484</v>
      </c>
      <c r="F113" s="16" t="s">
        <v>110</v>
      </c>
      <c r="G113" s="13">
        <v>9</v>
      </c>
      <c r="H113" s="18">
        <f t="shared" si="97"/>
        <v>22.5017375074194</v>
      </c>
      <c r="I113" s="18">
        <f t="shared" si="98"/>
        <v>295.651737507419</v>
      </c>
      <c r="J113" s="18">
        <f t="shared" si="99"/>
        <v>0.262693315322674</v>
      </c>
      <c r="K113" s="18">
        <f t="shared" si="100"/>
        <v>75.9047916666667</v>
      </c>
      <c r="L113" s="18">
        <f t="shared" si="101"/>
        <v>0.759047916666667</v>
      </c>
      <c r="M113" s="13" t="s">
        <v>110</v>
      </c>
      <c r="N113" s="13"/>
      <c r="O113" s="18">
        <f t="shared" si="115"/>
        <v>2.52543841568549</v>
      </c>
      <c r="P113" s="18">
        <f t="shared" si="102"/>
        <v>0.663415790059664</v>
      </c>
      <c r="Q113" s="24">
        <f t="shared" si="103"/>
        <v>0.139317315912529</v>
      </c>
      <c r="R113" s="18">
        <f t="shared" si="104"/>
        <v>0.1594000625</v>
      </c>
      <c r="S113" s="25">
        <f t="shared" si="105"/>
        <v>0.87401042212596</v>
      </c>
      <c r="T113" s="3">
        <v>0.01</v>
      </c>
      <c r="U113" s="26">
        <f t="shared" si="106"/>
        <v>0.0087401042212596</v>
      </c>
      <c r="V113" s="25"/>
      <c r="W113" s="3"/>
      <c r="X113" s="3"/>
      <c r="Y113" s="28"/>
      <c r="Z113" s="3"/>
      <c r="AA113" s="27"/>
      <c r="AB113" s="3"/>
      <c r="AC113" s="3"/>
      <c r="AD113" s="3"/>
      <c r="AE113" s="25">
        <v>0.005</v>
      </c>
      <c r="AF113" s="3">
        <v>0.49</v>
      </c>
      <c r="AG113" s="26">
        <f t="shared" si="107"/>
        <v>0.00245</v>
      </c>
      <c r="AH113" s="35"/>
      <c r="AI113" s="3"/>
      <c r="AJ113" s="26"/>
      <c r="AK113" s="36"/>
      <c r="AL113" s="27"/>
      <c r="AM113" s="27"/>
      <c r="AN113" s="36"/>
      <c r="AO113" s="27"/>
      <c r="AP113" s="26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0.0186901042212596</v>
      </c>
      <c r="AU113" s="29">
        <f t="shared" si="110"/>
        <v>75.9047916666667</v>
      </c>
      <c r="AV113" s="1">
        <f t="shared" si="111"/>
        <v>0.21</v>
      </c>
      <c r="AW113" s="2">
        <f t="shared" si="112"/>
        <v>0.00333333333333333</v>
      </c>
      <c r="AX113" s="1">
        <f t="shared" si="113"/>
        <v>6.65355511090066</v>
      </c>
      <c r="AZ113" s="2"/>
    </row>
    <row r="114" s="1" customFormat="1" spans="1:52">
      <c r="A114" s="13"/>
      <c r="B114" s="13"/>
      <c r="C114" s="16">
        <v>9</v>
      </c>
      <c r="D114" s="19">
        <v>16.7248684407333</v>
      </c>
      <c r="E114" s="20">
        <f t="shared" si="114"/>
        <v>22.5017375074194</v>
      </c>
      <c r="F114" s="16" t="s">
        <v>110</v>
      </c>
      <c r="G114" s="13">
        <v>10</v>
      </c>
      <c r="H114" s="18">
        <f t="shared" si="97"/>
        <v>16.7248684407333</v>
      </c>
      <c r="I114" s="18">
        <f t="shared" si="98"/>
        <v>289.874868440733</v>
      </c>
      <c r="J114" s="18">
        <f t="shared" si="99"/>
        <v>0.13627361733626</v>
      </c>
      <c r="K114" s="18">
        <f t="shared" si="100"/>
        <v>75.9047916666667</v>
      </c>
      <c r="L114" s="18">
        <f t="shared" si="101"/>
        <v>0.759047916666667</v>
      </c>
      <c r="M114" s="13" t="s">
        <v>110</v>
      </c>
      <c r="N114" s="13"/>
      <c r="O114" s="18">
        <f t="shared" si="115"/>
        <v>2.6210705422925</v>
      </c>
      <c r="P114" s="18">
        <f t="shared" si="102"/>
        <v>0.357182764091711</v>
      </c>
      <c r="Q114" s="24">
        <f t="shared" si="103"/>
        <v>0.0750083804592594</v>
      </c>
      <c r="R114" s="18">
        <f t="shared" si="104"/>
        <v>0.1594000625</v>
      </c>
      <c r="S114" s="25">
        <f t="shared" si="105"/>
        <v>0.470566819628815</v>
      </c>
      <c r="T114" s="3">
        <v>0.01</v>
      </c>
      <c r="U114" s="26">
        <f t="shared" si="106"/>
        <v>0.00470566819628815</v>
      </c>
      <c r="V114" s="25"/>
      <c r="W114" s="3"/>
      <c r="X114" s="3"/>
      <c r="Y114" s="28"/>
      <c r="Z114" s="3"/>
      <c r="AA114" s="27"/>
      <c r="AB114" s="3"/>
      <c r="AC114" s="3"/>
      <c r="AD114" s="3"/>
      <c r="AE114" s="25">
        <v>0.001</v>
      </c>
      <c r="AF114" s="3">
        <v>0.49</v>
      </c>
      <c r="AG114" s="26">
        <f t="shared" si="107"/>
        <v>0.00049</v>
      </c>
      <c r="AH114" s="35"/>
      <c r="AI114" s="3"/>
      <c r="AJ114" s="26"/>
      <c r="AK114" s="36"/>
      <c r="AL114" s="27"/>
      <c r="AM114" s="27"/>
      <c r="AN114" s="36"/>
      <c r="AO114" s="27"/>
      <c r="AP114" s="26"/>
      <c r="AQ114" s="3">
        <v>0.01</v>
      </c>
      <c r="AR114" s="3">
        <v>0.5</v>
      </c>
      <c r="AS114" s="3">
        <f t="shared" si="108"/>
        <v>0.005</v>
      </c>
      <c r="AT114" s="2">
        <f t="shared" si="109"/>
        <v>0.0101956681962882</v>
      </c>
      <c r="AU114" s="29">
        <f t="shared" si="110"/>
        <v>75.9047916666667</v>
      </c>
      <c r="AV114" s="1">
        <f t="shared" si="111"/>
        <v>0.21</v>
      </c>
      <c r="AW114" s="2">
        <f t="shared" si="112"/>
        <v>0.00333333333333333</v>
      </c>
      <c r="AX114" s="1">
        <f t="shared" si="113"/>
        <v>3.62959132990263</v>
      </c>
      <c r="AZ114" s="2"/>
    </row>
    <row r="115" s="1" customFormat="1" spans="1:52">
      <c r="A115" s="13"/>
      <c r="B115" s="13"/>
      <c r="C115" s="16">
        <v>10</v>
      </c>
      <c r="D115" s="19">
        <v>9.78529879480645</v>
      </c>
      <c r="E115" s="20">
        <f t="shared" si="114"/>
        <v>16.7248684407333</v>
      </c>
      <c r="F115" s="16" t="s">
        <v>110</v>
      </c>
      <c r="G115" s="13">
        <v>11</v>
      </c>
      <c r="H115" s="18">
        <f t="shared" si="97"/>
        <v>9.78529879480645</v>
      </c>
      <c r="I115" s="18">
        <f t="shared" si="98"/>
        <v>282.935298794806</v>
      </c>
      <c r="J115" s="18">
        <f t="shared" si="99"/>
        <v>0.0597883060557732</v>
      </c>
      <c r="K115" s="18">
        <f t="shared" si="100"/>
        <v>75.9047916666667</v>
      </c>
      <c r="L115" s="18">
        <f t="shared" si="101"/>
        <v>0.759047916666667</v>
      </c>
      <c r="M115" s="13" t="s">
        <v>112</v>
      </c>
      <c r="N115" s="18">
        <f>(O114-P114)*$C$22/100</f>
        <v>2.15069338929075</v>
      </c>
      <c r="O115" s="18">
        <f t="shared" si="115"/>
        <v>0.872242305576706</v>
      </c>
      <c r="P115" s="18">
        <f t="shared" si="102"/>
        <v>0.0521498899206134</v>
      </c>
      <c r="Q115" s="24">
        <f t="shared" si="103"/>
        <v>0.0109514768833288</v>
      </c>
      <c r="R115" s="18">
        <f t="shared" si="104"/>
        <v>0.1594000625</v>
      </c>
      <c r="S115" s="25">
        <f t="shared" si="105"/>
        <v>0.0687043449768334</v>
      </c>
      <c r="T115" s="3">
        <v>0.01</v>
      </c>
      <c r="U115" s="26">
        <f t="shared" si="106"/>
        <v>0.000687043449768334</v>
      </c>
      <c r="V115" s="25"/>
      <c r="W115" s="3"/>
      <c r="X115" s="3"/>
      <c r="Y115" s="28"/>
      <c r="Z115" s="3"/>
      <c r="AA115" s="27"/>
      <c r="AB115" s="3"/>
      <c r="AC115" s="3"/>
      <c r="AD115" s="3"/>
      <c r="AE115" s="25">
        <v>0.001</v>
      </c>
      <c r="AF115" s="3">
        <v>0.49</v>
      </c>
      <c r="AG115" s="26">
        <f t="shared" si="107"/>
        <v>0.00049</v>
      </c>
      <c r="AH115" s="35"/>
      <c r="AI115" s="3"/>
      <c r="AJ115" s="26"/>
      <c r="AK115" s="36"/>
      <c r="AL115" s="27"/>
      <c r="AM115" s="27"/>
      <c r="AN115" s="36"/>
      <c r="AO115" s="27"/>
      <c r="AP115" s="26"/>
      <c r="AQ115" s="3">
        <v>0.01</v>
      </c>
      <c r="AR115" s="3">
        <v>0.5</v>
      </c>
      <c r="AS115" s="3">
        <f t="shared" si="108"/>
        <v>0.005</v>
      </c>
      <c r="AT115" s="2">
        <f t="shared" si="109"/>
        <v>0.00617704344976833</v>
      </c>
      <c r="AU115" s="29">
        <f t="shared" si="110"/>
        <v>75.9047916666667</v>
      </c>
      <c r="AV115" s="1">
        <f t="shared" si="111"/>
        <v>0.21</v>
      </c>
      <c r="AW115" s="2">
        <f t="shared" si="112"/>
        <v>0.00333333333333333</v>
      </c>
      <c r="AX115" s="1">
        <f t="shared" si="113"/>
        <v>2.19898715004018</v>
      </c>
      <c r="AZ115" s="2"/>
    </row>
    <row r="116" s="1" customFormat="1" spans="1:52">
      <c r="A116" s="13"/>
      <c r="B116" s="13"/>
      <c r="C116" s="16">
        <v>11</v>
      </c>
      <c r="D116" s="19">
        <v>2.45519124266667</v>
      </c>
      <c r="E116" s="20">
        <f t="shared" si="114"/>
        <v>9.78529879480645</v>
      </c>
      <c r="F116" s="16" t="s">
        <v>112</v>
      </c>
      <c r="G116" s="13">
        <v>12</v>
      </c>
      <c r="H116" s="18">
        <f t="shared" si="97"/>
        <v>2.45519124266667</v>
      </c>
      <c r="I116" s="18">
        <f t="shared" si="98"/>
        <v>275.605191242667</v>
      </c>
      <c r="J116" s="18">
        <f t="shared" si="99"/>
        <v>0.023939627091309</v>
      </c>
      <c r="K116" s="18">
        <f t="shared" si="100"/>
        <v>75.9047916666667</v>
      </c>
      <c r="L116" s="18">
        <f t="shared" si="101"/>
        <v>0.759047916666667</v>
      </c>
      <c r="M116" s="13" t="s">
        <v>110</v>
      </c>
      <c r="N116" s="13"/>
      <c r="O116" s="18">
        <f t="shared" si="115"/>
        <v>1.57914033232276</v>
      </c>
      <c r="P116" s="18">
        <f t="shared" si="102"/>
        <v>0.0378040306806526</v>
      </c>
      <c r="Q116" s="24">
        <f t="shared" si="103"/>
        <v>0.00793884644293705</v>
      </c>
      <c r="R116" s="18">
        <f t="shared" si="104"/>
        <v>0.1594000625</v>
      </c>
      <c r="S116" s="25">
        <f t="shared" si="105"/>
        <v>0.0498045378303227</v>
      </c>
      <c r="T116" s="3">
        <v>0.01</v>
      </c>
      <c r="U116" s="26">
        <f t="shared" si="106"/>
        <v>0.000498045378303227</v>
      </c>
      <c r="V116" s="25"/>
      <c r="W116" s="3"/>
      <c r="X116" s="3"/>
      <c r="Y116" s="28"/>
      <c r="Z116" s="3"/>
      <c r="AA116" s="27"/>
      <c r="AB116" s="3"/>
      <c r="AC116" s="3"/>
      <c r="AD116" s="3"/>
      <c r="AE116" s="25">
        <v>0.001</v>
      </c>
      <c r="AF116" s="3">
        <v>0.49</v>
      </c>
      <c r="AG116" s="26">
        <f t="shared" si="107"/>
        <v>0.00049</v>
      </c>
      <c r="AH116" s="35"/>
      <c r="AI116" s="3"/>
      <c r="AJ116" s="26"/>
      <c r="AK116" s="36"/>
      <c r="AL116" s="27"/>
      <c r="AM116" s="27"/>
      <c r="AN116" s="36"/>
      <c r="AO116" s="27"/>
      <c r="AP116" s="26"/>
      <c r="AQ116" s="3">
        <v>0.01</v>
      </c>
      <c r="AR116" s="3">
        <v>0.5</v>
      </c>
      <c r="AS116" s="3">
        <f t="shared" si="108"/>
        <v>0.005</v>
      </c>
      <c r="AT116" s="2">
        <f t="shared" si="109"/>
        <v>0.00598804537830323</v>
      </c>
      <c r="AU116" s="29">
        <f t="shared" si="110"/>
        <v>75.9047916666667</v>
      </c>
      <c r="AV116" s="1">
        <f t="shared" si="111"/>
        <v>0.21</v>
      </c>
      <c r="AW116" s="2">
        <f t="shared" si="112"/>
        <v>0.00333333333333333</v>
      </c>
      <c r="AX116" s="1">
        <f t="shared" si="113"/>
        <v>2.13170507020476</v>
      </c>
      <c r="AY116" s="1">
        <f>SUM(AX105:AX116)</f>
        <v>43.8734006326778</v>
      </c>
      <c r="AZ116" s="2"/>
    </row>
    <row r="117" s="1" customFormat="1" spans="1:46">
      <c r="A117" s="13"/>
      <c r="B117" s="13"/>
      <c r="C117" s="16">
        <v>12</v>
      </c>
      <c r="D117" s="19">
        <v>-1.68156157680645</v>
      </c>
      <c r="E117" s="20">
        <f t="shared" si="114"/>
        <v>2.45519124266667</v>
      </c>
      <c r="F117" s="16" t="s">
        <v>110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topLeftCell="A2" workbookViewId="0">
      <pane xSplit="4" topLeftCell="E1" activePane="topRight" state="frozen"/>
      <selection/>
      <selection pane="topRight" activeCell="E15" sqref="E1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73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41</v>
      </c>
      <c r="B2" s="5" t="s">
        <v>42</v>
      </c>
      <c r="C2" s="3"/>
      <c r="D2" s="3"/>
      <c r="E2" s="6">
        <v>666.05694834877</v>
      </c>
      <c r="F2" s="3">
        <v>1069.523</v>
      </c>
      <c r="G2" s="7">
        <f>(F2+F3+F4)/3</f>
        <v>1386.35516666667</v>
      </c>
      <c r="H2" s="3">
        <v>0.13</v>
      </c>
      <c r="I2" s="21">
        <f>(H2+H3+H4)/3</f>
        <v>0.156666666666667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43</v>
      </c>
      <c r="C3" s="3"/>
      <c r="D3" s="3"/>
      <c r="E3" s="8"/>
      <c r="F3" s="3">
        <v>1433.9025</v>
      </c>
      <c r="G3" s="9"/>
      <c r="H3" s="3">
        <v>0.24</v>
      </c>
      <c r="I3" s="21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44</v>
      </c>
      <c r="C4" s="3"/>
      <c r="D4" s="3"/>
      <c r="E4" s="10"/>
      <c r="F4" s="3">
        <v>1655.64</v>
      </c>
      <c r="G4" s="11"/>
      <c r="H4" s="3">
        <v>0.1</v>
      </c>
      <c r="I4" s="2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45</v>
      </c>
      <c r="B5" s="5" t="s">
        <v>46</v>
      </c>
      <c r="C5" s="3"/>
      <c r="D5" s="3"/>
      <c r="E5" s="6">
        <v>6736.97095890411</v>
      </c>
      <c r="F5" s="3">
        <v>91.104</v>
      </c>
      <c r="G5" s="7">
        <f>(F5+F6)/2</f>
        <v>92.50925</v>
      </c>
      <c r="H5" s="3">
        <v>0.18</v>
      </c>
      <c r="I5" s="21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47</v>
      </c>
      <c r="C6" s="3"/>
      <c r="D6" s="3"/>
      <c r="E6" s="10"/>
      <c r="F6" s="3">
        <v>93.9145</v>
      </c>
      <c r="G6" s="11"/>
      <c r="H6" s="3">
        <v>0.19</v>
      </c>
      <c r="I6" s="2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48</v>
      </c>
      <c r="B7" s="5"/>
      <c r="C7" s="3"/>
      <c r="D7" s="3"/>
      <c r="E7" s="12">
        <v>631.764930816121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49</v>
      </c>
      <c r="B8" s="5"/>
      <c r="C8" s="3"/>
      <c r="D8" s="3"/>
      <c r="E8" s="12">
        <v>61.6365851923853</v>
      </c>
      <c r="F8" s="3">
        <v>625.464</v>
      </c>
      <c r="G8" s="3"/>
      <c r="H8" s="3">
        <v>0.3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50</v>
      </c>
      <c r="B9" s="5"/>
      <c r="C9" s="3"/>
      <c r="D9" s="3"/>
      <c r="E9" s="12">
        <v>17.0742956345639</v>
      </c>
      <c r="F9" s="3">
        <v>341.64</v>
      </c>
      <c r="G9" s="3"/>
      <c r="H9" s="3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51</v>
      </c>
      <c r="B10" s="5"/>
      <c r="C10" s="3"/>
      <c r="D10" s="3"/>
      <c r="E10" s="12">
        <v>0.111378706384122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52</v>
      </c>
      <c r="B11" s="5"/>
      <c r="C11" s="3"/>
      <c r="D11" s="3"/>
      <c r="E11" s="12">
        <v>11.5497038118809</v>
      </c>
      <c r="F11" s="3">
        <v>910.8575</v>
      </c>
      <c r="G11" s="3"/>
      <c r="H11" s="3">
        <v>0.26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55</v>
      </c>
      <c r="B14" s="13" t="s">
        <v>56</v>
      </c>
      <c r="C14" s="13">
        <v>308.16</v>
      </c>
      <c r="D14" s="13"/>
      <c r="E14" s="13"/>
      <c r="F14" s="13"/>
      <c r="G14" s="14" t="s">
        <v>57</v>
      </c>
      <c r="H14" s="14" t="s">
        <v>58</v>
      </c>
      <c r="I14" s="14">
        <f>AV38+AV53+BB69+AY85+AY101+BB101+AY116+AG69</f>
        <v>22156610.2667569</v>
      </c>
      <c r="J14" s="14" t="s">
        <v>35</v>
      </c>
      <c r="K14" s="14">
        <f>I14/(10000*1000)</f>
        <v>2.21566102667569</v>
      </c>
      <c r="L14" s="14" t="s">
        <v>59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60</v>
      </c>
      <c r="B15" s="13" t="s">
        <v>56</v>
      </c>
      <c r="C15" s="13"/>
      <c r="D15" s="13"/>
      <c r="E15" s="13"/>
      <c r="F15" s="13"/>
      <c r="G15" s="14"/>
      <c r="H15" s="14" t="s">
        <v>61</v>
      </c>
      <c r="I15" s="14">
        <v>42115724.2660346</v>
      </c>
      <c r="J15" s="14" t="s">
        <v>35</v>
      </c>
      <c r="K15" s="14">
        <f>I15/(10000*1000)</f>
        <v>4.21157242660346</v>
      </c>
      <c r="L15" s="14" t="s">
        <v>59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62</v>
      </c>
      <c r="B16" s="13" t="s">
        <v>63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64</v>
      </c>
      <c r="B17" s="13" t="s">
        <v>65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122</v>
      </c>
      <c r="AT17" s="2"/>
    </row>
    <row r="18" s="1" customFormat="1" spans="1:46">
      <c r="A18" s="13" t="s">
        <v>67</v>
      </c>
      <c r="B18" s="13" t="s">
        <v>68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70</v>
      </c>
      <c r="B19" s="13" t="s">
        <v>68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73</v>
      </c>
      <c r="B20" s="13" t="s">
        <v>74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75</v>
      </c>
      <c r="B21" s="13" t="s">
        <v>76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77</v>
      </c>
      <c r="B22" s="13" t="s">
        <v>72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78</v>
      </c>
      <c r="B23" s="13" t="s">
        <v>79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3" t="s">
        <v>80</v>
      </c>
      <c r="T25" s="23"/>
      <c r="U25" s="23"/>
      <c r="V25" s="23" t="s">
        <v>81</v>
      </c>
      <c r="W25" s="23"/>
      <c r="X25" s="23"/>
      <c r="Y25" s="23" t="s">
        <v>82</v>
      </c>
      <c r="Z25" s="23"/>
      <c r="AA25" s="23"/>
      <c r="AB25" s="23" t="s">
        <v>83</v>
      </c>
      <c r="AC25" s="23"/>
      <c r="AD25" s="23"/>
      <c r="AE25" s="23" t="s">
        <v>84</v>
      </c>
      <c r="AF25" s="23"/>
      <c r="AG25" s="23"/>
      <c r="AH25" s="23" t="s">
        <v>85</v>
      </c>
      <c r="AI25" s="23"/>
      <c r="AJ25" s="23"/>
      <c r="AK25" s="31" t="s">
        <v>86</v>
      </c>
      <c r="AL25" s="32"/>
      <c r="AM25" s="33"/>
      <c r="AN25" s="23" t="s">
        <v>87</v>
      </c>
      <c r="AO25" s="23"/>
      <c r="AP25" s="23"/>
      <c r="AT25" s="2"/>
    </row>
    <row r="26" s="1" customFormat="1" spans="1:47">
      <c r="A26" s="15" t="s">
        <v>41</v>
      </c>
      <c r="B26" s="15"/>
      <c r="C26" s="16" t="s">
        <v>88</v>
      </c>
      <c r="D26" s="16" t="s">
        <v>89</v>
      </c>
      <c r="E26" s="16" t="s">
        <v>90</v>
      </c>
      <c r="F26" s="16" t="s">
        <v>91</v>
      </c>
      <c r="G26" s="13" t="s">
        <v>88</v>
      </c>
      <c r="H26" s="13" t="s">
        <v>90</v>
      </c>
      <c r="I26" s="13" t="s">
        <v>92</v>
      </c>
      <c r="J26" s="13" t="s">
        <v>93</v>
      </c>
      <c r="K26" s="22" t="s">
        <v>94</v>
      </c>
      <c r="L26" s="22" t="s">
        <v>95</v>
      </c>
      <c r="M26" s="13" t="s">
        <v>96</v>
      </c>
      <c r="N26" s="22" t="s">
        <v>97</v>
      </c>
      <c r="O26" s="13" t="s">
        <v>98</v>
      </c>
      <c r="P26" s="13" t="s">
        <v>99</v>
      </c>
      <c r="Q26" s="22" t="s">
        <v>100</v>
      </c>
      <c r="R26" s="22" t="s">
        <v>101</v>
      </c>
      <c r="S26" s="4" t="s">
        <v>102</v>
      </c>
      <c r="T26" s="3" t="s">
        <v>103</v>
      </c>
      <c r="U26" s="3"/>
      <c r="V26" s="4" t="s">
        <v>102</v>
      </c>
      <c r="W26" s="3" t="s">
        <v>103</v>
      </c>
      <c r="X26" s="3"/>
      <c r="Y26" s="4" t="s">
        <v>102</v>
      </c>
      <c r="Z26" s="3" t="s">
        <v>103</v>
      </c>
      <c r="AA26" s="3"/>
      <c r="AB26" s="4" t="s">
        <v>102</v>
      </c>
      <c r="AC26" s="3" t="s">
        <v>103</v>
      </c>
      <c r="AD26" s="3"/>
      <c r="AE26" s="4" t="s">
        <v>102</v>
      </c>
      <c r="AF26" s="3" t="s">
        <v>103</v>
      </c>
      <c r="AG26" s="3"/>
      <c r="AH26" s="4" t="s">
        <v>102</v>
      </c>
      <c r="AI26" s="3" t="s">
        <v>103</v>
      </c>
      <c r="AJ26" s="3"/>
      <c r="AK26" s="4" t="s">
        <v>102</v>
      </c>
      <c r="AL26" s="3" t="s">
        <v>103</v>
      </c>
      <c r="AM26" s="3"/>
      <c r="AN26" s="34" t="s">
        <v>102</v>
      </c>
      <c r="AO26" s="34" t="s">
        <v>103</v>
      </c>
      <c r="AP26" s="34"/>
      <c r="AQ26" s="1" t="s">
        <v>104</v>
      </c>
      <c r="AR26" s="1" t="s">
        <v>105</v>
      </c>
      <c r="AS26" s="1" t="s">
        <v>73</v>
      </c>
      <c r="AT26" s="2" t="s">
        <v>106</v>
      </c>
      <c r="AU26" s="1" t="s">
        <v>107</v>
      </c>
    </row>
    <row r="27" s="1" customFormat="1" spans="1:47">
      <c r="A27" s="13" t="s">
        <v>108</v>
      </c>
      <c r="B27" s="13">
        <f>G2</f>
        <v>1386.35516666667</v>
      </c>
      <c r="C27" s="16" t="s">
        <v>109</v>
      </c>
      <c r="D27" s="17">
        <v>-9</v>
      </c>
      <c r="E27" s="16"/>
      <c r="F27" s="16"/>
      <c r="G27" s="13">
        <v>1</v>
      </c>
      <c r="H27" s="18">
        <f t="shared" ref="H27:H38" si="0">E28</f>
        <v>-9</v>
      </c>
      <c r="I27" s="18">
        <f t="shared" ref="I27:I38" si="1">H27+273.15</f>
        <v>264.15</v>
      </c>
      <c r="J27" s="18">
        <f t="shared" ref="J27:J38" si="2">EXP(($C$16*(I27-$C$14))/($C$17*I27*$C$14))</f>
        <v>0.0051730365778654</v>
      </c>
      <c r="K27" s="18">
        <f t="shared" ref="K27:K38" si="3">$B$27/12</f>
        <v>115.529597222222</v>
      </c>
      <c r="L27" s="18">
        <f t="shared" ref="L27:L38" si="4">K27*$B$28/100</f>
        <v>1.15529597222222</v>
      </c>
      <c r="M27" s="13" t="s">
        <v>110</v>
      </c>
      <c r="N27" s="13"/>
      <c r="O27" s="18">
        <f>L27</f>
        <v>1.15529597222222</v>
      </c>
      <c r="P27" s="18">
        <f t="shared" ref="P27:P38" si="5">O27*J27</f>
        <v>0.00597638832256612</v>
      </c>
      <c r="Q27" s="24">
        <f t="shared" ref="Q27:Q38" si="6">P27*$B$29</f>
        <v>0.000936300837202026</v>
      </c>
      <c r="R27" s="18">
        <f t="shared" ref="R27:R38" si="7">L27*$B$29</f>
        <v>0.180996368981481</v>
      </c>
      <c r="S27" s="25">
        <f t="shared" ref="S27:S38" si="8">Q27/R27</f>
        <v>0.0051730365778654</v>
      </c>
      <c r="T27" s="3">
        <v>0.01</v>
      </c>
      <c r="U27" s="26">
        <f t="shared" ref="U27:U38" si="9">S27*T27</f>
        <v>5.1730365778654e-5</v>
      </c>
      <c r="V27" s="25"/>
      <c r="W27" s="3"/>
      <c r="X27" s="26"/>
      <c r="Y27" s="28">
        <v>0.02</v>
      </c>
      <c r="Z27" s="3">
        <v>0.21</v>
      </c>
      <c r="AA27" s="27">
        <f t="shared" ref="AA27:AA38" si="10">Y27*Z27</f>
        <v>0.0042</v>
      </c>
      <c r="AB27" s="3">
        <v>0.01</v>
      </c>
      <c r="AC27" s="3">
        <v>0.29</v>
      </c>
      <c r="AD27" s="27">
        <f t="shared" ref="AD27:AD38" si="11">AB27*AC27</f>
        <v>0.0029</v>
      </c>
      <c r="AE27" s="25"/>
      <c r="AF27" s="3"/>
      <c r="AG27" s="26"/>
      <c r="AH27" s="25"/>
      <c r="AI27" s="3"/>
      <c r="AJ27" s="26"/>
      <c r="AK27" s="1">
        <v>0.1</v>
      </c>
      <c r="AL27" s="27">
        <v>0.11</v>
      </c>
      <c r="AM27" s="27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0.0219517303657787</v>
      </c>
      <c r="AR27" s="29">
        <f t="shared" ref="AR27:AR38" si="15">$B$27/12</f>
        <v>115.529597222222</v>
      </c>
      <c r="AS27" s="1">
        <f t="shared" ref="AS27:AS38" si="16">$B$29</f>
        <v>0.156666666666667</v>
      </c>
      <c r="AT27" s="2">
        <f>$E$2/12</f>
        <v>55.5047456957308</v>
      </c>
      <c r="AU27" s="1">
        <f t="shared" ref="AU27:AU38" si="17">AT27*10000*AS27*0.67*AR27*AQ27</f>
        <v>147755.461239284</v>
      </c>
    </row>
    <row r="28" s="1" customFormat="1" spans="1:47">
      <c r="A28" s="13" t="s">
        <v>111</v>
      </c>
      <c r="B28" s="13">
        <v>1</v>
      </c>
      <c r="C28" s="16">
        <v>1</v>
      </c>
      <c r="D28" s="19">
        <v>-11.7915463622258</v>
      </c>
      <c r="E28" s="20">
        <f t="shared" ref="E28:E39" si="18">D27</f>
        <v>-9</v>
      </c>
      <c r="F28" s="16" t="s">
        <v>110</v>
      </c>
      <c r="G28" s="13">
        <v>2</v>
      </c>
      <c r="H28" s="18">
        <f t="shared" si="0"/>
        <v>-11.7915463622258</v>
      </c>
      <c r="I28" s="18">
        <f t="shared" si="1"/>
        <v>261.358453637774</v>
      </c>
      <c r="J28" s="18">
        <f t="shared" si="2"/>
        <v>0.00348947949886931</v>
      </c>
      <c r="K28" s="18">
        <f t="shared" si="3"/>
        <v>115.529597222222</v>
      </c>
      <c r="L28" s="18">
        <f t="shared" si="4"/>
        <v>1.15529597222222</v>
      </c>
      <c r="M28" s="13" t="s">
        <v>110</v>
      </c>
      <c r="N28" s="13"/>
      <c r="O28" s="18">
        <f t="shared" ref="O28:O38" si="19">L28+O27-P27-N28</f>
        <v>2.30461555612188</v>
      </c>
      <c r="P28" s="18">
        <f t="shared" si="5"/>
        <v>0.00804190873586259</v>
      </c>
      <c r="Q28" s="24">
        <f t="shared" si="6"/>
        <v>0.00125989903528514</v>
      </c>
      <c r="R28" s="18">
        <f t="shared" si="7"/>
        <v>0.180996368981481</v>
      </c>
      <c r="S28" s="25">
        <f t="shared" si="8"/>
        <v>0.00696090779265326</v>
      </c>
      <c r="T28" s="3">
        <v>0.01</v>
      </c>
      <c r="U28" s="26">
        <f t="shared" si="9"/>
        <v>6.96090779265326e-5</v>
      </c>
      <c r="V28" s="25"/>
      <c r="W28" s="3"/>
      <c r="X28" s="26"/>
      <c r="Y28" s="28">
        <v>0.02</v>
      </c>
      <c r="Z28" s="3">
        <v>0.21</v>
      </c>
      <c r="AA28" s="27">
        <f t="shared" si="10"/>
        <v>0.0042</v>
      </c>
      <c r="AB28" s="3">
        <v>0.01</v>
      </c>
      <c r="AC28" s="3">
        <v>0.29</v>
      </c>
      <c r="AD28" s="27">
        <f t="shared" si="11"/>
        <v>0.0029</v>
      </c>
      <c r="AE28" s="25"/>
      <c r="AF28" s="3"/>
      <c r="AG28" s="26"/>
      <c r="AH28" s="25"/>
      <c r="AI28" s="3"/>
      <c r="AJ28" s="26"/>
      <c r="AK28" s="27">
        <v>0.1</v>
      </c>
      <c r="AL28" s="27">
        <v>0.11</v>
      </c>
      <c r="AM28" s="27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0.0219696090779265</v>
      </c>
      <c r="AR28" s="29">
        <f t="shared" si="15"/>
        <v>115.529597222222</v>
      </c>
      <c r="AS28" s="1">
        <f t="shared" si="16"/>
        <v>0.156666666666667</v>
      </c>
      <c r="AT28" s="2">
        <f t="shared" ref="AT28:AT38" si="20">$E$2/12</f>
        <v>55.5047456957308</v>
      </c>
      <c r="AU28" s="1">
        <f t="shared" si="17"/>
        <v>147875.801518422</v>
      </c>
    </row>
    <row r="29" s="1" customFormat="1" spans="1:47">
      <c r="A29" s="13" t="s">
        <v>73</v>
      </c>
      <c r="B29" s="13">
        <f>I2</f>
        <v>0.156666666666667</v>
      </c>
      <c r="C29" s="16">
        <v>2</v>
      </c>
      <c r="D29" s="19">
        <v>-8.192710919</v>
      </c>
      <c r="E29" s="20">
        <f t="shared" si="18"/>
        <v>-11.7915463622258</v>
      </c>
      <c r="F29" s="16" t="s">
        <v>110</v>
      </c>
      <c r="G29" s="13">
        <v>3</v>
      </c>
      <c r="H29" s="18">
        <f t="shared" si="0"/>
        <v>-8.192710919</v>
      </c>
      <c r="I29" s="18">
        <f t="shared" si="1"/>
        <v>264.957289081</v>
      </c>
      <c r="J29" s="18">
        <f t="shared" si="2"/>
        <v>0.00578790180634615</v>
      </c>
      <c r="K29" s="18">
        <f t="shared" si="3"/>
        <v>115.529597222222</v>
      </c>
      <c r="L29" s="18">
        <f t="shared" si="4"/>
        <v>1.15529597222222</v>
      </c>
      <c r="M29" s="13" t="s">
        <v>110</v>
      </c>
      <c r="N29" s="13"/>
      <c r="O29" s="18">
        <f t="shared" si="19"/>
        <v>3.45186961960824</v>
      </c>
      <c r="P29" s="18">
        <f t="shared" si="5"/>
        <v>0.0199790824066019</v>
      </c>
      <c r="Q29" s="24">
        <f t="shared" si="6"/>
        <v>0.00313005624370097</v>
      </c>
      <c r="R29" s="18">
        <f t="shared" si="7"/>
        <v>0.180996368981481</v>
      </c>
      <c r="S29" s="25">
        <f t="shared" si="8"/>
        <v>0.0172934753404982</v>
      </c>
      <c r="T29" s="3">
        <v>0.01</v>
      </c>
      <c r="U29" s="26">
        <f t="shared" si="9"/>
        <v>0.000172934753404982</v>
      </c>
      <c r="V29" s="25"/>
      <c r="W29" s="3"/>
      <c r="X29" s="26"/>
      <c r="Y29" s="28">
        <v>0.02</v>
      </c>
      <c r="Z29" s="3">
        <v>0.21</v>
      </c>
      <c r="AA29" s="27">
        <f t="shared" si="10"/>
        <v>0.0042</v>
      </c>
      <c r="AB29" s="3">
        <v>0.01</v>
      </c>
      <c r="AC29" s="3">
        <v>0.29</v>
      </c>
      <c r="AD29" s="27">
        <f t="shared" si="11"/>
        <v>0.0029</v>
      </c>
      <c r="AE29" s="25"/>
      <c r="AF29" s="3"/>
      <c r="AG29" s="26"/>
      <c r="AH29" s="25"/>
      <c r="AI29" s="3"/>
      <c r="AJ29" s="26"/>
      <c r="AK29" s="1">
        <v>0.1</v>
      </c>
      <c r="AL29" s="27">
        <v>0.11</v>
      </c>
      <c r="AM29" s="27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0.022072934753405</v>
      </c>
      <c r="AR29" s="29">
        <f t="shared" si="15"/>
        <v>115.529597222222</v>
      </c>
      <c r="AS29" s="1">
        <f t="shared" si="16"/>
        <v>0.156666666666667</v>
      </c>
      <c r="AT29" s="2">
        <f t="shared" si="20"/>
        <v>55.5047456957308</v>
      </c>
      <c r="AU29" s="1">
        <f t="shared" si="17"/>
        <v>148571.278940192</v>
      </c>
    </row>
    <row r="30" s="1" customFormat="1" spans="1:47">
      <c r="A30" s="13"/>
      <c r="B30" s="13"/>
      <c r="C30" s="16">
        <v>3</v>
      </c>
      <c r="D30" s="19">
        <v>3.14121524287097</v>
      </c>
      <c r="E30" s="20">
        <f t="shared" si="18"/>
        <v>-8.192710919</v>
      </c>
      <c r="F30" s="16" t="s">
        <v>110</v>
      </c>
      <c r="G30" s="13">
        <v>4</v>
      </c>
      <c r="H30" s="18">
        <f t="shared" si="0"/>
        <v>3.14121524287097</v>
      </c>
      <c r="I30" s="18">
        <f t="shared" si="1"/>
        <v>276.291215242871</v>
      </c>
      <c r="J30" s="18">
        <f t="shared" si="2"/>
        <v>0.0261344802098834</v>
      </c>
      <c r="K30" s="18">
        <f t="shared" si="3"/>
        <v>115.529597222222</v>
      </c>
      <c r="L30" s="18">
        <f t="shared" si="4"/>
        <v>1.15529597222222</v>
      </c>
      <c r="M30" s="13" t="s">
        <v>110</v>
      </c>
      <c r="N30" s="13"/>
      <c r="O30" s="18">
        <f t="shared" si="19"/>
        <v>4.58718650942386</v>
      </c>
      <c r="P30" s="18">
        <f t="shared" si="5"/>
        <v>0.119883735049582</v>
      </c>
      <c r="Q30" s="24">
        <f t="shared" si="6"/>
        <v>0.0187817851577678</v>
      </c>
      <c r="R30" s="18">
        <f t="shared" si="7"/>
        <v>0.180996368981481</v>
      </c>
      <c r="S30" s="25">
        <f t="shared" si="8"/>
        <v>0.103768850521468</v>
      </c>
      <c r="T30" s="3">
        <v>0.01</v>
      </c>
      <c r="U30" s="26">
        <f t="shared" si="9"/>
        <v>0.00103768850521468</v>
      </c>
      <c r="V30" s="25"/>
      <c r="W30" s="3"/>
      <c r="X30" s="26"/>
      <c r="Y30" s="28">
        <v>0.02</v>
      </c>
      <c r="Z30" s="3">
        <v>0.21</v>
      </c>
      <c r="AA30" s="27">
        <f t="shared" si="10"/>
        <v>0.0042</v>
      </c>
      <c r="AB30" s="3">
        <v>0.01</v>
      </c>
      <c r="AC30" s="3">
        <v>0.29</v>
      </c>
      <c r="AD30" s="27">
        <f t="shared" si="11"/>
        <v>0.0029</v>
      </c>
      <c r="AE30" s="25"/>
      <c r="AF30" s="3"/>
      <c r="AG30" s="26"/>
      <c r="AH30" s="25"/>
      <c r="AI30" s="3"/>
      <c r="AJ30" s="26"/>
      <c r="AK30" s="27">
        <v>0.1</v>
      </c>
      <c r="AL30" s="27">
        <v>0.11</v>
      </c>
      <c r="AM30" s="27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0.0229376885052147</v>
      </c>
      <c r="AR30" s="29">
        <f t="shared" si="15"/>
        <v>115.529597222222</v>
      </c>
      <c r="AS30" s="1">
        <f t="shared" si="16"/>
        <v>0.156666666666667</v>
      </c>
      <c r="AT30" s="2">
        <f t="shared" si="20"/>
        <v>55.5047456957308</v>
      </c>
      <c r="AU30" s="1">
        <f t="shared" si="17"/>
        <v>154391.872001786</v>
      </c>
    </row>
    <row r="31" s="1" customFormat="1" spans="1:47">
      <c r="A31" s="13"/>
      <c r="B31" s="13"/>
      <c r="C31" s="16">
        <v>4</v>
      </c>
      <c r="D31" s="19">
        <v>10.3040178096667</v>
      </c>
      <c r="E31" s="20">
        <f t="shared" si="18"/>
        <v>3.14121524287097</v>
      </c>
      <c r="F31" s="16" t="s">
        <v>110</v>
      </c>
      <c r="G31" s="13">
        <v>5</v>
      </c>
      <c r="H31" s="18">
        <f t="shared" si="0"/>
        <v>10.3040178096667</v>
      </c>
      <c r="I31" s="18">
        <f t="shared" si="1"/>
        <v>283.454017809667</v>
      </c>
      <c r="J31" s="18">
        <f t="shared" si="2"/>
        <v>0.0636746511293259</v>
      </c>
      <c r="K31" s="18">
        <f t="shared" si="3"/>
        <v>115.529597222222</v>
      </c>
      <c r="L31" s="18">
        <f t="shared" si="4"/>
        <v>1.15529597222222</v>
      </c>
      <c r="M31" s="13" t="s">
        <v>112</v>
      </c>
      <c r="N31" s="18">
        <f>(O30-P30)*C22/100</f>
        <v>4.24393763565556</v>
      </c>
      <c r="O31" s="18">
        <f t="shared" si="19"/>
        <v>1.37866111094094</v>
      </c>
      <c r="P31" s="18">
        <f t="shared" si="5"/>
        <v>0.087785765264733</v>
      </c>
      <c r="Q31" s="24">
        <f t="shared" si="6"/>
        <v>0.0137531032248082</v>
      </c>
      <c r="R31" s="18">
        <f t="shared" si="7"/>
        <v>0.180996368981481</v>
      </c>
      <c r="S31" s="25">
        <f t="shared" si="8"/>
        <v>0.0759855200532521</v>
      </c>
      <c r="T31" s="3">
        <v>0.01</v>
      </c>
      <c r="U31" s="26">
        <f t="shared" si="9"/>
        <v>0.000759855200532521</v>
      </c>
      <c r="V31" s="25"/>
      <c r="W31" s="3"/>
      <c r="X31" s="26"/>
      <c r="Y31" s="28">
        <v>0.04</v>
      </c>
      <c r="Z31" s="3">
        <v>0.21</v>
      </c>
      <c r="AA31" s="27">
        <f t="shared" si="10"/>
        <v>0.0084</v>
      </c>
      <c r="AB31" s="3">
        <v>0.015</v>
      </c>
      <c r="AC31" s="3">
        <v>0.29</v>
      </c>
      <c r="AD31" s="27">
        <f t="shared" si="11"/>
        <v>0.00435</v>
      </c>
      <c r="AE31" s="25"/>
      <c r="AF31" s="3"/>
      <c r="AG31" s="26"/>
      <c r="AH31" s="25"/>
      <c r="AI31" s="3"/>
      <c r="AJ31" s="26"/>
      <c r="AK31" s="1">
        <v>0.1</v>
      </c>
      <c r="AL31" s="27">
        <v>0.11</v>
      </c>
      <c r="AM31" s="27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0.0302098552005325</v>
      </c>
      <c r="AR31" s="29">
        <f t="shared" si="15"/>
        <v>115.529597222222</v>
      </c>
      <c r="AS31" s="1">
        <f t="shared" si="16"/>
        <v>0.156666666666667</v>
      </c>
      <c r="AT31" s="2">
        <f t="shared" si="20"/>
        <v>55.5047456957308</v>
      </c>
      <c r="AU31" s="1">
        <f t="shared" si="17"/>
        <v>203340.284102854</v>
      </c>
    </row>
    <row r="32" s="1" customFormat="1" spans="1:47">
      <c r="A32" s="13"/>
      <c r="B32" s="13"/>
      <c r="C32" s="16">
        <v>5</v>
      </c>
      <c r="D32" s="19">
        <v>13.324716293129</v>
      </c>
      <c r="E32" s="20">
        <f t="shared" si="18"/>
        <v>10.3040178096667</v>
      </c>
      <c r="F32" s="16" t="s">
        <v>112</v>
      </c>
      <c r="G32" s="13">
        <v>6</v>
      </c>
      <c r="H32" s="18">
        <f t="shared" si="0"/>
        <v>13.324716293129</v>
      </c>
      <c r="I32" s="18">
        <f t="shared" si="1"/>
        <v>286.474716293129</v>
      </c>
      <c r="J32" s="18">
        <f t="shared" si="2"/>
        <v>0.0914681992927445</v>
      </c>
      <c r="K32" s="18">
        <f t="shared" si="3"/>
        <v>115.529597222222</v>
      </c>
      <c r="L32" s="18">
        <f t="shared" si="4"/>
        <v>1.15529597222222</v>
      </c>
      <c r="M32" s="13" t="s">
        <v>110</v>
      </c>
      <c r="N32" s="13"/>
      <c r="O32" s="18">
        <f t="shared" si="19"/>
        <v>2.44617131789843</v>
      </c>
      <c r="P32" s="18">
        <f t="shared" si="5"/>
        <v>0.223746885609729</v>
      </c>
      <c r="Q32" s="24">
        <f t="shared" si="6"/>
        <v>0.0350536787455241</v>
      </c>
      <c r="R32" s="18">
        <f t="shared" si="7"/>
        <v>0.180996368981481</v>
      </c>
      <c r="S32" s="25">
        <f t="shared" si="8"/>
        <v>0.19367061860291</v>
      </c>
      <c r="T32" s="3">
        <v>0.01</v>
      </c>
      <c r="U32" s="26">
        <f t="shared" si="9"/>
        <v>0.0019367061860291</v>
      </c>
      <c r="V32" s="25"/>
      <c r="W32" s="3"/>
      <c r="X32" s="26"/>
      <c r="Y32" s="28">
        <v>0.04</v>
      </c>
      <c r="Z32" s="3">
        <v>0.21</v>
      </c>
      <c r="AA32" s="27">
        <f t="shared" si="10"/>
        <v>0.0084</v>
      </c>
      <c r="AB32" s="3">
        <v>0.015</v>
      </c>
      <c r="AC32" s="3">
        <v>0.29</v>
      </c>
      <c r="AD32" s="27">
        <f t="shared" si="11"/>
        <v>0.00435</v>
      </c>
      <c r="AE32" s="25"/>
      <c r="AF32" s="3"/>
      <c r="AG32" s="26"/>
      <c r="AH32" s="25"/>
      <c r="AI32" s="3"/>
      <c r="AJ32" s="26"/>
      <c r="AK32" s="27">
        <v>0.1</v>
      </c>
      <c r="AL32" s="27">
        <v>0.11</v>
      </c>
      <c r="AM32" s="27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0.0313867061860291</v>
      </c>
      <c r="AR32" s="29">
        <f t="shared" si="15"/>
        <v>115.529597222222</v>
      </c>
      <c r="AS32" s="1">
        <f t="shared" si="16"/>
        <v>0.156666666666667</v>
      </c>
      <c r="AT32" s="2">
        <f t="shared" si="20"/>
        <v>55.5047456957308</v>
      </c>
      <c r="AU32" s="1">
        <f t="shared" si="17"/>
        <v>211261.580386769</v>
      </c>
    </row>
    <row r="33" s="1" customFormat="1" spans="1:47">
      <c r="A33" s="13"/>
      <c r="B33" s="13"/>
      <c r="C33" s="16">
        <v>6</v>
      </c>
      <c r="D33" s="19">
        <v>20.1594895183333</v>
      </c>
      <c r="E33" s="20">
        <f t="shared" si="18"/>
        <v>13.324716293129</v>
      </c>
      <c r="F33" s="16" t="s">
        <v>110</v>
      </c>
      <c r="G33" s="13">
        <v>7</v>
      </c>
      <c r="H33" s="18">
        <f t="shared" si="0"/>
        <v>20.1594895183333</v>
      </c>
      <c r="I33" s="18">
        <f t="shared" si="1"/>
        <v>293.309489518333</v>
      </c>
      <c r="J33" s="18">
        <f t="shared" si="2"/>
        <v>0.201945027994167</v>
      </c>
      <c r="K33" s="18">
        <f t="shared" si="3"/>
        <v>115.529597222222</v>
      </c>
      <c r="L33" s="18">
        <f t="shared" si="4"/>
        <v>1.15529597222222</v>
      </c>
      <c r="M33" s="13" t="s">
        <v>110</v>
      </c>
      <c r="N33" s="13"/>
      <c r="O33" s="18">
        <f t="shared" si="19"/>
        <v>3.37772040451092</v>
      </c>
      <c r="P33" s="18">
        <f t="shared" si="5"/>
        <v>0.682113841645427</v>
      </c>
      <c r="Q33" s="24">
        <f t="shared" si="6"/>
        <v>0.106864501857783</v>
      </c>
      <c r="R33" s="18">
        <f t="shared" si="7"/>
        <v>0.180996368981481</v>
      </c>
      <c r="S33" s="25">
        <f t="shared" si="8"/>
        <v>0.590423456885576</v>
      </c>
      <c r="T33" s="3">
        <v>0.01</v>
      </c>
      <c r="U33" s="26">
        <f t="shared" si="9"/>
        <v>0.00590423456885576</v>
      </c>
      <c r="V33" s="25"/>
      <c r="W33" s="3"/>
      <c r="X33" s="26"/>
      <c r="Y33" s="28">
        <v>0.04</v>
      </c>
      <c r="Z33" s="3">
        <v>0.21</v>
      </c>
      <c r="AA33" s="27">
        <f t="shared" si="10"/>
        <v>0.0084</v>
      </c>
      <c r="AB33" s="3">
        <v>0.015</v>
      </c>
      <c r="AC33" s="3">
        <v>0.29</v>
      </c>
      <c r="AD33" s="27">
        <f t="shared" si="11"/>
        <v>0.00435</v>
      </c>
      <c r="AE33" s="25"/>
      <c r="AF33" s="3"/>
      <c r="AG33" s="26"/>
      <c r="AH33" s="25"/>
      <c r="AI33" s="3"/>
      <c r="AJ33" s="26"/>
      <c r="AK33" s="1">
        <v>0.1</v>
      </c>
      <c r="AL33" s="27">
        <v>0.11</v>
      </c>
      <c r="AM33" s="27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0.0353542345688558</v>
      </c>
      <c r="AR33" s="29">
        <f t="shared" si="15"/>
        <v>115.529597222222</v>
      </c>
      <c r="AS33" s="1">
        <f t="shared" si="16"/>
        <v>0.156666666666667</v>
      </c>
      <c r="AT33" s="2">
        <f t="shared" si="20"/>
        <v>55.5047456957308</v>
      </c>
      <c r="AU33" s="1">
        <f t="shared" si="17"/>
        <v>237966.718269584</v>
      </c>
    </row>
    <row r="34" s="1" customFormat="1" spans="1:47">
      <c r="A34" s="13"/>
      <c r="B34" s="13"/>
      <c r="C34" s="16">
        <v>7</v>
      </c>
      <c r="D34" s="19">
        <v>21.2806534074194</v>
      </c>
      <c r="E34" s="20">
        <f t="shared" si="18"/>
        <v>20.1594895183333</v>
      </c>
      <c r="F34" s="16" t="s">
        <v>110</v>
      </c>
      <c r="G34" s="13">
        <v>8</v>
      </c>
      <c r="H34" s="18">
        <f t="shared" si="0"/>
        <v>21.2806534074194</v>
      </c>
      <c r="I34" s="18">
        <f t="shared" si="1"/>
        <v>294.430653407419</v>
      </c>
      <c r="J34" s="18">
        <f t="shared" si="2"/>
        <v>0.229156198828549</v>
      </c>
      <c r="K34" s="18">
        <f t="shared" si="3"/>
        <v>115.529597222222</v>
      </c>
      <c r="L34" s="18">
        <f t="shared" si="4"/>
        <v>1.15529597222222</v>
      </c>
      <c r="M34" s="13" t="s">
        <v>110</v>
      </c>
      <c r="N34" s="13"/>
      <c r="O34" s="18">
        <f t="shared" si="19"/>
        <v>3.85090253508771</v>
      </c>
      <c r="P34" s="18">
        <f t="shared" si="5"/>
        <v>0.882458186999924</v>
      </c>
      <c r="Q34" s="24">
        <f t="shared" si="6"/>
        <v>0.138251782629988</v>
      </c>
      <c r="R34" s="18">
        <f t="shared" si="7"/>
        <v>0.180996368981481</v>
      </c>
      <c r="S34" s="25">
        <f t="shared" si="8"/>
        <v>0.763837326726334</v>
      </c>
      <c r="T34" s="3">
        <v>0.01</v>
      </c>
      <c r="U34" s="26">
        <f t="shared" si="9"/>
        <v>0.00763837326726334</v>
      </c>
      <c r="V34" s="25"/>
      <c r="W34" s="3"/>
      <c r="X34" s="26"/>
      <c r="Y34" s="28">
        <v>0.04</v>
      </c>
      <c r="Z34" s="3">
        <v>0.21</v>
      </c>
      <c r="AA34" s="27">
        <f t="shared" si="10"/>
        <v>0.0084</v>
      </c>
      <c r="AB34" s="3">
        <v>0.015</v>
      </c>
      <c r="AC34" s="3">
        <v>0.29</v>
      </c>
      <c r="AD34" s="27">
        <f t="shared" si="11"/>
        <v>0.00435</v>
      </c>
      <c r="AE34" s="25"/>
      <c r="AF34" s="3"/>
      <c r="AG34" s="26"/>
      <c r="AH34" s="25"/>
      <c r="AI34" s="3"/>
      <c r="AJ34" s="26"/>
      <c r="AK34" s="27">
        <v>0.1</v>
      </c>
      <c r="AL34" s="27">
        <v>0.11</v>
      </c>
      <c r="AM34" s="27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0.0370883732672633</v>
      </c>
      <c r="AR34" s="29">
        <f t="shared" si="15"/>
        <v>115.529597222222</v>
      </c>
      <c r="AS34" s="1">
        <f t="shared" si="16"/>
        <v>0.156666666666667</v>
      </c>
      <c r="AT34" s="2">
        <f t="shared" si="20"/>
        <v>55.5047456957308</v>
      </c>
      <c r="AU34" s="1">
        <f t="shared" si="17"/>
        <v>249639.076619774</v>
      </c>
    </row>
    <row r="35" s="1" customFormat="1" spans="1:47">
      <c r="A35" s="13"/>
      <c r="B35" s="13"/>
      <c r="C35" s="16">
        <v>8</v>
      </c>
      <c r="D35" s="19">
        <v>18.9639937503226</v>
      </c>
      <c r="E35" s="20">
        <f t="shared" si="18"/>
        <v>21.2806534074194</v>
      </c>
      <c r="F35" s="16" t="s">
        <v>110</v>
      </c>
      <c r="G35" s="13">
        <v>9</v>
      </c>
      <c r="H35" s="18">
        <f t="shared" si="0"/>
        <v>18.9639937503226</v>
      </c>
      <c r="I35" s="18">
        <f t="shared" si="1"/>
        <v>292.113993750323</v>
      </c>
      <c r="J35" s="18">
        <f t="shared" si="2"/>
        <v>0.1762912551343</v>
      </c>
      <c r="K35" s="18">
        <f t="shared" si="3"/>
        <v>115.529597222222</v>
      </c>
      <c r="L35" s="18">
        <f t="shared" si="4"/>
        <v>1.15529597222222</v>
      </c>
      <c r="M35" s="13" t="s">
        <v>110</v>
      </c>
      <c r="N35" s="13"/>
      <c r="O35" s="18">
        <f t="shared" si="19"/>
        <v>4.12374032031001</v>
      </c>
      <c r="P35" s="18">
        <f t="shared" si="5"/>
        <v>0.726979356915372</v>
      </c>
      <c r="Q35" s="24">
        <f t="shared" si="6"/>
        <v>0.113893432583408</v>
      </c>
      <c r="R35" s="18">
        <f t="shared" si="7"/>
        <v>0.180996368981481</v>
      </c>
      <c r="S35" s="25">
        <f t="shared" si="8"/>
        <v>0.629258107354967</v>
      </c>
      <c r="T35" s="3">
        <v>0.01</v>
      </c>
      <c r="U35" s="26">
        <f t="shared" si="9"/>
        <v>0.00629258107354967</v>
      </c>
      <c r="V35" s="25"/>
      <c r="W35" s="3"/>
      <c r="X35" s="26"/>
      <c r="Y35" s="28">
        <v>0.04</v>
      </c>
      <c r="Z35" s="3">
        <v>0.21</v>
      </c>
      <c r="AA35" s="27">
        <f t="shared" si="10"/>
        <v>0.0084</v>
      </c>
      <c r="AB35" s="3">
        <v>0.015</v>
      </c>
      <c r="AC35" s="3">
        <v>0.29</v>
      </c>
      <c r="AD35" s="27">
        <f t="shared" si="11"/>
        <v>0.00435</v>
      </c>
      <c r="AE35" s="25"/>
      <c r="AF35" s="3"/>
      <c r="AG35" s="26"/>
      <c r="AH35" s="25"/>
      <c r="AI35" s="3"/>
      <c r="AJ35" s="26"/>
      <c r="AK35" s="1">
        <v>0.1</v>
      </c>
      <c r="AL35" s="27">
        <v>0.11</v>
      </c>
      <c r="AM35" s="27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0.0357425810735497</v>
      </c>
      <c r="AR35" s="29">
        <f t="shared" si="15"/>
        <v>115.529597222222</v>
      </c>
      <c r="AS35" s="1">
        <f t="shared" si="16"/>
        <v>0.156666666666667</v>
      </c>
      <c r="AT35" s="2">
        <f t="shared" si="20"/>
        <v>55.5047456957308</v>
      </c>
      <c r="AU35" s="1">
        <f t="shared" si="17"/>
        <v>240580.649652924</v>
      </c>
    </row>
    <row r="36" s="1" customFormat="1" spans="1:47">
      <c r="A36" s="13"/>
      <c r="B36" s="13"/>
      <c r="C36" s="16">
        <v>9</v>
      </c>
      <c r="D36" s="19">
        <v>15.6933629623333</v>
      </c>
      <c r="E36" s="20">
        <f t="shared" si="18"/>
        <v>18.9639937503226</v>
      </c>
      <c r="F36" s="16" t="s">
        <v>110</v>
      </c>
      <c r="G36" s="13">
        <v>10</v>
      </c>
      <c r="H36" s="18">
        <f t="shared" si="0"/>
        <v>15.6933629623333</v>
      </c>
      <c r="I36" s="18">
        <f t="shared" si="1"/>
        <v>288.843362962333</v>
      </c>
      <c r="J36" s="18">
        <f t="shared" si="2"/>
        <v>0.12086942903513</v>
      </c>
      <c r="K36" s="18">
        <f t="shared" si="3"/>
        <v>115.529597222222</v>
      </c>
      <c r="L36" s="18">
        <f t="shared" si="4"/>
        <v>1.15529597222222</v>
      </c>
      <c r="M36" s="13" t="s">
        <v>110</v>
      </c>
      <c r="N36" s="13"/>
      <c r="O36" s="18">
        <f t="shared" si="19"/>
        <v>4.55205693561686</v>
      </c>
      <c r="P36" s="18">
        <f t="shared" si="5"/>
        <v>0.550204522743414</v>
      </c>
      <c r="Q36" s="24">
        <f t="shared" si="6"/>
        <v>0.0861987085631348</v>
      </c>
      <c r="R36" s="18">
        <f t="shared" si="7"/>
        <v>0.180996368981481</v>
      </c>
      <c r="S36" s="25">
        <f t="shared" si="8"/>
        <v>0.476245512814427</v>
      </c>
      <c r="T36" s="3">
        <v>0.01</v>
      </c>
      <c r="U36" s="26">
        <f t="shared" si="9"/>
        <v>0.00476245512814427</v>
      </c>
      <c r="V36" s="25"/>
      <c r="W36" s="3"/>
      <c r="X36" s="26"/>
      <c r="Y36" s="28">
        <v>0.02</v>
      </c>
      <c r="Z36" s="3">
        <v>0.21</v>
      </c>
      <c r="AA36" s="27">
        <f t="shared" si="10"/>
        <v>0.0042</v>
      </c>
      <c r="AB36" s="3">
        <v>0.01</v>
      </c>
      <c r="AC36" s="3">
        <v>0.29</v>
      </c>
      <c r="AD36" s="27">
        <f t="shared" si="11"/>
        <v>0.0029</v>
      </c>
      <c r="AE36" s="25"/>
      <c r="AF36" s="3"/>
      <c r="AG36" s="26"/>
      <c r="AH36" s="25"/>
      <c r="AI36" s="3"/>
      <c r="AJ36" s="26"/>
      <c r="AK36" s="27">
        <v>0.1</v>
      </c>
      <c r="AL36" s="27">
        <v>0.11</v>
      </c>
      <c r="AM36" s="27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0.0266624551281443</v>
      </c>
      <c r="AR36" s="29">
        <f t="shared" si="15"/>
        <v>115.529597222222</v>
      </c>
      <c r="AS36" s="1">
        <f t="shared" si="16"/>
        <v>0.156666666666667</v>
      </c>
      <c r="AT36" s="2">
        <f t="shared" si="20"/>
        <v>55.5047456957308</v>
      </c>
      <c r="AU36" s="1">
        <f t="shared" si="17"/>
        <v>179462.998569449</v>
      </c>
    </row>
    <row r="37" s="1" customFormat="1" spans="1:47">
      <c r="A37" s="13"/>
      <c r="B37" s="13"/>
      <c r="C37" s="16">
        <v>10</v>
      </c>
      <c r="D37" s="19">
        <v>4.21467201822581</v>
      </c>
      <c r="E37" s="20">
        <f t="shared" si="18"/>
        <v>15.6933629623333</v>
      </c>
      <c r="F37" s="16" t="s">
        <v>110</v>
      </c>
      <c r="G37" s="13">
        <v>11</v>
      </c>
      <c r="H37" s="18">
        <f t="shared" si="0"/>
        <v>4.21467201822581</v>
      </c>
      <c r="I37" s="18">
        <f t="shared" si="1"/>
        <v>277.364672018226</v>
      </c>
      <c r="J37" s="18">
        <f t="shared" si="2"/>
        <v>0.0299534763654428</v>
      </c>
      <c r="K37" s="18">
        <f t="shared" si="3"/>
        <v>115.529597222222</v>
      </c>
      <c r="L37" s="18">
        <f t="shared" si="4"/>
        <v>1.15529597222222</v>
      </c>
      <c r="M37" s="13" t="s">
        <v>112</v>
      </c>
      <c r="N37" s="18">
        <f>(O36-P36)*C22/100</f>
        <v>3.80175979222978</v>
      </c>
      <c r="O37" s="18">
        <f t="shared" si="19"/>
        <v>1.35538859286589</v>
      </c>
      <c r="P37" s="18">
        <f t="shared" si="5"/>
        <v>0.0405986001823993</v>
      </c>
      <c r="Q37" s="24">
        <f t="shared" si="6"/>
        <v>0.00636044736190923</v>
      </c>
      <c r="R37" s="18">
        <f t="shared" si="7"/>
        <v>0.180996368981481</v>
      </c>
      <c r="S37" s="25">
        <f t="shared" si="8"/>
        <v>0.0351412981249364</v>
      </c>
      <c r="T37" s="3">
        <v>0.01</v>
      </c>
      <c r="U37" s="26">
        <f t="shared" si="9"/>
        <v>0.000351412981249364</v>
      </c>
      <c r="V37" s="25"/>
      <c r="W37" s="3"/>
      <c r="X37" s="26"/>
      <c r="Y37" s="28">
        <v>0.02</v>
      </c>
      <c r="Z37" s="3">
        <v>0.21</v>
      </c>
      <c r="AA37" s="27">
        <f t="shared" si="10"/>
        <v>0.0042</v>
      </c>
      <c r="AB37" s="3">
        <v>0.01</v>
      </c>
      <c r="AC37" s="3">
        <v>0.29</v>
      </c>
      <c r="AD37" s="27">
        <f t="shared" si="11"/>
        <v>0.0029</v>
      </c>
      <c r="AE37" s="25"/>
      <c r="AF37" s="3"/>
      <c r="AG37" s="26"/>
      <c r="AH37" s="25"/>
      <c r="AI37" s="3"/>
      <c r="AJ37" s="26"/>
      <c r="AK37" s="1">
        <v>0.1</v>
      </c>
      <c r="AL37" s="27">
        <v>0.11</v>
      </c>
      <c r="AM37" s="27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0.0222514129812494</v>
      </c>
      <c r="AR37" s="29">
        <f t="shared" si="15"/>
        <v>115.529597222222</v>
      </c>
      <c r="AS37" s="1">
        <f t="shared" si="16"/>
        <v>0.156666666666667</v>
      </c>
      <c r="AT37" s="2">
        <f t="shared" si="20"/>
        <v>55.5047456957308</v>
      </c>
      <c r="AU37" s="1">
        <f t="shared" si="17"/>
        <v>149772.602591535</v>
      </c>
    </row>
    <row r="38" s="1" customFormat="1" spans="1:48">
      <c r="A38" s="13"/>
      <c r="B38" s="13"/>
      <c r="C38" s="16">
        <v>11</v>
      </c>
      <c r="D38" s="19">
        <v>-4.1991255377</v>
      </c>
      <c r="E38" s="20">
        <f t="shared" si="18"/>
        <v>4.21467201822581</v>
      </c>
      <c r="F38" s="16" t="s">
        <v>112</v>
      </c>
      <c r="G38" s="13">
        <v>12</v>
      </c>
      <c r="H38" s="18">
        <f t="shared" si="0"/>
        <v>-4.1991255377</v>
      </c>
      <c r="I38" s="18">
        <f t="shared" si="1"/>
        <v>268.9508744623</v>
      </c>
      <c r="J38" s="18">
        <f t="shared" si="2"/>
        <v>0.00998855190878936</v>
      </c>
      <c r="K38" s="18">
        <f t="shared" si="3"/>
        <v>115.529597222222</v>
      </c>
      <c r="L38" s="18">
        <f t="shared" si="4"/>
        <v>1.15529597222222</v>
      </c>
      <c r="M38" s="13" t="s">
        <v>110</v>
      </c>
      <c r="N38" s="13"/>
      <c r="O38" s="18">
        <f t="shared" si="19"/>
        <v>2.47008596490572</v>
      </c>
      <c r="P38" s="18">
        <f t="shared" si="5"/>
        <v>0.0246725818796328</v>
      </c>
      <c r="Q38" s="24">
        <f t="shared" si="6"/>
        <v>0.00386537116114247</v>
      </c>
      <c r="R38" s="18">
        <f t="shared" si="7"/>
        <v>0.180996368981481</v>
      </c>
      <c r="S38" s="25">
        <f t="shared" si="8"/>
        <v>0.0213560701957394</v>
      </c>
      <c r="T38" s="3">
        <v>0.01</v>
      </c>
      <c r="U38" s="26">
        <f t="shared" si="9"/>
        <v>0.000213560701957394</v>
      </c>
      <c r="V38" s="25"/>
      <c r="W38" s="3"/>
      <c r="X38" s="26"/>
      <c r="Y38" s="28">
        <v>0.02</v>
      </c>
      <c r="Z38" s="3">
        <v>0.21</v>
      </c>
      <c r="AA38" s="27">
        <f t="shared" si="10"/>
        <v>0.0042</v>
      </c>
      <c r="AB38" s="3">
        <v>0.01</v>
      </c>
      <c r="AC38" s="3">
        <v>0.29</v>
      </c>
      <c r="AD38" s="27">
        <f t="shared" si="11"/>
        <v>0.0029</v>
      </c>
      <c r="AE38" s="25"/>
      <c r="AF38" s="3"/>
      <c r="AG38" s="26"/>
      <c r="AH38" s="25"/>
      <c r="AI38" s="3"/>
      <c r="AJ38" s="26"/>
      <c r="AK38" s="27">
        <v>0.1</v>
      </c>
      <c r="AL38" s="27">
        <v>0.11</v>
      </c>
      <c r="AM38" s="27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0.0221135607019574</v>
      </c>
      <c r="AR38" s="29">
        <f t="shared" si="15"/>
        <v>115.529597222222</v>
      </c>
      <c r="AS38" s="1">
        <f t="shared" si="16"/>
        <v>0.156666666666667</v>
      </c>
      <c r="AT38" s="2">
        <f t="shared" si="20"/>
        <v>55.5047456957308</v>
      </c>
      <c r="AU38" s="1">
        <f t="shared" si="17"/>
        <v>148844.729172434</v>
      </c>
      <c r="AV38" s="1">
        <f>SUM(AU27:AU38)</f>
        <v>2219463.05306501</v>
      </c>
    </row>
    <row r="39" s="1" customFormat="1" spans="1:46">
      <c r="A39" s="13"/>
      <c r="B39" s="13"/>
      <c r="C39" s="16">
        <v>12</v>
      </c>
      <c r="D39" s="19">
        <v>-7.57783500725806</v>
      </c>
      <c r="E39" s="20">
        <f t="shared" si="18"/>
        <v>-4.1991255377</v>
      </c>
      <c r="F39" s="16" t="s">
        <v>110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3" t="s">
        <v>80</v>
      </c>
      <c r="T40" s="23"/>
      <c r="U40" s="23"/>
      <c r="V40" s="23" t="s">
        <v>81</v>
      </c>
      <c r="W40" s="23"/>
      <c r="X40" s="23"/>
      <c r="Y40" s="23" t="s">
        <v>82</v>
      </c>
      <c r="Z40" s="23"/>
      <c r="AA40" s="23"/>
      <c r="AB40" s="23" t="s">
        <v>83</v>
      </c>
      <c r="AC40" s="23"/>
      <c r="AD40" s="23"/>
      <c r="AE40" s="23" t="s">
        <v>84</v>
      </c>
      <c r="AF40" s="23"/>
      <c r="AG40" s="23"/>
      <c r="AH40" s="23" t="s">
        <v>85</v>
      </c>
      <c r="AI40" s="23"/>
      <c r="AJ40" s="23"/>
      <c r="AK40" s="31" t="s">
        <v>86</v>
      </c>
      <c r="AL40" s="32"/>
      <c r="AM40" s="33"/>
      <c r="AN40" s="23" t="s">
        <v>87</v>
      </c>
      <c r="AO40" s="23"/>
      <c r="AP40" s="23"/>
      <c r="AT40" s="2"/>
    </row>
    <row r="41" s="1" customFormat="1" spans="1:47">
      <c r="A41" s="15" t="s">
        <v>45</v>
      </c>
      <c r="B41" s="15"/>
      <c r="C41" s="16" t="s">
        <v>88</v>
      </c>
      <c r="D41" s="16" t="s">
        <v>89</v>
      </c>
      <c r="E41" s="16" t="s">
        <v>90</v>
      </c>
      <c r="F41" s="16" t="s">
        <v>91</v>
      </c>
      <c r="G41" s="13" t="s">
        <v>88</v>
      </c>
      <c r="H41" s="13" t="s">
        <v>90</v>
      </c>
      <c r="I41" s="13" t="s">
        <v>92</v>
      </c>
      <c r="J41" s="13" t="s">
        <v>93</v>
      </c>
      <c r="K41" s="22" t="s">
        <v>94</v>
      </c>
      <c r="L41" s="22" t="s">
        <v>95</v>
      </c>
      <c r="M41" s="13" t="s">
        <v>96</v>
      </c>
      <c r="N41" s="22" t="s">
        <v>97</v>
      </c>
      <c r="O41" s="13" t="s">
        <v>98</v>
      </c>
      <c r="P41" s="13" t="s">
        <v>99</v>
      </c>
      <c r="Q41" s="22" t="s">
        <v>100</v>
      </c>
      <c r="R41" s="22" t="s">
        <v>101</v>
      </c>
      <c r="S41" s="4" t="s">
        <v>102</v>
      </c>
      <c r="T41" s="3" t="s">
        <v>103</v>
      </c>
      <c r="U41" s="3"/>
      <c r="V41" s="4" t="s">
        <v>102</v>
      </c>
      <c r="W41" s="3" t="s">
        <v>103</v>
      </c>
      <c r="X41" s="3"/>
      <c r="Y41" s="4" t="s">
        <v>102</v>
      </c>
      <c r="Z41" s="3" t="s">
        <v>103</v>
      </c>
      <c r="AA41" s="3"/>
      <c r="AB41" s="4" t="s">
        <v>102</v>
      </c>
      <c r="AC41" s="3" t="s">
        <v>103</v>
      </c>
      <c r="AD41" s="3"/>
      <c r="AE41" s="4" t="s">
        <v>102</v>
      </c>
      <c r="AF41" s="3" t="s">
        <v>103</v>
      </c>
      <c r="AG41" s="3"/>
      <c r="AH41" s="4" t="s">
        <v>102</v>
      </c>
      <c r="AI41" s="3" t="s">
        <v>103</v>
      </c>
      <c r="AJ41" s="3"/>
      <c r="AK41" s="4" t="s">
        <v>102</v>
      </c>
      <c r="AL41" s="3" t="s">
        <v>103</v>
      </c>
      <c r="AM41" s="3"/>
      <c r="AN41" s="34" t="s">
        <v>102</v>
      </c>
      <c r="AO41" s="34" t="s">
        <v>103</v>
      </c>
      <c r="AP41" s="34"/>
      <c r="AQ41" s="1" t="s">
        <v>104</v>
      </c>
      <c r="AR41" s="1" t="s">
        <v>105</v>
      </c>
      <c r="AS41" s="1" t="s">
        <v>73</v>
      </c>
      <c r="AT41" s="2" t="s">
        <v>106</v>
      </c>
      <c r="AU41" s="1" t="s">
        <v>107</v>
      </c>
    </row>
    <row r="42" s="1" customFormat="1" spans="1:47">
      <c r="A42" s="13" t="s">
        <v>108</v>
      </c>
      <c r="B42" s="13">
        <f>G5</f>
        <v>92.50925</v>
      </c>
      <c r="C42" s="16" t="s">
        <v>109</v>
      </c>
      <c r="D42" s="17">
        <v>-9</v>
      </c>
      <c r="E42" s="16"/>
      <c r="F42" s="16"/>
      <c r="G42" s="13">
        <v>1</v>
      </c>
      <c r="H42" s="18">
        <f t="shared" ref="H42:H53" si="21">E43</f>
        <v>-9</v>
      </c>
      <c r="I42" s="18">
        <f t="shared" ref="I42:I53" si="22">H42+273.15</f>
        <v>264.15</v>
      </c>
      <c r="J42" s="18">
        <f t="shared" ref="J42:J53" si="23">EXP(($C$16*(I42-$C$14))/($C$17*I42*$C$14))</f>
        <v>0.0051730365778654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110</v>
      </c>
      <c r="N42" s="13"/>
      <c r="O42" s="18">
        <f>L42</f>
        <v>0.0770910416666667</v>
      </c>
      <c r="P42" s="18">
        <f t="shared" ref="P42:P53" si="26">O42*J42</f>
        <v>0.000398794778367412</v>
      </c>
      <c r="Q42" s="24">
        <f t="shared" ref="Q42:Q53" si="27">P42*$B$44</f>
        <v>7.37770339979713e-5</v>
      </c>
      <c r="R42" s="18">
        <f t="shared" ref="R42:R53" si="28">L42*$B$44</f>
        <v>0.0142618427083333</v>
      </c>
      <c r="S42" s="25">
        <f t="shared" ref="S42:S53" si="29">Q42/R42</f>
        <v>0.0051730365778654</v>
      </c>
      <c r="T42" s="3">
        <v>0.01</v>
      </c>
      <c r="U42" s="26">
        <f t="shared" ref="U42:U53" si="30">S42*T42</f>
        <v>5.1730365778654e-5</v>
      </c>
      <c r="V42" s="25"/>
      <c r="W42" s="3"/>
      <c r="X42" s="26"/>
      <c r="Y42" s="28">
        <v>0.02</v>
      </c>
      <c r="Z42" s="3">
        <v>0.49</v>
      </c>
      <c r="AA42" s="27">
        <f t="shared" ref="AA42:AA53" si="31">Y42*Z42</f>
        <v>0.0098</v>
      </c>
      <c r="AB42" s="3"/>
      <c r="AC42" s="3"/>
      <c r="AD42" s="27"/>
      <c r="AE42" s="25"/>
      <c r="AF42" s="3"/>
      <c r="AG42" s="26"/>
      <c r="AH42" s="25"/>
      <c r="AI42" s="3"/>
      <c r="AJ42" s="26"/>
      <c r="AL42" s="27"/>
      <c r="AM42" s="27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0.0148517303657787</v>
      </c>
      <c r="AR42" s="29">
        <f t="shared" ref="AR42:AR53" si="34">$B$42/12</f>
        <v>7.70910416666667</v>
      </c>
      <c r="AS42" s="1">
        <f t="shared" ref="AS42:AS53" si="35">$B$44</f>
        <v>0.185</v>
      </c>
      <c r="AT42" s="2">
        <f t="shared" ref="AT42:AT53" si="36">$E$5/12</f>
        <v>561.414246575343</v>
      </c>
      <c r="AU42" s="1">
        <f t="shared" ref="AU42:AU53" si="37">AT42*10000*AS42*0.67*AR42*AQ42</f>
        <v>79672.9559500333</v>
      </c>
    </row>
    <row r="43" s="1" customFormat="1" spans="1:47">
      <c r="A43" s="13" t="s">
        <v>111</v>
      </c>
      <c r="B43" s="13">
        <v>1</v>
      </c>
      <c r="C43" s="16">
        <v>1</v>
      </c>
      <c r="D43" s="19">
        <v>-11.7915463622258</v>
      </c>
      <c r="E43" s="20">
        <f t="shared" ref="E43:E54" si="38">D42</f>
        <v>-9</v>
      </c>
      <c r="F43" s="16" t="s">
        <v>110</v>
      </c>
      <c r="G43" s="13">
        <v>2</v>
      </c>
      <c r="H43" s="18">
        <f t="shared" si="21"/>
        <v>-11.7915463622258</v>
      </c>
      <c r="I43" s="18">
        <f t="shared" si="22"/>
        <v>261.358453637774</v>
      </c>
      <c r="J43" s="18">
        <f t="shared" si="23"/>
        <v>0.00348947949886931</v>
      </c>
      <c r="K43" s="18">
        <f t="shared" si="24"/>
        <v>7.70910416666667</v>
      </c>
      <c r="L43" s="18">
        <f t="shared" si="25"/>
        <v>0.0770910416666667</v>
      </c>
      <c r="M43" s="13" t="s">
        <v>110</v>
      </c>
      <c r="N43" s="13"/>
      <c r="O43" s="18">
        <f t="shared" ref="O43:O53" si="39">L43+O42-P42-N43</f>
        <v>0.153783288554966</v>
      </c>
      <c r="P43" s="18">
        <f t="shared" si="26"/>
        <v>0.000536623632681257</v>
      </c>
      <c r="Q43" s="24">
        <f t="shared" si="27"/>
        <v>9.92753720460326e-5</v>
      </c>
      <c r="R43" s="18">
        <f t="shared" si="28"/>
        <v>0.0142618427083333</v>
      </c>
      <c r="S43" s="25">
        <f t="shared" si="29"/>
        <v>0.00696090779265326</v>
      </c>
      <c r="T43" s="3">
        <v>0.01</v>
      </c>
      <c r="U43" s="26">
        <f t="shared" si="30"/>
        <v>6.96090779265326e-5</v>
      </c>
      <c r="V43" s="25"/>
      <c r="W43" s="3"/>
      <c r="X43" s="26"/>
      <c r="Y43" s="28">
        <v>0.02</v>
      </c>
      <c r="Z43" s="3">
        <v>0.49</v>
      </c>
      <c r="AA43" s="27">
        <f t="shared" si="31"/>
        <v>0.0098</v>
      </c>
      <c r="AB43" s="3"/>
      <c r="AC43" s="3"/>
      <c r="AD43" s="27"/>
      <c r="AE43" s="25"/>
      <c r="AF43" s="3"/>
      <c r="AG43" s="26"/>
      <c r="AH43" s="25"/>
      <c r="AI43" s="3"/>
      <c r="AJ43" s="26"/>
      <c r="AK43" s="27"/>
      <c r="AL43" s="27"/>
      <c r="AM43" s="27"/>
      <c r="AN43" s="3">
        <v>0.01</v>
      </c>
      <c r="AO43" s="3">
        <v>0.5</v>
      </c>
      <c r="AP43" s="3">
        <f t="shared" si="32"/>
        <v>0.005</v>
      </c>
      <c r="AQ43" s="1">
        <f t="shared" si="33"/>
        <v>0.0148696090779265</v>
      </c>
      <c r="AR43" s="29">
        <f t="shared" si="34"/>
        <v>7.70910416666667</v>
      </c>
      <c r="AS43" s="1">
        <f t="shared" si="35"/>
        <v>0.185</v>
      </c>
      <c r="AT43" s="2">
        <f t="shared" si="36"/>
        <v>561.414246575343</v>
      </c>
      <c r="AU43" s="1">
        <f t="shared" si="37"/>
        <v>79768.8673226693</v>
      </c>
    </row>
    <row r="44" s="1" customFormat="1" spans="1:47">
      <c r="A44" s="13" t="s">
        <v>73</v>
      </c>
      <c r="B44" s="13">
        <f>I5</f>
        <v>0.185</v>
      </c>
      <c r="C44" s="16">
        <v>2</v>
      </c>
      <c r="D44" s="19">
        <v>-8.192710919</v>
      </c>
      <c r="E44" s="20">
        <f t="shared" si="38"/>
        <v>-11.7915463622258</v>
      </c>
      <c r="F44" s="16" t="s">
        <v>110</v>
      </c>
      <c r="G44" s="13">
        <v>3</v>
      </c>
      <c r="H44" s="18">
        <f t="shared" si="21"/>
        <v>-8.192710919</v>
      </c>
      <c r="I44" s="18">
        <f t="shared" si="22"/>
        <v>264.957289081</v>
      </c>
      <c r="J44" s="18">
        <f t="shared" si="23"/>
        <v>0.00578790180634615</v>
      </c>
      <c r="K44" s="18">
        <f t="shared" si="24"/>
        <v>7.70910416666667</v>
      </c>
      <c r="L44" s="18">
        <f t="shared" si="25"/>
        <v>0.0770910416666667</v>
      </c>
      <c r="M44" s="13" t="s">
        <v>110</v>
      </c>
      <c r="N44" s="13"/>
      <c r="O44" s="18">
        <f t="shared" si="39"/>
        <v>0.230337706588951</v>
      </c>
      <c r="P44" s="18">
        <f t="shared" si="26"/>
        <v>0.00133317202803582</v>
      </c>
      <c r="Q44" s="24">
        <f t="shared" si="27"/>
        <v>0.000246636825186627</v>
      </c>
      <c r="R44" s="18">
        <f t="shared" si="28"/>
        <v>0.0142618427083333</v>
      </c>
      <c r="S44" s="25">
        <f t="shared" si="29"/>
        <v>0.0172934753404982</v>
      </c>
      <c r="T44" s="3">
        <v>0.01</v>
      </c>
      <c r="U44" s="26">
        <f t="shared" si="30"/>
        <v>0.000172934753404982</v>
      </c>
      <c r="V44" s="25"/>
      <c r="W44" s="3"/>
      <c r="X44" s="26"/>
      <c r="Y44" s="28">
        <v>0.02</v>
      </c>
      <c r="Z44" s="3">
        <v>0.49</v>
      </c>
      <c r="AA44" s="27">
        <f t="shared" si="31"/>
        <v>0.0098</v>
      </c>
      <c r="AB44" s="3"/>
      <c r="AC44" s="3"/>
      <c r="AD44" s="27"/>
      <c r="AE44" s="25"/>
      <c r="AF44" s="3"/>
      <c r="AG44" s="26"/>
      <c r="AH44" s="25"/>
      <c r="AI44" s="3"/>
      <c r="AJ44" s="26"/>
      <c r="AL44" s="27"/>
      <c r="AM44" s="27"/>
      <c r="AN44" s="3">
        <v>0.01</v>
      </c>
      <c r="AO44" s="3">
        <v>0.5</v>
      </c>
      <c r="AP44" s="3">
        <f t="shared" si="32"/>
        <v>0.005</v>
      </c>
      <c r="AQ44" s="1">
        <f t="shared" si="33"/>
        <v>0.014972934753405</v>
      </c>
      <c r="AR44" s="29">
        <f t="shared" si="34"/>
        <v>7.70910416666667</v>
      </c>
      <c r="AS44" s="1">
        <f t="shared" si="35"/>
        <v>0.185</v>
      </c>
      <c r="AT44" s="2">
        <f t="shared" si="36"/>
        <v>561.414246575343</v>
      </c>
      <c r="AU44" s="1">
        <f t="shared" si="37"/>
        <v>80323.1638112367</v>
      </c>
    </row>
    <row r="45" s="1" customFormat="1" spans="1:47">
      <c r="A45" s="13"/>
      <c r="B45" s="13"/>
      <c r="C45" s="16">
        <v>3</v>
      </c>
      <c r="D45" s="19">
        <v>3.14121524287097</v>
      </c>
      <c r="E45" s="20">
        <f t="shared" si="38"/>
        <v>-8.192710919</v>
      </c>
      <c r="F45" s="16" t="s">
        <v>110</v>
      </c>
      <c r="G45" s="13">
        <v>4</v>
      </c>
      <c r="H45" s="18">
        <f t="shared" si="21"/>
        <v>3.14121524287097</v>
      </c>
      <c r="I45" s="18">
        <f t="shared" si="22"/>
        <v>276.291215242871</v>
      </c>
      <c r="J45" s="18">
        <f t="shared" si="23"/>
        <v>0.0261344802098834</v>
      </c>
      <c r="K45" s="18">
        <f t="shared" si="24"/>
        <v>7.70910416666667</v>
      </c>
      <c r="L45" s="18">
        <f t="shared" si="25"/>
        <v>0.0770910416666667</v>
      </c>
      <c r="M45" s="13" t="s">
        <v>110</v>
      </c>
      <c r="N45" s="13"/>
      <c r="O45" s="18">
        <f t="shared" si="39"/>
        <v>0.306095576227582</v>
      </c>
      <c r="P45" s="18">
        <f t="shared" si="26"/>
        <v>0.0079996487792526</v>
      </c>
      <c r="Q45" s="24">
        <f t="shared" si="27"/>
        <v>0.00147993502416173</v>
      </c>
      <c r="R45" s="18">
        <f t="shared" si="28"/>
        <v>0.0142618427083333</v>
      </c>
      <c r="S45" s="25">
        <f t="shared" si="29"/>
        <v>0.103768850521468</v>
      </c>
      <c r="T45" s="3">
        <v>0.01</v>
      </c>
      <c r="U45" s="26">
        <f t="shared" si="30"/>
        <v>0.00103768850521468</v>
      </c>
      <c r="V45" s="25"/>
      <c r="W45" s="3"/>
      <c r="X45" s="26"/>
      <c r="Y45" s="28">
        <v>0.02</v>
      </c>
      <c r="Z45" s="3">
        <v>0.49</v>
      </c>
      <c r="AA45" s="27">
        <f t="shared" si="31"/>
        <v>0.0098</v>
      </c>
      <c r="AB45" s="3"/>
      <c r="AC45" s="3"/>
      <c r="AD45" s="27"/>
      <c r="AE45" s="25"/>
      <c r="AF45" s="3"/>
      <c r="AG45" s="26"/>
      <c r="AH45" s="25"/>
      <c r="AI45" s="3"/>
      <c r="AJ45" s="26"/>
      <c r="AK45" s="27"/>
      <c r="AL45" s="27"/>
      <c r="AM45" s="27"/>
      <c r="AN45" s="3">
        <v>0.01</v>
      </c>
      <c r="AO45" s="3">
        <v>0.5</v>
      </c>
      <c r="AP45" s="3">
        <f t="shared" si="32"/>
        <v>0.005</v>
      </c>
      <c r="AQ45" s="1">
        <f t="shared" si="33"/>
        <v>0.0158376885052147</v>
      </c>
      <c r="AR45" s="29">
        <f t="shared" si="34"/>
        <v>7.70910416666667</v>
      </c>
      <c r="AS45" s="1">
        <f t="shared" si="35"/>
        <v>0.185</v>
      </c>
      <c r="AT45" s="2">
        <f t="shared" si="36"/>
        <v>561.414246575343</v>
      </c>
      <c r="AU45" s="1">
        <f t="shared" si="37"/>
        <v>84962.184711745</v>
      </c>
    </row>
    <row r="46" s="1" customFormat="1" spans="1:47">
      <c r="A46" s="13"/>
      <c r="B46" s="13"/>
      <c r="C46" s="16">
        <v>4</v>
      </c>
      <c r="D46" s="19">
        <v>10.3040178096667</v>
      </c>
      <c r="E46" s="20">
        <f t="shared" si="38"/>
        <v>3.14121524287097</v>
      </c>
      <c r="F46" s="16" t="s">
        <v>110</v>
      </c>
      <c r="G46" s="13">
        <v>5</v>
      </c>
      <c r="H46" s="18">
        <f t="shared" si="21"/>
        <v>10.3040178096667</v>
      </c>
      <c r="I46" s="18">
        <f t="shared" si="22"/>
        <v>283.454017809667</v>
      </c>
      <c r="J46" s="18">
        <f t="shared" si="23"/>
        <v>0.0636746511293259</v>
      </c>
      <c r="K46" s="18">
        <f t="shared" si="24"/>
        <v>7.70910416666667</v>
      </c>
      <c r="L46" s="18">
        <f t="shared" si="25"/>
        <v>0.0770910416666667</v>
      </c>
      <c r="M46" s="13" t="s">
        <v>112</v>
      </c>
      <c r="N46" s="18">
        <f>(O45-P45)*$C$22/100</f>
        <v>0.283191131075913</v>
      </c>
      <c r="O46" s="18">
        <f t="shared" si="39"/>
        <v>0.0919958380390831</v>
      </c>
      <c r="P46" s="18">
        <f t="shared" si="26"/>
        <v>0.00585780289248859</v>
      </c>
      <c r="Q46" s="24">
        <f t="shared" si="27"/>
        <v>0.00108369353511039</v>
      </c>
      <c r="R46" s="18">
        <f t="shared" si="28"/>
        <v>0.0142618427083333</v>
      </c>
      <c r="S46" s="25">
        <f t="shared" si="29"/>
        <v>0.075985520053252</v>
      </c>
      <c r="T46" s="3">
        <v>0.01</v>
      </c>
      <c r="U46" s="26">
        <f t="shared" si="30"/>
        <v>0.00075985520053252</v>
      </c>
      <c r="V46" s="25"/>
      <c r="W46" s="3"/>
      <c r="X46" s="26"/>
      <c r="Y46" s="28">
        <v>0.04</v>
      </c>
      <c r="Z46" s="3">
        <v>0.49</v>
      </c>
      <c r="AA46" s="27">
        <f t="shared" si="31"/>
        <v>0.0196</v>
      </c>
      <c r="AB46" s="3"/>
      <c r="AC46" s="3"/>
      <c r="AD46" s="27"/>
      <c r="AE46" s="25"/>
      <c r="AF46" s="3"/>
      <c r="AG46" s="26"/>
      <c r="AH46" s="25"/>
      <c r="AI46" s="3"/>
      <c r="AJ46" s="26"/>
      <c r="AL46" s="27"/>
      <c r="AM46" s="27"/>
      <c r="AN46" s="3">
        <v>0.015</v>
      </c>
      <c r="AO46" s="3">
        <v>0.5</v>
      </c>
      <c r="AP46" s="3">
        <f t="shared" si="32"/>
        <v>0.0075</v>
      </c>
      <c r="AQ46" s="1">
        <f t="shared" si="33"/>
        <v>0.0278598552005325</v>
      </c>
      <c r="AR46" s="29">
        <f t="shared" si="34"/>
        <v>7.70910416666667</v>
      </c>
      <c r="AS46" s="1">
        <f t="shared" si="35"/>
        <v>0.185</v>
      </c>
      <c r="AT46" s="2">
        <f t="shared" si="36"/>
        <v>561.414246575343</v>
      </c>
      <c r="AU46" s="1">
        <f t="shared" si="37"/>
        <v>149455.784713202</v>
      </c>
    </row>
    <row r="47" s="1" customFormat="1" spans="1:47">
      <c r="A47" s="13"/>
      <c r="B47" s="13"/>
      <c r="C47" s="16">
        <v>5</v>
      </c>
      <c r="D47" s="19">
        <v>13.324716293129</v>
      </c>
      <c r="E47" s="20">
        <f t="shared" si="38"/>
        <v>10.3040178096667</v>
      </c>
      <c r="F47" s="16" t="s">
        <v>112</v>
      </c>
      <c r="G47" s="13">
        <v>6</v>
      </c>
      <c r="H47" s="18">
        <f t="shared" si="21"/>
        <v>13.324716293129</v>
      </c>
      <c r="I47" s="18">
        <f t="shared" si="22"/>
        <v>286.474716293129</v>
      </c>
      <c r="J47" s="18">
        <f t="shared" si="23"/>
        <v>0.0914681992927445</v>
      </c>
      <c r="K47" s="18">
        <f t="shared" si="24"/>
        <v>7.70910416666667</v>
      </c>
      <c r="L47" s="18">
        <f t="shared" si="25"/>
        <v>0.0770910416666667</v>
      </c>
      <c r="M47" s="13" t="s">
        <v>110</v>
      </c>
      <c r="N47" s="13"/>
      <c r="O47" s="18">
        <f t="shared" si="39"/>
        <v>0.163229076813261</v>
      </c>
      <c r="P47" s="18">
        <f t="shared" si="26"/>
        <v>0.0149302697283261</v>
      </c>
      <c r="Q47" s="24">
        <f t="shared" si="27"/>
        <v>0.00276209989974032</v>
      </c>
      <c r="R47" s="18">
        <f t="shared" si="28"/>
        <v>0.0142618427083333</v>
      </c>
      <c r="S47" s="25">
        <f t="shared" si="29"/>
        <v>0.19367061860291</v>
      </c>
      <c r="T47" s="3">
        <v>0.01</v>
      </c>
      <c r="U47" s="26">
        <f t="shared" si="30"/>
        <v>0.0019367061860291</v>
      </c>
      <c r="V47" s="25"/>
      <c r="W47" s="3"/>
      <c r="X47" s="26"/>
      <c r="Y47" s="28">
        <v>0.04</v>
      </c>
      <c r="Z47" s="3">
        <v>0.49</v>
      </c>
      <c r="AA47" s="27">
        <f t="shared" si="31"/>
        <v>0.0196</v>
      </c>
      <c r="AB47" s="3"/>
      <c r="AC47" s="3"/>
      <c r="AD47" s="27"/>
      <c r="AE47" s="25"/>
      <c r="AF47" s="3"/>
      <c r="AG47" s="26"/>
      <c r="AH47" s="25"/>
      <c r="AI47" s="3"/>
      <c r="AJ47" s="26"/>
      <c r="AK47" s="27"/>
      <c r="AL47" s="27"/>
      <c r="AM47" s="27"/>
      <c r="AN47" s="3">
        <v>0.015</v>
      </c>
      <c r="AO47" s="3">
        <v>0.5</v>
      </c>
      <c r="AP47" s="3">
        <f t="shared" si="32"/>
        <v>0.0075</v>
      </c>
      <c r="AQ47" s="1">
        <f t="shared" si="33"/>
        <v>0.0290367061860291</v>
      </c>
      <c r="AR47" s="29">
        <f t="shared" si="34"/>
        <v>7.70910416666667</v>
      </c>
      <c r="AS47" s="1">
        <f t="shared" si="35"/>
        <v>0.185</v>
      </c>
      <c r="AT47" s="2">
        <f t="shared" si="36"/>
        <v>561.414246575343</v>
      </c>
      <c r="AU47" s="1">
        <f t="shared" si="37"/>
        <v>155769.06905233</v>
      </c>
    </row>
    <row r="48" s="1" customFormat="1" spans="1:47">
      <c r="A48" s="13"/>
      <c r="B48" s="13"/>
      <c r="C48" s="16">
        <v>6</v>
      </c>
      <c r="D48" s="19">
        <v>20.1594895183333</v>
      </c>
      <c r="E48" s="20">
        <f t="shared" si="38"/>
        <v>13.324716293129</v>
      </c>
      <c r="F48" s="16" t="s">
        <v>110</v>
      </c>
      <c r="G48" s="13">
        <v>7</v>
      </c>
      <c r="H48" s="18">
        <f t="shared" si="21"/>
        <v>20.1594895183333</v>
      </c>
      <c r="I48" s="18">
        <f t="shared" si="22"/>
        <v>293.309489518333</v>
      </c>
      <c r="J48" s="18">
        <f t="shared" si="23"/>
        <v>0.201945027994167</v>
      </c>
      <c r="K48" s="18">
        <f t="shared" si="24"/>
        <v>7.70910416666667</v>
      </c>
      <c r="L48" s="18">
        <f t="shared" si="25"/>
        <v>0.0770910416666667</v>
      </c>
      <c r="M48" s="13" t="s">
        <v>110</v>
      </c>
      <c r="N48" s="13"/>
      <c r="O48" s="18">
        <f t="shared" si="39"/>
        <v>0.225389848751602</v>
      </c>
      <c r="P48" s="18">
        <f t="shared" si="26"/>
        <v>0.0455163593157433</v>
      </c>
      <c r="Q48" s="24">
        <f t="shared" si="27"/>
        <v>0.00842052647341251</v>
      </c>
      <c r="R48" s="18">
        <f t="shared" si="28"/>
        <v>0.0142618427083333</v>
      </c>
      <c r="S48" s="25">
        <f t="shared" si="29"/>
        <v>0.590423456885576</v>
      </c>
      <c r="T48" s="3">
        <v>0.01</v>
      </c>
      <c r="U48" s="26">
        <f t="shared" si="30"/>
        <v>0.00590423456885576</v>
      </c>
      <c r="V48" s="25"/>
      <c r="W48" s="3"/>
      <c r="X48" s="26"/>
      <c r="Y48" s="28">
        <v>0.04</v>
      </c>
      <c r="Z48" s="3">
        <v>0.49</v>
      </c>
      <c r="AA48" s="27">
        <f t="shared" si="31"/>
        <v>0.0196</v>
      </c>
      <c r="AB48" s="3"/>
      <c r="AC48" s="3"/>
      <c r="AD48" s="27"/>
      <c r="AE48" s="25"/>
      <c r="AF48" s="3"/>
      <c r="AG48" s="26"/>
      <c r="AH48" s="25"/>
      <c r="AI48" s="3"/>
      <c r="AJ48" s="26"/>
      <c r="AL48" s="27"/>
      <c r="AM48" s="27"/>
      <c r="AN48" s="3">
        <v>0.015</v>
      </c>
      <c r="AO48" s="3">
        <v>0.5</v>
      </c>
      <c r="AP48" s="3">
        <f t="shared" si="32"/>
        <v>0.0075</v>
      </c>
      <c r="AQ48" s="1">
        <f t="shared" si="33"/>
        <v>0.0330042345688558</v>
      </c>
      <c r="AR48" s="29">
        <f t="shared" si="34"/>
        <v>7.70910416666667</v>
      </c>
      <c r="AS48" s="1">
        <f t="shared" si="35"/>
        <v>0.185</v>
      </c>
      <c r="AT48" s="2">
        <f t="shared" si="36"/>
        <v>561.414246575343</v>
      </c>
      <c r="AU48" s="1">
        <f t="shared" si="37"/>
        <v>177053.101706452</v>
      </c>
    </row>
    <row r="49" s="1" customFormat="1" spans="1:47">
      <c r="A49" s="13"/>
      <c r="B49" s="13"/>
      <c r="C49" s="16">
        <v>7</v>
      </c>
      <c r="D49" s="19">
        <v>21.2806534074194</v>
      </c>
      <c r="E49" s="20">
        <f t="shared" si="38"/>
        <v>20.1594895183333</v>
      </c>
      <c r="F49" s="16" t="s">
        <v>110</v>
      </c>
      <c r="G49" s="13">
        <v>8</v>
      </c>
      <c r="H49" s="18">
        <f t="shared" si="21"/>
        <v>21.2806534074194</v>
      </c>
      <c r="I49" s="18">
        <f t="shared" si="22"/>
        <v>294.430653407419</v>
      </c>
      <c r="J49" s="18">
        <f t="shared" si="23"/>
        <v>0.229156198828549</v>
      </c>
      <c r="K49" s="18">
        <f t="shared" si="24"/>
        <v>7.70910416666667</v>
      </c>
      <c r="L49" s="18">
        <f t="shared" si="25"/>
        <v>0.0770910416666667</v>
      </c>
      <c r="M49" s="13" t="s">
        <v>110</v>
      </c>
      <c r="N49" s="13"/>
      <c r="O49" s="18">
        <f t="shared" si="39"/>
        <v>0.256964531102525</v>
      </c>
      <c r="P49" s="18">
        <f t="shared" si="26"/>
        <v>0.0588850151812151</v>
      </c>
      <c r="Q49" s="24">
        <f t="shared" si="27"/>
        <v>0.0108937278085248</v>
      </c>
      <c r="R49" s="18">
        <f t="shared" si="28"/>
        <v>0.0142618427083333</v>
      </c>
      <c r="S49" s="25">
        <f t="shared" si="29"/>
        <v>0.763837326726334</v>
      </c>
      <c r="T49" s="3">
        <v>0.01</v>
      </c>
      <c r="U49" s="26">
        <f t="shared" si="30"/>
        <v>0.00763837326726334</v>
      </c>
      <c r="V49" s="25"/>
      <c r="W49" s="3"/>
      <c r="X49" s="26"/>
      <c r="Y49" s="28">
        <v>0.04</v>
      </c>
      <c r="Z49" s="3">
        <v>0.49</v>
      </c>
      <c r="AA49" s="27">
        <f t="shared" si="31"/>
        <v>0.0196</v>
      </c>
      <c r="AB49" s="3"/>
      <c r="AC49" s="3"/>
      <c r="AD49" s="27"/>
      <c r="AE49" s="25"/>
      <c r="AF49" s="3"/>
      <c r="AG49" s="26"/>
      <c r="AH49" s="25"/>
      <c r="AI49" s="3"/>
      <c r="AJ49" s="26"/>
      <c r="AK49" s="27"/>
      <c r="AL49" s="27"/>
      <c r="AM49" s="27"/>
      <c r="AN49" s="3">
        <v>0.015</v>
      </c>
      <c r="AO49" s="3">
        <v>0.5</v>
      </c>
      <c r="AP49" s="3">
        <f t="shared" si="32"/>
        <v>0.0075</v>
      </c>
      <c r="AQ49" s="1">
        <f t="shared" si="33"/>
        <v>0.0347383732672633</v>
      </c>
      <c r="AR49" s="29">
        <f t="shared" si="34"/>
        <v>7.70910416666667</v>
      </c>
      <c r="AS49" s="1">
        <f t="shared" si="35"/>
        <v>0.185</v>
      </c>
      <c r="AT49" s="2">
        <f t="shared" si="36"/>
        <v>561.414246575343</v>
      </c>
      <c r="AU49" s="1">
        <f t="shared" si="37"/>
        <v>186355.987816466</v>
      </c>
    </row>
    <row r="50" s="1" customFormat="1" spans="1:47">
      <c r="A50" s="13"/>
      <c r="B50" s="13"/>
      <c r="C50" s="16">
        <v>8</v>
      </c>
      <c r="D50" s="19">
        <v>18.9639937503226</v>
      </c>
      <c r="E50" s="20">
        <f t="shared" si="38"/>
        <v>21.2806534074194</v>
      </c>
      <c r="F50" s="16" t="s">
        <v>110</v>
      </c>
      <c r="G50" s="13">
        <v>9</v>
      </c>
      <c r="H50" s="18">
        <f t="shared" si="21"/>
        <v>18.9639937503226</v>
      </c>
      <c r="I50" s="18">
        <f t="shared" si="22"/>
        <v>292.113993750323</v>
      </c>
      <c r="J50" s="18">
        <f t="shared" si="23"/>
        <v>0.1762912551343</v>
      </c>
      <c r="K50" s="18">
        <f t="shared" si="24"/>
        <v>7.70910416666667</v>
      </c>
      <c r="L50" s="18">
        <f t="shared" si="25"/>
        <v>0.0770910416666667</v>
      </c>
      <c r="M50" s="13" t="s">
        <v>110</v>
      </c>
      <c r="N50" s="13"/>
      <c r="O50" s="18">
        <f t="shared" si="39"/>
        <v>0.275170557587977</v>
      </c>
      <c r="P50" s="18">
        <f t="shared" si="26"/>
        <v>0.0485101629731896</v>
      </c>
      <c r="Q50" s="24">
        <f t="shared" si="27"/>
        <v>0.00897438015004007</v>
      </c>
      <c r="R50" s="18">
        <f t="shared" si="28"/>
        <v>0.0142618427083333</v>
      </c>
      <c r="S50" s="25">
        <f t="shared" si="29"/>
        <v>0.629258107354967</v>
      </c>
      <c r="T50" s="3">
        <v>0.01</v>
      </c>
      <c r="U50" s="26">
        <f t="shared" si="30"/>
        <v>0.00629258107354967</v>
      </c>
      <c r="V50" s="25"/>
      <c r="W50" s="3"/>
      <c r="X50" s="26"/>
      <c r="Y50" s="28">
        <v>0.04</v>
      </c>
      <c r="Z50" s="3">
        <v>0.49</v>
      </c>
      <c r="AA50" s="27">
        <f t="shared" si="31"/>
        <v>0.0196</v>
      </c>
      <c r="AB50" s="3"/>
      <c r="AC50" s="3"/>
      <c r="AD50" s="27"/>
      <c r="AE50" s="25"/>
      <c r="AF50" s="3"/>
      <c r="AG50" s="26"/>
      <c r="AH50" s="25"/>
      <c r="AI50" s="3"/>
      <c r="AJ50" s="26"/>
      <c r="AL50" s="27"/>
      <c r="AM50" s="27"/>
      <c r="AN50" s="3">
        <v>0.015</v>
      </c>
      <c r="AO50" s="3">
        <v>0.5</v>
      </c>
      <c r="AP50" s="3">
        <f t="shared" si="32"/>
        <v>0.0075</v>
      </c>
      <c r="AQ50" s="1">
        <f t="shared" si="33"/>
        <v>0.0333925810735497</v>
      </c>
      <c r="AR50" s="29">
        <f t="shared" si="34"/>
        <v>7.70910416666667</v>
      </c>
      <c r="AS50" s="1">
        <f t="shared" si="35"/>
        <v>0.185</v>
      </c>
      <c r="AT50" s="2">
        <f t="shared" si="36"/>
        <v>561.414246575343</v>
      </c>
      <c r="AU50" s="1">
        <f t="shared" si="37"/>
        <v>179136.408715117</v>
      </c>
    </row>
    <row r="51" s="1" customFormat="1" spans="1:47">
      <c r="A51" s="13"/>
      <c r="B51" s="13"/>
      <c r="C51" s="16">
        <v>9</v>
      </c>
      <c r="D51" s="19">
        <v>15.6933629623333</v>
      </c>
      <c r="E51" s="20">
        <f t="shared" si="38"/>
        <v>18.9639937503226</v>
      </c>
      <c r="F51" s="16" t="s">
        <v>110</v>
      </c>
      <c r="G51" s="13">
        <v>10</v>
      </c>
      <c r="H51" s="18">
        <f t="shared" si="21"/>
        <v>15.6933629623333</v>
      </c>
      <c r="I51" s="18">
        <f t="shared" si="22"/>
        <v>288.843362962333</v>
      </c>
      <c r="J51" s="18">
        <f t="shared" si="23"/>
        <v>0.12086942903513</v>
      </c>
      <c r="K51" s="18">
        <f t="shared" si="24"/>
        <v>7.70910416666667</v>
      </c>
      <c r="L51" s="18">
        <f t="shared" si="25"/>
        <v>0.0770910416666667</v>
      </c>
      <c r="M51" s="13" t="s">
        <v>110</v>
      </c>
      <c r="N51" s="13"/>
      <c r="O51" s="18">
        <f t="shared" si="39"/>
        <v>0.303751436281454</v>
      </c>
      <c r="P51" s="18">
        <f t="shared" si="26"/>
        <v>0.03671426267194</v>
      </c>
      <c r="Q51" s="24">
        <f t="shared" si="27"/>
        <v>0.0067921385943089</v>
      </c>
      <c r="R51" s="18">
        <f t="shared" si="28"/>
        <v>0.0142618427083333</v>
      </c>
      <c r="S51" s="25">
        <f t="shared" si="29"/>
        <v>0.476245512814427</v>
      </c>
      <c r="T51" s="3">
        <v>0.01</v>
      </c>
      <c r="U51" s="26">
        <f t="shared" si="30"/>
        <v>0.00476245512814426</v>
      </c>
      <c r="V51" s="25"/>
      <c r="W51" s="3"/>
      <c r="X51" s="26"/>
      <c r="Y51" s="28">
        <v>0.02</v>
      </c>
      <c r="Z51" s="3">
        <v>0.49</v>
      </c>
      <c r="AA51" s="27">
        <f t="shared" si="31"/>
        <v>0.0098</v>
      </c>
      <c r="AB51" s="3"/>
      <c r="AC51" s="3"/>
      <c r="AD51" s="27"/>
      <c r="AE51" s="25"/>
      <c r="AF51" s="3"/>
      <c r="AG51" s="26"/>
      <c r="AH51" s="25"/>
      <c r="AI51" s="3"/>
      <c r="AJ51" s="26"/>
      <c r="AK51" s="27"/>
      <c r="AL51" s="27"/>
      <c r="AM51" s="27"/>
      <c r="AN51" s="3">
        <v>0.01</v>
      </c>
      <c r="AO51" s="3">
        <v>0.5</v>
      </c>
      <c r="AP51" s="3">
        <f t="shared" si="32"/>
        <v>0.005</v>
      </c>
      <c r="AQ51" s="1">
        <f t="shared" si="33"/>
        <v>0.0195624551281443</v>
      </c>
      <c r="AR51" s="29">
        <f t="shared" si="34"/>
        <v>7.70910416666667</v>
      </c>
      <c r="AS51" s="1">
        <f t="shared" si="35"/>
        <v>0.185</v>
      </c>
      <c r="AT51" s="2">
        <f t="shared" si="36"/>
        <v>561.414246575343</v>
      </c>
      <c r="AU51" s="1">
        <f t="shared" si="37"/>
        <v>104943.908037171</v>
      </c>
    </row>
    <row r="52" s="1" customFormat="1" spans="1:47">
      <c r="A52" s="13"/>
      <c r="B52" s="13"/>
      <c r="C52" s="16">
        <v>10</v>
      </c>
      <c r="D52" s="19">
        <v>4.21467201822581</v>
      </c>
      <c r="E52" s="20">
        <f t="shared" si="38"/>
        <v>15.6933629623333</v>
      </c>
      <c r="F52" s="16" t="s">
        <v>110</v>
      </c>
      <c r="G52" s="13">
        <v>11</v>
      </c>
      <c r="H52" s="18">
        <f t="shared" si="21"/>
        <v>4.21467201822581</v>
      </c>
      <c r="I52" s="18">
        <f t="shared" si="22"/>
        <v>277.364672018226</v>
      </c>
      <c r="J52" s="18">
        <f t="shared" si="23"/>
        <v>0.0299534763654428</v>
      </c>
      <c r="K52" s="18">
        <f t="shared" si="24"/>
        <v>7.70910416666667</v>
      </c>
      <c r="L52" s="18">
        <f t="shared" si="25"/>
        <v>0.0770910416666667</v>
      </c>
      <c r="M52" s="13" t="s">
        <v>112</v>
      </c>
      <c r="N52" s="18">
        <f>(O51-P51)*$C$22/100</f>
        <v>0.253685314929038</v>
      </c>
      <c r="O52" s="18">
        <f t="shared" si="39"/>
        <v>0.0904429003471423</v>
      </c>
      <c r="P52" s="18">
        <f t="shared" si="26"/>
        <v>0.00270907927797023</v>
      </c>
      <c r="Q52" s="24">
        <f t="shared" si="27"/>
        <v>0.000501179666424492</v>
      </c>
      <c r="R52" s="18">
        <f t="shared" si="28"/>
        <v>0.0142618427083333</v>
      </c>
      <c r="S52" s="25">
        <f t="shared" si="29"/>
        <v>0.0351412981249364</v>
      </c>
      <c r="T52" s="3">
        <v>0.01</v>
      </c>
      <c r="U52" s="26">
        <f t="shared" si="30"/>
        <v>0.000351412981249364</v>
      </c>
      <c r="V52" s="25"/>
      <c r="W52" s="3"/>
      <c r="X52" s="26"/>
      <c r="Y52" s="28">
        <v>0.02</v>
      </c>
      <c r="Z52" s="3">
        <v>0.49</v>
      </c>
      <c r="AA52" s="27">
        <f t="shared" si="31"/>
        <v>0.0098</v>
      </c>
      <c r="AB52" s="3"/>
      <c r="AC52" s="3"/>
      <c r="AD52" s="27"/>
      <c r="AE52" s="25"/>
      <c r="AF52" s="3"/>
      <c r="AG52" s="26"/>
      <c r="AH52" s="25"/>
      <c r="AI52" s="3"/>
      <c r="AJ52" s="26"/>
      <c r="AL52" s="27"/>
      <c r="AM52" s="27"/>
      <c r="AN52" s="3">
        <v>0.01</v>
      </c>
      <c r="AO52" s="3">
        <v>0.5</v>
      </c>
      <c r="AP52" s="3">
        <f t="shared" si="32"/>
        <v>0.005</v>
      </c>
      <c r="AQ52" s="1">
        <f t="shared" si="33"/>
        <v>0.0151514129812494</v>
      </c>
      <c r="AR52" s="29">
        <f t="shared" si="34"/>
        <v>7.70910416666667</v>
      </c>
      <c r="AS52" s="1">
        <f t="shared" si="35"/>
        <v>0.185</v>
      </c>
      <c r="AT52" s="2">
        <f t="shared" si="36"/>
        <v>561.414246575343</v>
      </c>
      <c r="AU52" s="1">
        <f t="shared" si="37"/>
        <v>81280.6204600492</v>
      </c>
    </row>
    <row r="53" s="1" customFormat="1" spans="1:48">
      <c r="A53" s="13"/>
      <c r="B53" s="13"/>
      <c r="C53" s="16">
        <v>11</v>
      </c>
      <c r="D53" s="19">
        <v>-4.1991255377</v>
      </c>
      <c r="E53" s="20">
        <f t="shared" si="38"/>
        <v>4.21467201822581</v>
      </c>
      <c r="F53" s="16" t="s">
        <v>112</v>
      </c>
      <c r="G53" s="13">
        <v>12</v>
      </c>
      <c r="H53" s="18">
        <f t="shared" si="21"/>
        <v>-4.1991255377</v>
      </c>
      <c r="I53" s="18">
        <f t="shared" si="22"/>
        <v>268.9508744623</v>
      </c>
      <c r="J53" s="18">
        <f t="shared" si="23"/>
        <v>0.00998855190878936</v>
      </c>
      <c r="K53" s="18">
        <f t="shared" si="24"/>
        <v>7.70910416666667</v>
      </c>
      <c r="L53" s="18">
        <f t="shared" si="25"/>
        <v>0.0770910416666667</v>
      </c>
      <c r="M53" s="13" t="s">
        <v>110</v>
      </c>
      <c r="N53" s="13"/>
      <c r="O53" s="18">
        <f t="shared" si="39"/>
        <v>0.164824862735839</v>
      </c>
      <c r="P53" s="18">
        <f t="shared" si="26"/>
        <v>0.00164636169729601</v>
      </c>
      <c r="Q53" s="24">
        <f t="shared" si="27"/>
        <v>0.000304576913999761</v>
      </c>
      <c r="R53" s="18">
        <f t="shared" si="28"/>
        <v>0.0142618427083333</v>
      </c>
      <c r="S53" s="25">
        <f t="shared" si="29"/>
        <v>0.0213560701957394</v>
      </c>
      <c r="T53" s="3">
        <v>0.01</v>
      </c>
      <c r="U53" s="26">
        <f t="shared" si="30"/>
        <v>0.000213560701957394</v>
      </c>
      <c r="V53" s="25"/>
      <c r="W53" s="3"/>
      <c r="X53" s="26"/>
      <c r="Y53" s="28">
        <v>0.02</v>
      </c>
      <c r="Z53" s="3">
        <v>0.49</v>
      </c>
      <c r="AA53" s="27">
        <f t="shared" si="31"/>
        <v>0.0098</v>
      </c>
      <c r="AB53" s="3"/>
      <c r="AC53" s="3"/>
      <c r="AD53" s="27"/>
      <c r="AE53" s="25"/>
      <c r="AF53" s="3"/>
      <c r="AG53" s="26"/>
      <c r="AH53" s="25"/>
      <c r="AI53" s="3"/>
      <c r="AJ53" s="26"/>
      <c r="AK53" s="27"/>
      <c r="AL53" s="27"/>
      <c r="AM53" s="27"/>
      <c r="AN53" s="3">
        <v>0.01</v>
      </c>
      <c r="AO53" s="3">
        <v>0.5</v>
      </c>
      <c r="AP53" s="3">
        <f t="shared" si="32"/>
        <v>0.005</v>
      </c>
      <c r="AQ53" s="1">
        <f t="shared" si="33"/>
        <v>0.0150135607019574</v>
      </c>
      <c r="AR53" s="29">
        <f t="shared" si="34"/>
        <v>7.70910416666667</v>
      </c>
      <c r="AS53" s="1">
        <f t="shared" si="35"/>
        <v>0.185</v>
      </c>
      <c r="AT53" s="2">
        <f t="shared" si="36"/>
        <v>561.414246575343</v>
      </c>
      <c r="AU53" s="1">
        <f t="shared" si="37"/>
        <v>80541.1040329972</v>
      </c>
      <c r="AV53" s="1">
        <f>SUM(AU42:AU53)</f>
        <v>1439263.15632947</v>
      </c>
    </row>
    <row r="54" s="1" customFormat="1" spans="1:46">
      <c r="A54" s="13"/>
      <c r="B54" s="13"/>
      <c r="C54" s="16">
        <v>12</v>
      </c>
      <c r="D54" s="19">
        <v>-7.57783500725806</v>
      </c>
      <c r="E54" s="20">
        <f t="shared" si="38"/>
        <v>-4.1991255377</v>
      </c>
      <c r="F54" s="16" t="s">
        <v>110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3" t="s">
        <v>80</v>
      </c>
      <c r="T56" s="23"/>
      <c r="U56" s="23"/>
      <c r="V56" s="23" t="s">
        <v>81</v>
      </c>
      <c r="W56" s="23" t="s">
        <v>82</v>
      </c>
      <c r="X56" s="23" t="s">
        <v>83</v>
      </c>
      <c r="Y56" s="23" t="s">
        <v>84</v>
      </c>
      <c r="Z56" s="23" t="s">
        <v>85</v>
      </c>
      <c r="AA56" s="23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48</v>
      </c>
      <c r="B57" s="15"/>
      <c r="C57" s="16" t="s">
        <v>88</v>
      </c>
      <c r="D57" s="16" t="s">
        <v>89</v>
      </c>
      <c r="E57" s="16" t="s">
        <v>90</v>
      </c>
      <c r="F57" s="16" t="s">
        <v>91</v>
      </c>
      <c r="G57" s="13" t="s">
        <v>88</v>
      </c>
      <c r="H57" s="13" t="s">
        <v>90</v>
      </c>
      <c r="I57" s="13" t="s">
        <v>92</v>
      </c>
      <c r="J57" s="13" t="s">
        <v>93</v>
      </c>
      <c r="K57" s="22" t="s">
        <v>94</v>
      </c>
      <c r="L57" s="22" t="s">
        <v>95</v>
      </c>
      <c r="M57" s="13" t="s">
        <v>96</v>
      </c>
      <c r="N57" s="22" t="s">
        <v>97</v>
      </c>
      <c r="O57" s="13" t="s">
        <v>98</v>
      </c>
      <c r="P57" s="13" t="s">
        <v>99</v>
      </c>
      <c r="Q57" s="22" t="s">
        <v>100</v>
      </c>
      <c r="R57" s="22" t="s">
        <v>101</v>
      </c>
      <c r="S57" s="4" t="s">
        <v>102</v>
      </c>
      <c r="T57" s="3" t="s">
        <v>103</v>
      </c>
      <c r="U57" s="3"/>
      <c r="V57" s="3" t="s">
        <v>113</v>
      </c>
      <c r="W57" s="3" t="s">
        <v>113</v>
      </c>
      <c r="X57" s="3" t="s">
        <v>113</v>
      </c>
      <c r="Y57" s="3" t="s">
        <v>113</v>
      </c>
      <c r="Z57" s="3" t="s">
        <v>113</v>
      </c>
      <c r="AA57" s="3" t="s">
        <v>113</v>
      </c>
      <c r="AB57" s="2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108</v>
      </c>
      <c r="B58" s="13">
        <f>F7</f>
        <v>134.758</v>
      </c>
      <c r="C58" s="16" t="s">
        <v>109</v>
      </c>
      <c r="D58" s="17">
        <v>-9</v>
      </c>
      <c r="E58" s="16"/>
      <c r="F58" s="16"/>
      <c r="G58" s="13">
        <v>1</v>
      </c>
      <c r="H58" s="18">
        <f t="shared" ref="H58:H69" si="40">E59</f>
        <v>-9</v>
      </c>
      <c r="I58" s="18">
        <f t="shared" ref="I58:I69" si="41">H58+273.15</f>
        <v>264.15</v>
      </c>
      <c r="J58" s="18">
        <f t="shared" ref="J58:J69" si="42">EXP(($C$16*(I58-$C$14))/($C$17*I58*$C$14))</f>
        <v>0.0051730365778654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110</v>
      </c>
      <c r="N58" s="13"/>
      <c r="O58" s="18">
        <f>L58</f>
        <v>3.032055</v>
      </c>
      <c r="P58" s="18">
        <f t="shared" ref="P58:P69" si="45">O58*J58</f>
        <v>0.0156849314210997</v>
      </c>
      <c r="Q58" s="24">
        <f t="shared" ref="Q58:Q69" si="46">P58*$B$60</f>
        <v>0.00454863011211891</v>
      </c>
      <c r="R58" s="18">
        <f t="shared" ref="R58:R69" si="47">L58*$B$60</f>
        <v>0.87929595</v>
      </c>
      <c r="S58" s="25">
        <f t="shared" ref="S58:S69" si="48">Q58/R58</f>
        <v>0.0051730365778654</v>
      </c>
      <c r="T58" s="3">
        <v>0.27</v>
      </c>
      <c r="U58" s="26">
        <f t="shared" ref="U58:U69" si="49">S58*T58</f>
        <v>0.00139671987602366</v>
      </c>
      <c r="V58" s="3">
        <v>180.9</v>
      </c>
      <c r="W58" s="27">
        <v>6</v>
      </c>
      <c r="X58" s="27">
        <v>3</v>
      </c>
      <c r="Y58" s="27">
        <v>0.3</v>
      </c>
      <c r="Z58" s="27">
        <v>6</v>
      </c>
      <c r="AA58" s="3">
        <v>30.2</v>
      </c>
      <c r="AB58" s="2">
        <f t="shared" ref="AB58:AB69" si="50">U58*0.67*AD58+(V58+W58+X58+Y58+Z58+AA58)/1000</f>
        <v>0.226671382671911</v>
      </c>
      <c r="AC58" s="29">
        <f t="shared" ref="AC58:AC69" si="51">$B$58/12</f>
        <v>11.2298333333333</v>
      </c>
      <c r="AD58" s="1">
        <f t="shared" ref="AD58:AD69" si="52">$B$60</f>
        <v>0.29</v>
      </c>
      <c r="AE58" s="30">
        <f t="shared" ref="AE58:AE69" si="53">$E$7/12</f>
        <v>52.6470775680101</v>
      </c>
      <c r="AF58" s="1">
        <f t="shared" ref="AF58:AF69" si="54">AE58*10000*AC58*AB58</f>
        <v>1340121.80343935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111</v>
      </c>
      <c r="B59" s="13">
        <v>27</v>
      </c>
      <c r="C59" s="16">
        <v>1</v>
      </c>
      <c r="D59" s="19">
        <v>-11.7915463622258</v>
      </c>
      <c r="E59" s="20">
        <f t="shared" ref="E59:E70" si="55">D58</f>
        <v>-9</v>
      </c>
      <c r="F59" s="16" t="s">
        <v>110</v>
      </c>
      <c r="G59" s="13">
        <v>2</v>
      </c>
      <c r="H59" s="18">
        <f t="shared" si="40"/>
        <v>-11.7915463622258</v>
      </c>
      <c r="I59" s="18">
        <f t="shared" si="41"/>
        <v>261.358453637774</v>
      </c>
      <c r="J59" s="18">
        <f t="shared" si="42"/>
        <v>0.00348947949886931</v>
      </c>
      <c r="K59" s="18">
        <f t="shared" si="43"/>
        <v>11.2298333333333</v>
      </c>
      <c r="L59" s="18">
        <f t="shared" si="44"/>
        <v>3.032055</v>
      </c>
      <c r="M59" s="13" t="s">
        <v>110</v>
      </c>
      <c r="N59" s="13"/>
      <c r="O59" s="18">
        <f t="shared" ref="O59:O69" si="56">L59+O58-P58-N59</f>
        <v>6.0484250685789</v>
      </c>
      <c r="P59" s="18">
        <f t="shared" si="45"/>
        <v>0.0211058552772533</v>
      </c>
      <c r="Q59" s="24">
        <f t="shared" si="46"/>
        <v>0.00612069803040345</v>
      </c>
      <c r="R59" s="18">
        <f t="shared" si="47"/>
        <v>0.87929595</v>
      </c>
      <c r="S59" s="25">
        <f t="shared" si="48"/>
        <v>0.00696090779265326</v>
      </c>
      <c r="T59" s="3">
        <v>0.27</v>
      </c>
      <c r="U59" s="26">
        <f t="shared" si="49"/>
        <v>0.00187944510401638</v>
      </c>
      <c r="V59" s="3">
        <v>180.9</v>
      </c>
      <c r="W59" s="27">
        <v>6</v>
      </c>
      <c r="X59" s="27">
        <v>3</v>
      </c>
      <c r="Y59" s="27">
        <v>0.3</v>
      </c>
      <c r="Z59" s="27">
        <v>6</v>
      </c>
      <c r="AA59" s="3">
        <v>30.2</v>
      </c>
      <c r="AB59" s="2">
        <f t="shared" si="50"/>
        <v>0.22676517618371</v>
      </c>
      <c r="AC59" s="29">
        <f t="shared" si="51"/>
        <v>11.2298333333333</v>
      </c>
      <c r="AD59" s="1">
        <f t="shared" si="52"/>
        <v>0.29</v>
      </c>
      <c r="AE59" s="30">
        <f t="shared" si="53"/>
        <v>52.6470775680101</v>
      </c>
      <c r="AF59" s="1">
        <f t="shared" si="54"/>
        <v>1340676.32747631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73</v>
      </c>
      <c r="B60" s="13">
        <f>H7</f>
        <v>0.29</v>
      </c>
      <c r="C60" s="16">
        <v>2</v>
      </c>
      <c r="D60" s="19">
        <v>-8.192710919</v>
      </c>
      <c r="E60" s="20">
        <f t="shared" si="55"/>
        <v>-11.7915463622258</v>
      </c>
      <c r="F60" s="16" t="s">
        <v>110</v>
      </c>
      <c r="G60" s="13">
        <v>3</v>
      </c>
      <c r="H60" s="18">
        <f t="shared" si="40"/>
        <v>-8.192710919</v>
      </c>
      <c r="I60" s="18">
        <f t="shared" si="41"/>
        <v>264.957289081</v>
      </c>
      <c r="J60" s="18">
        <f t="shared" si="42"/>
        <v>0.00578790180634615</v>
      </c>
      <c r="K60" s="18">
        <f t="shared" si="43"/>
        <v>11.2298333333333</v>
      </c>
      <c r="L60" s="18">
        <f t="shared" si="44"/>
        <v>3.032055</v>
      </c>
      <c r="M60" s="13" t="s">
        <v>110</v>
      </c>
      <c r="N60" s="13"/>
      <c r="O60" s="18">
        <f t="shared" si="56"/>
        <v>9.05937421330165</v>
      </c>
      <c r="P60" s="18">
        <f t="shared" si="45"/>
        <v>0.0524347683735343</v>
      </c>
      <c r="Q60" s="24">
        <f t="shared" si="46"/>
        <v>0.015206082828325</v>
      </c>
      <c r="R60" s="18">
        <f t="shared" si="47"/>
        <v>0.87929595</v>
      </c>
      <c r="S60" s="25">
        <f t="shared" si="48"/>
        <v>0.0172934753404982</v>
      </c>
      <c r="T60" s="3">
        <v>0.27</v>
      </c>
      <c r="U60" s="26">
        <f t="shared" si="49"/>
        <v>0.00466923834193452</v>
      </c>
      <c r="V60" s="3">
        <v>180.9</v>
      </c>
      <c r="W60" s="27">
        <v>6</v>
      </c>
      <c r="X60" s="27">
        <v>3</v>
      </c>
      <c r="Y60" s="27">
        <v>0.3</v>
      </c>
      <c r="Z60" s="27">
        <v>6</v>
      </c>
      <c r="AA60" s="3">
        <v>30.2</v>
      </c>
      <c r="AB60" s="2">
        <f t="shared" si="50"/>
        <v>0.227307233009838</v>
      </c>
      <c r="AC60" s="29">
        <f t="shared" si="51"/>
        <v>11.2298333333333</v>
      </c>
      <c r="AD60" s="1">
        <f t="shared" si="52"/>
        <v>0.29</v>
      </c>
      <c r="AE60" s="30">
        <f t="shared" si="53"/>
        <v>52.6470775680101</v>
      </c>
      <c r="AF60" s="1">
        <f t="shared" si="54"/>
        <v>1343881.0644962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9">
        <v>3.14121524287097</v>
      </c>
      <c r="E61" s="20">
        <f t="shared" si="55"/>
        <v>-8.192710919</v>
      </c>
      <c r="F61" s="16" t="s">
        <v>110</v>
      </c>
      <c r="G61" s="13">
        <v>4</v>
      </c>
      <c r="H61" s="18">
        <f t="shared" si="40"/>
        <v>3.14121524287097</v>
      </c>
      <c r="I61" s="18">
        <f t="shared" si="41"/>
        <v>276.291215242871</v>
      </c>
      <c r="J61" s="18">
        <f t="shared" si="42"/>
        <v>0.0261344802098834</v>
      </c>
      <c r="K61" s="18">
        <f t="shared" si="43"/>
        <v>11.2298333333333</v>
      </c>
      <c r="L61" s="18">
        <f t="shared" si="44"/>
        <v>3.032055</v>
      </c>
      <c r="M61" s="13" t="s">
        <v>110</v>
      </c>
      <c r="N61" s="13"/>
      <c r="O61" s="18">
        <f t="shared" si="56"/>
        <v>12.0389944449281</v>
      </c>
      <c r="P61" s="18">
        <f t="shared" si="45"/>
        <v>0.31463286206787</v>
      </c>
      <c r="Q61" s="24">
        <f t="shared" si="46"/>
        <v>0.0912435299996823</v>
      </c>
      <c r="R61" s="18">
        <f t="shared" si="47"/>
        <v>0.87929595</v>
      </c>
      <c r="S61" s="25">
        <f t="shared" si="48"/>
        <v>0.103768850521468</v>
      </c>
      <c r="T61" s="3">
        <v>0.27</v>
      </c>
      <c r="U61" s="26">
        <f t="shared" si="49"/>
        <v>0.0280175896407964</v>
      </c>
      <c r="V61" s="3">
        <v>180.9</v>
      </c>
      <c r="W61" s="27">
        <v>6</v>
      </c>
      <c r="X61" s="27">
        <v>3</v>
      </c>
      <c r="Y61" s="27">
        <v>0.3</v>
      </c>
      <c r="Z61" s="27">
        <v>6</v>
      </c>
      <c r="AA61" s="3">
        <v>30.2</v>
      </c>
      <c r="AB61" s="2">
        <f t="shared" si="50"/>
        <v>0.231843817667207</v>
      </c>
      <c r="AC61" s="29">
        <f t="shared" si="51"/>
        <v>11.2298333333333</v>
      </c>
      <c r="AD61" s="1">
        <f t="shared" si="52"/>
        <v>0.29</v>
      </c>
      <c r="AE61" s="30">
        <f t="shared" si="53"/>
        <v>52.6470775680101</v>
      </c>
      <c r="AF61" s="1">
        <f t="shared" si="54"/>
        <v>1370702.16533753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9">
        <v>10.3040178096667</v>
      </c>
      <c r="E62" s="20">
        <f t="shared" si="55"/>
        <v>3.14121524287097</v>
      </c>
      <c r="F62" s="16" t="s">
        <v>110</v>
      </c>
      <c r="G62" s="13">
        <v>5</v>
      </c>
      <c r="H62" s="18">
        <f t="shared" si="40"/>
        <v>10.3040178096667</v>
      </c>
      <c r="I62" s="18">
        <f t="shared" si="41"/>
        <v>283.454017809667</v>
      </c>
      <c r="J62" s="18">
        <f t="shared" si="42"/>
        <v>0.0636746511293259</v>
      </c>
      <c r="K62" s="18">
        <f t="shared" si="43"/>
        <v>11.2298333333333</v>
      </c>
      <c r="L62" s="18">
        <f t="shared" si="44"/>
        <v>3.032055</v>
      </c>
      <c r="M62" s="13" t="s">
        <v>112</v>
      </c>
      <c r="N62" s="18">
        <f>(O61-P61)*$C$22/100</f>
        <v>11.1381435037172</v>
      </c>
      <c r="O62" s="18">
        <f t="shared" si="56"/>
        <v>3.61827307914301</v>
      </c>
      <c r="P62" s="18">
        <f t="shared" si="45"/>
        <v>0.230392276005063</v>
      </c>
      <c r="Q62" s="24">
        <f t="shared" si="46"/>
        <v>0.0668137600414683</v>
      </c>
      <c r="R62" s="18">
        <f t="shared" si="47"/>
        <v>0.87929595</v>
      </c>
      <c r="S62" s="25">
        <f t="shared" si="48"/>
        <v>0.075985520053252</v>
      </c>
      <c r="T62" s="3">
        <v>0.27</v>
      </c>
      <c r="U62" s="26">
        <f t="shared" si="49"/>
        <v>0.020516090414378</v>
      </c>
      <c r="V62" s="3">
        <v>220.1</v>
      </c>
      <c r="W62" s="27">
        <v>12.1</v>
      </c>
      <c r="X62" s="27">
        <v>4.5</v>
      </c>
      <c r="Y62" s="27">
        <v>1.5</v>
      </c>
      <c r="Z62" s="27">
        <v>6.8</v>
      </c>
      <c r="AA62" s="3">
        <v>30.2</v>
      </c>
      <c r="AB62" s="2">
        <f t="shared" si="50"/>
        <v>0.279186276367514</v>
      </c>
      <c r="AC62" s="29">
        <f t="shared" si="51"/>
        <v>11.2298333333333</v>
      </c>
      <c r="AD62" s="1">
        <f t="shared" si="52"/>
        <v>0.29</v>
      </c>
      <c r="AE62" s="30">
        <f t="shared" si="53"/>
        <v>52.6470775680101</v>
      </c>
      <c r="AF62" s="1">
        <f t="shared" si="54"/>
        <v>1650599.25858701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9">
        <v>13.324716293129</v>
      </c>
      <c r="E63" s="20">
        <f t="shared" si="55"/>
        <v>10.3040178096667</v>
      </c>
      <c r="F63" s="16" t="s">
        <v>112</v>
      </c>
      <c r="G63" s="13">
        <v>6</v>
      </c>
      <c r="H63" s="18">
        <f t="shared" si="40"/>
        <v>13.324716293129</v>
      </c>
      <c r="I63" s="18">
        <f t="shared" si="41"/>
        <v>286.474716293129</v>
      </c>
      <c r="J63" s="18">
        <f t="shared" si="42"/>
        <v>0.0914681992927445</v>
      </c>
      <c r="K63" s="18">
        <f t="shared" si="43"/>
        <v>11.2298333333333</v>
      </c>
      <c r="L63" s="18">
        <f t="shared" si="44"/>
        <v>3.032055</v>
      </c>
      <c r="M63" s="13" t="s">
        <v>110</v>
      </c>
      <c r="N63" s="13"/>
      <c r="O63" s="18">
        <f t="shared" si="56"/>
        <v>6.41993580313795</v>
      </c>
      <c r="P63" s="18">
        <f t="shared" si="45"/>
        <v>0.587219967488048</v>
      </c>
      <c r="Q63" s="24">
        <f t="shared" si="46"/>
        <v>0.170293790571534</v>
      </c>
      <c r="R63" s="18">
        <f t="shared" si="47"/>
        <v>0.87929595</v>
      </c>
      <c r="S63" s="25">
        <f t="shared" si="48"/>
        <v>0.19367061860291</v>
      </c>
      <c r="T63" s="3">
        <v>0.27</v>
      </c>
      <c r="U63" s="26">
        <f t="shared" si="49"/>
        <v>0.0522910670227858</v>
      </c>
      <c r="V63" s="3">
        <v>220.1</v>
      </c>
      <c r="W63" s="27">
        <v>12.1</v>
      </c>
      <c r="X63" s="27">
        <v>4.5</v>
      </c>
      <c r="Y63" s="27">
        <v>1.5</v>
      </c>
      <c r="Z63" s="27">
        <v>6.8</v>
      </c>
      <c r="AA63" s="3">
        <v>30.2</v>
      </c>
      <c r="AB63" s="2">
        <f t="shared" si="50"/>
        <v>0.285360154322527</v>
      </c>
      <c r="AC63" s="29">
        <f t="shared" si="51"/>
        <v>11.2298333333333</v>
      </c>
      <c r="AD63" s="1">
        <f t="shared" si="52"/>
        <v>0.29</v>
      </c>
      <c r="AE63" s="30">
        <f t="shared" si="53"/>
        <v>52.6470775680101</v>
      </c>
      <c r="AF63" s="1">
        <f t="shared" si="54"/>
        <v>1687100.33058719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9">
        <v>20.1594895183333</v>
      </c>
      <c r="E64" s="20">
        <f t="shared" si="55"/>
        <v>13.324716293129</v>
      </c>
      <c r="F64" s="16" t="s">
        <v>110</v>
      </c>
      <c r="G64" s="13">
        <v>7</v>
      </c>
      <c r="H64" s="18">
        <f t="shared" si="40"/>
        <v>20.1594895183333</v>
      </c>
      <c r="I64" s="18">
        <f t="shared" si="41"/>
        <v>293.309489518333</v>
      </c>
      <c r="J64" s="18">
        <f t="shared" si="42"/>
        <v>0.201945027994167</v>
      </c>
      <c r="K64" s="18">
        <f t="shared" si="43"/>
        <v>11.2298333333333</v>
      </c>
      <c r="L64" s="18">
        <f t="shared" si="44"/>
        <v>3.032055</v>
      </c>
      <c r="M64" s="13" t="s">
        <v>110</v>
      </c>
      <c r="N64" s="13"/>
      <c r="O64" s="18">
        <f t="shared" si="56"/>
        <v>8.8647708356499</v>
      </c>
      <c r="P64" s="18">
        <f t="shared" si="45"/>
        <v>1.79019639456719</v>
      </c>
      <c r="Q64" s="24">
        <f t="shared" si="46"/>
        <v>0.519156954424486</v>
      </c>
      <c r="R64" s="18">
        <f t="shared" si="47"/>
        <v>0.87929595</v>
      </c>
      <c r="S64" s="25">
        <f t="shared" si="48"/>
        <v>0.590423456885576</v>
      </c>
      <c r="T64" s="3">
        <v>0.27</v>
      </c>
      <c r="U64" s="26">
        <f t="shared" si="49"/>
        <v>0.159414333359105</v>
      </c>
      <c r="V64" s="3">
        <v>220.1</v>
      </c>
      <c r="W64" s="27">
        <v>12.1</v>
      </c>
      <c r="X64" s="27">
        <v>4.5</v>
      </c>
      <c r="Y64" s="27">
        <v>1.5</v>
      </c>
      <c r="Z64" s="27">
        <v>6.8</v>
      </c>
      <c r="AA64" s="3">
        <v>30.2</v>
      </c>
      <c r="AB64" s="2">
        <f t="shared" si="50"/>
        <v>0.306174204971674</v>
      </c>
      <c r="AC64" s="29">
        <f t="shared" si="51"/>
        <v>11.2298333333333</v>
      </c>
      <c r="AD64" s="1">
        <f t="shared" si="52"/>
        <v>0.29</v>
      </c>
      <c r="AE64" s="30">
        <f t="shared" si="53"/>
        <v>52.6470775680101</v>
      </c>
      <c r="AF64" s="1">
        <f t="shared" si="54"/>
        <v>1810156.72510871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9">
        <v>21.2806534074194</v>
      </c>
      <c r="E65" s="20">
        <f t="shared" si="55"/>
        <v>20.1594895183333</v>
      </c>
      <c r="F65" s="16" t="s">
        <v>110</v>
      </c>
      <c r="G65" s="13">
        <v>8</v>
      </c>
      <c r="H65" s="18">
        <f t="shared" si="40"/>
        <v>21.2806534074194</v>
      </c>
      <c r="I65" s="18">
        <f t="shared" si="41"/>
        <v>294.430653407419</v>
      </c>
      <c r="J65" s="18">
        <f t="shared" si="42"/>
        <v>0.229156198828549</v>
      </c>
      <c r="K65" s="18">
        <f t="shared" si="43"/>
        <v>11.2298333333333</v>
      </c>
      <c r="L65" s="18">
        <f t="shared" si="44"/>
        <v>3.032055</v>
      </c>
      <c r="M65" s="13" t="s">
        <v>110</v>
      </c>
      <c r="N65" s="13"/>
      <c r="O65" s="18">
        <f t="shared" si="56"/>
        <v>10.1066294410827</v>
      </c>
      <c r="P65" s="18">
        <f t="shared" si="45"/>
        <v>2.31599678568722</v>
      </c>
      <c r="Q65" s="24">
        <f t="shared" si="46"/>
        <v>0.671639067849293</v>
      </c>
      <c r="R65" s="18">
        <f t="shared" si="47"/>
        <v>0.87929595</v>
      </c>
      <c r="S65" s="25">
        <f t="shared" si="48"/>
        <v>0.763837326726334</v>
      </c>
      <c r="T65" s="3">
        <v>0.27</v>
      </c>
      <c r="U65" s="26">
        <f t="shared" si="49"/>
        <v>0.20623607821611</v>
      </c>
      <c r="V65" s="3">
        <v>220.1</v>
      </c>
      <c r="W65" s="27">
        <v>12.1</v>
      </c>
      <c r="X65" s="27">
        <v>4.5</v>
      </c>
      <c r="Y65" s="27">
        <v>1.5</v>
      </c>
      <c r="Z65" s="27">
        <v>6.8</v>
      </c>
      <c r="AA65" s="3">
        <v>30.2</v>
      </c>
      <c r="AB65" s="2">
        <f t="shared" si="50"/>
        <v>0.31527166999739</v>
      </c>
      <c r="AC65" s="29">
        <f t="shared" si="51"/>
        <v>11.2298333333333</v>
      </c>
      <c r="AD65" s="1">
        <f t="shared" si="52"/>
        <v>0.29</v>
      </c>
      <c r="AE65" s="30">
        <f t="shared" si="53"/>
        <v>52.6470775680101</v>
      </c>
      <c r="AF65" s="1">
        <f t="shared" si="54"/>
        <v>1863942.56738521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9">
        <v>18.9639937503226</v>
      </c>
      <c r="E66" s="20">
        <f t="shared" si="55"/>
        <v>21.2806534074194</v>
      </c>
      <c r="F66" s="16" t="s">
        <v>110</v>
      </c>
      <c r="G66" s="13">
        <v>9</v>
      </c>
      <c r="H66" s="18">
        <f t="shared" si="40"/>
        <v>18.9639937503226</v>
      </c>
      <c r="I66" s="18">
        <f t="shared" si="41"/>
        <v>292.113993750323</v>
      </c>
      <c r="J66" s="18">
        <f t="shared" si="42"/>
        <v>0.1762912551343</v>
      </c>
      <c r="K66" s="18">
        <f t="shared" si="43"/>
        <v>11.2298333333333</v>
      </c>
      <c r="L66" s="18">
        <f t="shared" si="44"/>
        <v>3.032055</v>
      </c>
      <c r="M66" s="13" t="s">
        <v>110</v>
      </c>
      <c r="N66" s="13"/>
      <c r="O66" s="18">
        <f t="shared" si="56"/>
        <v>10.8226876553955</v>
      </c>
      <c r="P66" s="18">
        <f t="shared" si="45"/>
        <v>1.90794519069617</v>
      </c>
      <c r="Q66" s="24">
        <f t="shared" si="46"/>
        <v>0.553304105301888</v>
      </c>
      <c r="R66" s="18">
        <f t="shared" si="47"/>
        <v>0.87929595</v>
      </c>
      <c r="S66" s="25">
        <f t="shared" si="48"/>
        <v>0.629258107354967</v>
      </c>
      <c r="T66" s="3">
        <v>0.27</v>
      </c>
      <c r="U66" s="26">
        <f t="shared" si="49"/>
        <v>0.169899688985841</v>
      </c>
      <c r="V66" s="3">
        <v>220.1</v>
      </c>
      <c r="W66" s="27">
        <v>12.1</v>
      </c>
      <c r="X66" s="27">
        <v>4.5</v>
      </c>
      <c r="Y66" s="27">
        <v>1.5</v>
      </c>
      <c r="Z66" s="27">
        <v>6.8</v>
      </c>
      <c r="AA66" s="3">
        <v>30.2</v>
      </c>
      <c r="AB66" s="2">
        <f t="shared" si="50"/>
        <v>0.308211509569949</v>
      </c>
      <c r="AC66" s="29">
        <f t="shared" si="51"/>
        <v>11.2298333333333</v>
      </c>
      <c r="AD66" s="1">
        <f t="shared" si="52"/>
        <v>0.29</v>
      </c>
      <c r="AE66" s="30">
        <f t="shared" si="53"/>
        <v>52.6470775680101</v>
      </c>
      <c r="AF66" s="1">
        <f t="shared" si="54"/>
        <v>1822201.6347052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9">
        <v>15.6933629623333</v>
      </c>
      <c r="E67" s="20">
        <f t="shared" si="55"/>
        <v>18.9639937503226</v>
      </c>
      <c r="F67" s="16" t="s">
        <v>110</v>
      </c>
      <c r="G67" s="13">
        <v>10</v>
      </c>
      <c r="H67" s="18">
        <f t="shared" si="40"/>
        <v>15.6933629623333</v>
      </c>
      <c r="I67" s="18">
        <f t="shared" si="41"/>
        <v>288.843362962333</v>
      </c>
      <c r="J67" s="18">
        <f t="shared" si="42"/>
        <v>0.12086942903513</v>
      </c>
      <c r="K67" s="18">
        <f t="shared" si="43"/>
        <v>11.2298333333333</v>
      </c>
      <c r="L67" s="18">
        <f t="shared" si="44"/>
        <v>3.032055</v>
      </c>
      <c r="M67" s="13" t="s">
        <v>110</v>
      </c>
      <c r="N67" s="13"/>
      <c r="O67" s="18">
        <f t="shared" si="56"/>
        <v>11.9467974646993</v>
      </c>
      <c r="P67" s="18">
        <f t="shared" si="45"/>
        <v>1.44400258835655</v>
      </c>
      <c r="Q67" s="24">
        <f t="shared" si="46"/>
        <v>0.418760750623398</v>
      </c>
      <c r="R67" s="18">
        <f t="shared" si="47"/>
        <v>0.87929595</v>
      </c>
      <c r="S67" s="25">
        <f t="shared" si="48"/>
        <v>0.476245512814427</v>
      </c>
      <c r="T67" s="3">
        <v>0.27</v>
      </c>
      <c r="U67" s="26">
        <f t="shared" si="49"/>
        <v>0.128586288459895</v>
      </c>
      <c r="V67" s="3">
        <v>180.9</v>
      </c>
      <c r="W67" s="27">
        <v>6</v>
      </c>
      <c r="X67" s="27">
        <v>3</v>
      </c>
      <c r="Y67" s="27">
        <v>0.3</v>
      </c>
      <c r="Z67" s="27">
        <v>6</v>
      </c>
      <c r="AA67" s="3">
        <v>30.2</v>
      </c>
      <c r="AB67" s="2">
        <f t="shared" si="50"/>
        <v>0.251384315847758</v>
      </c>
      <c r="AC67" s="29">
        <f t="shared" si="51"/>
        <v>11.2298333333333</v>
      </c>
      <c r="AD67" s="1">
        <f t="shared" si="52"/>
        <v>0.29</v>
      </c>
      <c r="AE67" s="30">
        <f t="shared" si="53"/>
        <v>52.6470775680101</v>
      </c>
      <c r="AF67" s="1">
        <f t="shared" si="54"/>
        <v>1486229.08961507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9">
        <v>4.21467201822581</v>
      </c>
      <c r="E68" s="20">
        <f t="shared" si="55"/>
        <v>15.6933629623333</v>
      </c>
      <c r="F68" s="16" t="s">
        <v>110</v>
      </c>
      <c r="G68" s="13">
        <v>11</v>
      </c>
      <c r="H68" s="18">
        <f t="shared" si="40"/>
        <v>4.21467201822581</v>
      </c>
      <c r="I68" s="18">
        <f t="shared" si="41"/>
        <v>277.364672018226</v>
      </c>
      <c r="J68" s="18">
        <f t="shared" si="42"/>
        <v>0.0299534763654428</v>
      </c>
      <c r="K68" s="18">
        <f t="shared" si="43"/>
        <v>11.2298333333333</v>
      </c>
      <c r="L68" s="18">
        <f t="shared" si="44"/>
        <v>3.032055</v>
      </c>
      <c r="M68" s="13" t="s">
        <v>112</v>
      </c>
      <c r="N68" s="18">
        <f>(O67-P67)*$C$22/100</f>
        <v>9.97765513252564</v>
      </c>
      <c r="O68" s="18">
        <f t="shared" si="56"/>
        <v>3.55719474381714</v>
      </c>
      <c r="P68" s="18">
        <f t="shared" si="45"/>
        <v>0.106550348686204</v>
      </c>
      <c r="Q68" s="24">
        <f t="shared" si="46"/>
        <v>0.0308996011189992</v>
      </c>
      <c r="R68" s="18">
        <f t="shared" si="47"/>
        <v>0.87929595</v>
      </c>
      <c r="S68" s="25">
        <f t="shared" si="48"/>
        <v>0.0351412981249364</v>
      </c>
      <c r="T68" s="3">
        <v>0.27</v>
      </c>
      <c r="U68" s="26">
        <f t="shared" si="49"/>
        <v>0.00948815049373283</v>
      </c>
      <c r="V68" s="3">
        <v>180.9</v>
      </c>
      <c r="W68" s="27">
        <v>6</v>
      </c>
      <c r="X68" s="27">
        <v>3</v>
      </c>
      <c r="Y68" s="27">
        <v>0.3</v>
      </c>
      <c r="Z68" s="27">
        <v>6</v>
      </c>
      <c r="AA68" s="3">
        <v>30.2</v>
      </c>
      <c r="AB68" s="2">
        <f t="shared" si="50"/>
        <v>0.228243547640932</v>
      </c>
      <c r="AC68" s="29">
        <f t="shared" si="51"/>
        <v>11.2298333333333</v>
      </c>
      <c r="AD68" s="1">
        <f t="shared" si="52"/>
        <v>0.29</v>
      </c>
      <c r="AE68" s="30">
        <f t="shared" si="53"/>
        <v>52.6470775680101</v>
      </c>
      <c r="AF68" s="1">
        <f t="shared" si="54"/>
        <v>1349416.72425712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9">
        <v>-4.1991255377</v>
      </c>
      <c r="E69" s="20">
        <f t="shared" si="55"/>
        <v>4.21467201822581</v>
      </c>
      <c r="F69" s="16" t="s">
        <v>112</v>
      </c>
      <c r="G69" s="13">
        <v>12</v>
      </c>
      <c r="H69" s="18">
        <f t="shared" si="40"/>
        <v>-4.1991255377</v>
      </c>
      <c r="I69" s="18">
        <f t="shared" si="41"/>
        <v>268.9508744623</v>
      </c>
      <c r="J69" s="18">
        <f t="shared" si="42"/>
        <v>0.00998855190878936</v>
      </c>
      <c r="K69" s="18">
        <f t="shared" si="43"/>
        <v>11.2298333333333</v>
      </c>
      <c r="L69" s="18">
        <f t="shared" si="44"/>
        <v>3.032055</v>
      </c>
      <c r="M69" s="13" t="s">
        <v>110</v>
      </c>
      <c r="N69" s="13"/>
      <c r="O69" s="18">
        <f t="shared" si="56"/>
        <v>6.48269939513093</v>
      </c>
      <c r="P69" s="18">
        <f t="shared" si="45"/>
        <v>0.0647527794173427</v>
      </c>
      <c r="Q69" s="24">
        <f t="shared" si="46"/>
        <v>0.0187783060310294</v>
      </c>
      <c r="R69" s="18">
        <f t="shared" si="47"/>
        <v>0.87929595</v>
      </c>
      <c r="S69" s="25">
        <f t="shared" si="48"/>
        <v>0.0213560701957394</v>
      </c>
      <c r="T69" s="3">
        <v>0.27</v>
      </c>
      <c r="U69" s="26">
        <f t="shared" si="49"/>
        <v>0.00576613895284965</v>
      </c>
      <c r="V69" s="3">
        <v>180.9</v>
      </c>
      <c r="W69" s="27">
        <v>6</v>
      </c>
      <c r="X69" s="27">
        <v>3</v>
      </c>
      <c r="Y69" s="27">
        <v>0.3</v>
      </c>
      <c r="Z69" s="27">
        <v>6</v>
      </c>
      <c r="AA69" s="3">
        <v>30.2</v>
      </c>
      <c r="AB69" s="2">
        <f t="shared" si="50"/>
        <v>0.227520360798539</v>
      </c>
      <c r="AC69" s="29">
        <f t="shared" si="51"/>
        <v>11.2298333333333</v>
      </c>
      <c r="AD69" s="1">
        <f t="shared" si="52"/>
        <v>0.29</v>
      </c>
      <c r="AE69" s="30">
        <f t="shared" si="53"/>
        <v>52.6470775680101</v>
      </c>
      <c r="AF69" s="1">
        <f t="shared" si="54"/>
        <v>1345141.11414688</v>
      </c>
      <c r="AG69" s="1">
        <f>SUM(AF58:AF69)</f>
        <v>18410168.8051418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9">
        <v>-7.57783500725806</v>
      </c>
      <c r="E70" s="20">
        <f t="shared" si="55"/>
        <v>-4.1991255377</v>
      </c>
      <c r="F70" s="16" t="s">
        <v>110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3" t="s">
        <v>80</v>
      </c>
      <c r="T72" s="23"/>
      <c r="U72" s="23"/>
      <c r="V72" s="23" t="s">
        <v>81</v>
      </c>
      <c r="W72" s="23"/>
      <c r="X72" s="23"/>
      <c r="Y72" s="23" t="s">
        <v>82</v>
      </c>
      <c r="Z72" s="23"/>
      <c r="AA72" s="23"/>
      <c r="AB72" s="23" t="s">
        <v>83</v>
      </c>
      <c r="AC72" s="23"/>
      <c r="AD72" s="23"/>
      <c r="AE72" s="23" t="s">
        <v>84</v>
      </c>
      <c r="AF72" s="23"/>
      <c r="AG72" s="23"/>
      <c r="AH72" s="23" t="s">
        <v>85</v>
      </c>
      <c r="AI72" s="23"/>
      <c r="AJ72" s="23"/>
      <c r="AK72" s="31" t="s">
        <v>115</v>
      </c>
      <c r="AL72" s="32"/>
      <c r="AM72" s="33"/>
      <c r="AN72" s="32" t="s">
        <v>116</v>
      </c>
      <c r="AO72" s="32"/>
      <c r="AP72" s="33"/>
      <c r="AQ72" s="23" t="s">
        <v>87</v>
      </c>
      <c r="AR72" s="23"/>
      <c r="AS72" s="23"/>
      <c r="AT72" s="2"/>
    </row>
    <row r="73" s="1" customFormat="1" spans="1:50">
      <c r="A73" s="15" t="s">
        <v>49</v>
      </c>
      <c r="B73" s="15"/>
      <c r="C73" s="16" t="s">
        <v>88</v>
      </c>
      <c r="D73" s="16" t="s">
        <v>89</v>
      </c>
      <c r="E73" s="16" t="s">
        <v>90</v>
      </c>
      <c r="F73" s="16" t="s">
        <v>91</v>
      </c>
      <c r="G73" s="13" t="s">
        <v>88</v>
      </c>
      <c r="H73" s="13" t="s">
        <v>90</v>
      </c>
      <c r="I73" s="13" t="s">
        <v>92</v>
      </c>
      <c r="J73" s="13" t="s">
        <v>93</v>
      </c>
      <c r="K73" s="22" t="s">
        <v>94</v>
      </c>
      <c r="L73" s="22" t="s">
        <v>95</v>
      </c>
      <c r="M73" s="13" t="s">
        <v>96</v>
      </c>
      <c r="N73" s="22" t="s">
        <v>97</v>
      </c>
      <c r="O73" s="13" t="s">
        <v>98</v>
      </c>
      <c r="P73" s="13" t="s">
        <v>99</v>
      </c>
      <c r="Q73" s="22" t="s">
        <v>100</v>
      </c>
      <c r="R73" s="22" t="s">
        <v>101</v>
      </c>
      <c r="S73" s="4" t="s">
        <v>102</v>
      </c>
      <c r="T73" s="3" t="s">
        <v>103</v>
      </c>
      <c r="U73" s="3"/>
      <c r="V73" s="4" t="s">
        <v>102</v>
      </c>
      <c r="W73" s="3" t="s">
        <v>103</v>
      </c>
      <c r="X73" s="3"/>
      <c r="Y73" s="4" t="s">
        <v>102</v>
      </c>
      <c r="Z73" s="3" t="s">
        <v>103</v>
      </c>
      <c r="AA73" s="3"/>
      <c r="AB73" s="4" t="s">
        <v>102</v>
      </c>
      <c r="AC73" s="3" t="s">
        <v>103</v>
      </c>
      <c r="AD73" s="3"/>
      <c r="AE73" s="4" t="s">
        <v>102</v>
      </c>
      <c r="AF73" s="3" t="s">
        <v>103</v>
      </c>
      <c r="AG73" s="3"/>
      <c r="AH73" s="4" t="s">
        <v>102</v>
      </c>
      <c r="AI73" s="3" t="s">
        <v>103</v>
      </c>
      <c r="AJ73" s="3"/>
      <c r="AK73" s="4" t="s">
        <v>102</v>
      </c>
      <c r="AL73" s="3" t="s">
        <v>103</v>
      </c>
      <c r="AM73" s="3"/>
      <c r="AN73" s="4" t="s">
        <v>102</v>
      </c>
      <c r="AO73" s="3" t="s">
        <v>103</v>
      </c>
      <c r="AP73" s="3"/>
      <c r="AQ73" s="34" t="s">
        <v>102</v>
      </c>
      <c r="AR73" s="34" t="s">
        <v>103</v>
      </c>
      <c r="AS73" s="34"/>
      <c r="AT73" s="2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="1" customFormat="1" spans="1:50">
      <c r="A74" s="13" t="s">
        <v>108</v>
      </c>
      <c r="B74" s="13">
        <f>F8</f>
        <v>625.464</v>
      </c>
      <c r="C74" s="16" t="s">
        <v>109</v>
      </c>
      <c r="D74" s="17">
        <v>-9</v>
      </c>
      <c r="E74" s="16"/>
      <c r="F74" s="16"/>
      <c r="G74" s="13">
        <v>1</v>
      </c>
      <c r="H74" s="18">
        <f t="shared" ref="H74:H85" si="57">E75</f>
        <v>-9</v>
      </c>
      <c r="I74" s="18">
        <f t="shared" ref="I74:I85" si="58">H74+273.15</f>
        <v>264.15</v>
      </c>
      <c r="J74" s="18">
        <f t="shared" ref="J74:J85" si="59">EXP(($C$16*(I74-$C$14))/($C$17*I74*$C$14))</f>
        <v>0.0051730365778654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110</v>
      </c>
      <c r="N74" s="13"/>
      <c r="O74" s="18">
        <f>L74</f>
        <v>0.52122</v>
      </c>
      <c r="P74" s="18">
        <f t="shared" ref="P74:P85" si="62">O74*J74</f>
        <v>0.002696290125115</v>
      </c>
      <c r="Q74" s="24">
        <f t="shared" ref="Q74:Q85" si="63">P74*$B$76</f>
        <v>0.000808887037534501</v>
      </c>
      <c r="R74" s="18">
        <f t="shared" ref="R74:R85" si="64">L74*$B$76</f>
        <v>0.156366</v>
      </c>
      <c r="S74" s="25">
        <f t="shared" ref="S74:S85" si="65">Q74/R74</f>
        <v>0.0051730365778654</v>
      </c>
      <c r="T74" s="3">
        <v>0.01</v>
      </c>
      <c r="U74" s="26">
        <f t="shared" ref="U74:U85" si="66">S74*T74</f>
        <v>5.1730365778654e-5</v>
      </c>
      <c r="V74" s="25"/>
      <c r="W74" s="3"/>
      <c r="X74" s="3"/>
      <c r="Y74" s="28"/>
      <c r="Z74" s="3"/>
      <c r="AA74" s="27"/>
      <c r="AB74" s="3"/>
      <c r="AC74" s="3"/>
      <c r="AD74" s="27"/>
      <c r="AE74" s="25">
        <v>0.001</v>
      </c>
      <c r="AF74" s="3">
        <v>0.49</v>
      </c>
      <c r="AG74" s="26">
        <f t="shared" ref="AG74:AG85" si="67">AF74*AE74</f>
        <v>0.00049</v>
      </c>
      <c r="AH74" s="35"/>
      <c r="AI74" s="3"/>
      <c r="AJ74" s="26"/>
      <c r="AK74" s="36"/>
      <c r="AL74" s="27"/>
      <c r="AM74" s="27"/>
      <c r="AN74" s="36"/>
      <c r="AO74" s="27"/>
      <c r="AP74" s="26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0.00554173036577865</v>
      </c>
      <c r="AU74" s="29">
        <f t="shared" ref="AU74:AU85" si="70">$B$74/12</f>
        <v>52.122</v>
      </c>
      <c r="AV74" s="1">
        <f t="shared" ref="AV74:AV85" si="71">$B$76</f>
        <v>0.3</v>
      </c>
      <c r="AW74" s="2">
        <f>$E$8/12</f>
        <v>5.13638209936544</v>
      </c>
      <c r="AX74" s="1">
        <f t="shared" ref="AX74:AX85" si="72">AW74*10000*AV74*0.67*AU74*AT74</f>
        <v>2982.08380596602</v>
      </c>
    </row>
    <row r="75" s="1" customFormat="1" spans="1:50">
      <c r="A75" s="13" t="s">
        <v>111</v>
      </c>
      <c r="B75" s="13">
        <v>1</v>
      </c>
      <c r="C75" s="16">
        <v>1</v>
      </c>
      <c r="D75" s="19">
        <v>-11.7915463622258</v>
      </c>
      <c r="E75" s="20">
        <f t="shared" ref="E75:E86" si="73">D74</f>
        <v>-9</v>
      </c>
      <c r="F75" s="16" t="s">
        <v>110</v>
      </c>
      <c r="G75" s="13">
        <v>2</v>
      </c>
      <c r="H75" s="18">
        <f t="shared" si="57"/>
        <v>-11.7915463622258</v>
      </c>
      <c r="I75" s="18">
        <f t="shared" si="58"/>
        <v>261.358453637774</v>
      </c>
      <c r="J75" s="18">
        <f t="shared" si="59"/>
        <v>0.00348947949886931</v>
      </c>
      <c r="K75" s="18">
        <f t="shared" si="60"/>
        <v>52.122</v>
      </c>
      <c r="L75" s="18">
        <f t="shared" si="61"/>
        <v>0.52122</v>
      </c>
      <c r="M75" s="13" t="s">
        <v>110</v>
      </c>
      <c r="N75" s="13"/>
      <c r="O75" s="18">
        <f t="shared" ref="O75:O85" si="74">L75+O74-P74-N75</f>
        <v>1.03974370987488</v>
      </c>
      <c r="P75" s="18">
        <f t="shared" si="62"/>
        <v>0.00362816435968673</v>
      </c>
      <c r="Q75" s="24">
        <f t="shared" si="63"/>
        <v>0.00108844930790602</v>
      </c>
      <c r="R75" s="18">
        <f t="shared" si="64"/>
        <v>0.156366</v>
      </c>
      <c r="S75" s="25">
        <f t="shared" si="65"/>
        <v>0.00696090779265326</v>
      </c>
      <c r="T75" s="3">
        <v>0.01</v>
      </c>
      <c r="U75" s="26">
        <f t="shared" si="66"/>
        <v>6.96090779265326e-5</v>
      </c>
      <c r="V75" s="25"/>
      <c r="W75" s="3"/>
      <c r="X75" s="3"/>
      <c r="Y75" s="28"/>
      <c r="Z75" s="3"/>
      <c r="AA75" s="27"/>
      <c r="AB75" s="3"/>
      <c r="AC75" s="3"/>
      <c r="AD75" s="27"/>
      <c r="AE75" s="25">
        <v>0.001</v>
      </c>
      <c r="AF75" s="3">
        <v>0.49</v>
      </c>
      <c r="AG75" s="26">
        <f t="shared" si="67"/>
        <v>0.00049</v>
      </c>
      <c r="AH75" s="35"/>
      <c r="AI75" s="3"/>
      <c r="AJ75" s="26"/>
      <c r="AK75" s="36"/>
      <c r="AL75" s="27"/>
      <c r="AM75" s="27"/>
      <c r="AN75" s="36"/>
      <c r="AO75" s="27"/>
      <c r="AP75" s="26"/>
      <c r="AQ75" s="3">
        <v>0.01</v>
      </c>
      <c r="AR75" s="3">
        <v>0.5</v>
      </c>
      <c r="AS75" s="3">
        <f t="shared" si="68"/>
        <v>0.005</v>
      </c>
      <c r="AT75" s="2">
        <f t="shared" si="69"/>
        <v>0.00555960907792653</v>
      </c>
      <c r="AU75" s="29">
        <f t="shared" si="70"/>
        <v>52.122</v>
      </c>
      <c r="AV75" s="1">
        <f t="shared" si="71"/>
        <v>0.3</v>
      </c>
      <c r="AW75" s="2">
        <f t="shared" ref="AW75:AW85" si="75">$E$8/12</f>
        <v>5.13638209936544</v>
      </c>
      <c r="AX75" s="1">
        <f t="shared" si="72"/>
        <v>2991.70459486202</v>
      </c>
    </row>
    <row r="76" s="1" customFormat="1" spans="1:50">
      <c r="A76" s="13" t="s">
        <v>73</v>
      </c>
      <c r="B76" s="13">
        <f>H8</f>
        <v>0.3</v>
      </c>
      <c r="C76" s="16">
        <v>2</v>
      </c>
      <c r="D76" s="19">
        <v>-8.192710919</v>
      </c>
      <c r="E76" s="20">
        <f t="shared" si="73"/>
        <v>-11.7915463622258</v>
      </c>
      <c r="F76" s="16" t="s">
        <v>110</v>
      </c>
      <c r="G76" s="13">
        <v>3</v>
      </c>
      <c r="H76" s="18">
        <f t="shared" si="57"/>
        <v>-8.192710919</v>
      </c>
      <c r="I76" s="18">
        <f t="shared" si="58"/>
        <v>264.957289081</v>
      </c>
      <c r="J76" s="18">
        <f t="shared" si="59"/>
        <v>0.00578790180634615</v>
      </c>
      <c r="K76" s="18">
        <f t="shared" si="60"/>
        <v>52.122</v>
      </c>
      <c r="L76" s="18">
        <f t="shared" si="61"/>
        <v>0.52122</v>
      </c>
      <c r="M76" s="13" t="s">
        <v>110</v>
      </c>
      <c r="N76" s="13"/>
      <c r="O76" s="18">
        <f t="shared" si="74"/>
        <v>1.5573355455152</v>
      </c>
      <c r="P76" s="18">
        <f t="shared" si="62"/>
        <v>0.00901370521697448</v>
      </c>
      <c r="Q76" s="24">
        <f t="shared" si="63"/>
        <v>0.00270411156509235</v>
      </c>
      <c r="R76" s="18">
        <f t="shared" si="64"/>
        <v>0.156366</v>
      </c>
      <c r="S76" s="25">
        <f t="shared" si="65"/>
        <v>0.0172934753404982</v>
      </c>
      <c r="T76" s="3">
        <v>0.01</v>
      </c>
      <c r="U76" s="26">
        <f t="shared" si="66"/>
        <v>0.000172934753404982</v>
      </c>
      <c r="V76" s="25"/>
      <c r="W76" s="3"/>
      <c r="X76" s="3"/>
      <c r="Y76" s="28"/>
      <c r="Z76" s="3"/>
      <c r="AA76" s="27"/>
      <c r="AB76" s="3"/>
      <c r="AC76" s="3"/>
      <c r="AD76" s="27"/>
      <c r="AE76" s="25">
        <v>0.001</v>
      </c>
      <c r="AF76" s="3">
        <v>0.49</v>
      </c>
      <c r="AG76" s="26">
        <f t="shared" si="67"/>
        <v>0.00049</v>
      </c>
      <c r="AH76" s="35"/>
      <c r="AI76" s="3"/>
      <c r="AJ76" s="26"/>
      <c r="AK76" s="36"/>
      <c r="AL76" s="27"/>
      <c r="AM76" s="27"/>
      <c r="AN76" s="36"/>
      <c r="AO76" s="27"/>
      <c r="AP76" s="26"/>
      <c r="AQ76" s="3">
        <v>0.01</v>
      </c>
      <c r="AR76" s="3">
        <v>0.5</v>
      </c>
      <c r="AS76" s="3">
        <f t="shared" si="68"/>
        <v>0.005</v>
      </c>
      <c r="AT76" s="2">
        <f t="shared" si="69"/>
        <v>0.00566293475340498</v>
      </c>
      <c r="AU76" s="29">
        <f t="shared" si="70"/>
        <v>52.122</v>
      </c>
      <c r="AV76" s="1">
        <f t="shared" si="71"/>
        <v>0.3</v>
      </c>
      <c r="AW76" s="2">
        <f t="shared" si="75"/>
        <v>5.13638209936544</v>
      </c>
      <c r="AX76" s="1">
        <f t="shared" si="72"/>
        <v>3047.30560812812</v>
      </c>
    </row>
    <row r="77" s="1" customFormat="1" spans="1:50">
      <c r="A77" s="13"/>
      <c r="B77" s="13"/>
      <c r="C77" s="16">
        <v>3</v>
      </c>
      <c r="D77" s="19">
        <v>3.14121524287097</v>
      </c>
      <c r="E77" s="20">
        <f t="shared" si="73"/>
        <v>-8.192710919</v>
      </c>
      <c r="F77" s="16" t="s">
        <v>110</v>
      </c>
      <c r="G77" s="13">
        <v>4</v>
      </c>
      <c r="H77" s="18">
        <f t="shared" si="57"/>
        <v>3.14121524287097</v>
      </c>
      <c r="I77" s="18">
        <f t="shared" si="58"/>
        <v>276.291215242871</v>
      </c>
      <c r="J77" s="18">
        <f t="shared" si="59"/>
        <v>0.0261344802098834</v>
      </c>
      <c r="K77" s="18">
        <f t="shared" si="60"/>
        <v>52.122</v>
      </c>
      <c r="L77" s="18">
        <f t="shared" si="61"/>
        <v>0.52122</v>
      </c>
      <c r="M77" s="13" t="s">
        <v>110</v>
      </c>
      <c r="N77" s="13"/>
      <c r="O77" s="18">
        <f t="shared" si="74"/>
        <v>2.06954184029822</v>
      </c>
      <c r="P77" s="18">
        <f t="shared" si="62"/>
        <v>0.0540864002687996</v>
      </c>
      <c r="Q77" s="24">
        <f t="shared" si="63"/>
        <v>0.0162259200806399</v>
      </c>
      <c r="R77" s="18">
        <f t="shared" si="64"/>
        <v>0.156366</v>
      </c>
      <c r="S77" s="25">
        <f t="shared" si="65"/>
        <v>0.103768850521468</v>
      </c>
      <c r="T77" s="3">
        <v>0.01</v>
      </c>
      <c r="U77" s="26">
        <f t="shared" si="66"/>
        <v>0.00103768850521468</v>
      </c>
      <c r="V77" s="25"/>
      <c r="W77" s="3"/>
      <c r="X77" s="3"/>
      <c r="Y77" s="28"/>
      <c r="Z77" s="3"/>
      <c r="AA77" s="27"/>
      <c r="AB77" s="3"/>
      <c r="AC77" s="3"/>
      <c r="AD77" s="27"/>
      <c r="AE77" s="25">
        <v>0.001</v>
      </c>
      <c r="AF77" s="3">
        <v>0.49</v>
      </c>
      <c r="AG77" s="26">
        <f t="shared" si="67"/>
        <v>0.00049</v>
      </c>
      <c r="AH77" s="35"/>
      <c r="AI77" s="3"/>
      <c r="AJ77" s="26"/>
      <c r="AK77" s="36"/>
      <c r="AL77" s="27"/>
      <c r="AM77" s="27"/>
      <c r="AN77" s="36"/>
      <c r="AO77" s="27"/>
      <c r="AP77" s="26"/>
      <c r="AQ77" s="3">
        <v>0.01</v>
      </c>
      <c r="AR77" s="3">
        <v>0.5</v>
      </c>
      <c r="AS77" s="3">
        <f t="shared" si="68"/>
        <v>0.005</v>
      </c>
      <c r="AT77" s="2">
        <f t="shared" si="69"/>
        <v>0.00652768850521468</v>
      </c>
      <c r="AU77" s="29">
        <f t="shared" si="70"/>
        <v>52.122</v>
      </c>
      <c r="AV77" s="1">
        <f t="shared" si="71"/>
        <v>0.3</v>
      </c>
      <c r="AW77" s="2">
        <f t="shared" si="75"/>
        <v>5.13638209936544</v>
      </c>
      <c r="AX77" s="1">
        <f t="shared" si="72"/>
        <v>3512.64188203716</v>
      </c>
    </row>
    <row r="78" s="1" customFormat="1" spans="1:50">
      <c r="A78" s="13"/>
      <c r="B78" s="13"/>
      <c r="C78" s="16">
        <v>4</v>
      </c>
      <c r="D78" s="19">
        <v>10.3040178096667</v>
      </c>
      <c r="E78" s="20">
        <f t="shared" si="73"/>
        <v>3.14121524287097</v>
      </c>
      <c r="F78" s="16" t="s">
        <v>110</v>
      </c>
      <c r="G78" s="13">
        <v>5</v>
      </c>
      <c r="H78" s="18">
        <f t="shared" si="57"/>
        <v>10.3040178096667</v>
      </c>
      <c r="I78" s="18">
        <f t="shared" si="58"/>
        <v>283.454017809667</v>
      </c>
      <c r="J78" s="18">
        <f t="shared" si="59"/>
        <v>0.0636746511293259</v>
      </c>
      <c r="K78" s="18">
        <f t="shared" si="60"/>
        <v>52.122</v>
      </c>
      <c r="L78" s="18">
        <f t="shared" si="61"/>
        <v>0.52122</v>
      </c>
      <c r="M78" s="13" t="s">
        <v>112</v>
      </c>
      <c r="N78" s="18">
        <f>(O77-P77)*$C$22/100</f>
        <v>1.91468266802795</v>
      </c>
      <c r="O78" s="18">
        <f t="shared" si="74"/>
        <v>0.621992772001471</v>
      </c>
      <c r="P78" s="18">
        <f t="shared" si="62"/>
        <v>0.039605172762156</v>
      </c>
      <c r="Q78" s="24">
        <f t="shared" si="63"/>
        <v>0.0118815518286468</v>
      </c>
      <c r="R78" s="18">
        <f t="shared" si="64"/>
        <v>0.156366</v>
      </c>
      <c r="S78" s="25">
        <f t="shared" si="65"/>
        <v>0.075985520053252</v>
      </c>
      <c r="T78" s="3">
        <v>0.01</v>
      </c>
      <c r="U78" s="26">
        <f t="shared" si="66"/>
        <v>0.00075985520053252</v>
      </c>
      <c r="V78" s="25"/>
      <c r="W78" s="3"/>
      <c r="X78" s="3"/>
      <c r="Y78" s="28"/>
      <c r="Z78" s="3"/>
      <c r="AA78" s="27"/>
      <c r="AB78" s="3"/>
      <c r="AC78" s="3"/>
      <c r="AD78" s="27"/>
      <c r="AE78" s="25">
        <v>0.005</v>
      </c>
      <c r="AF78" s="3">
        <v>0.49</v>
      </c>
      <c r="AG78" s="26">
        <f t="shared" si="67"/>
        <v>0.00245</v>
      </c>
      <c r="AH78" s="35"/>
      <c r="AI78" s="3"/>
      <c r="AJ78" s="26"/>
      <c r="AK78" s="36"/>
      <c r="AL78" s="27"/>
      <c r="AM78" s="27"/>
      <c r="AN78" s="36"/>
      <c r="AO78" s="27"/>
      <c r="AP78" s="26"/>
      <c r="AQ78" s="3">
        <v>0.015</v>
      </c>
      <c r="AR78" s="3">
        <v>0.5</v>
      </c>
      <c r="AS78" s="3">
        <f t="shared" si="68"/>
        <v>0.0075</v>
      </c>
      <c r="AT78" s="2">
        <f t="shared" si="69"/>
        <v>0.0107098552005325</v>
      </c>
      <c r="AU78" s="29">
        <f t="shared" si="70"/>
        <v>52.122</v>
      </c>
      <c r="AV78" s="1">
        <f t="shared" si="71"/>
        <v>0.3</v>
      </c>
      <c r="AW78" s="2">
        <f t="shared" si="75"/>
        <v>5.13638209936544</v>
      </c>
      <c r="AX78" s="1">
        <f t="shared" si="72"/>
        <v>5763.12517024843</v>
      </c>
    </row>
    <row r="79" s="1" customFormat="1" spans="1:50">
      <c r="A79" s="13"/>
      <c r="B79" s="13"/>
      <c r="C79" s="16">
        <v>5</v>
      </c>
      <c r="D79" s="19">
        <v>13.324716293129</v>
      </c>
      <c r="E79" s="20">
        <f t="shared" si="73"/>
        <v>10.3040178096667</v>
      </c>
      <c r="F79" s="16" t="s">
        <v>112</v>
      </c>
      <c r="G79" s="13">
        <v>6</v>
      </c>
      <c r="H79" s="18">
        <f t="shared" si="57"/>
        <v>13.324716293129</v>
      </c>
      <c r="I79" s="18">
        <f t="shared" si="58"/>
        <v>286.474716293129</v>
      </c>
      <c r="J79" s="18">
        <f t="shared" si="59"/>
        <v>0.0914681992927445</v>
      </c>
      <c r="K79" s="18">
        <f t="shared" si="60"/>
        <v>52.122</v>
      </c>
      <c r="L79" s="18">
        <f t="shared" si="61"/>
        <v>0.52122</v>
      </c>
      <c r="M79" s="13" t="s">
        <v>110</v>
      </c>
      <c r="N79" s="13"/>
      <c r="O79" s="18">
        <f t="shared" si="74"/>
        <v>1.10360759923932</v>
      </c>
      <c r="P79" s="18">
        <f t="shared" si="62"/>
        <v>0.100944999828209</v>
      </c>
      <c r="Q79" s="24">
        <f t="shared" si="63"/>
        <v>0.0302834999484627</v>
      </c>
      <c r="R79" s="18">
        <f t="shared" si="64"/>
        <v>0.156366</v>
      </c>
      <c r="S79" s="25">
        <f t="shared" si="65"/>
        <v>0.19367061860291</v>
      </c>
      <c r="T79" s="3">
        <v>0.01</v>
      </c>
      <c r="U79" s="26">
        <f t="shared" si="66"/>
        <v>0.0019367061860291</v>
      </c>
      <c r="V79" s="25"/>
      <c r="W79" s="3"/>
      <c r="X79" s="3"/>
      <c r="Y79" s="28"/>
      <c r="Z79" s="3"/>
      <c r="AA79" s="27"/>
      <c r="AB79" s="3"/>
      <c r="AC79" s="3"/>
      <c r="AD79" s="27"/>
      <c r="AE79" s="25">
        <v>0.005</v>
      </c>
      <c r="AF79" s="3">
        <v>0.49</v>
      </c>
      <c r="AG79" s="26">
        <f t="shared" si="67"/>
        <v>0.00245</v>
      </c>
      <c r="AH79" s="35"/>
      <c r="AI79" s="3"/>
      <c r="AJ79" s="26"/>
      <c r="AK79" s="36"/>
      <c r="AL79" s="27"/>
      <c r="AM79" s="27"/>
      <c r="AN79" s="36"/>
      <c r="AO79" s="27"/>
      <c r="AP79" s="26"/>
      <c r="AQ79" s="3">
        <v>0.015</v>
      </c>
      <c r="AR79" s="3">
        <v>0.5</v>
      </c>
      <c r="AS79" s="3">
        <f t="shared" si="68"/>
        <v>0.0075</v>
      </c>
      <c r="AT79" s="2">
        <f t="shared" si="69"/>
        <v>0.0118867061860291</v>
      </c>
      <c r="AU79" s="29">
        <f t="shared" si="70"/>
        <v>52.122</v>
      </c>
      <c r="AV79" s="1">
        <f t="shared" si="71"/>
        <v>0.3</v>
      </c>
      <c r="AW79" s="2">
        <f t="shared" si="75"/>
        <v>5.13638209936544</v>
      </c>
      <c r="AX79" s="1">
        <f t="shared" si="72"/>
        <v>6396.40539758612</v>
      </c>
    </row>
    <row r="80" s="1" customFormat="1" spans="1:50">
      <c r="A80" s="13"/>
      <c r="B80" s="13"/>
      <c r="C80" s="16">
        <v>6</v>
      </c>
      <c r="D80" s="19">
        <v>20.1594895183333</v>
      </c>
      <c r="E80" s="20">
        <f t="shared" si="73"/>
        <v>13.324716293129</v>
      </c>
      <c r="F80" s="16" t="s">
        <v>110</v>
      </c>
      <c r="G80" s="13">
        <v>7</v>
      </c>
      <c r="H80" s="18">
        <f t="shared" si="57"/>
        <v>20.1594895183333</v>
      </c>
      <c r="I80" s="18">
        <f t="shared" si="58"/>
        <v>293.309489518333</v>
      </c>
      <c r="J80" s="18">
        <f t="shared" si="59"/>
        <v>0.201945027994167</v>
      </c>
      <c r="K80" s="18">
        <f t="shared" si="60"/>
        <v>52.122</v>
      </c>
      <c r="L80" s="18">
        <f t="shared" si="61"/>
        <v>0.52122</v>
      </c>
      <c r="M80" s="13" t="s">
        <v>110</v>
      </c>
      <c r="N80" s="13"/>
      <c r="O80" s="18">
        <f t="shared" si="74"/>
        <v>1.52388259941111</v>
      </c>
      <c r="P80" s="18">
        <f t="shared" si="62"/>
        <v>0.3077405141979</v>
      </c>
      <c r="Q80" s="24">
        <f t="shared" si="63"/>
        <v>0.0923221542593699</v>
      </c>
      <c r="R80" s="18">
        <f t="shared" si="64"/>
        <v>0.156366</v>
      </c>
      <c r="S80" s="25">
        <f t="shared" si="65"/>
        <v>0.590423456885576</v>
      </c>
      <c r="T80" s="3">
        <v>0.01</v>
      </c>
      <c r="U80" s="26">
        <f t="shared" si="66"/>
        <v>0.00590423456885576</v>
      </c>
      <c r="V80" s="25"/>
      <c r="W80" s="3"/>
      <c r="X80" s="3"/>
      <c r="Y80" s="28"/>
      <c r="Z80" s="3"/>
      <c r="AA80" s="27"/>
      <c r="AB80" s="3"/>
      <c r="AC80" s="3"/>
      <c r="AD80" s="27"/>
      <c r="AE80" s="25">
        <v>0.005</v>
      </c>
      <c r="AF80" s="3">
        <v>0.49</v>
      </c>
      <c r="AG80" s="26">
        <f t="shared" si="67"/>
        <v>0.00245</v>
      </c>
      <c r="AH80" s="35"/>
      <c r="AI80" s="3"/>
      <c r="AJ80" s="26"/>
      <c r="AK80" s="36"/>
      <c r="AL80" s="27"/>
      <c r="AM80" s="27"/>
      <c r="AN80" s="36"/>
      <c r="AO80" s="27"/>
      <c r="AP80" s="26"/>
      <c r="AQ80" s="3">
        <v>0.015</v>
      </c>
      <c r="AR80" s="3">
        <v>0.5</v>
      </c>
      <c r="AS80" s="3">
        <f t="shared" si="68"/>
        <v>0.0075</v>
      </c>
      <c r="AT80" s="2">
        <f t="shared" si="69"/>
        <v>0.0158542345688558</v>
      </c>
      <c r="AU80" s="29">
        <f t="shared" si="70"/>
        <v>52.122</v>
      </c>
      <c r="AV80" s="1">
        <f t="shared" si="71"/>
        <v>0.3</v>
      </c>
      <c r="AW80" s="2">
        <f t="shared" si="75"/>
        <v>5.13638209936544</v>
      </c>
      <c r="AX80" s="1">
        <f t="shared" si="72"/>
        <v>8531.38876184359</v>
      </c>
    </row>
    <row r="81" s="1" customFormat="1" spans="1:50">
      <c r="A81" s="13"/>
      <c r="B81" s="13"/>
      <c r="C81" s="16">
        <v>7</v>
      </c>
      <c r="D81" s="19">
        <v>21.2806534074194</v>
      </c>
      <c r="E81" s="20">
        <f t="shared" si="73"/>
        <v>20.1594895183333</v>
      </c>
      <c r="F81" s="16" t="s">
        <v>110</v>
      </c>
      <c r="G81" s="13">
        <v>8</v>
      </c>
      <c r="H81" s="18">
        <f t="shared" si="57"/>
        <v>21.2806534074194</v>
      </c>
      <c r="I81" s="18">
        <f t="shared" si="58"/>
        <v>294.430653407419</v>
      </c>
      <c r="J81" s="18">
        <f t="shared" si="59"/>
        <v>0.229156198828549</v>
      </c>
      <c r="K81" s="18">
        <f t="shared" si="60"/>
        <v>52.122</v>
      </c>
      <c r="L81" s="18">
        <f t="shared" si="61"/>
        <v>0.52122</v>
      </c>
      <c r="M81" s="13" t="s">
        <v>110</v>
      </c>
      <c r="N81" s="13"/>
      <c r="O81" s="18">
        <f t="shared" si="74"/>
        <v>1.73736208521321</v>
      </c>
      <c r="P81" s="18">
        <f t="shared" si="62"/>
        <v>0.3981272914363</v>
      </c>
      <c r="Q81" s="24">
        <f t="shared" si="63"/>
        <v>0.11943818743089</v>
      </c>
      <c r="R81" s="18">
        <f t="shared" si="64"/>
        <v>0.156366</v>
      </c>
      <c r="S81" s="25">
        <f t="shared" si="65"/>
        <v>0.763837326726334</v>
      </c>
      <c r="T81" s="3">
        <v>0.01</v>
      </c>
      <c r="U81" s="26">
        <f t="shared" si="66"/>
        <v>0.00763837326726334</v>
      </c>
      <c r="V81" s="25"/>
      <c r="W81" s="3"/>
      <c r="X81" s="3"/>
      <c r="Y81" s="28"/>
      <c r="Z81" s="3"/>
      <c r="AA81" s="27"/>
      <c r="AB81" s="3"/>
      <c r="AC81" s="3"/>
      <c r="AD81" s="27"/>
      <c r="AE81" s="25">
        <v>0.005</v>
      </c>
      <c r="AF81" s="3">
        <v>0.49</v>
      </c>
      <c r="AG81" s="26">
        <f t="shared" si="67"/>
        <v>0.00245</v>
      </c>
      <c r="AH81" s="35"/>
      <c r="AI81" s="3"/>
      <c r="AJ81" s="26"/>
      <c r="AK81" s="36"/>
      <c r="AL81" s="27"/>
      <c r="AM81" s="27"/>
      <c r="AN81" s="36"/>
      <c r="AO81" s="27"/>
      <c r="AP81" s="26"/>
      <c r="AQ81" s="3">
        <v>0.015</v>
      </c>
      <c r="AR81" s="3">
        <v>0.5</v>
      </c>
      <c r="AS81" s="3">
        <f t="shared" si="68"/>
        <v>0.0075</v>
      </c>
      <c r="AT81" s="2">
        <f t="shared" si="69"/>
        <v>0.0175883732672633</v>
      </c>
      <c r="AU81" s="29">
        <f t="shared" si="70"/>
        <v>52.122</v>
      </c>
      <c r="AV81" s="1">
        <f t="shared" si="71"/>
        <v>0.3</v>
      </c>
      <c r="AW81" s="2">
        <f t="shared" si="75"/>
        <v>5.13638209936544</v>
      </c>
      <c r="AX81" s="1">
        <f t="shared" si="72"/>
        <v>9464.55342134316</v>
      </c>
    </row>
    <row r="82" s="1" customFormat="1" spans="1:50">
      <c r="A82" s="13"/>
      <c r="B82" s="13"/>
      <c r="C82" s="16">
        <v>8</v>
      </c>
      <c r="D82" s="19">
        <v>18.9639937503226</v>
      </c>
      <c r="E82" s="20">
        <f t="shared" si="73"/>
        <v>21.2806534074194</v>
      </c>
      <c r="F82" s="16" t="s">
        <v>110</v>
      </c>
      <c r="G82" s="13">
        <v>9</v>
      </c>
      <c r="H82" s="18">
        <f t="shared" si="57"/>
        <v>18.9639937503226</v>
      </c>
      <c r="I82" s="18">
        <f t="shared" si="58"/>
        <v>292.113993750323</v>
      </c>
      <c r="J82" s="18">
        <f t="shared" si="59"/>
        <v>0.1762912551343</v>
      </c>
      <c r="K82" s="18">
        <f t="shared" si="60"/>
        <v>52.122</v>
      </c>
      <c r="L82" s="18">
        <f t="shared" si="61"/>
        <v>0.52122</v>
      </c>
      <c r="M82" s="13" t="s">
        <v>110</v>
      </c>
      <c r="N82" s="13"/>
      <c r="O82" s="18">
        <f t="shared" si="74"/>
        <v>1.86045479377691</v>
      </c>
      <c r="P82" s="18">
        <f t="shared" si="62"/>
        <v>0.327981910715556</v>
      </c>
      <c r="Q82" s="24">
        <f t="shared" si="63"/>
        <v>0.0983945732146668</v>
      </c>
      <c r="R82" s="18">
        <f t="shared" si="64"/>
        <v>0.156366</v>
      </c>
      <c r="S82" s="25">
        <f t="shared" si="65"/>
        <v>0.629258107354967</v>
      </c>
      <c r="T82" s="3">
        <v>0.01</v>
      </c>
      <c r="U82" s="26">
        <f t="shared" si="66"/>
        <v>0.00629258107354967</v>
      </c>
      <c r="V82" s="25"/>
      <c r="W82" s="3"/>
      <c r="X82" s="3"/>
      <c r="Y82" s="28"/>
      <c r="Z82" s="3"/>
      <c r="AA82" s="27"/>
      <c r="AB82" s="3"/>
      <c r="AC82" s="3"/>
      <c r="AD82" s="27"/>
      <c r="AE82" s="25">
        <v>0.005</v>
      </c>
      <c r="AF82" s="3">
        <v>0.49</v>
      </c>
      <c r="AG82" s="26">
        <f t="shared" si="67"/>
        <v>0.00245</v>
      </c>
      <c r="AH82" s="35"/>
      <c r="AI82" s="3"/>
      <c r="AJ82" s="26"/>
      <c r="AK82" s="36"/>
      <c r="AL82" s="27"/>
      <c r="AM82" s="27"/>
      <c r="AN82" s="36"/>
      <c r="AO82" s="27"/>
      <c r="AP82" s="26"/>
      <c r="AQ82" s="3">
        <v>0.015</v>
      </c>
      <c r="AR82" s="3">
        <v>0.5</v>
      </c>
      <c r="AS82" s="3">
        <f t="shared" si="68"/>
        <v>0.0075</v>
      </c>
      <c r="AT82" s="2">
        <f t="shared" si="69"/>
        <v>0.0162425810735497</v>
      </c>
      <c r="AU82" s="29">
        <f t="shared" si="70"/>
        <v>52.122</v>
      </c>
      <c r="AV82" s="1">
        <f t="shared" si="71"/>
        <v>0.3</v>
      </c>
      <c r="AW82" s="2">
        <f t="shared" si="75"/>
        <v>5.13638209936544</v>
      </c>
      <c r="AX82" s="1">
        <f t="shared" si="72"/>
        <v>8740.36353078989</v>
      </c>
    </row>
    <row r="83" s="1" customFormat="1" spans="1:50">
      <c r="A83" s="13"/>
      <c r="B83" s="13"/>
      <c r="C83" s="16">
        <v>9</v>
      </c>
      <c r="D83" s="19">
        <v>15.6933629623333</v>
      </c>
      <c r="E83" s="20">
        <f t="shared" si="73"/>
        <v>18.9639937503226</v>
      </c>
      <c r="F83" s="16" t="s">
        <v>110</v>
      </c>
      <c r="G83" s="13">
        <v>10</v>
      </c>
      <c r="H83" s="18">
        <f t="shared" si="57"/>
        <v>15.6933629623333</v>
      </c>
      <c r="I83" s="18">
        <f t="shared" si="58"/>
        <v>288.843362962333</v>
      </c>
      <c r="J83" s="18">
        <f t="shared" si="59"/>
        <v>0.12086942903513</v>
      </c>
      <c r="K83" s="18">
        <f t="shared" si="60"/>
        <v>52.122</v>
      </c>
      <c r="L83" s="18">
        <f t="shared" si="61"/>
        <v>0.52122</v>
      </c>
      <c r="M83" s="13" t="s">
        <v>110</v>
      </c>
      <c r="N83" s="13"/>
      <c r="O83" s="18">
        <f t="shared" si="74"/>
        <v>2.05369288306135</v>
      </c>
      <c r="P83" s="18">
        <f t="shared" si="62"/>
        <v>0.248228686189135</v>
      </c>
      <c r="Q83" s="24">
        <f t="shared" si="63"/>
        <v>0.0744686058567406</v>
      </c>
      <c r="R83" s="18">
        <f t="shared" si="64"/>
        <v>0.156366</v>
      </c>
      <c r="S83" s="25">
        <f t="shared" si="65"/>
        <v>0.476245512814427</v>
      </c>
      <c r="T83" s="3">
        <v>0.01</v>
      </c>
      <c r="U83" s="26">
        <f t="shared" si="66"/>
        <v>0.00476245512814427</v>
      </c>
      <c r="V83" s="25"/>
      <c r="W83" s="3"/>
      <c r="X83" s="3"/>
      <c r="Y83" s="28"/>
      <c r="Z83" s="3"/>
      <c r="AA83" s="27"/>
      <c r="AB83" s="3"/>
      <c r="AC83" s="3"/>
      <c r="AD83" s="27"/>
      <c r="AE83" s="25">
        <v>0.001</v>
      </c>
      <c r="AF83" s="3">
        <v>0.49</v>
      </c>
      <c r="AG83" s="26">
        <f t="shared" si="67"/>
        <v>0.00049</v>
      </c>
      <c r="AH83" s="35"/>
      <c r="AI83" s="3"/>
      <c r="AJ83" s="26"/>
      <c r="AK83" s="36"/>
      <c r="AL83" s="27"/>
      <c r="AM83" s="27"/>
      <c r="AN83" s="36"/>
      <c r="AO83" s="27"/>
      <c r="AP83" s="26"/>
      <c r="AQ83" s="3">
        <v>0.01</v>
      </c>
      <c r="AR83" s="3">
        <v>0.5</v>
      </c>
      <c r="AS83" s="3">
        <f t="shared" si="68"/>
        <v>0.005</v>
      </c>
      <c r="AT83" s="2">
        <f t="shared" si="69"/>
        <v>0.0102524551281443</v>
      </c>
      <c r="AU83" s="29">
        <f t="shared" si="70"/>
        <v>52.122</v>
      </c>
      <c r="AV83" s="1">
        <f t="shared" si="71"/>
        <v>0.3</v>
      </c>
      <c r="AW83" s="2">
        <f t="shared" si="75"/>
        <v>5.13638209936544</v>
      </c>
      <c r="AX83" s="1">
        <f t="shared" si="72"/>
        <v>5516.99169592068</v>
      </c>
    </row>
    <row r="84" s="1" customFormat="1" spans="1:50">
      <c r="A84" s="13"/>
      <c r="B84" s="13"/>
      <c r="C84" s="16">
        <v>10</v>
      </c>
      <c r="D84" s="19">
        <v>4.21467201822581</v>
      </c>
      <c r="E84" s="20">
        <f t="shared" si="73"/>
        <v>15.6933629623333</v>
      </c>
      <c r="F84" s="16" t="s">
        <v>110</v>
      </c>
      <c r="G84" s="13">
        <v>11</v>
      </c>
      <c r="H84" s="18">
        <f t="shared" si="57"/>
        <v>4.21467201822581</v>
      </c>
      <c r="I84" s="18">
        <f t="shared" si="58"/>
        <v>277.364672018226</v>
      </c>
      <c r="J84" s="18">
        <f t="shared" si="59"/>
        <v>0.0299534763654428</v>
      </c>
      <c r="K84" s="18">
        <f t="shared" si="60"/>
        <v>52.122</v>
      </c>
      <c r="L84" s="18">
        <f t="shared" si="61"/>
        <v>0.52122</v>
      </c>
      <c r="M84" s="13" t="s">
        <v>112</v>
      </c>
      <c r="N84" s="18">
        <f>(O83-P83)*$C$22/100</f>
        <v>1.7151909870286</v>
      </c>
      <c r="O84" s="18">
        <f t="shared" si="74"/>
        <v>0.611493209843611</v>
      </c>
      <c r="P84" s="18">
        <f t="shared" si="62"/>
        <v>0.0183163474086794</v>
      </c>
      <c r="Q84" s="24">
        <f t="shared" si="63"/>
        <v>0.00549490422260381</v>
      </c>
      <c r="R84" s="18">
        <f t="shared" si="64"/>
        <v>0.156366</v>
      </c>
      <c r="S84" s="25">
        <f t="shared" si="65"/>
        <v>0.0351412981249364</v>
      </c>
      <c r="T84" s="3">
        <v>0.01</v>
      </c>
      <c r="U84" s="26">
        <f t="shared" si="66"/>
        <v>0.000351412981249364</v>
      </c>
      <c r="V84" s="25"/>
      <c r="W84" s="3"/>
      <c r="X84" s="3"/>
      <c r="Y84" s="28"/>
      <c r="Z84" s="3"/>
      <c r="AA84" s="27"/>
      <c r="AB84" s="3"/>
      <c r="AC84" s="3"/>
      <c r="AD84" s="27"/>
      <c r="AE84" s="25">
        <v>0.001</v>
      </c>
      <c r="AF84" s="3">
        <v>0.49</v>
      </c>
      <c r="AG84" s="26">
        <f t="shared" si="67"/>
        <v>0.00049</v>
      </c>
      <c r="AH84" s="35"/>
      <c r="AI84" s="3"/>
      <c r="AJ84" s="26"/>
      <c r="AK84" s="36"/>
      <c r="AL84" s="27"/>
      <c r="AM84" s="27"/>
      <c r="AN84" s="36"/>
      <c r="AO84" s="27"/>
      <c r="AP84" s="26"/>
      <c r="AQ84" s="3">
        <v>0.01</v>
      </c>
      <c r="AR84" s="3">
        <v>0.5</v>
      </c>
      <c r="AS84" s="3">
        <f t="shared" si="68"/>
        <v>0.005</v>
      </c>
      <c r="AT84" s="2">
        <f t="shared" si="69"/>
        <v>0.00584141298124936</v>
      </c>
      <c r="AU84" s="29">
        <f t="shared" si="70"/>
        <v>52.122</v>
      </c>
      <c r="AV84" s="1">
        <f t="shared" si="71"/>
        <v>0.3</v>
      </c>
      <c r="AW84" s="2">
        <f t="shared" si="75"/>
        <v>5.13638209936544</v>
      </c>
      <c r="AX84" s="1">
        <f t="shared" si="72"/>
        <v>3143.34727703697</v>
      </c>
    </row>
    <row r="85" s="1" customFormat="1" spans="1:51">
      <c r="A85" s="13"/>
      <c r="B85" s="13"/>
      <c r="C85" s="16">
        <v>11</v>
      </c>
      <c r="D85" s="19">
        <v>-4.1991255377</v>
      </c>
      <c r="E85" s="20">
        <f t="shared" si="73"/>
        <v>4.21467201822581</v>
      </c>
      <c r="F85" s="16" t="s">
        <v>112</v>
      </c>
      <c r="G85" s="13">
        <v>12</v>
      </c>
      <c r="H85" s="18">
        <f t="shared" si="57"/>
        <v>-4.1991255377</v>
      </c>
      <c r="I85" s="18">
        <f t="shared" si="58"/>
        <v>268.9508744623</v>
      </c>
      <c r="J85" s="18">
        <f t="shared" si="59"/>
        <v>0.00998855190878936</v>
      </c>
      <c r="K85" s="18">
        <f t="shared" si="60"/>
        <v>52.122</v>
      </c>
      <c r="L85" s="18">
        <f t="shared" si="61"/>
        <v>0.52122</v>
      </c>
      <c r="M85" s="13" t="s">
        <v>110</v>
      </c>
      <c r="N85" s="13"/>
      <c r="O85" s="18">
        <f t="shared" si="74"/>
        <v>1.11439686243493</v>
      </c>
      <c r="P85" s="18">
        <f t="shared" si="62"/>
        <v>0.0111312109074233</v>
      </c>
      <c r="Q85" s="24">
        <f t="shared" si="63"/>
        <v>0.00333936327222699</v>
      </c>
      <c r="R85" s="18">
        <f t="shared" si="64"/>
        <v>0.156366</v>
      </c>
      <c r="S85" s="25">
        <f t="shared" si="65"/>
        <v>0.0213560701957394</v>
      </c>
      <c r="T85" s="3">
        <v>0.01</v>
      </c>
      <c r="U85" s="26">
        <f t="shared" si="66"/>
        <v>0.000213560701957394</v>
      </c>
      <c r="V85" s="25"/>
      <c r="W85" s="3"/>
      <c r="X85" s="3"/>
      <c r="Y85" s="28"/>
      <c r="Z85" s="3"/>
      <c r="AA85" s="27"/>
      <c r="AB85" s="3"/>
      <c r="AC85" s="3"/>
      <c r="AD85" s="27"/>
      <c r="AE85" s="25">
        <v>0.001</v>
      </c>
      <c r="AF85" s="3">
        <v>0.49</v>
      </c>
      <c r="AG85" s="26">
        <f t="shared" si="67"/>
        <v>0.00049</v>
      </c>
      <c r="AH85" s="35"/>
      <c r="AI85" s="3"/>
      <c r="AJ85" s="26"/>
      <c r="AK85" s="36"/>
      <c r="AL85" s="27"/>
      <c r="AM85" s="27"/>
      <c r="AN85" s="36"/>
      <c r="AO85" s="27"/>
      <c r="AP85" s="26"/>
      <c r="AQ85" s="3">
        <v>0.01</v>
      </c>
      <c r="AR85" s="3">
        <v>0.5</v>
      </c>
      <c r="AS85" s="3">
        <f t="shared" si="68"/>
        <v>0.005</v>
      </c>
      <c r="AT85" s="2">
        <f t="shared" si="69"/>
        <v>0.00570356070195739</v>
      </c>
      <c r="AU85" s="29">
        <f t="shared" si="70"/>
        <v>52.122</v>
      </c>
      <c r="AV85" s="1">
        <f t="shared" si="71"/>
        <v>0.3</v>
      </c>
      <c r="AW85" s="2">
        <f t="shared" si="75"/>
        <v>5.13638209936544</v>
      </c>
      <c r="AX85" s="1">
        <f t="shared" si="72"/>
        <v>3069.1670079588</v>
      </c>
      <c r="AY85" s="1">
        <f>SUM(AX74:AX85)</f>
        <v>63159.078153721</v>
      </c>
    </row>
    <row r="86" s="1" customFormat="1" spans="1:46">
      <c r="A86" s="13"/>
      <c r="B86" s="13"/>
      <c r="C86" s="16">
        <v>12</v>
      </c>
      <c r="D86" s="19">
        <v>-7.57783500725806</v>
      </c>
      <c r="E86" s="20">
        <f t="shared" si="73"/>
        <v>-4.1991255377</v>
      </c>
      <c r="F86" s="16" t="s">
        <v>110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3" t="s">
        <v>80</v>
      </c>
      <c r="T88" s="23"/>
      <c r="U88" s="23"/>
      <c r="V88" s="23" t="s">
        <v>81</v>
      </c>
      <c r="W88" s="23"/>
      <c r="X88" s="23"/>
      <c r="Y88" s="23" t="s">
        <v>82</v>
      </c>
      <c r="Z88" s="23"/>
      <c r="AA88" s="23"/>
      <c r="AB88" s="23" t="s">
        <v>83</v>
      </c>
      <c r="AC88" s="23"/>
      <c r="AD88" s="23"/>
      <c r="AE88" s="23" t="s">
        <v>84</v>
      </c>
      <c r="AF88" s="23"/>
      <c r="AG88" s="23"/>
      <c r="AH88" s="23" t="s">
        <v>85</v>
      </c>
      <c r="AI88" s="23"/>
      <c r="AJ88" s="23"/>
      <c r="AK88" s="31" t="s">
        <v>115</v>
      </c>
      <c r="AL88" s="32"/>
      <c r="AM88" s="33"/>
      <c r="AN88" s="32" t="s">
        <v>116</v>
      </c>
      <c r="AO88" s="32"/>
      <c r="AP88" s="33"/>
      <c r="AQ88" s="23" t="s">
        <v>87</v>
      </c>
      <c r="AR88" s="23"/>
      <c r="AS88" s="23"/>
      <c r="AT88" s="2"/>
    </row>
    <row r="89" s="1" customFormat="1" spans="1:53">
      <c r="A89" s="15" t="s">
        <v>117</v>
      </c>
      <c r="B89" s="15"/>
      <c r="C89" s="16" t="s">
        <v>88</v>
      </c>
      <c r="D89" s="16" t="s">
        <v>89</v>
      </c>
      <c r="E89" s="16" t="s">
        <v>90</v>
      </c>
      <c r="F89" s="16" t="s">
        <v>91</v>
      </c>
      <c r="G89" s="13" t="s">
        <v>88</v>
      </c>
      <c r="H89" s="13" t="s">
        <v>90</v>
      </c>
      <c r="I89" s="13" t="s">
        <v>92</v>
      </c>
      <c r="J89" s="13" t="s">
        <v>93</v>
      </c>
      <c r="K89" s="22" t="s">
        <v>94</v>
      </c>
      <c r="L89" s="22" t="s">
        <v>95</v>
      </c>
      <c r="M89" s="13" t="s">
        <v>96</v>
      </c>
      <c r="N89" s="22" t="s">
        <v>97</v>
      </c>
      <c r="O89" s="13" t="s">
        <v>98</v>
      </c>
      <c r="P89" s="13" t="s">
        <v>99</v>
      </c>
      <c r="Q89" s="22" t="s">
        <v>100</v>
      </c>
      <c r="R89" s="22" t="s">
        <v>101</v>
      </c>
      <c r="S89" s="4" t="s">
        <v>102</v>
      </c>
      <c r="T89" s="3" t="s">
        <v>103</v>
      </c>
      <c r="U89" s="3"/>
      <c r="V89" s="4" t="s">
        <v>102</v>
      </c>
      <c r="W89" s="3" t="s">
        <v>103</v>
      </c>
      <c r="X89" s="3"/>
      <c r="Y89" s="4" t="s">
        <v>102</v>
      </c>
      <c r="Z89" s="3" t="s">
        <v>103</v>
      </c>
      <c r="AA89" s="3"/>
      <c r="AB89" s="4" t="s">
        <v>102</v>
      </c>
      <c r="AC89" s="3" t="s">
        <v>103</v>
      </c>
      <c r="AD89" s="3"/>
      <c r="AE89" s="4" t="s">
        <v>102</v>
      </c>
      <c r="AF89" s="3" t="s">
        <v>103</v>
      </c>
      <c r="AG89" s="3"/>
      <c r="AH89" s="4" t="s">
        <v>102</v>
      </c>
      <c r="AI89" s="3" t="s">
        <v>103</v>
      </c>
      <c r="AJ89" s="3"/>
      <c r="AK89" s="4" t="s">
        <v>102</v>
      </c>
      <c r="AL89" s="3" t="s">
        <v>103</v>
      </c>
      <c r="AM89" s="3"/>
      <c r="AN89" s="4" t="s">
        <v>102</v>
      </c>
      <c r="AO89" s="3" t="s">
        <v>103</v>
      </c>
      <c r="AP89" s="3"/>
      <c r="AQ89" s="34" t="s">
        <v>102</v>
      </c>
      <c r="AR89" s="34" t="s">
        <v>103</v>
      </c>
      <c r="AS89" s="34"/>
      <c r="AT89" s="2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="1" customFormat="1" spans="1:53">
      <c r="A90" s="13" t="s">
        <v>108</v>
      </c>
      <c r="B90" s="13">
        <f>F9</f>
        <v>341.64</v>
      </c>
      <c r="C90" s="16" t="s">
        <v>109</v>
      </c>
      <c r="D90" s="17">
        <v>-9</v>
      </c>
      <c r="E90" s="16"/>
      <c r="F90" s="16"/>
      <c r="G90" s="13">
        <v>1</v>
      </c>
      <c r="H90" s="18">
        <f t="shared" ref="H90:H101" si="76">E91</f>
        <v>-9</v>
      </c>
      <c r="I90" s="18">
        <f t="shared" ref="I90:I101" si="77">H90+273.15</f>
        <v>264.15</v>
      </c>
      <c r="J90" s="18">
        <f t="shared" ref="J90:J101" si="78">EXP(($C$16*(I90-$C$14))/($C$17*I90*$C$14))</f>
        <v>0.0051730365778654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110</v>
      </c>
      <c r="N90" s="13"/>
      <c r="O90" s="18">
        <f>L90</f>
        <v>0.2847</v>
      </c>
      <c r="P90" s="18">
        <f t="shared" ref="P90:P101" si="81">O90*J90</f>
        <v>0.00147276351371828</v>
      </c>
      <c r="Q90" s="24">
        <f t="shared" ref="Q90:Q101" si="82">P90*$B$76</f>
        <v>0.000441829054115484</v>
      </c>
      <c r="R90" s="18">
        <f t="shared" ref="R90:R101" si="83">L90*$B$76</f>
        <v>0.08541</v>
      </c>
      <c r="S90" s="25">
        <f t="shared" ref="S90:S101" si="84">Q90/R90</f>
        <v>0.0051730365778654</v>
      </c>
      <c r="T90" s="3">
        <v>0.01</v>
      </c>
      <c r="U90" s="26">
        <f t="shared" ref="U90:U101" si="85">S90*T90</f>
        <v>5.1730365778654e-5</v>
      </c>
      <c r="V90" s="25"/>
      <c r="W90" s="3"/>
      <c r="X90" s="3"/>
      <c r="Y90" s="28"/>
      <c r="Z90" s="3"/>
      <c r="AA90" s="27"/>
      <c r="AB90" s="3"/>
      <c r="AC90" s="3"/>
      <c r="AD90" s="27"/>
      <c r="AE90" s="25">
        <v>0.001</v>
      </c>
      <c r="AF90" s="3">
        <v>0.49</v>
      </c>
      <c r="AG90" s="26">
        <f t="shared" ref="AG90:AG101" si="86">AF90*AE90</f>
        <v>0.00049</v>
      </c>
      <c r="AH90" s="35"/>
      <c r="AI90" s="3"/>
      <c r="AJ90" s="26"/>
      <c r="AK90" s="36"/>
      <c r="AL90" s="27"/>
      <c r="AM90" s="27"/>
      <c r="AN90" s="36"/>
      <c r="AO90" s="27"/>
      <c r="AP90" s="26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0.00554173036577865</v>
      </c>
      <c r="AU90" s="29">
        <f t="shared" ref="AU90:AU101" si="89">$B$90/12</f>
        <v>28.47</v>
      </c>
      <c r="AV90" s="1">
        <f t="shared" ref="AV90:AV101" si="90">$B$76</f>
        <v>0.3</v>
      </c>
      <c r="AW90" s="2">
        <f>$E$9/12</f>
        <v>1.42285796954699</v>
      </c>
      <c r="AX90" s="1">
        <f t="shared" ref="AX90:AX101" si="91">AW90*10000*AV90*0.67*AU90*AT90</f>
        <v>451.222208208679</v>
      </c>
      <c r="AZ90" s="2">
        <f>$E$10/12</f>
        <v>0.0092815588653435</v>
      </c>
      <c r="BA90" s="1">
        <f t="shared" ref="BA90:BA101" si="92">AZ90*10000*AV90*0.67*AU90*AT90</f>
        <v>2.94340375249999</v>
      </c>
    </row>
    <row r="91" s="1" customFormat="1" spans="1:53">
      <c r="A91" s="13" t="s">
        <v>111</v>
      </c>
      <c r="B91" s="13">
        <v>1</v>
      </c>
      <c r="C91" s="16">
        <v>1</v>
      </c>
      <c r="D91" s="19">
        <v>-11.7915463622258</v>
      </c>
      <c r="E91" s="20">
        <f t="shared" ref="E91:E102" si="93">D90</f>
        <v>-9</v>
      </c>
      <c r="F91" s="16" t="s">
        <v>110</v>
      </c>
      <c r="G91" s="13">
        <v>2</v>
      </c>
      <c r="H91" s="18">
        <f t="shared" si="76"/>
        <v>-11.7915463622258</v>
      </c>
      <c r="I91" s="18">
        <f t="shared" si="77"/>
        <v>261.358453637774</v>
      </c>
      <c r="J91" s="18">
        <f t="shared" si="78"/>
        <v>0.00348947949886931</v>
      </c>
      <c r="K91" s="18">
        <f t="shared" si="79"/>
        <v>28.47</v>
      </c>
      <c r="L91" s="18">
        <f t="shared" si="80"/>
        <v>0.2847</v>
      </c>
      <c r="M91" s="13" t="s">
        <v>110</v>
      </c>
      <c r="N91" s="13"/>
      <c r="O91" s="18">
        <f t="shared" ref="O91:O101" si="94">L91+O90-P90-N91</f>
        <v>0.567927236486282</v>
      </c>
      <c r="P91" s="18">
        <f t="shared" si="81"/>
        <v>0.00198177044856838</v>
      </c>
      <c r="Q91" s="24">
        <f t="shared" si="82"/>
        <v>0.000594531134570515</v>
      </c>
      <c r="R91" s="18">
        <f t="shared" si="83"/>
        <v>0.08541</v>
      </c>
      <c r="S91" s="25">
        <f t="shared" si="84"/>
        <v>0.00696090779265326</v>
      </c>
      <c r="T91" s="3">
        <v>0.01</v>
      </c>
      <c r="U91" s="26">
        <f t="shared" si="85"/>
        <v>6.96090779265326e-5</v>
      </c>
      <c r="V91" s="25"/>
      <c r="W91" s="3"/>
      <c r="X91" s="3"/>
      <c r="Y91" s="28"/>
      <c r="Z91" s="3"/>
      <c r="AA91" s="27"/>
      <c r="AB91" s="3"/>
      <c r="AC91" s="3"/>
      <c r="AD91" s="27"/>
      <c r="AE91" s="25">
        <v>0.001</v>
      </c>
      <c r="AF91" s="3">
        <v>0.49</v>
      </c>
      <c r="AG91" s="26">
        <f t="shared" si="86"/>
        <v>0.00049</v>
      </c>
      <c r="AH91" s="35"/>
      <c r="AI91" s="3"/>
      <c r="AJ91" s="26"/>
      <c r="AK91" s="36"/>
      <c r="AL91" s="27"/>
      <c r="AM91" s="27"/>
      <c r="AN91" s="36"/>
      <c r="AO91" s="27"/>
      <c r="AP91" s="26"/>
      <c r="AQ91" s="3">
        <v>0.01</v>
      </c>
      <c r="AR91" s="3">
        <v>0.5</v>
      </c>
      <c r="AS91" s="3">
        <f t="shared" si="87"/>
        <v>0.005</v>
      </c>
      <c r="AT91" s="2">
        <f t="shared" si="88"/>
        <v>0.00555960907792653</v>
      </c>
      <c r="AU91" s="29">
        <f t="shared" si="89"/>
        <v>28.47</v>
      </c>
      <c r="AV91" s="1">
        <f t="shared" si="90"/>
        <v>0.3</v>
      </c>
      <c r="AW91" s="2">
        <f t="shared" ref="AW91:AW101" si="95">$E$9/12</f>
        <v>1.42285796954699</v>
      </c>
      <c r="AX91" s="1">
        <f t="shared" si="91"/>
        <v>452.677939802029</v>
      </c>
      <c r="AZ91" s="2">
        <f t="shared" ref="AZ91:AZ101" si="96">$E$10/12</f>
        <v>0.0092815588653435</v>
      </c>
      <c r="BA91" s="1">
        <f t="shared" si="92"/>
        <v>2.95289975193564</v>
      </c>
    </row>
    <row r="92" s="1" customFormat="1" spans="1:53">
      <c r="A92" s="13" t="s">
        <v>73</v>
      </c>
      <c r="B92" s="13">
        <f>H9</f>
        <v>0.33</v>
      </c>
      <c r="C92" s="16">
        <v>2</v>
      </c>
      <c r="D92" s="19">
        <v>-8.192710919</v>
      </c>
      <c r="E92" s="20">
        <f t="shared" si="93"/>
        <v>-11.7915463622258</v>
      </c>
      <c r="F92" s="16" t="s">
        <v>110</v>
      </c>
      <c r="G92" s="13">
        <v>3</v>
      </c>
      <c r="H92" s="18">
        <f t="shared" si="76"/>
        <v>-8.192710919</v>
      </c>
      <c r="I92" s="18">
        <f t="shared" si="77"/>
        <v>264.957289081</v>
      </c>
      <c r="J92" s="18">
        <f t="shared" si="78"/>
        <v>0.00578790180634615</v>
      </c>
      <c r="K92" s="18">
        <f t="shared" si="79"/>
        <v>28.47</v>
      </c>
      <c r="L92" s="18">
        <f t="shared" si="80"/>
        <v>0.2847</v>
      </c>
      <c r="M92" s="13" t="s">
        <v>110</v>
      </c>
      <c r="N92" s="13"/>
      <c r="O92" s="18">
        <f t="shared" si="94"/>
        <v>0.850645466037713</v>
      </c>
      <c r="P92" s="18">
        <f t="shared" si="81"/>
        <v>0.00492345242943984</v>
      </c>
      <c r="Q92" s="24">
        <f t="shared" si="82"/>
        <v>0.00147703572883195</v>
      </c>
      <c r="R92" s="18">
        <f t="shared" si="83"/>
        <v>0.08541</v>
      </c>
      <c r="S92" s="25">
        <f t="shared" si="84"/>
        <v>0.0172934753404982</v>
      </c>
      <c r="T92" s="3">
        <v>0.01</v>
      </c>
      <c r="U92" s="26">
        <f t="shared" si="85"/>
        <v>0.000172934753404982</v>
      </c>
      <c r="V92" s="25"/>
      <c r="W92" s="3"/>
      <c r="X92" s="3"/>
      <c r="Y92" s="28"/>
      <c r="Z92" s="3"/>
      <c r="AA92" s="27"/>
      <c r="AB92" s="3"/>
      <c r="AC92" s="3"/>
      <c r="AD92" s="27"/>
      <c r="AE92" s="25">
        <v>0.001</v>
      </c>
      <c r="AF92" s="3">
        <v>0.49</v>
      </c>
      <c r="AG92" s="26">
        <f t="shared" si="86"/>
        <v>0.00049</v>
      </c>
      <c r="AH92" s="35"/>
      <c r="AI92" s="3"/>
      <c r="AJ92" s="26"/>
      <c r="AK92" s="36"/>
      <c r="AL92" s="27"/>
      <c r="AM92" s="27"/>
      <c r="AN92" s="36"/>
      <c r="AO92" s="27"/>
      <c r="AP92" s="26"/>
      <c r="AQ92" s="3">
        <v>0.01</v>
      </c>
      <c r="AR92" s="3">
        <v>0.5</v>
      </c>
      <c r="AS92" s="3">
        <f t="shared" si="87"/>
        <v>0.005</v>
      </c>
      <c r="AT92" s="2">
        <f t="shared" si="88"/>
        <v>0.00566293475340498</v>
      </c>
      <c r="AU92" s="29">
        <f t="shared" si="89"/>
        <v>28.47</v>
      </c>
      <c r="AV92" s="1">
        <f t="shared" si="90"/>
        <v>0.3</v>
      </c>
      <c r="AW92" s="2">
        <f t="shared" si="95"/>
        <v>1.42285796954699</v>
      </c>
      <c r="AX92" s="1">
        <f t="shared" si="91"/>
        <v>461.090987059244</v>
      </c>
      <c r="AZ92" s="2">
        <f t="shared" si="96"/>
        <v>0.0092815588653435</v>
      </c>
      <c r="BA92" s="1">
        <f t="shared" si="92"/>
        <v>3.00777957481748</v>
      </c>
    </row>
    <row r="93" s="1" customFormat="1" spans="1:53">
      <c r="A93" s="13"/>
      <c r="B93" s="13"/>
      <c r="C93" s="16">
        <v>3</v>
      </c>
      <c r="D93" s="19">
        <v>3.14121524287097</v>
      </c>
      <c r="E93" s="20">
        <f t="shared" si="93"/>
        <v>-8.192710919</v>
      </c>
      <c r="F93" s="16" t="s">
        <v>110</v>
      </c>
      <c r="G93" s="13">
        <v>4</v>
      </c>
      <c r="H93" s="18">
        <f t="shared" si="76"/>
        <v>3.14121524287097</v>
      </c>
      <c r="I93" s="18">
        <f t="shared" si="77"/>
        <v>276.291215242871</v>
      </c>
      <c r="J93" s="18">
        <f t="shared" si="78"/>
        <v>0.0261344802098834</v>
      </c>
      <c r="K93" s="18">
        <f t="shared" si="79"/>
        <v>28.47</v>
      </c>
      <c r="L93" s="18">
        <f t="shared" si="80"/>
        <v>0.2847</v>
      </c>
      <c r="M93" s="13" t="s">
        <v>110</v>
      </c>
      <c r="N93" s="13"/>
      <c r="O93" s="18">
        <f t="shared" si="94"/>
        <v>1.13042201360827</v>
      </c>
      <c r="P93" s="18">
        <f t="shared" si="81"/>
        <v>0.029542991743462</v>
      </c>
      <c r="Q93" s="24">
        <f t="shared" si="82"/>
        <v>0.00886289752303859</v>
      </c>
      <c r="R93" s="18">
        <f t="shared" si="83"/>
        <v>0.08541</v>
      </c>
      <c r="S93" s="25">
        <f t="shared" si="84"/>
        <v>0.103768850521468</v>
      </c>
      <c r="T93" s="3">
        <v>0.01</v>
      </c>
      <c r="U93" s="26">
        <f t="shared" si="85"/>
        <v>0.00103768850521468</v>
      </c>
      <c r="V93" s="25"/>
      <c r="W93" s="3"/>
      <c r="X93" s="3"/>
      <c r="Y93" s="28"/>
      <c r="Z93" s="3"/>
      <c r="AA93" s="27"/>
      <c r="AB93" s="3"/>
      <c r="AC93" s="3"/>
      <c r="AD93" s="27"/>
      <c r="AE93" s="25">
        <v>0.001</v>
      </c>
      <c r="AF93" s="3">
        <v>0.49</v>
      </c>
      <c r="AG93" s="26">
        <f t="shared" si="86"/>
        <v>0.00049</v>
      </c>
      <c r="AH93" s="35"/>
      <c r="AI93" s="3"/>
      <c r="AJ93" s="26"/>
      <c r="AK93" s="36"/>
      <c r="AL93" s="27"/>
      <c r="AM93" s="27"/>
      <c r="AN93" s="36"/>
      <c r="AO93" s="27"/>
      <c r="AP93" s="26"/>
      <c r="AQ93" s="3">
        <v>0.01</v>
      </c>
      <c r="AR93" s="3">
        <v>0.5</v>
      </c>
      <c r="AS93" s="3">
        <f t="shared" si="87"/>
        <v>0.005</v>
      </c>
      <c r="AT93" s="2">
        <f t="shared" si="88"/>
        <v>0.00652768850521468</v>
      </c>
      <c r="AU93" s="29">
        <f t="shared" si="89"/>
        <v>28.47</v>
      </c>
      <c r="AV93" s="1">
        <f t="shared" si="90"/>
        <v>0.3</v>
      </c>
      <c r="AW93" s="2">
        <f t="shared" si="95"/>
        <v>1.42285796954699</v>
      </c>
      <c r="AX93" s="1">
        <f t="shared" si="91"/>
        <v>531.501503575503</v>
      </c>
      <c r="AZ93" s="2">
        <f t="shared" si="96"/>
        <v>0.0092815588653435</v>
      </c>
      <c r="BA93" s="1">
        <f t="shared" si="92"/>
        <v>3.46708005861276</v>
      </c>
    </row>
    <row r="94" s="1" customFormat="1" spans="1:53">
      <c r="A94" s="13"/>
      <c r="B94" s="13"/>
      <c r="C94" s="16">
        <v>4</v>
      </c>
      <c r="D94" s="19">
        <v>10.3040178096667</v>
      </c>
      <c r="E94" s="20">
        <f t="shared" si="93"/>
        <v>3.14121524287097</v>
      </c>
      <c r="F94" s="16" t="s">
        <v>110</v>
      </c>
      <c r="G94" s="13">
        <v>5</v>
      </c>
      <c r="H94" s="18">
        <f t="shared" si="76"/>
        <v>10.3040178096667</v>
      </c>
      <c r="I94" s="18">
        <f t="shared" si="77"/>
        <v>283.454017809667</v>
      </c>
      <c r="J94" s="18">
        <f t="shared" si="78"/>
        <v>0.0636746511293259</v>
      </c>
      <c r="K94" s="18">
        <f t="shared" si="79"/>
        <v>28.47</v>
      </c>
      <c r="L94" s="18">
        <f t="shared" si="80"/>
        <v>0.2847</v>
      </c>
      <c r="M94" s="13" t="s">
        <v>112</v>
      </c>
      <c r="N94" s="18">
        <f>(O93-P93)*$C$22/100</f>
        <v>1.04583507077157</v>
      </c>
      <c r="O94" s="18">
        <f t="shared" si="94"/>
        <v>0.339743951093241</v>
      </c>
      <c r="P94" s="18">
        <f t="shared" si="81"/>
        <v>0.0216330775591609</v>
      </c>
      <c r="Q94" s="24">
        <f t="shared" si="82"/>
        <v>0.00648992326774825</v>
      </c>
      <c r="R94" s="18">
        <f t="shared" si="83"/>
        <v>0.08541</v>
      </c>
      <c r="S94" s="25">
        <f t="shared" si="84"/>
        <v>0.075985520053252</v>
      </c>
      <c r="T94" s="3">
        <v>0.01</v>
      </c>
      <c r="U94" s="26">
        <f t="shared" si="85"/>
        <v>0.00075985520053252</v>
      </c>
      <c r="V94" s="25"/>
      <c r="W94" s="3"/>
      <c r="X94" s="3"/>
      <c r="Y94" s="28"/>
      <c r="Z94" s="3"/>
      <c r="AA94" s="27"/>
      <c r="AB94" s="3"/>
      <c r="AC94" s="3"/>
      <c r="AD94" s="27"/>
      <c r="AE94" s="25">
        <v>0.005</v>
      </c>
      <c r="AF94" s="3">
        <v>0.49</v>
      </c>
      <c r="AG94" s="26">
        <f t="shared" si="86"/>
        <v>0.00245</v>
      </c>
      <c r="AH94" s="35"/>
      <c r="AI94" s="3"/>
      <c r="AJ94" s="26"/>
      <c r="AK94" s="36"/>
      <c r="AL94" s="27"/>
      <c r="AM94" s="27"/>
      <c r="AN94" s="36"/>
      <c r="AO94" s="27"/>
      <c r="AP94" s="26"/>
      <c r="AQ94" s="3">
        <v>0.015</v>
      </c>
      <c r="AR94" s="3">
        <v>0.5</v>
      </c>
      <c r="AS94" s="3">
        <f t="shared" si="87"/>
        <v>0.0075</v>
      </c>
      <c r="AT94" s="2">
        <f t="shared" si="88"/>
        <v>0.0107098552005325</v>
      </c>
      <c r="AU94" s="29">
        <f t="shared" si="89"/>
        <v>28.47</v>
      </c>
      <c r="AV94" s="1">
        <f t="shared" si="90"/>
        <v>0.3</v>
      </c>
      <c r="AW94" s="2">
        <f t="shared" si="95"/>
        <v>1.42285796954699</v>
      </c>
      <c r="AX94" s="1">
        <f t="shared" si="91"/>
        <v>872.02447506673</v>
      </c>
      <c r="AZ94" s="2">
        <f t="shared" si="96"/>
        <v>0.0092815588653435</v>
      </c>
      <c r="BA94" s="1">
        <f t="shared" si="92"/>
        <v>5.68837274737196</v>
      </c>
    </row>
    <row r="95" s="1" customFormat="1" spans="1:53">
      <c r="A95" s="13"/>
      <c r="B95" s="13"/>
      <c r="C95" s="16">
        <v>5</v>
      </c>
      <c r="D95" s="19">
        <v>13.324716293129</v>
      </c>
      <c r="E95" s="20">
        <f t="shared" si="93"/>
        <v>10.3040178096667</v>
      </c>
      <c r="F95" s="16" t="s">
        <v>112</v>
      </c>
      <c r="G95" s="13">
        <v>6</v>
      </c>
      <c r="H95" s="18">
        <f t="shared" si="76"/>
        <v>13.324716293129</v>
      </c>
      <c r="I95" s="18">
        <f t="shared" si="77"/>
        <v>286.474716293129</v>
      </c>
      <c r="J95" s="18">
        <f t="shared" si="78"/>
        <v>0.0914681992927445</v>
      </c>
      <c r="K95" s="18">
        <f t="shared" si="79"/>
        <v>28.47</v>
      </c>
      <c r="L95" s="18">
        <f t="shared" si="80"/>
        <v>0.2847</v>
      </c>
      <c r="M95" s="13" t="s">
        <v>110</v>
      </c>
      <c r="N95" s="13"/>
      <c r="O95" s="18">
        <f t="shared" si="94"/>
        <v>0.60281087353408</v>
      </c>
      <c r="P95" s="18">
        <f t="shared" si="81"/>
        <v>0.0551380251162486</v>
      </c>
      <c r="Q95" s="24">
        <f t="shared" si="82"/>
        <v>0.0165414075348746</v>
      </c>
      <c r="R95" s="18">
        <f t="shared" si="83"/>
        <v>0.08541</v>
      </c>
      <c r="S95" s="25">
        <f t="shared" si="84"/>
        <v>0.19367061860291</v>
      </c>
      <c r="T95" s="3">
        <v>0.01</v>
      </c>
      <c r="U95" s="26">
        <f t="shared" si="85"/>
        <v>0.0019367061860291</v>
      </c>
      <c r="V95" s="25"/>
      <c r="W95" s="3"/>
      <c r="X95" s="3"/>
      <c r="Y95" s="28"/>
      <c r="Z95" s="3"/>
      <c r="AA95" s="27"/>
      <c r="AB95" s="3"/>
      <c r="AC95" s="3"/>
      <c r="AD95" s="27"/>
      <c r="AE95" s="25">
        <v>0.005</v>
      </c>
      <c r="AF95" s="3">
        <v>0.49</v>
      </c>
      <c r="AG95" s="26">
        <f t="shared" si="86"/>
        <v>0.00245</v>
      </c>
      <c r="AH95" s="35"/>
      <c r="AI95" s="3"/>
      <c r="AJ95" s="26"/>
      <c r="AK95" s="36"/>
      <c r="AL95" s="27"/>
      <c r="AM95" s="27"/>
      <c r="AN95" s="36"/>
      <c r="AO95" s="27"/>
      <c r="AP95" s="26"/>
      <c r="AQ95" s="3">
        <v>0.015</v>
      </c>
      <c r="AR95" s="3">
        <v>0.5</v>
      </c>
      <c r="AS95" s="3">
        <f t="shared" si="87"/>
        <v>0.0075</v>
      </c>
      <c r="AT95" s="2">
        <f t="shared" si="88"/>
        <v>0.0118867061860291</v>
      </c>
      <c r="AU95" s="29">
        <f t="shared" si="89"/>
        <v>28.47</v>
      </c>
      <c r="AV95" s="1">
        <f t="shared" si="90"/>
        <v>0.3</v>
      </c>
      <c r="AW95" s="2">
        <f t="shared" si="95"/>
        <v>1.42285796954699</v>
      </c>
      <c r="AX95" s="1">
        <f t="shared" si="91"/>
        <v>967.846766184951</v>
      </c>
      <c r="AZ95" s="2">
        <f t="shared" si="96"/>
        <v>0.0092815588653435</v>
      </c>
      <c r="BA95" s="1">
        <f t="shared" si="92"/>
        <v>6.31343881486499</v>
      </c>
    </row>
    <row r="96" s="1" customFormat="1" spans="1:53">
      <c r="A96" s="13"/>
      <c r="B96" s="13"/>
      <c r="C96" s="16">
        <v>6</v>
      </c>
      <c r="D96" s="19">
        <v>20.1594895183333</v>
      </c>
      <c r="E96" s="20">
        <f t="shared" si="93"/>
        <v>13.324716293129</v>
      </c>
      <c r="F96" s="16" t="s">
        <v>110</v>
      </c>
      <c r="G96" s="13">
        <v>7</v>
      </c>
      <c r="H96" s="18">
        <f t="shared" si="76"/>
        <v>20.1594895183333</v>
      </c>
      <c r="I96" s="18">
        <f t="shared" si="77"/>
        <v>293.309489518333</v>
      </c>
      <c r="J96" s="18">
        <f t="shared" si="78"/>
        <v>0.201945027994167</v>
      </c>
      <c r="K96" s="18">
        <f t="shared" si="79"/>
        <v>28.47</v>
      </c>
      <c r="L96" s="18">
        <f t="shared" si="80"/>
        <v>0.2847</v>
      </c>
      <c r="M96" s="13" t="s">
        <v>110</v>
      </c>
      <c r="N96" s="13"/>
      <c r="O96" s="18">
        <f t="shared" si="94"/>
        <v>0.832372848417831</v>
      </c>
      <c r="P96" s="18">
        <f t="shared" si="81"/>
        <v>0.168093558175323</v>
      </c>
      <c r="Q96" s="24">
        <f t="shared" si="82"/>
        <v>0.050428067452597</v>
      </c>
      <c r="R96" s="18">
        <f t="shared" si="83"/>
        <v>0.08541</v>
      </c>
      <c r="S96" s="25">
        <f t="shared" si="84"/>
        <v>0.590423456885576</v>
      </c>
      <c r="T96" s="3">
        <v>0.01</v>
      </c>
      <c r="U96" s="26">
        <f t="shared" si="85"/>
        <v>0.00590423456885576</v>
      </c>
      <c r="V96" s="25"/>
      <c r="W96" s="3"/>
      <c r="X96" s="3"/>
      <c r="Y96" s="28"/>
      <c r="Z96" s="3"/>
      <c r="AA96" s="27"/>
      <c r="AB96" s="3"/>
      <c r="AC96" s="3"/>
      <c r="AD96" s="27"/>
      <c r="AE96" s="25">
        <v>0.005</v>
      </c>
      <c r="AF96" s="3">
        <v>0.49</v>
      </c>
      <c r="AG96" s="26">
        <f t="shared" si="86"/>
        <v>0.00245</v>
      </c>
      <c r="AH96" s="35"/>
      <c r="AI96" s="3"/>
      <c r="AJ96" s="26"/>
      <c r="AK96" s="36"/>
      <c r="AL96" s="27"/>
      <c r="AM96" s="27"/>
      <c r="AN96" s="36"/>
      <c r="AO96" s="27"/>
      <c r="AP96" s="26"/>
      <c r="AQ96" s="3">
        <v>0.015</v>
      </c>
      <c r="AR96" s="3">
        <v>0.5</v>
      </c>
      <c r="AS96" s="3">
        <f t="shared" si="87"/>
        <v>0.0075</v>
      </c>
      <c r="AT96" s="2">
        <f t="shared" si="88"/>
        <v>0.0158542345688558</v>
      </c>
      <c r="AU96" s="29">
        <f t="shared" si="89"/>
        <v>28.47</v>
      </c>
      <c r="AV96" s="1">
        <f t="shared" si="90"/>
        <v>0.3</v>
      </c>
      <c r="AW96" s="2">
        <f t="shared" si="95"/>
        <v>1.42285796954699</v>
      </c>
      <c r="AX96" s="1">
        <f t="shared" si="91"/>
        <v>1290.89332382419</v>
      </c>
      <c r="AZ96" s="2">
        <f t="shared" si="96"/>
        <v>0.0092815588653435</v>
      </c>
      <c r="BA96" s="1">
        <f t="shared" si="92"/>
        <v>8.42072970766565</v>
      </c>
    </row>
    <row r="97" s="1" customFormat="1" spans="1:53">
      <c r="A97" s="13"/>
      <c r="B97" s="13"/>
      <c r="C97" s="16">
        <v>7</v>
      </c>
      <c r="D97" s="19">
        <v>21.2806534074194</v>
      </c>
      <c r="E97" s="20">
        <f t="shared" si="93"/>
        <v>20.1594895183333</v>
      </c>
      <c r="F97" s="16" t="s">
        <v>110</v>
      </c>
      <c r="G97" s="13">
        <v>8</v>
      </c>
      <c r="H97" s="18">
        <f t="shared" si="76"/>
        <v>21.2806534074194</v>
      </c>
      <c r="I97" s="18">
        <f t="shared" si="77"/>
        <v>294.430653407419</v>
      </c>
      <c r="J97" s="18">
        <f t="shared" si="78"/>
        <v>0.229156198828549</v>
      </c>
      <c r="K97" s="18">
        <f t="shared" si="79"/>
        <v>28.47</v>
      </c>
      <c r="L97" s="18">
        <f t="shared" si="80"/>
        <v>0.2847</v>
      </c>
      <c r="M97" s="13" t="s">
        <v>110</v>
      </c>
      <c r="N97" s="13"/>
      <c r="O97" s="18">
        <f t="shared" si="94"/>
        <v>0.948979290242508</v>
      </c>
      <c r="P97" s="18">
        <f t="shared" si="81"/>
        <v>0.217464486918987</v>
      </c>
      <c r="Q97" s="24">
        <f t="shared" si="82"/>
        <v>0.0652393460756962</v>
      </c>
      <c r="R97" s="18">
        <f t="shared" si="83"/>
        <v>0.08541</v>
      </c>
      <c r="S97" s="25">
        <f t="shared" si="84"/>
        <v>0.763837326726334</v>
      </c>
      <c r="T97" s="3">
        <v>0.01</v>
      </c>
      <c r="U97" s="26">
        <f t="shared" si="85"/>
        <v>0.00763837326726334</v>
      </c>
      <c r="V97" s="25"/>
      <c r="W97" s="3"/>
      <c r="X97" s="3"/>
      <c r="Y97" s="28"/>
      <c r="Z97" s="3"/>
      <c r="AA97" s="27"/>
      <c r="AB97" s="3"/>
      <c r="AC97" s="3"/>
      <c r="AD97" s="27"/>
      <c r="AE97" s="25">
        <v>0.005</v>
      </c>
      <c r="AF97" s="3">
        <v>0.49</v>
      </c>
      <c r="AG97" s="26">
        <f t="shared" si="86"/>
        <v>0.00245</v>
      </c>
      <c r="AH97" s="35"/>
      <c r="AI97" s="3"/>
      <c r="AJ97" s="26"/>
      <c r="AK97" s="36"/>
      <c r="AL97" s="27"/>
      <c r="AM97" s="27"/>
      <c r="AN97" s="36"/>
      <c r="AO97" s="27"/>
      <c r="AP97" s="26"/>
      <c r="AQ97" s="3">
        <v>0.015</v>
      </c>
      <c r="AR97" s="3">
        <v>0.5</v>
      </c>
      <c r="AS97" s="3">
        <f t="shared" si="87"/>
        <v>0.0075</v>
      </c>
      <c r="AT97" s="2">
        <f t="shared" si="88"/>
        <v>0.0175883732672633</v>
      </c>
      <c r="AU97" s="29">
        <f t="shared" si="89"/>
        <v>28.47</v>
      </c>
      <c r="AV97" s="1">
        <f t="shared" si="90"/>
        <v>0.3</v>
      </c>
      <c r="AW97" s="2">
        <f t="shared" si="95"/>
        <v>1.42285796954699</v>
      </c>
      <c r="AX97" s="1">
        <f t="shared" si="91"/>
        <v>1432.09144087218</v>
      </c>
      <c r="AZ97" s="2">
        <f t="shared" si="96"/>
        <v>0.0092815588653435</v>
      </c>
      <c r="BA97" s="1">
        <f t="shared" si="92"/>
        <v>9.34179046222135</v>
      </c>
    </row>
    <row r="98" s="1" customFormat="1" spans="1:53">
      <c r="A98" s="13"/>
      <c r="B98" s="13"/>
      <c r="C98" s="16">
        <v>8</v>
      </c>
      <c r="D98" s="19">
        <v>18.9639937503226</v>
      </c>
      <c r="E98" s="20">
        <f t="shared" si="93"/>
        <v>21.2806534074194</v>
      </c>
      <c r="F98" s="16" t="s">
        <v>110</v>
      </c>
      <c r="G98" s="13">
        <v>9</v>
      </c>
      <c r="H98" s="18">
        <f t="shared" si="76"/>
        <v>18.9639937503226</v>
      </c>
      <c r="I98" s="18">
        <f t="shared" si="77"/>
        <v>292.113993750323</v>
      </c>
      <c r="J98" s="18">
        <f t="shared" si="78"/>
        <v>0.1762912551343</v>
      </c>
      <c r="K98" s="18">
        <f t="shared" si="79"/>
        <v>28.47</v>
      </c>
      <c r="L98" s="18">
        <f t="shared" si="80"/>
        <v>0.2847</v>
      </c>
      <c r="M98" s="13" t="s">
        <v>110</v>
      </c>
      <c r="N98" s="13"/>
      <c r="O98" s="18">
        <f t="shared" si="94"/>
        <v>1.01621480332352</v>
      </c>
      <c r="P98" s="18">
        <f t="shared" si="81"/>
        <v>0.179149783163959</v>
      </c>
      <c r="Q98" s="24">
        <f t="shared" si="82"/>
        <v>0.0537449349491878</v>
      </c>
      <c r="R98" s="18">
        <f t="shared" si="83"/>
        <v>0.08541</v>
      </c>
      <c r="S98" s="25">
        <f t="shared" si="84"/>
        <v>0.629258107354967</v>
      </c>
      <c r="T98" s="3">
        <v>0.01</v>
      </c>
      <c r="U98" s="26">
        <f t="shared" si="85"/>
        <v>0.00629258107354967</v>
      </c>
      <c r="V98" s="25"/>
      <c r="W98" s="3"/>
      <c r="X98" s="3"/>
      <c r="Y98" s="28"/>
      <c r="Z98" s="3"/>
      <c r="AA98" s="27"/>
      <c r="AB98" s="3"/>
      <c r="AC98" s="3"/>
      <c r="AD98" s="27"/>
      <c r="AE98" s="25">
        <v>0.005</v>
      </c>
      <c r="AF98" s="3">
        <v>0.49</v>
      </c>
      <c r="AG98" s="26">
        <f t="shared" si="86"/>
        <v>0.00245</v>
      </c>
      <c r="AH98" s="35"/>
      <c r="AI98" s="3"/>
      <c r="AJ98" s="26"/>
      <c r="AK98" s="36"/>
      <c r="AL98" s="27"/>
      <c r="AM98" s="27"/>
      <c r="AN98" s="36"/>
      <c r="AO98" s="27"/>
      <c r="AP98" s="26"/>
      <c r="AQ98" s="3">
        <v>0.015</v>
      </c>
      <c r="AR98" s="3">
        <v>0.5</v>
      </c>
      <c r="AS98" s="3">
        <f t="shared" si="87"/>
        <v>0.0075</v>
      </c>
      <c r="AT98" s="2">
        <f t="shared" si="88"/>
        <v>0.0162425810735497</v>
      </c>
      <c r="AU98" s="29">
        <f t="shared" si="89"/>
        <v>28.47</v>
      </c>
      <c r="AV98" s="1">
        <f t="shared" si="90"/>
        <v>0.3</v>
      </c>
      <c r="AW98" s="2">
        <f t="shared" si="95"/>
        <v>1.42285796954699</v>
      </c>
      <c r="AX98" s="1">
        <f t="shared" si="91"/>
        <v>1322.51351387894</v>
      </c>
      <c r="AZ98" s="2">
        <f t="shared" si="96"/>
        <v>0.0092815588653435</v>
      </c>
      <c r="BA98" s="1">
        <f t="shared" si="92"/>
        <v>8.62699390381726</v>
      </c>
    </row>
    <row r="99" s="1" customFormat="1" spans="1:53">
      <c r="A99" s="13"/>
      <c r="B99" s="13"/>
      <c r="C99" s="16">
        <v>9</v>
      </c>
      <c r="D99" s="19">
        <v>15.6933629623333</v>
      </c>
      <c r="E99" s="20">
        <f t="shared" si="93"/>
        <v>18.9639937503226</v>
      </c>
      <c r="F99" s="16" t="s">
        <v>110</v>
      </c>
      <c r="G99" s="13">
        <v>10</v>
      </c>
      <c r="H99" s="18">
        <f t="shared" si="76"/>
        <v>15.6933629623333</v>
      </c>
      <c r="I99" s="18">
        <f t="shared" si="77"/>
        <v>288.843362962333</v>
      </c>
      <c r="J99" s="18">
        <f t="shared" si="78"/>
        <v>0.12086942903513</v>
      </c>
      <c r="K99" s="18">
        <f t="shared" si="79"/>
        <v>28.47</v>
      </c>
      <c r="L99" s="18">
        <f t="shared" si="80"/>
        <v>0.2847</v>
      </c>
      <c r="M99" s="13" t="s">
        <v>110</v>
      </c>
      <c r="N99" s="13"/>
      <c r="O99" s="18">
        <f t="shared" si="94"/>
        <v>1.12176502015956</v>
      </c>
      <c r="P99" s="18">
        <f t="shared" si="81"/>
        <v>0.135587097498267</v>
      </c>
      <c r="Q99" s="24">
        <f t="shared" si="82"/>
        <v>0.0406761292494802</v>
      </c>
      <c r="R99" s="18">
        <f t="shared" si="83"/>
        <v>0.08541</v>
      </c>
      <c r="S99" s="25">
        <f t="shared" si="84"/>
        <v>0.476245512814426</v>
      </c>
      <c r="T99" s="3">
        <v>0.01</v>
      </c>
      <c r="U99" s="26">
        <f t="shared" si="85"/>
        <v>0.00476245512814426</v>
      </c>
      <c r="V99" s="25"/>
      <c r="W99" s="3"/>
      <c r="X99" s="3"/>
      <c r="Y99" s="28"/>
      <c r="Z99" s="3"/>
      <c r="AA99" s="27"/>
      <c r="AB99" s="3"/>
      <c r="AC99" s="3"/>
      <c r="AD99" s="27"/>
      <c r="AE99" s="25">
        <v>0.001</v>
      </c>
      <c r="AF99" s="3">
        <v>0.49</v>
      </c>
      <c r="AG99" s="26">
        <f t="shared" si="86"/>
        <v>0.00049</v>
      </c>
      <c r="AH99" s="35"/>
      <c r="AI99" s="3"/>
      <c r="AJ99" s="26"/>
      <c r="AK99" s="36"/>
      <c r="AL99" s="27"/>
      <c r="AM99" s="27"/>
      <c r="AN99" s="36"/>
      <c r="AO99" s="27"/>
      <c r="AP99" s="26"/>
      <c r="AQ99" s="3">
        <v>0.01</v>
      </c>
      <c r="AR99" s="3">
        <v>0.5</v>
      </c>
      <c r="AS99" s="3">
        <f t="shared" si="87"/>
        <v>0.005</v>
      </c>
      <c r="AT99" s="2">
        <f t="shared" si="88"/>
        <v>0.0102524551281443</v>
      </c>
      <c r="AU99" s="29">
        <f t="shared" si="89"/>
        <v>28.47</v>
      </c>
      <c r="AV99" s="1">
        <f t="shared" si="90"/>
        <v>0.3</v>
      </c>
      <c r="AW99" s="2">
        <f t="shared" si="95"/>
        <v>1.42285796954699</v>
      </c>
      <c r="AX99" s="1">
        <f t="shared" si="91"/>
        <v>834.781762578888</v>
      </c>
      <c r="AZ99" s="2">
        <f t="shared" si="96"/>
        <v>0.0092815588653435</v>
      </c>
      <c r="BA99" s="1">
        <f t="shared" si="92"/>
        <v>5.44543182448349</v>
      </c>
    </row>
    <row r="100" s="1" customFormat="1" spans="1:53">
      <c r="A100" s="13"/>
      <c r="B100" s="13"/>
      <c r="C100" s="16">
        <v>10</v>
      </c>
      <c r="D100" s="19">
        <v>4.21467201822581</v>
      </c>
      <c r="E100" s="20">
        <f t="shared" si="93"/>
        <v>15.6933629623333</v>
      </c>
      <c r="F100" s="16" t="s">
        <v>110</v>
      </c>
      <c r="G100" s="13">
        <v>11</v>
      </c>
      <c r="H100" s="18">
        <f t="shared" si="76"/>
        <v>4.21467201822581</v>
      </c>
      <c r="I100" s="18">
        <f t="shared" si="77"/>
        <v>277.364672018226</v>
      </c>
      <c r="J100" s="18">
        <f t="shared" si="78"/>
        <v>0.0299534763654428</v>
      </c>
      <c r="K100" s="18">
        <f t="shared" si="79"/>
        <v>28.47</v>
      </c>
      <c r="L100" s="18">
        <f t="shared" si="80"/>
        <v>0.2847</v>
      </c>
      <c r="M100" s="13" t="s">
        <v>112</v>
      </c>
      <c r="N100" s="18">
        <f>(O99-P99)*$C$22/100</f>
        <v>0.936869026528229</v>
      </c>
      <c r="O100" s="18">
        <f t="shared" si="94"/>
        <v>0.334008896133065</v>
      </c>
      <c r="P100" s="18">
        <f t="shared" si="81"/>
        <v>0.0100047275761694</v>
      </c>
      <c r="Q100" s="24">
        <f t="shared" si="82"/>
        <v>0.00300141827285082</v>
      </c>
      <c r="R100" s="18">
        <f t="shared" si="83"/>
        <v>0.08541</v>
      </c>
      <c r="S100" s="25">
        <f t="shared" si="84"/>
        <v>0.0351412981249364</v>
      </c>
      <c r="T100" s="3">
        <v>0.01</v>
      </c>
      <c r="U100" s="26">
        <f t="shared" si="85"/>
        <v>0.000351412981249364</v>
      </c>
      <c r="V100" s="25"/>
      <c r="W100" s="3"/>
      <c r="X100" s="3"/>
      <c r="Y100" s="28"/>
      <c r="Z100" s="3"/>
      <c r="AA100" s="27"/>
      <c r="AB100" s="3"/>
      <c r="AC100" s="3"/>
      <c r="AD100" s="27"/>
      <c r="AE100" s="25">
        <v>0.001</v>
      </c>
      <c r="AF100" s="3">
        <v>0.49</v>
      </c>
      <c r="AG100" s="26">
        <f t="shared" si="86"/>
        <v>0.00049</v>
      </c>
      <c r="AH100" s="35"/>
      <c r="AI100" s="3"/>
      <c r="AJ100" s="26"/>
      <c r="AK100" s="36"/>
      <c r="AL100" s="27"/>
      <c r="AM100" s="27"/>
      <c r="AN100" s="36"/>
      <c r="AO100" s="27"/>
      <c r="AP100" s="26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0.00584141298124936</v>
      </c>
      <c r="AU100" s="29">
        <f t="shared" si="89"/>
        <v>28.47</v>
      </c>
      <c r="AV100" s="1">
        <f t="shared" si="90"/>
        <v>0.3</v>
      </c>
      <c r="AW100" s="2">
        <f t="shared" si="95"/>
        <v>1.42285796954699</v>
      </c>
      <c r="AX100" s="1">
        <f t="shared" si="91"/>
        <v>475.623152063595</v>
      </c>
      <c r="AZ100" s="2">
        <f t="shared" si="96"/>
        <v>0.0092815588653435</v>
      </c>
      <c r="BA100" s="1">
        <f t="shared" si="92"/>
        <v>3.10257550513209</v>
      </c>
    </row>
    <row r="101" s="1" customFormat="1" spans="1:54">
      <c r="A101" s="13"/>
      <c r="B101" s="13"/>
      <c r="C101" s="16">
        <v>11</v>
      </c>
      <c r="D101" s="19">
        <v>-4.1991255377</v>
      </c>
      <c r="E101" s="20">
        <f t="shared" si="93"/>
        <v>4.21467201822581</v>
      </c>
      <c r="F101" s="16" t="s">
        <v>112</v>
      </c>
      <c r="G101" s="13">
        <v>12</v>
      </c>
      <c r="H101" s="18">
        <f t="shared" si="76"/>
        <v>-4.1991255377</v>
      </c>
      <c r="I101" s="18">
        <f t="shared" si="77"/>
        <v>268.9508744623</v>
      </c>
      <c r="J101" s="18">
        <f t="shared" si="78"/>
        <v>0.00998855190878936</v>
      </c>
      <c r="K101" s="18">
        <f t="shared" si="79"/>
        <v>28.47</v>
      </c>
      <c r="L101" s="18">
        <f t="shared" si="80"/>
        <v>0.2847</v>
      </c>
      <c r="M101" s="13" t="s">
        <v>110</v>
      </c>
      <c r="N101" s="13"/>
      <c r="O101" s="18">
        <f t="shared" si="94"/>
        <v>0.608704168556895</v>
      </c>
      <c r="P101" s="18">
        <f t="shared" si="81"/>
        <v>0.00608007318472702</v>
      </c>
      <c r="Q101" s="24">
        <f t="shared" si="82"/>
        <v>0.0018240219554181</v>
      </c>
      <c r="R101" s="18">
        <f t="shared" si="83"/>
        <v>0.08541</v>
      </c>
      <c r="S101" s="25">
        <f t="shared" si="84"/>
        <v>0.0213560701957394</v>
      </c>
      <c r="T101" s="3">
        <v>0.01</v>
      </c>
      <c r="U101" s="26">
        <f t="shared" si="85"/>
        <v>0.000213560701957394</v>
      </c>
      <c r="V101" s="25"/>
      <c r="W101" s="3"/>
      <c r="X101" s="3"/>
      <c r="Y101" s="28"/>
      <c r="Z101" s="3"/>
      <c r="AA101" s="27"/>
      <c r="AB101" s="3"/>
      <c r="AC101" s="3"/>
      <c r="AD101" s="27"/>
      <c r="AE101" s="25">
        <v>0.001</v>
      </c>
      <c r="AF101" s="3">
        <v>0.49</v>
      </c>
      <c r="AG101" s="26">
        <f t="shared" si="86"/>
        <v>0.00049</v>
      </c>
      <c r="AH101" s="35"/>
      <c r="AI101" s="3"/>
      <c r="AJ101" s="26"/>
      <c r="AK101" s="36"/>
      <c r="AL101" s="27"/>
      <c r="AM101" s="27"/>
      <c r="AN101" s="36"/>
      <c r="AO101" s="27"/>
      <c r="AP101" s="26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0.00570356070195739</v>
      </c>
      <c r="AU101" s="29">
        <f t="shared" si="89"/>
        <v>28.47</v>
      </c>
      <c r="AV101" s="1">
        <f t="shared" si="90"/>
        <v>0.3</v>
      </c>
      <c r="AW101" s="2">
        <f t="shared" si="95"/>
        <v>1.42285796954699</v>
      </c>
      <c r="AX101" s="1">
        <f t="shared" si="91"/>
        <v>464.398858248646</v>
      </c>
      <c r="AY101" s="1">
        <f>SUM(AX90:AX101)</f>
        <v>9556.66593136358</v>
      </c>
      <c r="AZ101" s="2">
        <f t="shared" si="96"/>
        <v>0.0092815588653435</v>
      </c>
      <c r="BA101" s="1">
        <f t="shared" si="92"/>
        <v>3.02935741450388</v>
      </c>
      <c r="BB101" s="1">
        <f>SUM(BA90:BA101)</f>
        <v>62.3398535179266</v>
      </c>
    </row>
    <row r="102" s="1" customFormat="1" spans="1:46">
      <c r="A102" s="13"/>
      <c r="B102" s="13"/>
      <c r="C102" s="16">
        <v>12</v>
      </c>
      <c r="D102" s="19">
        <v>-7.57783500725806</v>
      </c>
      <c r="E102" s="20">
        <f t="shared" si="93"/>
        <v>-4.1991255377</v>
      </c>
      <c r="F102" s="16" t="s">
        <v>110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3" t="s">
        <v>80</v>
      </c>
      <c r="T103" s="23"/>
      <c r="U103" s="23"/>
      <c r="V103" s="23" t="s">
        <v>81</v>
      </c>
      <c r="W103" s="23"/>
      <c r="X103" s="23"/>
      <c r="Y103" s="23" t="s">
        <v>82</v>
      </c>
      <c r="Z103" s="23"/>
      <c r="AA103" s="23"/>
      <c r="AB103" s="23" t="s">
        <v>83</v>
      </c>
      <c r="AC103" s="23"/>
      <c r="AD103" s="23"/>
      <c r="AE103" s="23" t="s">
        <v>84</v>
      </c>
      <c r="AF103" s="23"/>
      <c r="AG103" s="23"/>
      <c r="AH103" s="23" t="s">
        <v>85</v>
      </c>
      <c r="AI103" s="23"/>
      <c r="AJ103" s="23"/>
      <c r="AK103" s="31" t="s">
        <v>115</v>
      </c>
      <c r="AL103" s="32"/>
      <c r="AM103" s="33"/>
      <c r="AN103" s="32" t="s">
        <v>116</v>
      </c>
      <c r="AO103" s="32"/>
      <c r="AP103" s="33"/>
      <c r="AQ103" s="23" t="s">
        <v>87</v>
      </c>
      <c r="AR103" s="23"/>
      <c r="AS103" s="23"/>
      <c r="AT103" s="2"/>
    </row>
    <row r="104" s="1" customFormat="1" spans="1:50">
      <c r="A104" s="15" t="s">
        <v>52</v>
      </c>
      <c r="B104" s="15"/>
      <c r="C104" s="16" t="s">
        <v>88</v>
      </c>
      <c r="D104" s="16" t="s">
        <v>89</v>
      </c>
      <c r="E104" s="16" t="s">
        <v>90</v>
      </c>
      <c r="F104" s="16" t="s">
        <v>91</v>
      </c>
      <c r="G104" s="13" t="s">
        <v>88</v>
      </c>
      <c r="H104" s="13" t="s">
        <v>90</v>
      </c>
      <c r="I104" s="13" t="s">
        <v>92</v>
      </c>
      <c r="J104" s="13" t="s">
        <v>93</v>
      </c>
      <c r="K104" s="22" t="s">
        <v>94</v>
      </c>
      <c r="L104" s="22" t="s">
        <v>95</v>
      </c>
      <c r="M104" s="13" t="s">
        <v>96</v>
      </c>
      <c r="N104" s="22" t="s">
        <v>97</v>
      </c>
      <c r="O104" s="13" t="s">
        <v>98</v>
      </c>
      <c r="P104" s="13" t="s">
        <v>99</v>
      </c>
      <c r="Q104" s="22" t="s">
        <v>100</v>
      </c>
      <c r="R104" s="22" t="s">
        <v>101</v>
      </c>
      <c r="S104" s="4" t="s">
        <v>102</v>
      </c>
      <c r="T104" s="3" t="s">
        <v>103</v>
      </c>
      <c r="U104" s="3"/>
      <c r="V104" s="4" t="s">
        <v>102</v>
      </c>
      <c r="W104" s="3" t="s">
        <v>103</v>
      </c>
      <c r="X104" s="3"/>
      <c r="Y104" s="4" t="s">
        <v>102</v>
      </c>
      <c r="Z104" s="3" t="s">
        <v>103</v>
      </c>
      <c r="AA104" s="3"/>
      <c r="AB104" s="4" t="s">
        <v>102</v>
      </c>
      <c r="AC104" s="3" t="s">
        <v>103</v>
      </c>
      <c r="AD104" s="3"/>
      <c r="AE104" s="4" t="s">
        <v>102</v>
      </c>
      <c r="AF104" s="3" t="s">
        <v>103</v>
      </c>
      <c r="AG104" s="3"/>
      <c r="AH104" s="4" t="s">
        <v>102</v>
      </c>
      <c r="AI104" s="3" t="s">
        <v>103</v>
      </c>
      <c r="AJ104" s="3"/>
      <c r="AK104" s="4" t="s">
        <v>102</v>
      </c>
      <c r="AL104" s="3" t="s">
        <v>103</v>
      </c>
      <c r="AM104" s="3"/>
      <c r="AN104" s="4" t="s">
        <v>102</v>
      </c>
      <c r="AO104" s="3" t="s">
        <v>103</v>
      </c>
      <c r="AP104" s="3"/>
      <c r="AQ104" s="34" t="s">
        <v>102</v>
      </c>
      <c r="AR104" s="34" t="s">
        <v>103</v>
      </c>
      <c r="AS104" s="34"/>
      <c r="AT104" s="2" t="s">
        <v>104</v>
      </c>
      <c r="AU104" s="1" t="s">
        <v>105</v>
      </c>
      <c r="AV104" s="1" t="s">
        <v>73</v>
      </c>
      <c r="AW104" s="1" t="s">
        <v>106</v>
      </c>
      <c r="AX104" s="1" t="s">
        <v>107</v>
      </c>
    </row>
    <row r="105" s="1" customFormat="1" spans="1:52">
      <c r="A105" s="13" t="s">
        <v>108</v>
      </c>
      <c r="B105" s="13">
        <f>F11</f>
        <v>910.8575</v>
      </c>
      <c r="C105" s="16" t="s">
        <v>109</v>
      </c>
      <c r="D105" s="17">
        <v>-9</v>
      </c>
      <c r="E105" s="16"/>
      <c r="F105" s="16"/>
      <c r="G105" s="13">
        <v>1</v>
      </c>
      <c r="H105" s="18">
        <f t="shared" ref="H105:H116" si="97">E106</f>
        <v>-9</v>
      </c>
      <c r="I105" s="18">
        <f t="shared" ref="I105:I116" si="98">H105+273.15</f>
        <v>264.15</v>
      </c>
      <c r="J105" s="18">
        <f t="shared" ref="J105:J116" si="99">EXP(($C$16*(I105-$C$14))/($C$17*I105*$C$14))</f>
        <v>0.0051730365778654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110</v>
      </c>
      <c r="N105" s="13"/>
      <c r="O105" s="18">
        <f>L105</f>
        <v>0.759047916666667</v>
      </c>
      <c r="P105" s="18">
        <f t="shared" ref="P105:P116" si="102">O105*J105</f>
        <v>0.0039265826372692</v>
      </c>
      <c r="Q105" s="24">
        <f t="shared" ref="Q105:Q116" si="103">P105*$B$107</f>
        <v>0.00102091148568999</v>
      </c>
      <c r="R105" s="18">
        <f t="shared" ref="R105:R116" si="104">L105*$B$107</f>
        <v>0.197352458333333</v>
      </c>
      <c r="S105" s="25">
        <f t="shared" ref="S105:S116" si="105">Q105/R105</f>
        <v>0.0051730365778654</v>
      </c>
      <c r="T105" s="3">
        <v>0.01</v>
      </c>
      <c r="U105" s="26">
        <f t="shared" ref="U105:U116" si="106">S105*T105</f>
        <v>5.1730365778654e-5</v>
      </c>
      <c r="V105" s="25"/>
      <c r="W105" s="3"/>
      <c r="X105" s="3"/>
      <c r="Y105" s="28"/>
      <c r="Z105" s="3"/>
      <c r="AA105" s="27"/>
      <c r="AB105" s="3"/>
      <c r="AC105" s="3"/>
      <c r="AD105" s="27"/>
      <c r="AE105" s="25">
        <v>0.001</v>
      </c>
      <c r="AF105" s="3">
        <v>0.49</v>
      </c>
      <c r="AG105" s="26">
        <f t="shared" ref="AG105:AG116" si="107">AF105*AE105</f>
        <v>0.00049</v>
      </c>
      <c r="AH105" s="35"/>
      <c r="AI105" s="3"/>
      <c r="AJ105" s="26"/>
      <c r="AK105" s="36"/>
      <c r="AL105" s="27"/>
      <c r="AM105" s="27"/>
      <c r="AN105" s="36"/>
      <c r="AO105" s="27"/>
      <c r="AP105" s="26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0.00554173036577865</v>
      </c>
      <c r="AU105" s="29">
        <f t="shared" ref="AU105:AU116" si="110">$B$105/12</f>
        <v>75.9047916666667</v>
      </c>
      <c r="AV105" s="1">
        <f t="shared" ref="AV105:AV116" si="111">$B$107</f>
        <v>0.26</v>
      </c>
      <c r="AW105" s="2">
        <f t="shared" ref="AW105:AW116" si="112">$E$11/12</f>
        <v>0.962475317656742</v>
      </c>
      <c r="AX105" s="1">
        <f t="shared" ref="AX105:AX116" si="113">AW105*10000*AV105*0.67*AU105*AT105</f>
        <v>705.265006125381</v>
      </c>
      <c r="AZ105" s="2"/>
    </row>
    <row r="106" s="1" customFormat="1" spans="1:52">
      <c r="A106" s="13" t="s">
        <v>111</v>
      </c>
      <c r="B106" s="13">
        <v>1</v>
      </c>
      <c r="C106" s="16">
        <v>1</v>
      </c>
      <c r="D106" s="19">
        <v>-11.7915463622258</v>
      </c>
      <c r="E106" s="20">
        <f t="shared" ref="E106:E117" si="114">D105</f>
        <v>-9</v>
      </c>
      <c r="F106" s="16" t="s">
        <v>110</v>
      </c>
      <c r="G106" s="13">
        <v>2</v>
      </c>
      <c r="H106" s="18">
        <f t="shared" si="97"/>
        <v>-11.7915463622258</v>
      </c>
      <c r="I106" s="18">
        <f t="shared" si="98"/>
        <v>261.358453637774</v>
      </c>
      <c r="J106" s="18">
        <f t="shared" si="99"/>
        <v>0.00348947949886931</v>
      </c>
      <c r="K106" s="18">
        <f t="shared" si="100"/>
        <v>75.9047916666667</v>
      </c>
      <c r="L106" s="18">
        <f t="shared" si="101"/>
        <v>0.759047916666667</v>
      </c>
      <c r="M106" s="13" t="s">
        <v>110</v>
      </c>
      <c r="N106" s="13"/>
      <c r="O106" s="18">
        <f t="shared" ref="O106:O116" si="115">L106+O105-P105-N106</f>
        <v>1.51416925069606</v>
      </c>
      <c r="P106" s="18">
        <f t="shared" si="102"/>
        <v>0.00528366255812222</v>
      </c>
      <c r="Q106" s="24">
        <f t="shared" si="103"/>
        <v>0.00137375226511178</v>
      </c>
      <c r="R106" s="18">
        <f t="shared" si="104"/>
        <v>0.197352458333333</v>
      </c>
      <c r="S106" s="25">
        <f t="shared" si="105"/>
        <v>0.00696090779265326</v>
      </c>
      <c r="T106" s="3">
        <v>0.01</v>
      </c>
      <c r="U106" s="26">
        <f t="shared" si="106"/>
        <v>6.96090779265326e-5</v>
      </c>
      <c r="V106" s="25"/>
      <c r="W106" s="3"/>
      <c r="X106" s="3"/>
      <c r="Y106" s="28"/>
      <c r="Z106" s="3"/>
      <c r="AA106" s="27"/>
      <c r="AB106" s="3"/>
      <c r="AC106" s="3"/>
      <c r="AD106" s="27"/>
      <c r="AE106" s="25">
        <v>0.001</v>
      </c>
      <c r="AF106" s="3">
        <v>0.49</v>
      </c>
      <c r="AG106" s="26">
        <f t="shared" si="107"/>
        <v>0.00049</v>
      </c>
      <c r="AH106" s="35"/>
      <c r="AI106" s="3"/>
      <c r="AJ106" s="26"/>
      <c r="AK106" s="36"/>
      <c r="AL106" s="27"/>
      <c r="AM106" s="27"/>
      <c r="AN106" s="36"/>
      <c r="AO106" s="27"/>
      <c r="AP106" s="26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0.00555960907792653</v>
      </c>
      <c r="AU106" s="29">
        <f t="shared" si="110"/>
        <v>75.9047916666667</v>
      </c>
      <c r="AV106" s="1">
        <f t="shared" si="111"/>
        <v>0.26</v>
      </c>
      <c r="AW106" s="2">
        <f t="shared" si="112"/>
        <v>0.962475317656742</v>
      </c>
      <c r="AX106" s="1">
        <f t="shared" si="113"/>
        <v>707.540329751797</v>
      </c>
      <c r="AZ106" s="2"/>
    </row>
    <row r="107" s="1" customFormat="1" spans="1:52">
      <c r="A107" s="13" t="s">
        <v>73</v>
      </c>
      <c r="B107" s="13">
        <v>0.26</v>
      </c>
      <c r="C107" s="16">
        <v>2</v>
      </c>
      <c r="D107" s="19">
        <v>-8.192710919</v>
      </c>
      <c r="E107" s="20">
        <f t="shared" si="114"/>
        <v>-11.7915463622258</v>
      </c>
      <c r="F107" s="16" t="s">
        <v>110</v>
      </c>
      <c r="G107" s="13">
        <v>3</v>
      </c>
      <c r="H107" s="18">
        <f t="shared" si="97"/>
        <v>-8.192710919</v>
      </c>
      <c r="I107" s="18">
        <f t="shared" si="98"/>
        <v>264.957289081</v>
      </c>
      <c r="J107" s="18">
        <f t="shared" si="99"/>
        <v>0.00578790180634615</v>
      </c>
      <c r="K107" s="18">
        <f t="shared" si="100"/>
        <v>75.9047916666667</v>
      </c>
      <c r="L107" s="18">
        <f t="shared" si="101"/>
        <v>0.759047916666667</v>
      </c>
      <c r="M107" s="13" t="s">
        <v>110</v>
      </c>
      <c r="N107" s="13"/>
      <c r="O107" s="18">
        <f t="shared" si="115"/>
        <v>2.26793350480461</v>
      </c>
      <c r="P107" s="18">
        <f t="shared" si="102"/>
        <v>0.0131265764291316</v>
      </c>
      <c r="Q107" s="24">
        <f t="shared" si="103"/>
        <v>0.0034129098715742</v>
      </c>
      <c r="R107" s="18">
        <f t="shared" si="104"/>
        <v>0.197352458333333</v>
      </c>
      <c r="S107" s="25">
        <f t="shared" si="105"/>
        <v>0.0172934753404982</v>
      </c>
      <c r="T107" s="3">
        <v>0.01</v>
      </c>
      <c r="U107" s="26">
        <f t="shared" si="106"/>
        <v>0.000172934753404982</v>
      </c>
      <c r="V107" s="25"/>
      <c r="W107" s="3"/>
      <c r="X107" s="3"/>
      <c r="Y107" s="28"/>
      <c r="Z107" s="3"/>
      <c r="AA107" s="27"/>
      <c r="AB107" s="3"/>
      <c r="AC107" s="3"/>
      <c r="AD107" s="27"/>
      <c r="AE107" s="25">
        <v>0.001</v>
      </c>
      <c r="AF107" s="3">
        <v>0.49</v>
      </c>
      <c r="AG107" s="26">
        <f t="shared" si="107"/>
        <v>0.00049</v>
      </c>
      <c r="AH107" s="35"/>
      <c r="AI107" s="3"/>
      <c r="AJ107" s="26"/>
      <c r="AK107" s="36"/>
      <c r="AL107" s="27"/>
      <c r="AM107" s="27"/>
      <c r="AN107" s="36"/>
      <c r="AO107" s="27"/>
      <c r="AP107" s="26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0.00566293475340498</v>
      </c>
      <c r="AU107" s="29">
        <f t="shared" si="110"/>
        <v>75.9047916666667</v>
      </c>
      <c r="AV107" s="1">
        <f t="shared" si="111"/>
        <v>0.26</v>
      </c>
      <c r="AW107" s="2">
        <f t="shared" si="112"/>
        <v>0.962475317656742</v>
      </c>
      <c r="AX107" s="1">
        <f t="shared" si="113"/>
        <v>720.690010147512</v>
      </c>
      <c r="AZ107" s="2"/>
    </row>
    <row r="108" s="1" customFormat="1" spans="1:52">
      <c r="A108" s="13"/>
      <c r="B108" s="13"/>
      <c r="C108" s="16">
        <v>3</v>
      </c>
      <c r="D108" s="19">
        <v>3.14121524287097</v>
      </c>
      <c r="E108" s="20">
        <f t="shared" si="114"/>
        <v>-8.192710919</v>
      </c>
      <c r="F108" s="16" t="s">
        <v>110</v>
      </c>
      <c r="G108" s="13">
        <v>4</v>
      </c>
      <c r="H108" s="18">
        <f t="shared" si="97"/>
        <v>3.14121524287097</v>
      </c>
      <c r="I108" s="18">
        <f t="shared" si="98"/>
        <v>276.291215242871</v>
      </c>
      <c r="J108" s="18">
        <f t="shared" si="99"/>
        <v>0.0261344802098834</v>
      </c>
      <c r="K108" s="18">
        <f t="shared" si="100"/>
        <v>75.9047916666667</v>
      </c>
      <c r="L108" s="18">
        <f t="shared" si="101"/>
        <v>0.759047916666667</v>
      </c>
      <c r="M108" s="13" t="s">
        <v>110</v>
      </c>
      <c r="N108" s="13"/>
      <c r="O108" s="18">
        <f t="shared" si="115"/>
        <v>3.01385484504214</v>
      </c>
      <c r="P108" s="18">
        <f t="shared" si="102"/>
        <v>0.0787655298032151</v>
      </c>
      <c r="Q108" s="24">
        <f t="shared" si="103"/>
        <v>0.0204790377488359</v>
      </c>
      <c r="R108" s="18">
        <f t="shared" si="104"/>
        <v>0.197352458333333</v>
      </c>
      <c r="S108" s="25">
        <f t="shared" si="105"/>
        <v>0.103768850521468</v>
      </c>
      <c r="T108" s="3">
        <v>0.01</v>
      </c>
      <c r="U108" s="26">
        <f t="shared" si="106"/>
        <v>0.00103768850521468</v>
      </c>
      <c r="V108" s="25"/>
      <c r="W108" s="3"/>
      <c r="X108" s="3"/>
      <c r="Y108" s="28"/>
      <c r="Z108" s="3"/>
      <c r="AA108" s="27"/>
      <c r="AB108" s="3"/>
      <c r="AC108" s="3"/>
      <c r="AD108" s="27"/>
      <c r="AE108" s="25">
        <v>0.001</v>
      </c>
      <c r="AF108" s="3">
        <v>0.49</v>
      </c>
      <c r="AG108" s="26">
        <f t="shared" si="107"/>
        <v>0.00049</v>
      </c>
      <c r="AH108" s="35"/>
      <c r="AI108" s="3"/>
      <c r="AJ108" s="26"/>
      <c r="AK108" s="36"/>
      <c r="AL108" s="27"/>
      <c r="AM108" s="27"/>
      <c r="AN108" s="36"/>
      <c r="AO108" s="27"/>
      <c r="AP108" s="26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0.00652768850521468</v>
      </c>
      <c r="AU108" s="29">
        <f t="shared" si="110"/>
        <v>75.9047916666667</v>
      </c>
      <c r="AV108" s="1">
        <f t="shared" si="111"/>
        <v>0.26</v>
      </c>
      <c r="AW108" s="2">
        <f t="shared" si="112"/>
        <v>0.962475317656742</v>
      </c>
      <c r="AX108" s="1">
        <f t="shared" si="113"/>
        <v>830.742380041427</v>
      </c>
      <c r="AZ108" s="2"/>
    </row>
    <row r="109" s="1" customFormat="1" spans="1:52">
      <c r="A109" s="13"/>
      <c r="B109" s="13"/>
      <c r="C109" s="16">
        <v>4</v>
      </c>
      <c r="D109" s="19">
        <v>10.3040178096667</v>
      </c>
      <c r="E109" s="20">
        <f t="shared" si="114"/>
        <v>3.14121524287097</v>
      </c>
      <c r="F109" s="16" t="s">
        <v>110</v>
      </c>
      <c r="G109" s="13">
        <v>5</v>
      </c>
      <c r="H109" s="18">
        <f t="shared" si="97"/>
        <v>10.3040178096667</v>
      </c>
      <c r="I109" s="18">
        <f t="shared" si="98"/>
        <v>283.454017809667</v>
      </c>
      <c r="J109" s="18">
        <f t="shared" si="99"/>
        <v>0.0636746511293259</v>
      </c>
      <c r="K109" s="18">
        <f t="shared" si="100"/>
        <v>75.9047916666667</v>
      </c>
      <c r="L109" s="18">
        <f t="shared" si="101"/>
        <v>0.759047916666667</v>
      </c>
      <c r="M109" s="13" t="s">
        <v>112</v>
      </c>
      <c r="N109" s="18">
        <f>(O108-P108)*$C$22/100</f>
        <v>2.78833484947698</v>
      </c>
      <c r="O109" s="18">
        <f t="shared" si="115"/>
        <v>0.905802382428613</v>
      </c>
      <c r="P109" s="18">
        <f t="shared" si="102"/>
        <v>0.0576766506932542</v>
      </c>
      <c r="Q109" s="24">
        <f t="shared" si="103"/>
        <v>0.0149959291802461</v>
      </c>
      <c r="R109" s="18">
        <f t="shared" si="104"/>
        <v>0.197352458333333</v>
      </c>
      <c r="S109" s="25">
        <f t="shared" si="105"/>
        <v>0.075985520053252</v>
      </c>
      <c r="T109" s="3">
        <v>0.01</v>
      </c>
      <c r="U109" s="26">
        <f t="shared" si="106"/>
        <v>0.00075985520053252</v>
      </c>
      <c r="V109" s="25"/>
      <c r="W109" s="3"/>
      <c r="X109" s="3"/>
      <c r="Y109" s="28"/>
      <c r="Z109" s="3"/>
      <c r="AA109" s="27"/>
      <c r="AB109" s="3"/>
      <c r="AC109" s="3"/>
      <c r="AD109" s="27"/>
      <c r="AE109" s="25">
        <v>0.005</v>
      </c>
      <c r="AF109" s="3">
        <v>0.49</v>
      </c>
      <c r="AG109" s="26">
        <f t="shared" si="107"/>
        <v>0.00245</v>
      </c>
      <c r="AH109" s="35"/>
      <c r="AI109" s="3"/>
      <c r="AJ109" s="26"/>
      <c r="AK109" s="36"/>
      <c r="AL109" s="27"/>
      <c r="AM109" s="27"/>
      <c r="AN109" s="36"/>
      <c r="AO109" s="27"/>
      <c r="AP109" s="26"/>
      <c r="AQ109" s="3">
        <v>0.015</v>
      </c>
      <c r="AR109" s="3">
        <v>0.5</v>
      </c>
      <c r="AS109" s="3">
        <f t="shared" si="108"/>
        <v>0.0075</v>
      </c>
      <c r="AT109" s="2">
        <f t="shared" si="109"/>
        <v>0.0107098552005325</v>
      </c>
      <c r="AU109" s="29">
        <f t="shared" si="110"/>
        <v>75.9047916666667</v>
      </c>
      <c r="AV109" s="1">
        <f t="shared" si="111"/>
        <v>0.26</v>
      </c>
      <c r="AW109" s="2">
        <f t="shared" si="112"/>
        <v>0.962475317656742</v>
      </c>
      <c r="AX109" s="1">
        <f t="shared" si="113"/>
        <v>1362.98332741857</v>
      </c>
      <c r="AZ109" s="2"/>
    </row>
    <row r="110" s="1" customFormat="1" spans="1:52">
      <c r="A110" s="13"/>
      <c r="B110" s="13"/>
      <c r="C110" s="16">
        <v>5</v>
      </c>
      <c r="D110" s="19">
        <v>13.324716293129</v>
      </c>
      <c r="E110" s="20">
        <f t="shared" si="114"/>
        <v>10.3040178096667</v>
      </c>
      <c r="F110" s="16" t="s">
        <v>112</v>
      </c>
      <c r="G110" s="13">
        <v>6</v>
      </c>
      <c r="H110" s="18">
        <f t="shared" si="97"/>
        <v>13.324716293129</v>
      </c>
      <c r="I110" s="18">
        <f t="shared" si="98"/>
        <v>286.474716293129</v>
      </c>
      <c r="J110" s="18">
        <f t="shared" si="99"/>
        <v>0.0914681992927445</v>
      </c>
      <c r="K110" s="18">
        <f t="shared" si="100"/>
        <v>75.9047916666667</v>
      </c>
      <c r="L110" s="18">
        <f t="shared" si="101"/>
        <v>0.759047916666667</v>
      </c>
      <c r="M110" s="13" t="s">
        <v>110</v>
      </c>
      <c r="N110" s="13"/>
      <c r="O110" s="18">
        <f t="shared" si="115"/>
        <v>1.60717364840203</v>
      </c>
      <c r="P110" s="18">
        <f t="shared" si="102"/>
        <v>0.147005279570084</v>
      </c>
      <c r="Q110" s="24">
        <f t="shared" si="103"/>
        <v>0.0382213726882218</v>
      </c>
      <c r="R110" s="18">
        <f t="shared" si="104"/>
        <v>0.197352458333333</v>
      </c>
      <c r="S110" s="25">
        <f t="shared" si="105"/>
        <v>0.19367061860291</v>
      </c>
      <c r="T110" s="3">
        <v>0.01</v>
      </c>
      <c r="U110" s="26">
        <f t="shared" si="106"/>
        <v>0.0019367061860291</v>
      </c>
      <c r="V110" s="25"/>
      <c r="W110" s="3"/>
      <c r="X110" s="3"/>
      <c r="Y110" s="28"/>
      <c r="Z110" s="3"/>
      <c r="AA110" s="27"/>
      <c r="AB110" s="3"/>
      <c r="AC110" s="3"/>
      <c r="AD110" s="27"/>
      <c r="AE110" s="25">
        <v>0.005</v>
      </c>
      <c r="AF110" s="3">
        <v>0.49</v>
      </c>
      <c r="AG110" s="26">
        <f t="shared" si="107"/>
        <v>0.00245</v>
      </c>
      <c r="AH110" s="35"/>
      <c r="AI110" s="3"/>
      <c r="AJ110" s="26"/>
      <c r="AK110" s="36"/>
      <c r="AL110" s="27"/>
      <c r="AM110" s="27"/>
      <c r="AN110" s="36"/>
      <c r="AO110" s="27"/>
      <c r="AP110" s="26"/>
      <c r="AQ110" s="3">
        <v>0.015</v>
      </c>
      <c r="AR110" s="3">
        <v>0.5</v>
      </c>
      <c r="AS110" s="3">
        <f t="shared" si="108"/>
        <v>0.0075</v>
      </c>
      <c r="AT110" s="2">
        <f t="shared" si="109"/>
        <v>0.0118867061860291</v>
      </c>
      <c r="AU110" s="29">
        <f t="shared" si="110"/>
        <v>75.9047916666667</v>
      </c>
      <c r="AV110" s="1">
        <f t="shared" si="111"/>
        <v>0.26</v>
      </c>
      <c r="AW110" s="2">
        <f t="shared" si="112"/>
        <v>0.962475317656742</v>
      </c>
      <c r="AX110" s="1">
        <f t="shared" si="113"/>
        <v>1512.75456540955</v>
      </c>
      <c r="AZ110" s="2"/>
    </row>
    <row r="111" s="1" customFormat="1" spans="1:52">
      <c r="A111" s="13"/>
      <c r="B111" s="13"/>
      <c r="C111" s="16">
        <v>6</v>
      </c>
      <c r="D111" s="19">
        <v>20.1594895183333</v>
      </c>
      <c r="E111" s="20">
        <f t="shared" si="114"/>
        <v>13.324716293129</v>
      </c>
      <c r="F111" s="16" t="s">
        <v>110</v>
      </c>
      <c r="G111" s="13">
        <v>7</v>
      </c>
      <c r="H111" s="18">
        <f t="shared" si="97"/>
        <v>20.1594895183333</v>
      </c>
      <c r="I111" s="18">
        <f t="shared" si="98"/>
        <v>293.309489518333</v>
      </c>
      <c r="J111" s="18">
        <f t="shared" si="99"/>
        <v>0.201945027994167</v>
      </c>
      <c r="K111" s="18">
        <f t="shared" si="100"/>
        <v>75.9047916666667</v>
      </c>
      <c r="L111" s="18">
        <f t="shared" si="101"/>
        <v>0.759047916666667</v>
      </c>
      <c r="M111" s="13" t="s">
        <v>110</v>
      </c>
      <c r="N111" s="13"/>
      <c r="O111" s="18">
        <f t="shared" si="115"/>
        <v>2.21921628549861</v>
      </c>
      <c r="P111" s="18">
        <f t="shared" si="102"/>
        <v>0.448159694900128</v>
      </c>
      <c r="Q111" s="24">
        <f t="shared" si="103"/>
        <v>0.116521520674033</v>
      </c>
      <c r="R111" s="18">
        <f t="shared" si="104"/>
        <v>0.197352458333333</v>
      </c>
      <c r="S111" s="25">
        <f t="shared" si="105"/>
        <v>0.590423456885576</v>
      </c>
      <c r="T111" s="3">
        <v>0.01</v>
      </c>
      <c r="U111" s="26">
        <f t="shared" si="106"/>
        <v>0.00590423456885576</v>
      </c>
      <c r="V111" s="25"/>
      <c r="W111" s="3"/>
      <c r="X111" s="3"/>
      <c r="Y111" s="28"/>
      <c r="Z111" s="3"/>
      <c r="AA111" s="27"/>
      <c r="AB111" s="3"/>
      <c r="AC111" s="3"/>
      <c r="AD111" s="27"/>
      <c r="AE111" s="25">
        <v>0.005</v>
      </c>
      <c r="AF111" s="3">
        <v>0.49</v>
      </c>
      <c r="AG111" s="26">
        <f t="shared" si="107"/>
        <v>0.00245</v>
      </c>
      <c r="AH111" s="35"/>
      <c r="AI111" s="3"/>
      <c r="AJ111" s="26"/>
      <c r="AK111" s="36"/>
      <c r="AL111" s="27"/>
      <c r="AM111" s="27"/>
      <c r="AN111" s="36"/>
      <c r="AO111" s="27"/>
      <c r="AP111" s="26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0.0158542345688558</v>
      </c>
      <c r="AU111" s="29">
        <f t="shared" si="110"/>
        <v>75.9047916666667</v>
      </c>
      <c r="AV111" s="1">
        <f t="shared" si="111"/>
        <v>0.26</v>
      </c>
      <c r="AW111" s="2">
        <f t="shared" si="112"/>
        <v>0.962475317656742</v>
      </c>
      <c r="AX111" s="1">
        <f t="shared" si="113"/>
        <v>2017.67969610449</v>
      </c>
      <c r="AZ111" s="2"/>
    </row>
    <row r="112" s="1" customFormat="1" spans="1:52">
      <c r="A112" s="13"/>
      <c r="B112" s="13"/>
      <c r="C112" s="16">
        <v>7</v>
      </c>
      <c r="D112" s="19">
        <v>21.2806534074194</v>
      </c>
      <c r="E112" s="20">
        <f t="shared" si="114"/>
        <v>20.1594895183333</v>
      </c>
      <c r="F112" s="16" t="s">
        <v>110</v>
      </c>
      <c r="G112" s="13">
        <v>8</v>
      </c>
      <c r="H112" s="18">
        <f t="shared" si="97"/>
        <v>21.2806534074194</v>
      </c>
      <c r="I112" s="18">
        <f t="shared" si="98"/>
        <v>294.430653407419</v>
      </c>
      <c r="J112" s="18">
        <f t="shared" si="99"/>
        <v>0.229156198828549</v>
      </c>
      <c r="K112" s="18">
        <f t="shared" si="100"/>
        <v>75.9047916666667</v>
      </c>
      <c r="L112" s="18">
        <f t="shared" si="101"/>
        <v>0.759047916666667</v>
      </c>
      <c r="M112" s="13" t="s">
        <v>110</v>
      </c>
      <c r="N112" s="13"/>
      <c r="O112" s="18">
        <f t="shared" si="115"/>
        <v>2.53010450726515</v>
      </c>
      <c r="P112" s="18">
        <f t="shared" si="102"/>
        <v>0.57978913152386</v>
      </c>
      <c r="Q112" s="24">
        <f t="shared" si="103"/>
        <v>0.150745174196204</v>
      </c>
      <c r="R112" s="18">
        <f t="shared" si="104"/>
        <v>0.197352458333333</v>
      </c>
      <c r="S112" s="25">
        <f t="shared" si="105"/>
        <v>0.763837326726335</v>
      </c>
      <c r="T112" s="3">
        <v>0.01</v>
      </c>
      <c r="U112" s="26">
        <f t="shared" si="106"/>
        <v>0.00763837326726335</v>
      </c>
      <c r="V112" s="25"/>
      <c r="W112" s="3"/>
      <c r="X112" s="3"/>
      <c r="Y112" s="28"/>
      <c r="Z112" s="3"/>
      <c r="AA112" s="27"/>
      <c r="AB112" s="3"/>
      <c r="AC112" s="3"/>
      <c r="AD112" s="27"/>
      <c r="AE112" s="25">
        <v>0.005</v>
      </c>
      <c r="AF112" s="3">
        <v>0.49</v>
      </c>
      <c r="AG112" s="26">
        <f t="shared" si="107"/>
        <v>0.00245</v>
      </c>
      <c r="AH112" s="35"/>
      <c r="AI112" s="3"/>
      <c r="AJ112" s="26"/>
      <c r="AK112" s="36"/>
      <c r="AL112" s="27"/>
      <c r="AM112" s="27"/>
      <c r="AN112" s="36"/>
      <c r="AO112" s="27"/>
      <c r="AP112" s="26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0.0175883732672633</v>
      </c>
      <c r="AU112" s="29">
        <f t="shared" si="110"/>
        <v>75.9047916666667</v>
      </c>
      <c r="AV112" s="1">
        <f t="shared" si="111"/>
        <v>0.26</v>
      </c>
      <c r="AW112" s="2">
        <f t="shared" si="112"/>
        <v>0.962475317656742</v>
      </c>
      <c r="AX112" s="1">
        <f t="shared" si="113"/>
        <v>2238.37382213183</v>
      </c>
      <c r="AZ112" s="2"/>
    </row>
    <row r="113" s="1" customFormat="1" spans="1:52">
      <c r="A113" s="13"/>
      <c r="B113" s="13"/>
      <c r="C113" s="16">
        <v>8</v>
      </c>
      <c r="D113" s="19">
        <v>18.9639937503226</v>
      </c>
      <c r="E113" s="20">
        <f t="shared" si="114"/>
        <v>21.2806534074194</v>
      </c>
      <c r="F113" s="16" t="s">
        <v>110</v>
      </c>
      <c r="G113" s="13">
        <v>9</v>
      </c>
      <c r="H113" s="18">
        <f t="shared" si="97"/>
        <v>18.9639937503226</v>
      </c>
      <c r="I113" s="18">
        <f t="shared" si="98"/>
        <v>292.113993750323</v>
      </c>
      <c r="J113" s="18">
        <f t="shared" si="99"/>
        <v>0.1762912551343</v>
      </c>
      <c r="K113" s="18">
        <f t="shared" si="100"/>
        <v>75.9047916666667</v>
      </c>
      <c r="L113" s="18">
        <f t="shared" si="101"/>
        <v>0.759047916666667</v>
      </c>
      <c r="M113" s="13" t="s">
        <v>110</v>
      </c>
      <c r="N113" s="13"/>
      <c r="O113" s="18">
        <f t="shared" si="115"/>
        <v>2.70936329240795</v>
      </c>
      <c r="P113" s="18">
        <f t="shared" si="102"/>
        <v>0.477637055433398</v>
      </c>
      <c r="Q113" s="24">
        <f t="shared" si="103"/>
        <v>0.124185634412683</v>
      </c>
      <c r="R113" s="18">
        <f t="shared" si="104"/>
        <v>0.197352458333333</v>
      </c>
      <c r="S113" s="25">
        <f t="shared" si="105"/>
        <v>0.629258107354967</v>
      </c>
      <c r="T113" s="3">
        <v>0.01</v>
      </c>
      <c r="U113" s="26">
        <f t="shared" si="106"/>
        <v>0.00629258107354967</v>
      </c>
      <c r="V113" s="25"/>
      <c r="W113" s="3"/>
      <c r="X113" s="3"/>
      <c r="Y113" s="28"/>
      <c r="Z113" s="3"/>
      <c r="AA113" s="27"/>
      <c r="AB113" s="3"/>
      <c r="AC113" s="3"/>
      <c r="AD113" s="27"/>
      <c r="AE113" s="25">
        <v>0.005</v>
      </c>
      <c r="AF113" s="3">
        <v>0.49</v>
      </c>
      <c r="AG113" s="26">
        <f t="shared" si="107"/>
        <v>0.00245</v>
      </c>
      <c r="AH113" s="35"/>
      <c r="AI113" s="3"/>
      <c r="AJ113" s="26"/>
      <c r="AK113" s="36"/>
      <c r="AL113" s="27"/>
      <c r="AM113" s="27"/>
      <c r="AN113" s="36"/>
      <c r="AO113" s="27"/>
      <c r="AP113" s="26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0.0162425810735497</v>
      </c>
      <c r="AU113" s="29">
        <f t="shared" si="110"/>
        <v>75.9047916666667</v>
      </c>
      <c r="AV113" s="1">
        <f t="shared" si="111"/>
        <v>0.26</v>
      </c>
      <c r="AW113" s="2">
        <f t="shared" si="112"/>
        <v>0.962475317656742</v>
      </c>
      <c r="AX113" s="1">
        <f t="shared" si="113"/>
        <v>2067.10238214909</v>
      </c>
      <c r="AZ113" s="2"/>
    </row>
    <row r="114" s="1" customFormat="1" spans="1:52">
      <c r="A114" s="13"/>
      <c r="B114" s="13"/>
      <c r="C114" s="16">
        <v>9</v>
      </c>
      <c r="D114" s="19">
        <v>15.6933629623333</v>
      </c>
      <c r="E114" s="20">
        <f t="shared" si="114"/>
        <v>18.9639937503226</v>
      </c>
      <c r="F114" s="16" t="s">
        <v>110</v>
      </c>
      <c r="G114" s="13">
        <v>10</v>
      </c>
      <c r="H114" s="18">
        <f t="shared" si="97"/>
        <v>15.6933629623333</v>
      </c>
      <c r="I114" s="18">
        <f t="shared" si="98"/>
        <v>288.843362962333</v>
      </c>
      <c r="J114" s="18">
        <f t="shared" si="99"/>
        <v>0.12086942903513</v>
      </c>
      <c r="K114" s="18">
        <f t="shared" si="100"/>
        <v>75.9047916666667</v>
      </c>
      <c r="L114" s="18">
        <f t="shared" si="101"/>
        <v>0.759047916666667</v>
      </c>
      <c r="M114" s="13" t="s">
        <v>110</v>
      </c>
      <c r="N114" s="13"/>
      <c r="O114" s="18">
        <f t="shared" si="115"/>
        <v>2.99077415364122</v>
      </c>
      <c r="P114" s="18">
        <f t="shared" si="102"/>
        <v>0.361493164323639</v>
      </c>
      <c r="Q114" s="24">
        <f t="shared" si="103"/>
        <v>0.0939882227241461</v>
      </c>
      <c r="R114" s="18">
        <f t="shared" si="104"/>
        <v>0.197352458333333</v>
      </c>
      <c r="S114" s="25">
        <f t="shared" si="105"/>
        <v>0.476245512814427</v>
      </c>
      <c r="T114" s="3">
        <v>0.01</v>
      </c>
      <c r="U114" s="26">
        <f t="shared" si="106"/>
        <v>0.00476245512814427</v>
      </c>
      <c r="V114" s="25"/>
      <c r="W114" s="3"/>
      <c r="X114" s="3"/>
      <c r="Y114" s="28"/>
      <c r="Z114" s="3"/>
      <c r="AA114" s="27"/>
      <c r="AB114" s="3"/>
      <c r="AC114" s="3"/>
      <c r="AD114" s="27"/>
      <c r="AE114" s="25">
        <v>0.001</v>
      </c>
      <c r="AF114" s="3">
        <v>0.49</v>
      </c>
      <c r="AG114" s="26">
        <f t="shared" si="107"/>
        <v>0.00049</v>
      </c>
      <c r="AH114" s="35"/>
      <c r="AI114" s="3"/>
      <c r="AJ114" s="26"/>
      <c r="AK114" s="36"/>
      <c r="AL114" s="27"/>
      <c r="AM114" s="27"/>
      <c r="AN114" s="36"/>
      <c r="AO114" s="27"/>
      <c r="AP114" s="26"/>
      <c r="AQ114" s="3">
        <v>0.01</v>
      </c>
      <c r="AR114" s="3">
        <v>0.5</v>
      </c>
      <c r="AS114" s="3">
        <f t="shared" si="108"/>
        <v>0.005</v>
      </c>
      <c r="AT114" s="2">
        <f t="shared" si="109"/>
        <v>0.0102524551281443</v>
      </c>
      <c r="AU114" s="29">
        <f t="shared" si="110"/>
        <v>75.9047916666667</v>
      </c>
      <c r="AV114" s="1">
        <f t="shared" si="111"/>
        <v>0.26</v>
      </c>
      <c r="AW114" s="2">
        <f t="shared" si="112"/>
        <v>0.962475317656742</v>
      </c>
      <c r="AX114" s="1">
        <f t="shared" si="113"/>
        <v>1304.77258031209</v>
      </c>
      <c r="AZ114" s="2"/>
    </row>
    <row r="115" s="1" customFormat="1" spans="1:52">
      <c r="A115" s="13"/>
      <c r="B115" s="13"/>
      <c r="C115" s="16">
        <v>10</v>
      </c>
      <c r="D115" s="19">
        <v>4.21467201822581</v>
      </c>
      <c r="E115" s="20">
        <f t="shared" si="114"/>
        <v>15.6933629623333</v>
      </c>
      <c r="F115" s="16" t="s">
        <v>110</v>
      </c>
      <c r="G115" s="13">
        <v>11</v>
      </c>
      <c r="H115" s="18">
        <f t="shared" si="97"/>
        <v>4.21467201822581</v>
      </c>
      <c r="I115" s="18">
        <f t="shared" si="98"/>
        <v>277.364672018226</v>
      </c>
      <c r="J115" s="18">
        <f t="shared" si="99"/>
        <v>0.0299534763654428</v>
      </c>
      <c r="K115" s="18">
        <f t="shared" si="100"/>
        <v>75.9047916666667</v>
      </c>
      <c r="L115" s="18">
        <f t="shared" si="101"/>
        <v>0.759047916666667</v>
      </c>
      <c r="M115" s="13" t="s">
        <v>112</v>
      </c>
      <c r="N115" s="18">
        <f>(O114-P114)*$C$22/100</f>
        <v>2.49781693985171</v>
      </c>
      <c r="O115" s="18">
        <f t="shared" si="115"/>
        <v>0.890511966132546</v>
      </c>
      <c r="P115" s="18">
        <f t="shared" si="102"/>
        <v>0.0266739291306952</v>
      </c>
      <c r="Q115" s="24">
        <f t="shared" si="103"/>
        <v>0.00693522157398076</v>
      </c>
      <c r="R115" s="18">
        <f t="shared" si="104"/>
        <v>0.197352458333333</v>
      </c>
      <c r="S115" s="25">
        <f t="shared" si="105"/>
        <v>0.0351412981249364</v>
      </c>
      <c r="T115" s="3">
        <v>0.01</v>
      </c>
      <c r="U115" s="26">
        <f t="shared" si="106"/>
        <v>0.000351412981249364</v>
      </c>
      <c r="V115" s="25"/>
      <c r="W115" s="3"/>
      <c r="X115" s="3"/>
      <c r="Y115" s="28"/>
      <c r="Z115" s="3"/>
      <c r="AA115" s="27"/>
      <c r="AB115" s="3"/>
      <c r="AC115" s="3"/>
      <c r="AD115" s="27"/>
      <c r="AE115" s="25">
        <v>0.001</v>
      </c>
      <c r="AF115" s="3">
        <v>0.49</v>
      </c>
      <c r="AG115" s="26">
        <f t="shared" si="107"/>
        <v>0.00049</v>
      </c>
      <c r="AH115" s="35"/>
      <c r="AI115" s="3"/>
      <c r="AJ115" s="26"/>
      <c r="AK115" s="36"/>
      <c r="AL115" s="27"/>
      <c r="AM115" s="27"/>
      <c r="AN115" s="36"/>
      <c r="AO115" s="27"/>
      <c r="AP115" s="26"/>
      <c r="AQ115" s="3">
        <v>0.01</v>
      </c>
      <c r="AR115" s="3">
        <v>0.5</v>
      </c>
      <c r="AS115" s="3">
        <f t="shared" si="108"/>
        <v>0.005</v>
      </c>
      <c r="AT115" s="2">
        <f t="shared" si="109"/>
        <v>0.00584141298124936</v>
      </c>
      <c r="AU115" s="29">
        <f t="shared" si="110"/>
        <v>75.9047916666667</v>
      </c>
      <c r="AV115" s="1">
        <f t="shared" si="111"/>
        <v>0.26</v>
      </c>
      <c r="AW115" s="2">
        <f t="shared" si="112"/>
        <v>0.962475317656742</v>
      </c>
      <c r="AX115" s="1">
        <f t="shared" si="113"/>
        <v>743.403935247733</v>
      </c>
      <c r="AZ115" s="2"/>
    </row>
    <row r="116" s="1" customFormat="1" spans="1:52">
      <c r="A116" s="13"/>
      <c r="B116" s="13"/>
      <c r="C116" s="16">
        <v>11</v>
      </c>
      <c r="D116" s="19">
        <v>-4.1991255377</v>
      </c>
      <c r="E116" s="20">
        <f t="shared" si="114"/>
        <v>4.21467201822581</v>
      </c>
      <c r="F116" s="16" t="s">
        <v>112</v>
      </c>
      <c r="G116" s="13">
        <v>12</v>
      </c>
      <c r="H116" s="18">
        <f t="shared" si="97"/>
        <v>-4.1991255377</v>
      </c>
      <c r="I116" s="18">
        <f t="shared" si="98"/>
        <v>268.9508744623</v>
      </c>
      <c r="J116" s="18">
        <f t="shared" si="99"/>
        <v>0.00998855190878936</v>
      </c>
      <c r="K116" s="18">
        <f t="shared" si="100"/>
        <v>75.9047916666667</v>
      </c>
      <c r="L116" s="18">
        <f t="shared" si="101"/>
        <v>0.759047916666667</v>
      </c>
      <c r="M116" s="13" t="s">
        <v>110</v>
      </c>
      <c r="N116" s="13"/>
      <c r="O116" s="18">
        <f t="shared" si="115"/>
        <v>1.62288595366852</v>
      </c>
      <c r="P116" s="18">
        <f t="shared" si="102"/>
        <v>0.0162102805902631</v>
      </c>
      <c r="Q116" s="24">
        <f t="shared" si="103"/>
        <v>0.00421467295346841</v>
      </c>
      <c r="R116" s="18">
        <f t="shared" si="104"/>
        <v>0.197352458333333</v>
      </c>
      <c r="S116" s="25">
        <f t="shared" si="105"/>
        <v>0.0213560701957394</v>
      </c>
      <c r="T116" s="3">
        <v>0.01</v>
      </c>
      <c r="U116" s="26">
        <f t="shared" si="106"/>
        <v>0.000213560701957394</v>
      </c>
      <c r="V116" s="25"/>
      <c r="W116" s="3"/>
      <c r="X116" s="3"/>
      <c r="Y116" s="28"/>
      <c r="Z116" s="3"/>
      <c r="AA116" s="27"/>
      <c r="AB116" s="3"/>
      <c r="AC116" s="3"/>
      <c r="AD116" s="27"/>
      <c r="AE116" s="25">
        <v>0.001</v>
      </c>
      <c r="AF116" s="3">
        <v>0.49</v>
      </c>
      <c r="AG116" s="26">
        <f t="shared" si="107"/>
        <v>0.00049</v>
      </c>
      <c r="AH116" s="35"/>
      <c r="AI116" s="3"/>
      <c r="AJ116" s="26"/>
      <c r="AK116" s="36"/>
      <c r="AL116" s="27"/>
      <c r="AM116" s="27"/>
      <c r="AN116" s="36"/>
      <c r="AO116" s="27"/>
      <c r="AP116" s="26"/>
      <c r="AQ116" s="3">
        <v>0.01</v>
      </c>
      <c r="AR116" s="3">
        <v>0.5</v>
      </c>
      <c r="AS116" s="3">
        <f t="shared" si="108"/>
        <v>0.005</v>
      </c>
      <c r="AT116" s="2">
        <f t="shared" si="109"/>
        <v>0.00570356070195739</v>
      </c>
      <c r="AU116" s="29">
        <f t="shared" si="110"/>
        <v>75.9047916666667</v>
      </c>
      <c r="AV116" s="1">
        <f t="shared" si="111"/>
        <v>0.26</v>
      </c>
      <c r="AW116" s="2">
        <f t="shared" si="112"/>
        <v>0.962475317656742</v>
      </c>
      <c r="AX116" s="1">
        <f t="shared" si="113"/>
        <v>725.860247232954</v>
      </c>
      <c r="AY116" s="1">
        <f>SUM(AX105:AX116)</f>
        <v>14937.1682820724</v>
      </c>
      <c r="AZ116" s="2"/>
    </row>
    <row r="117" s="1" customFormat="1" spans="1:46">
      <c r="A117" s="13"/>
      <c r="B117" s="13"/>
      <c r="C117" s="16">
        <v>12</v>
      </c>
      <c r="D117" s="19">
        <v>-7.57783500725806</v>
      </c>
      <c r="E117" s="20">
        <f t="shared" si="114"/>
        <v>-4.1991255377</v>
      </c>
      <c r="F117" s="16" t="s">
        <v>110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对方正在学习中</cp:lastModifiedBy>
  <dcterms:created xsi:type="dcterms:W3CDTF">2022-08-28T10:18:00Z</dcterms:created>
  <dcterms:modified xsi:type="dcterms:W3CDTF">2023-01-04T06:06:37Z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