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0280" windowHeight="7935"/>
  </bookViews>
  <sheets>
    <sheet name="new" sheetId="4" r:id="rId1"/>
    <sheet name="Sheet1" sheetId="1" r:id="rId2"/>
    <sheet name="Sheet2" sheetId="2" r:id="rId3"/>
    <sheet name="Sheet3" sheetId="3" r:id="rId4"/>
    <sheet name="Sheet4" sheetId="5" r:id="rId5"/>
    <sheet name="Sheet5" sheetId="6" r:id="rId6"/>
    <sheet name="Sheet6" sheetId="7" r:id="rId7"/>
  </sheets>
  <calcPr calcId="145621"/>
</workbook>
</file>

<file path=xl/calcChain.xml><?xml version="1.0" encoding="utf-8"?>
<calcChain xmlns="http://schemas.openxmlformats.org/spreadsheetml/2006/main">
  <c r="J9" i="7" l="1"/>
  <c r="E12" i="7" l="1"/>
  <c r="K9" i="7"/>
  <c r="J3" i="7" l="1" a="1"/>
  <c r="J3" i="7"/>
  <c r="K3" i="7"/>
  <c r="J4" i="7"/>
  <c r="K4" i="7"/>
  <c r="K10" i="7"/>
  <c r="J10" i="7"/>
  <c r="I40" i="1" l="1"/>
  <c r="H40" i="1"/>
  <c r="I39" i="1"/>
  <c r="H39" i="1"/>
  <c r="I38" i="1"/>
  <c r="H38" i="1"/>
  <c r="AA18" i="1"/>
  <c r="AA17" i="1"/>
  <c r="AB17" i="1" s="1"/>
  <c r="AC17" i="1" s="1"/>
  <c r="AB18" i="1"/>
  <c r="AC18" i="1"/>
  <c r="AB8" i="6" l="1"/>
  <c r="AA8" i="6"/>
  <c r="Z8" i="6"/>
  <c r="U11" i="6"/>
  <c r="V11" i="6"/>
  <c r="U12" i="6"/>
  <c r="V12" i="6"/>
  <c r="U13" i="6"/>
  <c r="V13" i="6"/>
  <c r="U14" i="6"/>
  <c r="V14" i="6"/>
  <c r="V10" i="6"/>
  <c r="U10" i="6"/>
  <c r="Y8" i="6"/>
  <c r="X8" i="6"/>
  <c r="T70" i="6"/>
  <c r="T71" i="6"/>
  <c r="T72" i="6"/>
  <c r="T73" i="6"/>
  <c r="T74" i="6"/>
  <c r="V74" i="6" s="1"/>
  <c r="T75" i="6"/>
  <c r="V75" i="6" s="1"/>
  <c r="T76" i="6"/>
  <c r="V76" i="6"/>
  <c r="V73" i="6"/>
  <c r="V72" i="6"/>
  <c r="U72" i="6"/>
  <c r="V71" i="6"/>
  <c r="X89" i="6"/>
  <c r="T40" i="6"/>
  <c r="T41" i="6"/>
  <c r="T42" i="6"/>
  <c r="T43" i="6"/>
  <c r="T44" i="6"/>
  <c r="V44" i="6" s="1"/>
  <c r="T45" i="6"/>
  <c r="U45" i="6" s="1"/>
  <c r="T39" i="6"/>
  <c r="V45" i="6"/>
  <c r="V43" i="6"/>
  <c r="U43" i="6"/>
  <c r="V42" i="6"/>
  <c r="U42" i="6"/>
  <c r="V41" i="6"/>
  <c r="V40" i="6"/>
  <c r="V39" i="6"/>
  <c r="U75" i="6" l="1"/>
  <c r="U70" i="6"/>
  <c r="V70" i="6"/>
  <c r="U73" i="6"/>
  <c r="U76" i="6"/>
  <c r="U71" i="6"/>
  <c r="U74" i="6"/>
  <c r="U44" i="6"/>
  <c r="U40" i="6"/>
  <c r="U41" i="6"/>
  <c r="U39" i="6"/>
  <c r="X58" i="6"/>
  <c r="V9" i="6"/>
  <c r="U9" i="6"/>
  <c r="T9" i="6"/>
  <c r="T10" i="6"/>
  <c r="T8" i="6"/>
  <c r="U8" i="6" s="1"/>
  <c r="V8" i="6" l="1"/>
  <c r="L62" i="5"/>
  <c r="M62" i="5"/>
  <c r="L65" i="5" s="1" a="1"/>
  <c r="L63" i="5"/>
  <c r="M63" i="5"/>
  <c r="C55" i="5" a="1"/>
  <c r="C55" i="5" s="1"/>
  <c r="E28" i="5" a="1"/>
  <c r="G28" i="5" s="1"/>
  <c r="K2" i="5" a="1"/>
  <c r="M2" i="5" s="1"/>
  <c r="G16" i="5"/>
  <c r="G17" i="5"/>
  <c r="G15" i="5"/>
  <c r="M3" i="5" l="1"/>
  <c r="L2" i="5"/>
  <c r="L66" i="5"/>
  <c r="M65" i="5"/>
  <c r="L65" i="5"/>
  <c r="M66" i="5"/>
  <c r="C56" i="5"/>
  <c r="L3" i="5"/>
  <c r="K2" i="5"/>
  <c r="K3" i="5"/>
  <c r="G29" i="5"/>
  <c r="F28" i="5"/>
  <c r="G30" i="5"/>
  <c r="F29" i="5"/>
  <c r="E28" i="5"/>
  <c r="F30" i="5"/>
  <c r="E29" i="5"/>
  <c r="E30" i="5"/>
  <c r="O65" i="5" l="1" a="1"/>
  <c r="I24" i="5" a="1"/>
  <c r="O66" i="5" l="1"/>
  <c r="O65" i="5"/>
  <c r="I25" i="5"/>
  <c r="M25" i="5" s="1"/>
  <c r="I26" i="5"/>
  <c r="M26" i="5" s="1"/>
  <c r="J25" i="5"/>
  <c r="N25" i="5" s="1"/>
  <c r="I24" i="5"/>
  <c r="M24" i="5" s="1"/>
  <c r="J26" i="5"/>
  <c r="N26" i="5" s="1"/>
  <c r="J24" i="5"/>
  <c r="N24" i="5" s="1"/>
  <c r="P24" i="5" l="1" a="1"/>
  <c r="AB10" i="3"/>
  <c r="G31" i="3"/>
  <c r="Y11" i="3"/>
  <c r="Y12" i="3"/>
  <c r="Y10" i="3"/>
  <c r="T30" i="3"/>
  <c r="T31" i="3"/>
  <c r="T29" i="3"/>
  <c r="R33" i="3" a="1"/>
  <c r="R35" i="3" s="1"/>
  <c r="R29" i="3" a="1"/>
  <c r="R29" i="3"/>
  <c r="R30" i="3"/>
  <c r="R31" i="3"/>
  <c r="AA31" i="2" a="1"/>
  <c r="AA31" i="2" s="1"/>
  <c r="Z31" i="2" a="1"/>
  <c r="Z31" i="2"/>
  <c r="Z32" i="2"/>
  <c r="Z33" i="2"/>
  <c r="V31" i="2" a="1"/>
  <c r="V31" i="2" s="1"/>
  <c r="P25" i="5" l="1"/>
  <c r="Q24" i="5"/>
  <c r="P24" i="5"/>
  <c r="Q25" i="5"/>
  <c r="R33" i="3"/>
  <c r="R34" i="3"/>
  <c r="AA33" i="2"/>
  <c r="AA32" i="2"/>
  <c r="V33" i="2"/>
  <c r="X32" i="2"/>
  <c r="W32" i="2"/>
  <c r="X33" i="2"/>
  <c r="W33" i="2"/>
  <c r="V32" i="2"/>
  <c r="X31" i="2"/>
  <c r="W31" i="2"/>
  <c r="S54" i="2" a="1"/>
  <c r="S54" i="2" s="1"/>
  <c r="V54" i="2" s="1"/>
  <c r="O54" i="2" a="1"/>
  <c r="O54" i="2"/>
  <c r="P54" i="2"/>
  <c r="Q54" i="2"/>
  <c r="O55" i="2"/>
  <c r="P55" i="2"/>
  <c r="Q55" i="2"/>
  <c r="U40" i="2"/>
  <c r="V40" i="2"/>
  <c r="U41" i="2"/>
  <c r="V41" i="2"/>
  <c r="V39" i="2"/>
  <c r="U39" i="2"/>
  <c r="Q40" i="2"/>
  <c r="R40" i="2"/>
  <c r="Q41" i="2"/>
  <c r="R41" i="2"/>
  <c r="R39" i="2"/>
  <c r="Q39" i="2"/>
  <c r="N39" i="2" a="1"/>
  <c r="O40" i="2" s="1"/>
  <c r="S29" i="2"/>
  <c r="W29" i="2" s="1"/>
  <c r="O29" i="2"/>
  <c r="N29" i="2"/>
  <c r="R29" i="2" s="1"/>
  <c r="V29" i="2" s="1"/>
  <c r="T28" i="2"/>
  <c r="X28" i="2" s="1"/>
  <c r="P28" i="2"/>
  <c r="O28" i="2"/>
  <c r="S28" i="2" s="1"/>
  <c r="W28" i="2" s="1"/>
  <c r="P27" i="2"/>
  <c r="T27" i="2" s="1"/>
  <c r="X27" i="2" s="1"/>
  <c r="N27" i="2" a="1"/>
  <c r="N28" i="2" s="1"/>
  <c r="R28" i="2" s="1"/>
  <c r="V28" i="2" s="1"/>
  <c r="N27" i="2"/>
  <c r="R27" i="2" s="1"/>
  <c r="V27" i="2" s="1"/>
  <c r="T55" i="2" l="1"/>
  <c r="W55" i="2" s="1"/>
  <c r="S55" i="2"/>
  <c r="T54" i="2"/>
  <c r="N40" i="2"/>
  <c r="O41" i="2"/>
  <c r="O39" i="2"/>
  <c r="N41" i="2"/>
  <c r="N39" i="2"/>
  <c r="P29" i="2"/>
  <c r="T29" i="2" s="1"/>
  <c r="X29" i="2" s="1"/>
  <c r="O27" i="2"/>
  <c r="S27" i="2" s="1"/>
  <c r="W27" i="2" s="1"/>
  <c r="E14" i="2" a="1"/>
  <c r="E14" i="2" s="1"/>
  <c r="F16" i="2" l="1"/>
  <c r="E15" i="2"/>
  <c r="E16" i="2"/>
  <c r="G14" i="2"/>
  <c r="E19" i="2" s="1" a="1"/>
  <c r="G15" i="2"/>
  <c r="F14" i="2"/>
  <c r="C19" i="2" s="1" a="1"/>
  <c r="G16" i="2"/>
  <c r="F15" i="2"/>
  <c r="F35" i="1"/>
  <c r="G35" i="1" s="1"/>
  <c r="E20" i="2" l="1"/>
  <c r="E21" i="2"/>
  <c r="E19" i="2"/>
  <c r="F21" i="2"/>
  <c r="F19" i="2"/>
  <c r="F20" i="2"/>
  <c r="C19" i="2"/>
  <c r="D20" i="2"/>
  <c r="C20" i="2"/>
  <c r="D21" i="2"/>
  <c r="D19" i="2"/>
  <c r="C21" i="2"/>
  <c r="G19" i="2" a="1"/>
  <c r="I15" i="1"/>
  <c r="J15" i="1" s="1"/>
  <c r="I12" i="1"/>
  <c r="J12" i="1" s="1"/>
  <c r="I13" i="1"/>
  <c r="J13" i="1" s="1"/>
  <c r="I14" i="1"/>
  <c r="J14" i="1" s="1"/>
  <c r="I11" i="1"/>
  <c r="J11" i="1" s="1"/>
  <c r="G19" i="2" l="1"/>
  <c r="G21" i="2"/>
  <c r="G20" i="2"/>
  <c r="X56" i="4" a="1"/>
  <c r="X56" i="4"/>
  <c r="X57" i="4"/>
  <c r="X58" i="4"/>
  <c r="X59" i="4"/>
  <c r="X60" i="4"/>
  <c r="R56" i="4" a="1"/>
  <c r="R56" i="4"/>
  <c r="S56" i="4"/>
  <c r="T56" i="4"/>
  <c r="U56" i="4"/>
  <c r="V56" i="4"/>
  <c r="R57" i="4"/>
  <c r="S57" i="4"/>
  <c r="T57" i="4"/>
  <c r="U57" i="4"/>
  <c r="V57" i="4"/>
  <c r="R58" i="4"/>
  <c r="S58" i="4"/>
  <c r="T58" i="4"/>
  <c r="U58" i="4"/>
  <c r="V58" i="4"/>
  <c r="R59" i="4"/>
  <c r="S59" i="4"/>
  <c r="T59" i="4"/>
  <c r="U59" i="4"/>
  <c r="V59" i="4"/>
  <c r="R60" i="4"/>
  <c r="S60" i="4"/>
  <c r="T60" i="4"/>
  <c r="U60" i="4"/>
  <c r="V60" i="4"/>
  <c r="E60" i="4"/>
  <c r="E59" i="4"/>
  <c r="E58" i="4"/>
  <c r="C57" i="4"/>
  <c r="C56" i="4"/>
  <c r="E54" i="4"/>
  <c r="E57" i="4" s="1"/>
  <c r="F27" i="4" a="1"/>
  <c r="U7" i="4"/>
  <c r="R3" i="4" a="1"/>
  <c r="S7" i="4" l="1"/>
  <c r="U5" i="4"/>
  <c r="R4" i="4"/>
  <c r="R7" i="4"/>
  <c r="T5" i="4"/>
  <c r="V3" i="4"/>
  <c r="V6" i="4"/>
  <c r="S5" i="4"/>
  <c r="U3" i="4"/>
  <c r="U6" i="4"/>
  <c r="R5" i="4"/>
  <c r="T3" i="4"/>
  <c r="T6" i="4"/>
  <c r="V4" i="4"/>
  <c r="S3" i="4"/>
  <c r="V7" i="4"/>
  <c r="S6" i="4"/>
  <c r="U4" i="4"/>
  <c r="R3" i="4"/>
  <c r="Z3" i="4" s="1" a="1"/>
  <c r="G31" i="4"/>
  <c r="I29" i="4"/>
  <c r="F28" i="4"/>
  <c r="F31" i="4"/>
  <c r="H29" i="4"/>
  <c r="J27" i="4"/>
  <c r="J30" i="4"/>
  <c r="G29" i="4"/>
  <c r="I27" i="4"/>
  <c r="I30" i="4"/>
  <c r="F29" i="4"/>
  <c r="H27" i="4"/>
  <c r="H30" i="4"/>
  <c r="J28" i="4"/>
  <c r="G27" i="4"/>
  <c r="J31" i="4"/>
  <c r="G30" i="4"/>
  <c r="I28" i="4"/>
  <c r="F27" i="4"/>
  <c r="I31" i="4"/>
  <c r="S4" i="4"/>
  <c r="G28" i="4"/>
  <c r="T4" i="4"/>
  <c r="H28" i="4"/>
  <c r="V5" i="4"/>
  <c r="J29" i="4"/>
  <c r="R6" i="4"/>
  <c r="F30" i="4"/>
  <c r="T7" i="4"/>
  <c r="H31" i="4"/>
  <c r="E56" i="4"/>
  <c r="Z6" i="4" l="1"/>
  <c r="Z5" i="4"/>
  <c r="Z4" i="4"/>
  <c r="Z3" i="4"/>
  <c r="Z7" i="4"/>
  <c r="H36" i="4" a="1"/>
  <c r="F36" i="4" a="1"/>
  <c r="F37" i="4" l="1"/>
  <c r="G40" i="4"/>
  <c r="G36" i="4"/>
  <c r="F40" i="4"/>
  <c r="F36" i="4"/>
  <c r="G39" i="4"/>
  <c r="F39" i="4"/>
  <c r="G38" i="4"/>
  <c r="F38" i="4"/>
  <c r="G37" i="4"/>
  <c r="H40" i="4"/>
  <c r="H36" i="4"/>
  <c r="I39" i="4"/>
  <c r="H39" i="4"/>
  <c r="I38" i="4"/>
  <c r="H38" i="4"/>
  <c r="I37" i="4"/>
  <c r="H37" i="4"/>
  <c r="I40" i="4"/>
  <c r="I36" i="4"/>
  <c r="G56" i="4" l="1" a="1"/>
  <c r="G47" i="4" a="1"/>
  <c r="J47" i="4" l="1"/>
  <c r="I47" i="4"/>
  <c r="K48" i="4"/>
  <c r="H47" i="4"/>
  <c r="J48" i="4"/>
  <c r="G47" i="4"/>
  <c r="I48" i="4"/>
  <c r="H48" i="4"/>
  <c r="G48" i="4"/>
  <c r="K47" i="4"/>
  <c r="G56" i="4"/>
  <c r="H56" i="4" s="1"/>
  <c r="G60" i="4"/>
  <c r="H60" i="4" s="1"/>
  <c r="G59" i="4"/>
  <c r="H59" i="4" s="1"/>
  <c r="G58" i="4"/>
  <c r="H58" i="4" s="1"/>
  <c r="G57" i="4"/>
  <c r="H57" i="4" s="1"/>
</calcChain>
</file>

<file path=xl/sharedStrings.xml><?xml version="1.0" encoding="utf-8"?>
<sst xmlns="http://schemas.openxmlformats.org/spreadsheetml/2006/main" count="777" uniqueCount="194">
  <si>
    <t>Parte 1</t>
  </si>
  <si>
    <r>
      <t xml:space="preserve"> (S2)</t>
    </r>
    <r>
      <rPr>
        <vertAlign val="superscript"/>
        <sz val="10"/>
        <rFont val="Arial"/>
        <family val="2"/>
      </rPr>
      <t>-1</t>
    </r>
  </si>
  <si>
    <t>logk</t>
  </si>
  <si>
    <t>log(k*)</t>
  </si>
  <si>
    <t>FeOOH(s)</t>
  </si>
  <si>
    <t>h2o</t>
  </si>
  <si>
    <t>Fe2+</t>
  </si>
  <si>
    <t>H+</t>
  </si>
  <si>
    <t>OH-</t>
  </si>
  <si>
    <t>Fe3+</t>
  </si>
  <si>
    <t>Fe(OH)2</t>
  </si>
  <si>
    <t>Fe(OH)3</t>
  </si>
  <si>
    <t>O2</t>
  </si>
  <si>
    <t>R1</t>
  </si>
  <si>
    <t>R2</t>
  </si>
  <si>
    <t>R3</t>
  </si>
  <si>
    <t>R4</t>
  </si>
  <si>
    <t>R5</t>
  </si>
  <si>
    <t>Ns</t>
  </si>
  <si>
    <t>Nre</t>
  </si>
  <si>
    <t>N1</t>
  </si>
  <si>
    <t>Parte 2</t>
  </si>
  <si>
    <t xml:space="preserve">Ns-NR especies primarias = </t>
  </si>
  <si>
    <t>Cheproo++</t>
  </si>
  <si>
    <t>[0]</t>
  </si>
  <si>
    <t>double</t>
  </si>
  <si>
    <t>[1]</t>
  </si>
  <si>
    <t>[2]</t>
  </si>
  <si>
    <t>[3]</t>
  </si>
  <si>
    <r>
      <t xml:space="preserve"> - (S2)</t>
    </r>
    <r>
      <rPr>
        <vertAlign val="superscript"/>
        <sz val="10"/>
        <rFont val="Arial"/>
        <family val="2"/>
      </rPr>
      <t>-1</t>
    </r>
  </si>
  <si>
    <t>[4]</t>
  </si>
  <si>
    <t>c1</t>
  </si>
  <si>
    <t>ln(c1)</t>
  </si>
  <si>
    <t>(1/S2)*log(k)</t>
  </si>
  <si>
    <t>ln(k*)</t>
  </si>
  <si>
    <t>ln(c2)</t>
  </si>
  <si>
    <t>c2</t>
  </si>
  <si>
    <r>
      <t xml:space="preserve"> - (S2)</t>
    </r>
    <r>
      <rPr>
        <vertAlign val="superscript"/>
        <sz val="10"/>
        <rFont val="Arial"/>
        <family val="2"/>
      </rPr>
      <t>-1</t>
    </r>
    <r>
      <rPr>
        <sz val="11"/>
        <color theme="1"/>
        <rFont val="Calibri"/>
        <family val="2"/>
        <scheme val="minor"/>
      </rPr>
      <t xml:space="preserve"> S1</t>
    </r>
  </si>
  <si>
    <t>mS1mod</t>
  </si>
  <si>
    <t>mSecmod</t>
  </si>
  <si>
    <t>Part 1</t>
  </si>
  <si>
    <t>[0,0]</t>
  </si>
  <si>
    <t>fe(oh2)</t>
  </si>
  <si>
    <t>U</t>
  </si>
  <si>
    <t>[1,0]</t>
  </si>
  <si>
    <t>fe(oh)3</t>
  </si>
  <si>
    <t>[2,0]</t>
  </si>
  <si>
    <t>feooh</t>
  </si>
  <si>
    <t>[3,0]</t>
  </si>
  <si>
    <t>[4,0]</t>
  </si>
  <si>
    <t>o2</t>
  </si>
  <si>
    <t>Iteration</t>
  </si>
  <si>
    <t>residual</t>
  </si>
  <si>
    <t>mSystemMatrix</t>
  </si>
  <si>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c2</t>
    </r>
  </si>
  <si>
    <t>Species</t>
  </si>
  <si>
    <t>h+</t>
  </si>
  <si>
    <t>hco3-</t>
  </si>
  <si>
    <t>ca+2</t>
  </si>
  <si>
    <t>co2(aq)</t>
  </si>
  <si>
    <t>calcite</t>
  </si>
  <si>
    <t>oh-</t>
  </si>
  <si>
    <t>g(1)</t>
  </si>
  <si>
    <t>g(2)</t>
  </si>
  <si>
    <t>g(3)</t>
  </si>
  <si>
    <t>g(4)</t>
  </si>
  <si>
    <t>g(5)</t>
  </si>
  <si>
    <t>g(6)</t>
  </si>
  <si>
    <t>g(7)</t>
  </si>
  <si>
    <t>c(1)</t>
  </si>
  <si>
    <t>c(2)</t>
  </si>
  <si>
    <t>c(3)</t>
  </si>
  <si>
    <t>c(4)</t>
  </si>
  <si>
    <t>c(5)</t>
  </si>
  <si>
    <t>c(6)</t>
  </si>
  <si>
    <t>c(7)</t>
  </si>
  <si>
    <t>h2o = h+ + oh-</t>
  </si>
  <si>
    <t>caco3(s) + h+ = ca2+ + hco3-</t>
  </si>
  <si>
    <t>co2(aq) + H2O = H+ + HCO3-</t>
  </si>
  <si>
    <t>logK</t>
  </si>
  <si>
    <t>logK*</t>
  </si>
  <si>
    <t>CHEPROO FORTRAN</t>
  </si>
  <si>
    <t>CHEPROO++</t>
  </si>
  <si>
    <t>=</t>
  </si>
  <si>
    <t>*</t>
  </si>
  <si>
    <t>Iter</t>
  </si>
  <si>
    <t>gamma</t>
  </si>
  <si>
    <t>c (iter 0)</t>
  </si>
  <si>
    <t>c</t>
  </si>
  <si>
    <t>SI</t>
  </si>
  <si>
    <t>ca2+</t>
  </si>
  <si>
    <t>(1/S2)</t>
  </si>
  <si>
    <t>mlogK*</t>
  </si>
  <si>
    <t>Jacobian</t>
  </si>
  <si>
    <t>Residual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</si>
  <si>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c1</t>
    </r>
  </si>
  <si>
    <t xml:space="preserve">REAL(8) </t>
  </si>
  <si>
    <t>Picard</t>
  </si>
  <si>
    <t>Newton-Raphson</t>
  </si>
  <si>
    <t>dcloc(1,1)</t>
  </si>
  <si>
    <t>dcloc(2,1)</t>
  </si>
  <si>
    <t>dcloc(3,1)</t>
  </si>
  <si>
    <t>dcloc(4,1)</t>
  </si>
  <si>
    <t>dcloc(5,1)</t>
  </si>
  <si>
    <t>dcloc(6,1)</t>
  </si>
  <si>
    <t>dcloc(7,1)</t>
  </si>
  <si>
    <t>dc2/dc1</t>
  </si>
  <si>
    <t>dGamma/dc2</t>
  </si>
  <si>
    <t>dGamma2/dc2</t>
  </si>
  <si>
    <t xml:space="preserve"> -S1* . dGamma1/dc2</t>
  </si>
  <si>
    <t xml:space="preserve"> -S1* . dGamma1/dc2 + dGamma2/dc2</t>
  </si>
  <si>
    <t>secGlobIndex1</t>
  </si>
  <si>
    <t>dGamma/dc1</t>
  </si>
  <si>
    <t xml:space="preserve"> S1* . dGamma1/dc1</t>
  </si>
  <si>
    <t xml:space="preserve"> S1* . dGamma1/dc1 - dGamma2/dc1</t>
  </si>
  <si>
    <t>Jacobian to evaluate c1</t>
  </si>
  <si>
    <t>Component Matrix</t>
  </si>
  <si>
    <t>ctotloc(1)</t>
  </si>
  <si>
    <t>ctotloc(2)</t>
  </si>
  <si>
    <t>ctotloc(3)</t>
  </si>
  <si>
    <t>ctotloc(4)</t>
  </si>
  <si>
    <t>u(1)</t>
  </si>
  <si>
    <t>u(2)</t>
  </si>
  <si>
    <t>u(3)</t>
  </si>
  <si>
    <t>u(4)</t>
  </si>
  <si>
    <t>residual(1)</t>
  </si>
  <si>
    <t>residual(2)</t>
  </si>
  <si>
    <t>residual(3)</t>
  </si>
  <si>
    <t>residual(4)</t>
  </si>
  <si>
    <t>Update</t>
  </si>
  <si>
    <t>+</t>
  </si>
  <si>
    <t>[2](0.00044114573303109670,204.78333695691305)</t>
  </si>
  <si>
    <t>std::vector&lt;double,std::allocator&lt;double&gt; &gt;</t>
  </si>
  <si>
    <t>[2](5.6018637531030498e-007,0.26004294423438401)</t>
  </si>
  <si>
    <t>[2](3.5922994903112930e-005,16.675738240059285)</t>
  </si>
  <si>
    <t>bdot</t>
  </si>
  <si>
    <t>B</t>
  </si>
  <si>
    <t>A</t>
  </si>
  <si>
    <t>dGamma/dc2 Cheproo++</t>
  </si>
  <si>
    <t>dGamma/dc1 Cheproo++</t>
  </si>
  <si>
    <t>[0,1]</t>
  </si>
  <si>
    <t>[1,1]</t>
  </si>
  <si>
    <t>[2,1]</t>
  </si>
  <si>
    <t>[0,2]</t>
  </si>
  <si>
    <t>[1,2]</t>
  </si>
  <si>
    <t>[2,2]</t>
  </si>
  <si>
    <t>res</t>
  </si>
  <si>
    <t>Ca+2</t>
  </si>
  <si>
    <t>sum</t>
  </si>
  <si>
    <t>c2 (iter = 12)</t>
  </si>
  <si>
    <t>dlnc2/dlnc1</t>
  </si>
  <si>
    <t>mS1mod_transpose</t>
  </si>
  <si>
    <t>dc2/dc1 Evaluation</t>
  </si>
  <si>
    <t>cheproo fortran</t>
  </si>
  <si>
    <t>cTot</t>
  </si>
  <si>
    <t>component matrix</t>
  </si>
  <si>
    <t>Errors</t>
  </si>
  <si>
    <t>maxRelError</t>
  </si>
  <si>
    <t>maxResidual</t>
  </si>
  <si>
    <t>iter 1</t>
  </si>
  <si>
    <t>iter 0</t>
  </si>
  <si>
    <t>iter 2</t>
  </si>
  <si>
    <t>delta c1</t>
  </si>
  <si>
    <t>Ionic strength</t>
  </si>
  <si>
    <t>dionstr(1)</t>
  </si>
  <si>
    <t>dionstr(2)</t>
  </si>
  <si>
    <t>dionstr(3)</t>
  </si>
  <si>
    <t>dionstr(4)</t>
  </si>
  <si>
    <t>[5]</t>
  </si>
  <si>
    <t>[6]</t>
  </si>
  <si>
    <t>dIonicStrength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</si>
  <si>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</t>
    </r>
  </si>
  <si>
    <r>
      <t>c+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</t>
    </r>
  </si>
  <si>
    <r>
      <t>c-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</t>
    </r>
  </si>
  <si>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(c)</t>
    </r>
  </si>
  <si>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(c+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c)</t>
    </r>
  </si>
  <si>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(c-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c)</t>
    </r>
  </si>
  <si>
    <t>numeric derivative</t>
  </si>
  <si>
    <t>c(0)</t>
  </si>
  <si>
    <t>analytical derivative</t>
  </si>
  <si>
    <t>zi</t>
  </si>
  <si>
    <t>ri</t>
  </si>
  <si>
    <r>
      <t>log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(c)</t>
    </r>
  </si>
  <si>
    <r>
      <t>I(c+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c)</t>
    </r>
  </si>
  <si>
    <r>
      <t>I(c-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c)</t>
    </r>
  </si>
  <si>
    <t>dGammadI</t>
  </si>
  <si>
    <t>Num</t>
  </si>
  <si>
    <t>Denom</t>
  </si>
  <si>
    <t>S1*</t>
  </si>
  <si>
    <t>S1* log(c1g1)</t>
  </si>
  <si>
    <t>jacobian(3,4)</t>
  </si>
  <si>
    <t>jacobian(4,4)</t>
  </si>
  <si>
    <t>dcloc</t>
  </si>
  <si>
    <t>dc2_dc1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</si>
</sst>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0"/>
    <numFmt numFmtId="165" formatCode="0.000E+00"/>
    <numFmt numFmtId="166" formatCode="0.0000E+00"/>
    <numFmt numFmtId="167" formatCode="0.00000"/>
    <numFmt numFmtId="168" formatCode="0.0"/>
    <numFmt numFmtId="169" formatCode="0.000000000"/>
    <numFmt numFmtId="170" formatCode="0.000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9" fillId="17" borderId="0" applyNumberFormat="0" applyBorder="0" applyAlignment="0" applyProtection="0"/>
    <xf numFmtId="0" fontId="10" fillId="18" borderId="0" applyNumberFormat="0" applyBorder="0" applyAlignment="0" applyProtection="0"/>
  </cellStyleXfs>
  <cellXfs count="206">
    <xf numFmtId="0" fontId="0" fillId="0" borderId="0" xfId="0"/>
    <xf numFmtId="0" fontId="1" fillId="2" borderId="0" xfId="1" applyFill="1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0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0" borderId="13" xfId="1" applyBorder="1"/>
    <xf numFmtId="0" fontId="1" fillId="0" borderId="0" xfId="1" applyBorder="1" applyAlignment="1">
      <alignment horizontal="center"/>
    </xf>
    <xf numFmtId="0" fontId="1" fillId="3" borderId="3" xfId="1" applyFill="1" applyBorder="1"/>
    <xf numFmtId="0" fontId="1" fillId="3" borderId="14" xfId="1" applyFill="1" applyBorder="1"/>
    <xf numFmtId="0" fontId="1" fillId="4" borderId="3" xfId="1" applyFill="1" applyBorder="1"/>
    <xf numFmtId="0" fontId="1" fillId="4" borderId="4" xfId="1" applyFill="1" applyBorder="1"/>
    <xf numFmtId="0" fontId="1" fillId="0" borderId="15" xfId="1" applyBorder="1"/>
    <xf numFmtId="0" fontId="1" fillId="0" borderId="16" xfId="1" applyBorder="1"/>
    <xf numFmtId="0" fontId="1" fillId="3" borderId="15" xfId="1" applyFill="1" applyBorder="1"/>
    <xf numFmtId="0" fontId="1" fillId="3" borderId="16" xfId="1" applyFill="1" applyBorder="1"/>
    <xf numFmtId="0" fontId="1" fillId="4" borderId="15" xfId="1" applyFill="1" applyBorder="1"/>
    <xf numFmtId="0" fontId="1" fillId="4" borderId="0" xfId="1" applyFill="1" applyBorder="1"/>
    <xf numFmtId="0" fontId="1" fillId="3" borderId="17" xfId="1" applyFill="1" applyBorder="1"/>
    <xf numFmtId="0" fontId="1" fillId="3" borderId="18" xfId="1" applyFill="1" applyBorder="1"/>
    <xf numFmtId="0" fontId="1" fillId="4" borderId="17" xfId="1" applyFill="1" applyBorder="1"/>
    <xf numFmtId="0" fontId="1" fillId="4" borderId="19" xfId="1" applyFill="1" applyBorder="1"/>
    <xf numFmtId="0" fontId="1" fillId="0" borderId="17" xfId="1" applyBorder="1"/>
    <xf numFmtId="0" fontId="1" fillId="0" borderId="19" xfId="1" applyBorder="1"/>
    <xf numFmtId="0" fontId="1" fillId="0" borderId="18" xfId="1" applyBorder="1"/>
    <xf numFmtId="0" fontId="1" fillId="0" borderId="0" xfId="1" applyFill="1" applyBorder="1" applyAlignment="1">
      <alignment horizontal="center"/>
    </xf>
    <xf numFmtId="0" fontId="1" fillId="4" borderId="14" xfId="1" applyFill="1" applyBorder="1"/>
    <xf numFmtId="0" fontId="1" fillId="0" borderId="14" xfId="1" applyBorder="1"/>
    <xf numFmtId="0" fontId="3" fillId="0" borderId="0" xfId="1" applyFont="1" applyBorder="1"/>
    <xf numFmtId="0" fontId="1" fillId="4" borderId="16" xfId="1" applyFill="1" applyBorder="1"/>
    <xf numFmtId="0" fontId="1" fillId="4" borderId="18" xfId="1" applyFill="1" applyBorder="1"/>
    <xf numFmtId="0" fontId="3" fillId="0" borderId="0" xfId="1" applyFont="1" applyFill="1" applyBorder="1"/>
    <xf numFmtId="0" fontId="4" fillId="0" borderId="0" xfId="1" applyFont="1" applyBorder="1"/>
    <xf numFmtId="11" fontId="1" fillId="0" borderId="0" xfId="1" applyNumberFormat="1"/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3" fillId="0" borderId="0" xfId="1" applyFont="1"/>
    <xf numFmtId="0" fontId="1" fillId="0" borderId="20" xfId="1" applyBorder="1"/>
    <xf numFmtId="0" fontId="3" fillId="3" borderId="4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19" xfId="1" applyFont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14" xfId="1" applyFill="1" applyBorder="1" applyAlignment="1">
      <alignment horizontal="center"/>
    </xf>
    <xf numFmtId="0" fontId="1" fillId="4" borderId="15" xfId="1" applyFill="1" applyBorder="1" applyAlignment="1">
      <alignment horizontal="center"/>
    </xf>
    <xf numFmtId="0" fontId="1" fillId="4" borderId="16" xfId="1" applyFill="1" applyBorder="1" applyAlignment="1">
      <alignment horizontal="center"/>
    </xf>
    <xf numFmtId="0" fontId="1" fillId="4" borderId="17" xfId="1" applyFill="1" applyBorder="1" applyAlignment="1">
      <alignment horizontal="center"/>
    </xf>
    <xf numFmtId="0" fontId="1" fillId="4" borderId="18" xfId="1" applyFill="1" applyBorder="1" applyAlignment="1">
      <alignment horizontal="center"/>
    </xf>
    <xf numFmtId="0" fontId="3" fillId="4" borderId="0" xfId="1" applyFont="1" applyFill="1"/>
    <xf numFmtId="0" fontId="3" fillId="3" borderId="3" xfId="1" applyFont="1" applyFill="1" applyBorder="1" applyAlignment="1">
      <alignment horizontal="center"/>
    </xf>
    <xf numFmtId="0" fontId="3" fillId="3" borderId="14" xfId="1" applyFont="1" applyFill="1" applyBorder="1" applyAlignment="1">
      <alignment horizontal="center"/>
    </xf>
    <xf numFmtId="0" fontId="1" fillId="0" borderId="21" xfId="1" applyBorder="1"/>
    <xf numFmtId="0" fontId="3" fillId="3" borderId="15" xfId="1" applyFont="1" applyFill="1" applyBorder="1" applyAlignment="1">
      <alignment horizontal="center"/>
    </xf>
    <xf numFmtId="0" fontId="3" fillId="3" borderId="16" xfId="1" applyFont="1" applyFill="1" applyBorder="1" applyAlignment="1">
      <alignment horizontal="center"/>
    </xf>
    <xf numFmtId="0" fontId="1" fillId="0" borderId="22" xfId="1" applyBorder="1"/>
    <xf numFmtId="0" fontId="3" fillId="3" borderId="17" xfId="1" applyFont="1" applyFill="1" applyBorder="1" applyAlignment="1">
      <alignment horizontal="center"/>
    </xf>
    <xf numFmtId="0" fontId="3" fillId="3" borderId="18" xfId="1" applyFont="1" applyFill="1" applyBorder="1" applyAlignment="1">
      <alignment horizontal="center"/>
    </xf>
    <xf numFmtId="0" fontId="3" fillId="5" borderId="0" xfId="1" applyFont="1" applyFill="1"/>
    <xf numFmtId="0" fontId="3" fillId="6" borderId="0" xfId="1" applyFont="1" applyFill="1"/>
    <xf numFmtId="0" fontId="5" fillId="0" borderId="0" xfId="1" applyFont="1"/>
    <xf numFmtId="0" fontId="1" fillId="7" borderId="0" xfId="1" applyFill="1" applyAlignment="1">
      <alignment horizontal="center"/>
    </xf>
    <xf numFmtId="11" fontId="0" fillId="0" borderId="0" xfId="0" applyNumberFormat="1"/>
    <xf numFmtId="164" fontId="0" fillId="0" borderId="0" xfId="0" applyNumberFormat="1"/>
    <xf numFmtId="0" fontId="0" fillId="5" borderId="0" xfId="0" applyFill="1"/>
    <xf numFmtId="0" fontId="0" fillId="7" borderId="0" xfId="0" applyFill="1"/>
    <xf numFmtId="0" fontId="0" fillId="8" borderId="0" xfId="0" applyFill="1"/>
    <xf numFmtId="0" fontId="3" fillId="4" borderId="0" xfId="1" applyFont="1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11" fontId="0" fillId="0" borderId="0" xfId="0" applyNumberFormat="1" applyFill="1"/>
    <xf numFmtId="0" fontId="0" fillId="9" borderId="0" xfId="0" applyFill="1"/>
    <xf numFmtId="0" fontId="0" fillId="0" borderId="0" xfId="0" applyAlignment="1">
      <alignment horizontal="center"/>
    </xf>
    <xf numFmtId="0" fontId="7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3" xfId="1" applyFill="1" applyBorder="1" applyAlignment="1">
      <alignment horizontal="center"/>
    </xf>
    <xf numFmtId="0" fontId="1" fillId="3" borderId="14" xfId="1" applyFill="1" applyBorder="1" applyAlignment="1">
      <alignment horizontal="center"/>
    </xf>
    <xf numFmtId="0" fontId="1" fillId="3" borderId="15" xfId="1" applyFill="1" applyBorder="1" applyAlignment="1">
      <alignment horizontal="center"/>
    </xf>
    <xf numFmtId="0" fontId="1" fillId="3" borderId="16" xfId="1" applyFill="1" applyBorder="1" applyAlignment="1">
      <alignment horizontal="center"/>
    </xf>
    <xf numFmtId="0" fontId="1" fillId="3" borderId="17" xfId="1" applyFill="1" applyBorder="1" applyAlignment="1">
      <alignment horizontal="center"/>
    </xf>
    <xf numFmtId="0" fontId="1" fillId="3" borderId="18" xfId="1" applyFill="1" applyBorder="1" applyAlignment="1">
      <alignment horizontal="center"/>
    </xf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3" fillId="5" borderId="0" xfId="1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/>
    <xf numFmtId="0" fontId="0" fillId="7" borderId="9" xfId="0" applyFill="1" applyBorder="1"/>
    <xf numFmtId="0" fontId="0" fillId="7" borderId="10" xfId="0" applyFill="1" applyBorder="1"/>
    <xf numFmtId="0" fontId="7" fillId="0" borderId="9" xfId="0" applyFont="1" applyFill="1" applyBorder="1"/>
    <xf numFmtId="0" fontId="7" fillId="0" borderId="0" xfId="0" applyFont="1" applyFill="1" applyBorder="1"/>
    <xf numFmtId="0" fontId="7" fillId="0" borderId="10" xfId="0" applyFont="1" applyFill="1" applyBorder="1"/>
    <xf numFmtId="0" fontId="0" fillId="0" borderId="1" xfId="0" applyBorder="1"/>
    <xf numFmtId="0" fontId="0" fillId="7" borderId="24" xfId="0" applyFill="1" applyBorder="1"/>
    <xf numFmtId="0" fontId="0" fillId="7" borderId="2" xfId="0" applyFill="1" applyBorder="1"/>
    <xf numFmtId="0" fontId="0" fillId="0" borderId="21" xfId="0" applyBorder="1"/>
    <xf numFmtId="0" fontId="0" fillId="7" borderId="23" xfId="0" applyFill="1" applyBorder="1"/>
    <xf numFmtId="0" fontId="0" fillId="0" borderId="22" xfId="0" applyBorder="1"/>
    <xf numFmtId="0" fontId="0" fillId="5" borderId="6" xfId="0" applyFill="1" applyBorder="1"/>
    <xf numFmtId="0" fontId="0" fillId="5" borderId="2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21" xfId="0" applyFill="1" applyBorder="1"/>
    <xf numFmtId="0" fontId="0" fillId="5" borderId="10" xfId="0" applyFill="1" applyBorder="1"/>
    <xf numFmtId="11" fontId="0" fillId="11" borderId="0" xfId="0" applyNumberFormat="1" applyFill="1"/>
    <xf numFmtId="11" fontId="0" fillId="12" borderId="0" xfId="0" applyNumberFormat="1" applyFill="1"/>
    <xf numFmtId="0" fontId="0" fillId="13" borderId="0" xfId="0" applyFill="1"/>
    <xf numFmtId="11" fontId="0" fillId="14" borderId="0" xfId="0" applyNumberFormat="1" applyFill="1"/>
    <xf numFmtId="11" fontId="0" fillId="15" borderId="0" xfId="0" applyNumberFormat="1" applyFill="1"/>
    <xf numFmtId="11" fontId="0" fillId="16" borderId="0" xfId="0" applyNumberFormat="1" applyFill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Fill="1"/>
    <xf numFmtId="165" fontId="0" fillId="16" borderId="0" xfId="0" applyNumberFormat="1" applyFill="1"/>
    <xf numFmtId="0" fontId="0" fillId="0" borderId="0" xfId="0" applyFill="1" applyAlignment="1">
      <alignment horizontal="center"/>
    </xf>
    <xf numFmtId="11" fontId="0" fillId="7" borderId="0" xfId="0" applyNumberFormat="1" applyFill="1"/>
    <xf numFmtId="0" fontId="0" fillId="11" borderId="0" xfId="0" applyFill="1"/>
    <xf numFmtId="168" fontId="0" fillId="0" borderId="0" xfId="0" applyNumberFormat="1"/>
    <xf numFmtId="169" fontId="0" fillId="0" borderId="0" xfId="0" applyNumberFormat="1"/>
    <xf numFmtId="0" fontId="0" fillId="0" borderId="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4" borderId="3" xfId="0" applyFill="1" applyBorder="1"/>
    <xf numFmtId="167" fontId="0" fillId="4" borderId="4" xfId="0" applyNumberFormat="1" applyFill="1" applyBorder="1"/>
    <xf numFmtId="0" fontId="0" fillId="4" borderId="14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18" xfId="0" applyFill="1" applyBorder="1"/>
    <xf numFmtId="0" fontId="0" fillId="0" borderId="20" xfId="0" applyBorder="1"/>
    <xf numFmtId="11" fontId="0" fillId="0" borderId="4" xfId="0" applyNumberFormat="1" applyBorder="1"/>
    <xf numFmtId="0" fontId="0" fillId="0" borderId="4" xfId="0" applyBorder="1"/>
    <xf numFmtId="11" fontId="0" fillId="0" borderId="14" xfId="0" applyNumberFormat="1" applyBorder="1"/>
    <xf numFmtId="11" fontId="0" fillId="0" borderId="15" xfId="0" applyNumberFormat="1" applyBorder="1"/>
    <xf numFmtId="11" fontId="0" fillId="0" borderId="0" xfId="0" applyNumberFormat="1" applyBorder="1"/>
    <xf numFmtId="11" fontId="0" fillId="0" borderId="16" xfId="0" applyNumberFormat="1" applyBorder="1"/>
    <xf numFmtId="0" fontId="0" fillId="0" borderId="15" xfId="0" applyBorder="1"/>
    <xf numFmtId="11" fontId="0" fillId="0" borderId="17" xfId="0" applyNumberFormat="1" applyBorder="1"/>
    <xf numFmtId="11" fontId="0" fillId="0" borderId="19" xfId="0" applyNumberFormat="1" applyBorder="1"/>
    <xf numFmtId="11" fontId="0" fillId="0" borderId="20" xfId="0" applyNumberFormat="1" applyBorder="1"/>
    <xf numFmtId="11" fontId="0" fillId="0" borderId="21" xfId="0" applyNumberFormat="1" applyBorder="1"/>
    <xf numFmtId="11" fontId="0" fillId="0" borderId="22" xfId="0" applyNumberFormat="1" applyBorder="1"/>
    <xf numFmtId="0" fontId="9" fillId="17" borderId="0" xfId="2"/>
    <xf numFmtId="0" fontId="0" fillId="0" borderId="16" xfId="0" applyBorder="1"/>
    <xf numFmtId="11" fontId="0" fillId="0" borderId="18" xfId="0" applyNumberFormat="1" applyBorder="1"/>
    <xf numFmtId="0" fontId="10" fillId="18" borderId="0" xfId="3"/>
    <xf numFmtId="0" fontId="0" fillId="0" borderId="0" xfId="0" applyFill="1" applyBorder="1"/>
    <xf numFmtId="11" fontId="0" fillId="0" borderId="0" xfId="0" applyNumberFormat="1" applyFill="1" applyBorder="1"/>
    <xf numFmtId="0" fontId="11" fillId="0" borderId="0" xfId="0" applyFont="1"/>
    <xf numFmtId="0" fontId="11" fillId="5" borderId="0" xfId="0" applyFont="1" applyFill="1"/>
    <xf numFmtId="11" fontId="11" fillId="0" borderId="0" xfId="0" applyNumberFormat="1" applyFont="1"/>
    <xf numFmtId="0" fontId="0" fillId="4" borderId="0" xfId="0" applyFill="1"/>
    <xf numFmtId="0" fontId="0" fillId="0" borderId="0" xfId="0" applyAlignment="1">
      <alignment horizontal="left"/>
    </xf>
    <xf numFmtId="2" fontId="0" fillId="0" borderId="0" xfId="0" applyNumberFormat="1"/>
    <xf numFmtId="170" fontId="0" fillId="0" borderId="0" xfId="0" applyNumberFormat="1"/>
    <xf numFmtId="170" fontId="11" fillId="0" borderId="0" xfId="0" applyNumberFormat="1" applyFont="1"/>
    <xf numFmtId="11" fontId="0" fillId="19" borderId="0" xfId="0" applyNumberFormat="1" applyFill="1"/>
    <xf numFmtId="11" fontId="12" fillId="6" borderId="0" xfId="0" applyNumberFormat="1" applyFont="1" applyFill="1"/>
    <xf numFmtId="11" fontId="0" fillId="6" borderId="0" xfId="0" applyNumberFormat="1" applyFill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6" xfId="0" applyFill="1" applyBorder="1"/>
    <xf numFmtId="11" fontId="0" fillId="0" borderId="7" xfId="0" applyNumberFormat="1" applyBorder="1"/>
    <xf numFmtId="11" fontId="0" fillId="0" borderId="8" xfId="0" applyNumberFormat="1" applyBorder="1"/>
    <xf numFmtId="11" fontId="0" fillId="0" borderId="9" xfId="0" applyNumberFormat="1" applyFill="1" applyBorder="1"/>
    <xf numFmtId="11" fontId="0" fillId="0" borderId="10" xfId="0" applyNumberFormat="1" applyBorder="1"/>
    <xf numFmtId="0" fontId="0" fillId="0" borderId="9" xfId="0" applyFill="1" applyBorder="1"/>
    <xf numFmtId="11" fontId="0" fillId="0" borderId="11" xfId="0" applyNumberFormat="1" applyFill="1" applyBorder="1"/>
    <xf numFmtId="11" fontId="0" fillId="0" borderId="12" xfId="0" applyNumberFormat="1" applyBorder="1"/>
    <xf numFmtId="11" fontId="0" fillId="0" borderId="13" xfId="0" applyNumberFormat="1" applyBorder="1"/>
    <xf numFmtId="0" fontId="0" fillId="0" borderId="11" xfId="0" applyFill="1" applyBorder="1"/>
    <xf numFmtId="11" fontId="0" fillId="0" borderId="6" xfId="0" applyNumberFormat="1" applyBorder="1"/>
    <xf numFmtId="11" fontId="0" fillId="0" borderId="9" xfId="0" applyNumberFormat="1" applyBorder="1"/>
    <xf numFmtId="11" fontId="0" fillId="0" borderId="11" xfId="0" applyNumberFormat="1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4" borderId="0" xfId="1" applyFont="1" applyFill="1" applyAlignment="1">
      <alignment horizontal="center"/>
    </xf>
  </cellXfs>
  <cellStyles count="4">
    <cellStyle name="Bad" xfId="2" builtinId="27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tabSelected="1" topLeftCell="A13" workbookViewId="0">
      <selection activeCell="F27" sqref="F27"/>
    </sheetView>
  </sheetViews>
  <sheetFormatPr defaultRowHeight="12.75" x14ac:dyDescent="0.2"/>
  <cols>
    <col min="1" max="3" width="9.140625" style="2"/>
    <col min="4" max="4" width="11.28515625" style="2" bestFit="1" customWidth="1"/>
    <col min="5" max="21" width="9.140625" style="2"/>
    <col min="22" max="22" width="10.42578125" style="2" customWidth="1"/>
    <col min="23" max="16384" width="9.140625" style="2"/>
  </cols>
  <sheetData>
    <row r="1" spans="1:26" x14ac:dyDescent="0.2">
      <c r="A1" s="1" t="s">
        <v>0</v>
      </c>
    </row>
    <row r="2" spans="1:26" ht="15" thickBot="1" x14ac:dyDescent="0.25">
      <c r="B2" s="2">
        <v>7</v>
      </c>
      <c r="C2" s="2">
        <v>8</v>
      </c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R2" s="2" t="s">
        <v>1</v>
      </c>
      <c r="X2" s="3" t="s">
        <v>2</v>
      </c>
      <c r="Y2" s="3"/>
      <c r="Z2" s="3" t="s">
        <v>3</v>
      </c>
    </row>
    <row r="3" spans="1:26" ht="13.5" thickBot="1" x14ac:dyDescent="0.25">
      <c r="B3" s="4" t="s">
        <v>4</v>
      </c>
      <c r="C3" s="5" t="s">
        <v>5</v>
      </c>
      <c r="D3" s="6" t="s">
        <v>6</v>
      </c>
      <c r="E3" s="7" t="s">
        <v>7</v>
      </c>
      <c r="F3" s="4" t="s">
        <v>8</v>
      </c>
      <c r="G3" s="8" t="s">
        <v>9</v>
      </c>
      <c r="H3" s="8" t="s">
        <v>10</v>
      </c>
      <c r="I3" s="8" t="s">
        <v>11</v>
      </c>
      <c r="J3" s="5" t="s">
        <v>12</v>
      </c>
      <c r="R3" s="9">
        <f t="array" ref="R3:V7">MINVERSE(F19:J23)</f>
        <v>0</v>
      </c>
      <c r="S3" s="10">
        <v>0</v>
      </c>
      <c r="T3" s="10">
        <v>0</v>
      </c>
      <c r="U3" s="10">
        <v>1</v>
      </c>
      <c r="V3" s="11">
        <v>0</v>
      </c>
      <c r="X3" s="18">
        <v>-22.3</v>
      </c>
      <c r="Z3" s="2">
        <f t="array" ref="Z3:Z7">MMULT(R3:V7,X3:X7)</f>
        <v>-14</v>
      </c>
    </row>
    <row r="4" spans="1:26" x14ac:dyDescent="0.2">
      <c r="A4" s="2" t="s">
        <v>13</v>
      </c>
      <c r="B4" s="19">
        <v>0</v>
      </c>
      <c r="C4" s="20">
        <v>0</v>
      </c>
      <c r="D4" s="21">
        <v>0</v>
      </c>
      <c r="E4" s="22">
        <v>0</v>
      </c>
      <c r="F4" s="23">
        <v>2</v>
      </c>
      <c r="G4" s="13">
        <v>1</v>
      </c>
      <c r="H4" s="13">
        <v>-1</v>
      </c>
      <c r="I4" s="13">
        <v>0</v>
      </c>
      <c r="J4" s="24">
        <v>0</v>
      </c>
      <c r="R4" s="12">
        <v>0</v>
      </c>
      <c r="S4" s="13">
        <v>0</v>
      </c>
      <c r="T4" s="13">
        <v>1</v>
      </c>
      <c r="U4" s="13">
        <v>-3</v>
      </c>
      <c r="V4" s="14">
        <v>0</v>
      </c>
      <c r="X4" s="18">
        <v>-28.4</v>
      </c>
      <c r="Z4" s="2">
        <v>0.5</v>
      </c>
    </row>
    <row r="5" spans="1:26" x14ac:dyDescent="0.2">
      <c r="A5" s="2" t="s">
        <v>14</v>
      </c>
      <c r="B5" s="25">
        <v>0</v>
      </c>
      <c r="C5" s="26">
        <v>0</v>
      </c>
      <c r="D5" s="27">
        <v>0</v>
      </c>
      <c r="E5" s="28">
        <v>0</v>
      </c>
      <c r="F5" s="23">
        <v>3</v>
      </c>
      <c r="G5" s="13">
        <v>1</v>
      </c>
      <c r="H5" s="13">
        <v>0</v>
      </c>
      <c r="I5" s="13">
        <v>-1</v>
      </c>
      <c r="J5" s="24">
        <v>0</v>
      </c>
      <c r="R5" s="12">
        <v>-1</v>
      </c>
      <c r="S5" s="13">
        <v>0</v>
      </c>
      <c r="T5" s="13">
        <v>1</v>
      </c>
      <c r="U5" s="13">
        <v>-1</v>
      </c>
      <c r="V5" s="14">
        <v>0</v>
      </c>
      <c r="X5" s="18">
        <v>-41.5</v>
      </c>
      <c r="Z5" s="2">
        <v>-5.1999999999999993</v>
      </c>
    </row>
    <row r="6" spans="1:26" x14ac:dyDescent="0.2">
      <c r="A6" s="2" t="s">
        <v>15</v>
      </c>
      <c r="B6" s="25">
        <v>-1</v>
      </c>
      <c r="C6" s="26">
        <v>1</v>
      </c>
      <c r="D6" s="27">
        <v>0</v>
      </c>
      <c r="E6" s="28">
        <v>0</v>
      </c>
      <c r="F6" s="23">
        <v>3</v>
      </c>
      <c r="G6" s="13">
        <v>1</v>
      </c>
      <c r="H6" s="13">
        <v>0</v>
      </c>
      <c r="I6" s="13">
        <v>0</v>
      </c>
      <c r="J6" s="24">
        <v>0</v>
      </c>
      <c r="R6" s="12">
        <v>0</v>
      </c>
      <c r="S6" s="13">
        <v>-1</v>
      </c>
      <c r="T6" s="13">
        <v>1</v>
      </c>
      <c r="U6" s="13">
        <v>0</v>
      </c>
      <c r="V6" s="14">
        <v>0</v>
      </c>
      <c r="X6" s="18">
        <v>-14</v>
      </c>
      <c r="Z6" s="2">
        <v>-13.100000000000001</v>
      </c>
    </row>
    <row r="7" spans="1:26" x14ac:dyDescent="0.2">
      <c r="A7" s="2" t="s">
        <v>16</v>
      </c>
      <c r="B7" s="25">
        <v>0</v>
      </c>
      <c r="C7" s="26">
        <v>-1</v>
      </c>
      <c r="D7" s="27">
        <v>0</v>
      </c>
      <c r="E7" s="28">
        <v>1</v>
      </c>
      <c r="F7" s="23">
        <v>1</v>
      </c>
      <c r="G7" s="13">
        <v>0</v>
      </c>
      <c r="H7" s="13">
        <v>0</v>
      </c>
      <c r="I7" s="13">
        <v>0</v>
      </c>
      <c r="J7" s="24">
        <v>0</v>
      </c>
      <c r="R7" s="15">
        <v>0</v>
      </c>
      <c r="S7" s="16">
        <v>0</v>
      </c>
      <c r="T7" s="16">
        <v>4</v>
      </c>
      <c r="U7" s="16">
        <v>-12</v>
      </c>
      <c r="V7" s="17">
        <v>1</v>
      </c>
      <c r="X7" s="18">
        <v>-34</v>
      </c>
      <c r="Z7" s="2">
        <v>-32</v>
      </c>
    </row>
    <row r="8" spans="1:26" ht="13.5" thickBot="1" x14ac:dyDescent="0.25">
      <c r="A8" s="2" t="s">
        <v>17</v>
      </c>
      <c r="B8" s="29">
        <v>0</v>
      </c>
      <c r="C8" s="30">
        <v>-2</v>
      </c>
      <c r="D8" s="31">
        <v>4</v>
      </c>
      <c r="E8" s="32">
        <v>4</v>
      </c>
      <c r="F8" s="33">
        <v>0</v>
      </c>
      <c r="G8" s="34">
        <v>-4</v>
      </c>
      <c r="H8" s="34">
        <v>0</v>
      </c>
      <c r="I8" s="34">
        <v>0</v>
      </c>
      <c r="J8" s="35">
        <v>1</v>
      </c>
    </row>
    <row r="10" spans="1:26" x14ac:dyDescent="0.2">
      <c r="C10" s="2" t="s">
        <v>18</v>
      </c>
      <c r="D10" s="36">
        <v>9</v>
      </c>
    </row>
    <row r="11" spans="1:26" x14ac:dyDescent="0.2">
      <c r="C11" s="2" t="s">
        <v>19</v>
      </c>
      <c r="D11" s="36">
        <v>5</v>
      </c>
    </row>
    <row r="12" spans="1:26" x14ac:dyDescent="0.2">
      <c r="C12" s="2" t="s">
        <v>20</v>
      </c>
      <c r="D12" s="36">
        <v>4</v>
      </c>
    </row>
    <row r="14" spans="1:26" x14ac:dyDescent="0.2">
      <c r="A14" s="1" t="s">
        <v>21</v>
      </c>
    </row>
    <row r="16" spans="1:26" x14ac:dyDescent="0.2">
      <c r="B16" s="2" t="s">
        <v>22</v>
      </c>
      <c r="E16" s="2">
        <v>4</v>
      </c>
      <c r="O16" s="2" t="s">
        <v>23</v>
      </c>
    </row>
    <row r="17" spans="1:29" ht="13.5" thickBot="1" x14ac:dyDescent="0.25">
      <c r="L17" s="13"/>
      <c r="M17" s="13"/>
      <c r="N17" s="13"/>
      <c r="O17" s="13"/>
    </row>
    <row r="18" spans="1:29" ht="13.5" thickBot="1" x14ac:dyDescent="0.25">
      <c r="B18" s="13" t="s">
        <v>4</v>
      </c>
      <c r="C18" s="2" t="s">
        <v>5</v>
      </c>
      <c r="D18" s="13" t="s">
        <v>6</v>
      </c>
      <c r="E18" s="13" t="s">
        <v>7</v>
      </c>
      <c r="F18" s="4" t="s">
        <v>8</v>
      </c>
      <c r="G18" s="8" t="s">
        <v>9</v>
      </c>
      <c r="H18" s="8" t="s">
        <v>10</v>
      </c>
      <c r="I18" s="8" t="s">
        <v>11</v>
      </c>
      <c r="J18" s="5" t="s">
        <v>12</v>
      </c>
      <c r="L18" s="13"/>
      <c r="M18" s="13" t="s">
        <v>4</v>
      </c>
      <c r="N18" s="2" t="s">
        <v>5</v>
      </c>
      <c r="O18" s="13" t="s">
        <v>6</v>
      </c>
      <c r="P18" s="13" t="s">
        <v>7</v>
      </c>
    </row>
    <row r="19" spans="1:29" x14ac:dyDescent="0.2">
      <c r="A19" s="2" t="s">
        <v>13</v>
      </c>
      <c r="B19" s="19">
        <v>0</v>
      </c>
      <c r="C19" s="20">
        <v>0</v>
      </c>
      <c r="D19" s="21">
        <v>0</v>
      </c>
      <c r="E19" s="37">
        <v>0</v>
      </c>
      <c r="F19" s="6">
        <v>2</v>
      </c>
      <c r="G19" s="7">
        <v>1</v>
      </c>
      <c r="H19" s="7">
        <v>-1</v>
      </c>
      <c r="I19" s="7">
        <v>0</v>
      </c>
      <c r="J19" s="38">
        <v>0</v>
      </c>
      <c r="L19" s="39"/>
      <c r="M19" s="19">
        <v>0</v>
      </c>
      <c r="N19" s="20">
        <v>0</v>
      </c>
      <c r="O19" s="21">
        <v>0</v>
      </c>
      <c r="P19" s="37">
        <v>0</v>
      </c>
      <c r="Q19" s="6">
        <v>2</v>
      </c>
      <c r="R19" s="7">
        <v>1</v>
      </c>
      <c r="S19" s="7">
        <v>-1</v>
      </c>
      <c r="T19" s="7">
        <v>0</v>
      </c>
      <c r="U19" s="38">
        <v>0</v>
      </c>
    </row>
    <row r="20" spans="1:29" x14ac:dyDescent="0.2">
      <c r="A20" s="2" t="s">
        <v>14</v>
      </c>
      <c r="B20" s="25">
        <v>0</v>
      </c>
      <c r="C20" s="26">
        <v>0</v>
      </c>
      <c r="D20" s="27">
        <v>0</v>
      </c>
      <c r="E20" s="40">
        <v>0</v>
      </c>
      <c r="F20" s="23">
        <v>3</v>
      </c>
      <c r="G20" s="13">
        <v>1</v>
      </c>
      <c r="H20" s="13">
        <v>0</v>
      </c>
      <c r="I20" s="13">
        <v>-1</v>
      </c>
      <c r="J20" s="24">
        <v>0</v>
      </c>
      <c r="L20" s="39"/>
      <c r="M20" s="25">
        <v>0</v>
      </c>
      <c r="N20" s="26">
        <v>0</v>
      </c>
      <c r="O20" s="27">
        <v>0</v>
      </c>
      <c r="P20" s="40">
        <v>0</v>
      </c>
      <c r="Q20" s="23">
        <v>3</v>
      </c>
      <c r="R20" s="13">
        <v>1</v>
      </c>
      <c r="S20" s="13">
        <v>0</v>
      </c>
      <c r="T20" s="13">
        <v>-1</v>
      </c>
      <c r="U20" s="24">
        <v>0</v>
      </c>
    </row>
    <row r="21" spans="1:29" x14ac:dyDescent="0.2">
      <c r="A21" s="2" t="s">
        <v>15</v>
      </c>
      <c r="B21" s="25">
        <v>-1</v>
      </c>
      <c r="C21" s="26">
        <v>1</v>
      </c>
      <c r="D21" s="27">
        <v>0</v>
      </c>
      <c r="E21" s="40">
        <v>0</v>
      </c>
      <c r="F21" s="23">
        <v>3</v>
      </c>
      <c r="G21" s="13">
        <v>1</v>
      </c>
      <c r="H21" s="13">
        <v>0</v>
      </c>
      <c r="I21" s="13">
        <v>0</v>
      </c>
      <c r="J21" s="24">
        <v>0</v>
      </c>
      <c r="L21" s="39"/>
      <c r="M21" s="25">
        <v>-1</v>
      </c>
      <c r="N21" s="26">
        <v>1</v>
      </c>
      <c r="O21" s="27">
        <v>0</v>
      </c>
      <c r="P21" s="40">
        <v>0</v>
      </c>
      <c r="Q21" s="23">
        <v>3</v>
      </c>
      <c r="R21" s="13">
        <v>1</v>
      </c>
      <c r="S21" s="13">
        <v>0</v>
      </c>
      <c r="T21" s="13">
        <v>0</v>
      </c>
      <c r="U21" s="24">
        <v>0</v>
      </c>
    </row>
    <row r="22" spans="1:29" x14ac:dyDescent="0.2">
      <c r="A22" s="2" t="s">
        <v>16</v>
      </c>
      <c r="B22" s="25">
        <v>0</v>
      </c>
      <c r="C22" s="26">
        <v>-1</v>
      </c>
      <c r="D22" s="27">
        <v>0</v>
      </c>
      <c r="E22" s="40">
        <v>1</v>
      </c>
      <c r="F22" s="23">
        <v>1</v>
      </c>
      <c r="G22" s="13">
        <v>0</v>
      </c>
      <c r="H22" s="13">
        <v>0</v>
      </c>
      <c r="I22" s="13">
        <v>0</v>
      </c>
      <c r="J22" s="24">
        <v>0</v>
      </c>
      <c r="L22" s="39"/>
      <c r="M22" s="25">
        <v>0</v>
      </c>
      <c r="N22" s="26">
        <v>-1</v>
      </c>
      <c r="O22" s="27">
        <v>0</v>
      </c>
      <c r="P22" s="40">
        <v>1</v>
      </c>
      <c r="Q22" s="23">
        <v>1</v>
      </c>
      <c r="R22" s="13">
        <v>0</v>
      </c>
      <c r="S22" s="13">
        <v>0</v>
      </c>
      <c r="T22" s="13">
        <v>0</v>
      </c>
      <c r="U22" s="24">
        <v>0</v>
      </c>
      <c r="AA22" s="2" t="s">
        <v>24</v>
      </c>
      <c r="AB22" s="2">
        <v>0.01</v>
      </c>
      <c r="AC22" s="2" t="s">
        <v>25</v>
      </c>
    </row>
    <row r="23" spans="1:29" ht="13.5" thickBot="1" x14ac:dyDescent="0.25">
      <c r="A23" s="2" t="s">
        <v>17</v>
      </c>
      <c r="B23" s="29">
        <v>0</v>
      </c>
      <c r="C23" s="30">
        <v>-2</v>
      </c>
      <c r="D23" s="31">
        <v>4</v>
      </c>
      <c r="E23" s="41">
        <v>4</v>
      </c>
      <c r="F23" s="33">
        <v>0</v>
      </c>
      <c r="G23" s="34">
        <v>-4</v>
      </c>
      <c r="H23" s="34">
        <v>0</v>
      </c>
      <c r="I23" s="34">
        <v>0</v>
      </c>
      <c r="J23" s="35">
        <v>1</v>
      </c>
      <c r="L23" s="42"/>
      <c r="M23" s="29">
        <v>0</v>
      </c>
      <c r="N23" s="30">
        <v>-2</v>
      </c>
      <c r="O23" s="31">
        <v>4</v>
      </c>
      <c r="P23" s="41">
        <v>4</v>
      </c>
      <c r="Q23" s="33">
        <v>0</v>
      </c>
      <c r="R23" s="34">
        <v>-4</v>
      </c>
      <c r="S23" s="34">
        <v>0</v>
      </c>
      <c r="T23" s="34">
        <v>0</v>
      </c>
      <c r="U23" s="35">
        <v>-1</v>
      </c>
      <c r="AA23" s="2" t="s">
        <v>26</v>
      </c>
      <c r="AB23" s="2">
        <v>0.01</v>
      </c>
      <c r="AC23" s="2" t="s">
        <v>25</v>
      </c>
    </row>
    <row r="24" spans="1:29" x14ac:dyDescent="0.2">
      <c r="L24" s="13"/>
      <c r="M24" s="13"/>
      <c r="N24" s="13"/>
      <c r="O24" s="13"/>
      <c r="AA24" s="2" t="s">
        <v>27</v>
      </c>
      <c r="AB24" s="2">
        <v>1584.8931924611099</v>
      </c>
      <c r="AC24" s="2" t="s">
        <v>25</v>
      </c>
    </row>
    <row r="25" spans="1:29" x14ac:dyDescent="0.2">
      <c r="L25" s="13"/>
      <c r="M25" s="13"/>
      <c r="N25" s="13"/>
      <c r="O25" s="13"/>
      <c r="AA25" s="2" t="s">
        <v>28</v>
      </c>
      <c r="AB25" s="2">
        <v>12589254117941.699</v>
      </c>
      <c r="AC25" s="2" t="s">
        <v>25</v>
      </c>
    </row>
    <row r="26" spans="1:29" ht="14.25" x14ac:dyDescent="0.2">
      <c r="F26" s="2" t="s">
        <v>29</v>
      </c>
      <c r="L26" s="13"/>
      <c r="M26" s="43"/>
      <c r="N26" s="13"/>
      <c r="O26" s="13"/>
      <c r="AA26" s="2" t="s">
        <v>30</v>
      </c>
      <c r="AB26" s="44">
        <v>9.9999999999998707E-25</v>
      </c>
      <c r="AC26" s="2" t="s">
        <v>25</v>
      </c>
    </row>
    <row r="27" spans="1:29" x14ac:dyDescent="0.2">
      <c r="F27" s="45">
        <f t="array" ref="F27:J31">-MINVERSE(F19:J23)</f>
        <v>0</v>
      </c>
      <c r="G27" s="46">
        <v>0</v>
      </c>
      <c r="H27" s="46">
        <v>0</v>
      </c>
      <c r="I27" s="46">
        <v>-1</v>
      </c>
      <c r="J27" s="47">
        <v>0</v>
      </c>
      <c r="K27" s="18"/>
      <c r="L27" s="13"/>
      <c r="M27" s="13"/>
      <c r="N27" s="13"/>
      <c r="O27" s="13"/>
    </row>
    <row r="28" spans="1:29" x14ac:dyDescent="0.2">
      <c r="F28" s="48">
        <v>0</v>
      </c>
      <c r="G28" s="18">
        <v>0</v>
      </c>
      <c r="H28" s="18">
        <v>-1</v>
      </c>
      <c r="I28" s="18">
        <v>3</v>
      </c>
      <c r="J28" s="49">
        <v>0</v>
      </c>
      <c r="K28" s="18"/>
      <c r="L28" s="13"/>
      <c r="M28" s="13"/>
      <c r="N28" s="13"/>
      <c r="O28" s="13"/>
    </row>
    <row r="29" spans="1:29" x14ac:dyDescent="0.2">
      <c r="F29" s="48">
        <v>1</v>
      </c>
      <c r="G29" s="18">
        <v>0</v>
      </c>
      <c r="H29" s="18">
        <v>-1</v>
      </c>
      <c r="I29" s="18">
        <v>1</v>
      </c>
      <c r="J29" s="49">
        <v>0</v>
      </c>
      <c r="K29" s="18"/>
    </row>
    <row r="30" spans="1:29" ht="13.5" thickBot="1" x14ac:dyDescent="0.25">
      <c r="F30" s="48">
        <v>0</v>
      </c>
      <c r="G30" s="18">
        <v>1</v>
      </c>
      <c r="H30" s="18">
        <v>-1</v>
      </c>
      <c r="I30" s="18">
        <v>0</v>
      </c>
      <c r="J30" s="49">
        <v>0</v>
      </c>
      <c r="K30" s="18"/>
      <c r="U30" s="13" t="s">
        <v>6</v>
      </c>
      <c r="V30" s="13" t="s">
        <v>7</v>
      </c>
    </row>
    <row r="31" spans="1:29" ht="13.5" thickBot="1" x14ac:dyDescent="0.25">
      <c r="F31" s="50">
        <v>0</v>
      </c>
      <c r="G31" s="51">
        <v>0</v>
      </c>
      <c r="H31" s="51">
        <v>-4</v>
      </c>
      <c r="I31" s="51">
        <v>12</v>
      </c>
      <c r="J31" s="52">
        <v>-1</v>
      </c>
      <c r="K31" s="18"/>
      <c r="R31" s="2">
        <v>2</v>
      </c>
      <c r="S31" s="54" t="s">
        <v>8</v>
      </c>
      <c r="U31" s="58">
        <v>0</v>
      </c>
      <c r="V31" s="59">
        <v>-1</v>
      </c>
    </row>
    <row r="32" spans="1:29" x14ac:dyDescent="0.2">
      <c r="F32" s="18"/>
      <c r="G32" s="18"/>
      <c r="H32" s="18"/>
      <c r="I32" s="18"/>
      <c r="J32" s="18"/>
      <c r="K32" s="18"/>
      <c r="R32" s="2">
        <v>3</v>
      </c>
      <c r="S32" s="67" t="s">
        <v>9</v>
      </c>
      <c r="U32" s="60">
        <v>0</v>
      </c>
      <c r="V32" s="61">
        <v>3</v>
      </c>
      <c r="X32" s="54" t="s">
        <v>6</v>
      </c>
    </row>
    <row r="33" spans="1:24" ht="13.5" thickBot="1" x14ac:dyDescent="0.25">
      <c r="F33" s="18"/>
      <c r="G33" s="18"/>
      <c r="H33" s="18"/>
      <c r="I33" s="18"/>
      <c r="J33" s="18"/>
      <c r="K33" s="18"/>
      <c r="R33" s="2">
        <v>4</v>
      </c>
      <c r="S33" s="67" t="s">
        <v>10</v>
      </c>
      <c r="T33" s="3" t="s">
        <v>83</v>
      </c>
      <c r="U33" s="60">
        <v>0</v>
      </c>
      <c r="V33" s="61">
        <v>1</v>
      </c>
      <c r="W33" s="3" t="s">
        <v>84</v>
      </c>
      <c r="X33" s="70" t="s">
        <v>7</v>
      </c>
    </row>
    <row r="34" spans="1:24" ht="15" x14ac:dyDescent="0.25">
      <c r="F34" s="53" t="s">
        <v>37</v>
      </c>
      <c r="R34" s="2">
        <v>5</v>
      </c>
      <c r="S34" s="67" t="s">
        <v>11</v>
      </c>
      <c r="U34" s="60">
        <v>0</v>
      </c>
      <c r="V34" s="61">
        <v>0</v>
      </c>
    </row>
    <row r="35" spans="1:24" ht="13.5" thickBot="1" x14ac:dyDescent="0.25">
      <c r="F35" s="39" t="s">
        <v>5</v>
      </c>
      <c r="G35" s="13" t="s">
        <v>4</v>
      </c>
      <c r="H35" s="13" t="s">
        <v>6</v>
      </c>
      <c r="I35" s="13" t="s">
        <v>7</v>
      </c>
      <c r="P35" s="53"/>
      <c r="Q35" s="53"/>
      <c r="R35" s="2">
        <v>6</v>
      </c>
      <c r="S35" s="70" t="s">
        <v>12</v>
      </c>
      <c r="U35" s="62">
        <v>-4</v>
      </c>
      <c r="V35" s="63">
        <v>8</v>
      </c>
    </row>
    <row r="36" spans="1:24" x14ac:dyDescent="0.2">
      <c r="D36" s="2">
        <v>4</v>
      </c>
      <c r="E36" s="54" t="s">
        <v>8</v>
      </c>
      <c r="F36" s="55">
        <f t="array" ref="F36:G40">MMULT(F27:J31,B19:C23)</f>
        <v>0</v>
      </c>
      <c r="G36" s="55">
        <v>1</v>
      </c>
      <c r="H36" s="58">
        <f t="array" ref="H36:I40">MMULT(F27:J31,D19:E23)</f>
        <v>0</v>
      </c>
      <c r="I36" s="59">
        <v>-1</v>
      </c>
      <c r="J36" s="64" t="s">
        <v>38</v>
      </c>
      <c r="M36" s="65">
        <v>0</v>
      </c>
      <c r="N36" s="66">
        <v>1</v>
      </c>
      <c r="O36" s="58">
        <v>0</v>
      </c>
      <c r="P36" s="59">
        <v>-1</v>
      </c>
      <c r="Q36" s="64" t="s">
        <v>38</v>
      </c>
      <c r="V36" s="82" t="s">
        <v>38</v>
      </c>
    </row>
    <row r="37" spans="1:24" x14ac:dyDescent="0.2">
      <c r="D37" s="2">
        <v>5</v>
      </c>
      <c r="E37" s="67" t="s">
        <v>9</v>
      </c>
      <c r="F37" s="56">
        <v>1</v>
      </c>
      <c r="G37" s="56">
        <v>-4</v>
      </c>
      <c r="H37" s="60">
        <v>0</v>
      </c>
      <c r="I37" s="61">
        <v>3</v>
      </c>
      <c r="M37" s="68">
        <v>1</v>
      </c>
      <c r="N37" s="69">
        <v>-4</v>
      </c>
      <c r="O37" s="60">
        <v>0</v>
      </c>
      <c r="P37" s="61">
        <v>3</v>
      </c>
      <c r="Q37" s="53"/>
    </row>
    <row r="38" spans="1:24" x14ac:dyDescent="0.2">
      <c r="D38" s="2">
        <v>6</v>
      </c>
      <c r="E38" s="67" t="s">
        <v>10</v>
      </c>
      <c r="F38" s="56">
        <v>1</v>
      </c>
      <c r="G38" s="56">
        <v>-2</v>
      </c>
      <c r="H38" s="60">
        <v>0</v>
      </c>
      <c r="I38" s="61">
        <v>1</v>
      </c>
      <c r="M38" s="68">
        <v>1</v>
      </c>
      <c r="N38" s="69">
        <v>-2</v>
      </c>
      <c r="O38" s="60">
        <v>0</v>
      </c>
      <c r="P38" s="61">
        <v>1</v>
      </c>
      <c r="Q38" s="53"/>
      <c r="R38" s="53"/>
    </row>
    <row r="39" spans="1:24" x14ac:dyDescent="0.2">
      <c r="D39" s="2">
        <v>8</v>
      </c>
      <c r="E39" s="67" t="s">
        <v>11</v>
      </c>
      <c r="F39" s="56">
        <v>1</v>
      </c>
      <c r="G39" s="56">
        <v>-1</v>
      </c>
      <c r="H39" s="60">
        <v>0</v>
      </c>
      <c r="I39" s="61">
        <v>0</v>
      </c>
      <c r="M39" s="68">
        <v>1</v>
      </c>
      <c r="N39" s="69">
        <v>-1</v>
      </c>
      <c r="O39" s="60">
        <v>0</v>
      </c>
      <c r="P39" s="61">
        <v>0</v>
      </c>
      <c r="Q39" s="53"/>
      <c r="R39" s="53"/>
    </row>
    <row r="40" spans="1:24" ht="13.5" thickBot="1" x14ac:dyDescent="0.25">
      <c r="D40" s="2">
        <v>7</v>
      </c>
      <c r="E40" s="70" t="s">
        <v>12</v>
      </c>
      <c r="F40" s="57">
        <v>4</v>
      </c>
      <c r="G40" s="57">
        <v>-14</v>
      </c>
      <c r="H40" s="62">
        <v>-4</v>
      </c>
      <c r="I40" s="63">
        <v>8</v>
      </c>
      <c r="M40" s="71">
        <v>-4</v>
      </c>
      <c r="N40" s="72">
        <v>14</v>
      </c>
      <c r="O40" s="62">
        <v>4</v>
      </c>
      <c r="P40" s="63">
        <v>-8</v>
      </c>
    </row>
    <row r="41" spans="1:24" x14ac:dyDescent="0.2">
      <c r="E41" s="13"/>
      <c r="F41" s="73" t="s">
        <v>39</v>
      </c>
      <c r="M41" s="73" t="s">
        <v>39</v>
      </c>
      <c r="O41" s="53"/>
    </row>
    <row r="43" spans="1:24" x14ac:dyDescent="0.2">
      <c r="H43" s="18"/>
      <c r="I43" s="18"/>
      <c r="J43" s="18"/>
      <c r="K43" s="18"/>
      <c r="N43" s="53"/>
      <c r="O43" s="53"/>
      <c r="P43" s="53"/>
    </row>
    <row r="44" spans="1:24" x14ac:dyDescent="0.2">
      <c r="A44" s="74" t="s">
        <v>40</v>
      </c>
      <c r="N44" s="53"/>
      <c r="O44" s="53"/>
      <c r="P44" s="53"/>
    </row>
    <row r="45" spans="1:24" ht="13.5" thickBot="1" x14ac:dyDescent="0.25">
      <c r="N45" s="53"/>
      <c r="O45" s="53"/>
      <c r="P45" s="53"/>
      <c r="S45" s="2" t="s">
        <v>41</v>
      </c>
      <c r="T45" s="2">
        <v>22.3</v>
      </c>
      <c r="U45" s="2" t="s">
        <v>25</v>
      </c>
      <c r="V45" s="2" t="s">
        <v>42</v>
      </c>
    </row>
    <row r="46" spans="1:24" ht="13.5" thickBot="1" x14ac:dyDescent="0.25">
      <c r="C46" s="75" t="s">
        <v>43</v>
      </c>
      <c r="E46" s="6" t="s">
        <v>6</v>
      </c>
      <c r="F46" s="7" t="s">
        <v>7</v>
      </c>
      <c r="G46" s="4" t="s">
        <v>8</v>
      </c>
      <c r="H46" s="8" t="s">
        <v>9</v>
      </c>
      <c r="I46" s="8" t="s">
        <v>10</v>
      </c>
      <c r="J46" s="8" t="s">
        <v>11</v>
      </c>
      <c r="K46" s="5" t="s">
        <v>12</v>
      </c>
      <c r="L46" s="39"/>
      <c r="N46" s="53"/>
      <c r="O46" s="53"/>
      <c r="P46" s="53"/>
      <c r="S46" s="2" t="s">
        <v>44</v>
      </c>
      <c r="T46" s="2">
        <v>28.399999999999899</v>
      </c>
      <c r="U46" s="2" t="s">
        <v>25</v>
      </c>
      <c r="V46" s="2" t="s">
        <v>45</v>
      </c>
    </row>
    <row r="47" spans="1:24" x14ac:dyDescent="0.2">
      <c r="D47" s="53" t="s">
        <v>6</v>
      </c>
      <c r="E47" s="6">
        <v>1</v>
      </c>
      <c r="F47" s="7">
        <v>0</v>
      </c>
      <c r="G47" s="6">
        <f t="array" ref="G47:K48">TRANSPOSE(H36:I40)</f>
        <v>0</v>
      </c>
      <c r="H47" s="7">
        <v>0</v>
      </c>
      <c r="I47" s="7">
        <v>0</v>
      </c>
      <c r="J47" s="7">
        <v>0</v>
      </c>
      <c r="K47" s="38">
        <v>-4</v>
      </c>
      <c r="L47" s="13"/>
      <c r="N47" s="53"/>
      <c r="O47" s="53"/>
      <c r="P47" s="53"/>
      <c r="S47" s="2" t="s">
        <v>46</v>
      </c>
      <c r="T47" s="2">
        <v>41.5</v>
      </c>
      <c r="U47" s="2" t="s">
        <v>25</v>
      </c>
      <c r="V47" s="2" t="s">
        <v>47</v>
      </c>
    </row>
    <row r="48" spans="1:24" ht="13.5" thickBot="1" x14ac:dyDescent="0.25">
      <c r="D48" s="53" t="s">
        <v>7</v>
      </c>
      <c r="E48" s="33">
        <v>0</v>
      </c>
      <c r="F48" s="34">
        <v>1</v>
      </c>
      <c r="G48" s="33">
        <v>-1</v>
      </c>
      <c r="H48" s="34">
        <v>3</v>
      </c>
      <c r="I48" s="34">
        <v>1</v>
      </c>
      <c r="J48" s="34">
        <v>0</v>
      </c>
      <c r="K48" s="35">
        <v>8</v>
      </c>
      <c r="L48" s="13"/>
      <c r="N48" s="53"/>
      <c r="O48" s="53"/>
      <c r="P48" s="53"/>
      <c r="S48" s="2" t="s">
        <v>48</v>
      </c>
      <c r="T48" s="2">
        <v>14</v>
      </c>
      <c r="U48" s="2" t="s">
        <v>25</v>
      </c>
      <c r="V48" s="2" t="s">
        <v>5</v>
      </c>
    </row>
    <row r="49" spans="1:24" x14ac:dyDescent="0.2">
      <c r="L49" s="13"/>
      <c r="N49" s="53"/>
      <c r="O49" s="53"/>
      <c r="P49" s="53"/>
      <c r="S49" s="2" t="s">
        <v>49</v>
      </c>
      <c r="T49" s="2">
        <v>34</v>
      </c>
      <c r="U49" s="2" t="s">
        <v>25</v>
      </c>
      <c r="V49" s="2" t="s">
        <v>50</v>
      </c>
    </row>
    <row r="52" spans="1:24" x14ac:dyDescent="0.2">
      <c r="A52" s="76" t="s">
        <v>51</v>
      </c>
      <c r="B52" s="76">
        <v>0</v>
      </c>
    </row>
    <row r="54" spans="1:24" x14ac:dyDescent="0.2">
      <c r="E54" s="2">
        <f>LN(10)</f>
        <v>2.3025850929940459</v>
      </c>
    </row>
    <row r="55" spans="1:24" x14ac:dyDescent="0.2">
      <c r="B55" s="2" t="s">
        <v>31</v>
      </c>
      <c r="C55" s="2" t="s">
        <v>32</v>
      </c>
      <c r="D55" s="2" t="s">
        <v>33</v>
      </c>
      <c r="E55" s="2" t="s">
        <v>34</v>
      </c>
      <c r="G55" s="2" t="s">
        <v>35</v>
      </c>
      <c r="H55" s="2" t="s">
        <v>36</v>
      </c>
      <c r="J55" s="2" t="s">
        <v>52</v>
      </c>
      <c r="L55" s="2" t="s">
        <v>53</v>
      </c>
      <c r="X55" s="53" t="s">
        <v>54</v>
      </c>
    </row>
    <row r="56" spans="1:24" x14ac:dyDescent="0.2">
      <c r="B56" s="2">
        <v>1E-3</v>
      </c>
      <c r="C56" s="2">
        <f>LN(B56)</f>
        <v>-6.9077552789821368</v>
      </c>
      <c r="D56" s="2">
        <v>-14</v>
      </c>
      <c r="E56" s="2">
        <f>$E$54*D56</f>
        <v>-32.236191301916641</v>
      </c>
      <c r="G56" s="2">
        <f t="array" ref="G56:G60">MMULT(H36:I40,C56:C57)+E56:E60</f>
        <v>-25.328436022934504</v>
      </c>
      <c r="H56" s="2">
        <f>EXP(G56)</f>
        <v>9.9999999999999849E-12</v>
      </c>
      <c r="J56" s="44">
        <v>1.19054390031937E-8</v>
      </c>
      <c r="L56" s="2">
        <v>-21.418356293718301</v>
      </c>
      <c r="M56" s="2">
        <v>-2.4909284770798101</v>
      </c>
      <c r="N56" s="2">
        <v>-9.9637139083192405</v>
      </c>
      <c r="O56" s="2">
        <v>-2.4909284770798101</v>
      </c>
      <c r="P56" s="2">
        <v>-2.4909284770798101</v>
      </c>
      <c r="R56" s="2">
        <f t="array" ref="R56:V60">MINVERSE(L56:P60)</f>
        <v>0.59828189579699609</v>
      </c>
      <c r="S56" s="2">
        <v>-4.4635344911444545E-2</v>
      </c>
      <c r="T56" s="2">
        <v>-0.17854137964578698</v>
      </c>
      <c r="U56" s="2">
        <v>-4.4635344911444497E-2</v>
      </c>
      <c r="V56" s="2">
        <v>-4.4635344911444448E-2</v>
      </c>
      <c r="X56" s="2">
        <f t="array" ref="X56:X60">MMULT(R56:V60,J56:J60)</f>
        <v>-0.32294239051283941</v>
      </c>
    </row>
    <row r="57" spans="1:24" x14ac:dyDescent="0.2">
      <c r="B57" s="2">
        <v>1E-3</v>
      </c>
      <c r="C57" s="2">
        <f t="shared" ref="C57" si="0">LN(B57)</f>
        <v>-6.9077552789821368</v>
      </c>
      <c r="D57" s="2">
        <v>0.5</v>
      </c>
      <c r="E57" s="2">
        <f>$E$54*D57</f>
        <v>1.151292546497023</v>
      </c>
      <c r="G57" s="2">
        <v>-19.571973290449389</v>
      </c>
      <c r="H57" s="2">
        <f t="shared" ref="H57:H60" si="1">EXP(G57)</f>
        <v>3.1622776601683779E-9</v>
      </c>
      <c r="J57" s="44">
        <v>5.1366349815053896E-6</v>
      </c>
      <c r="L57" s="2">
        <v>-4.6051004675894198</v>
      </c>
      <c r="M57" s="2">
        <v>0.48832217026784103</v>
      </c>
      <c r="N57" s="2">
        <v>-2.0467113189286299</v>
      </c>
      <c r="O57" s="2">
        <v>-0.51167782973215803</v>
      </c>
      <c r="P57" s="2">
        <v>-0.51167782973215803</v>
      </c>
      <c r="R57" s="2">
        <v>-8.2519530212961364E-2</v>
      </c>
      <c r="S57" s="2">
        <v>0.99083116330967269</v>
      </c>
      <c r="T57" s="2">
        <v>-3.6675346761317763E-2</v>
      </c>
      <c r="U57" s="2">
        <v>-9.168836690328459E-3</v>
      </c>
      <c r="V57" s="2">
        <v>-9.1688366903284087E-3</v>
      </c>
      <c r="X57" s="2">
        <v>-6.6332563992854754E-2</v>
      </c>
    </row>
    <row r="58" spans="1:24" x14ac:dyDescent="0.2">
      <c r="D58" s="2">
        <v>-5.1999999999999993</v>
      </c>
      <c r="E58" s="2">
        <f>$E$54*D58</f>
        <v>-11.973442483569038</v>
      </c>
      <c r="G58" s="2">
        <v>-18.881197762551174</v>
      </c>
      <c r="H58" s="2">
        <f t="shared" si="1"/>
        <v>6.3095734448019338E-9</v>
      </c>
      <c r="J58" s="2">
        <v>1.01037339754496</v>
      </c>
      <c r="L58" s="2">
        <v>-41.365271932642599</v>
      </c>
      <c r="M58" s="2">
        <v>-4.5961413258491799</v>
      </c>
      <c r="N58" s="2">
        <v>-17.384565303396698</v>
      </c>
      <c r="O58" s="2">
        <v>-4.5961413258491799</v>
      </c>
      <c r="P58" s="2">
        <v>-4.5961413258491799</v>
      </c>
      <c r="R58" s="2">
        <v>-0.7412309093008419</v>
      </c>
      <c r="S58" s="2">
        <v>-8.2358989922311387E-2</v>
      </c>
      <c r="T58" s="2">
        <v>0.6705640403107197</v>
      </c>
      <c r="U58" s="2">
        <v>-8.2358989922311304E-2</v>
      </c>
      <c r="V58" s="2">
        <v>-8.2358989922311346E-2</v>
      </c>
      <c r="X58" s="2">
        <v>0.41449562133368417</v>
      </c>
    </row>
    <row r="59" spans="1:24" x14ac:dyDescent="0.2">
      <c r="A59" s="53"/>
      <c r="D59" s="2">
        <v>-13.100000000000001</v>
      </c>
      <c r="E59" s="2">
        <f>$E$54*D59</f>
        <v>-30.163864718222005</v>
      </c>
      <c r="G59" s="2">
        <v>-30.163864718222005</v>
      </c>
      <c r="H59" s="2">
        <f t="shared" si="1"/>
        <v>7.9432823472427653E-14</v>
      </c>
      <c r="J59" s="2">
        <v>1.0954562071346501</v>
      </c>
      <c r="L59" s="2">
        <v>-30.521865075098201</v>
      </c>
      <c r="M59" s="2">
        <v>-3.3913183416775801</v>
      </c>
      <c r="N59" s="2">
        <v>-13.565273366710301</v>
      </c>
      <c r="O59" s="2">
        <v>-2.3913183416775801</v>
      </c>
      <c r="P59" s="2">
        <v>-3.3913183416775801</v>
      </c>
      <c r="R59" s="2">
        <v>-0.54692617130650667</v>
      </c>
      <c r="S59" s="2">
        <v>-6.0769574589607557E-2</v>
      </c>
      <c r="T59" s="2">
        <v>-0.24307829835846187</v>
      </c>
      <c r="U59" s="2">
        <v>0.93923042541039259</v>
      </c>
      <c r="V59" s="2">
        <v>-6.0769574589607363E-2</v>
      </c>
      <c r="X59" s="2">
        <v>0.65578059914189946</v>
      </c>
    </row>
    <row r="60" spans="1:24" x14ac:dyDescent="0.2">
      <c r="A60" s="53"/>
      <c r="D60" s="2">
        <v>-32</v>
      </c>
      <c r="E60" s="2">
        <f>$E$54*D60</f>
        <v>-73.682722975809469</v>
      </c>
      <c r="G60" s="2">
        <v>-101.31374409173802</v>
      </c>
      <c r="H60" s="2">
        <f t="shared" si="1"/>
        <v>9.9999999999999398E-45</v>
      </c>
      <c r="J60" s="2">
        <v>2.09817225676339</v>
      </c>
      <c r="L60" s="2">
        <v>-108.90243762959101</v>
      </c>
      <c r="M60" s="2">
        <v>-12.1002708477323</v>
      </c>
      <c r="N60" s="2">
        <v>-48.4010833909295</v>
      </c>
      <c r="O60" s="2">
        <v>-12.1002708477323</v>
      </c>
      <c r="P60" s="2">
        <v>-11.1002708477323</v>
      </c>
      <c r="R60" s="2">
        <v>-1.9514401597723303</v>
      </c>
      <c r="S60" s="2">
        <v>-0.21682668441917369</v>
      </c>
      <c r="T60" s="2">
        <v>-0.86730673767644006</v>
      </c>
      <c r="U60" s="2">
        <v>-0.21682668441917347</v>
      </c>
      <c r="V60" s="2">
        <v>0.78317331558082626</v>
      </c>
      <c r="X60" s="2">
        <v>0.52940359341761534</v>
      </c>
    </row>
    <row r="61" spans="1:24" x14ac:dyDescent="0.2">
      <c r="A61" s="53"/>
    </row>
    <row r="62" spans="1:24" x14ac:dyDescent="0.2">
      <c r="A62" s="53"/>
    </row>
    <row r="63" spans="1:24" x14ac:dyDescent="0.2">
      <c r="A63" s="53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1"/>
  <sheetViews>
    <sheetView workbookViewId="0">
      <selection activeCell="L18" sqref="L18"/>
    </sheetView>
  </sheetViews>
  <sheetFormatPr defaultRowHeight="15" x14ac:dyDescent="0.25"/>
  <cols>
    <col min="4" max="4" width="12.7109375" customWidth="1"/>
    <col min="7" max="8" width="12" bestFit="1" customWidth="1"/>
    <col min="9" max="9" width="11.7109375" customWidth="1"/>
    <col min="12" max="12" width="14.140625" bestFit="1" customWidth="1"/>
    <col min="18" max="19" width="12" bestFit="1" customWidth="1"/>
    <col min="27" max="27" width="12.42578125" bestFit="1" customWidth="1"/>
    <col min="30" max="30" width="12.42578125" bestFit="1" customWidth="1"/>
  </cols>
  <sheetData>
    <row r="1" spans="1:27" x14ac:dyDescent="0.25">
      <c r="A1" s="80" t="s">
        <v>81</v>
      </c>
      <c r="B1" s="80"/>
      <c r="C1" s="80"/>
      <c r="D1" s="80"/>
      <c r="E1" s="80"/>
      <c r="F1" s="80"/>
      <c r="G1" s="80"/>
      <c r="H1" s="80"/>
      <c r="I1" s="80"/>
      <c r="J1" s="80"/>
      <c r="K1" s="80"/>
      <c r="M1" s="81" t="s">
        <v>82</v>
      </c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3" spans="1:27" x14ac:dyDescent="0.25">
      <c r="E3" t="s">
        <v>79</v>
      </c>
      <c r="F3" t="s">
        <v>80</v>
      </c>
      <c r="Q3" t="s">
        <v>79</v>
      </c>
      <c r="R3" t="s">
        <v>80</v>
      </c>
    </row>
    <row r="4" spans="1:27" x14ac:dyDescent="0.25">
      <c r="A4" t="s">
        <v>13</v>
      </c>
      <c r="B4" t="s">
        <v>76</v>
      </c>
      <c r="E4">
        <v>-14</v>
      </c>
      <c r="M4" t="s">
        <v>13</v>
      </c>
      <c r="N4" t="s">
        <v>77</v>
      </c>
      <c r="Q4">
        <v>1.8487</v>
      </c>
      <c r="R4">
        <v>1.8487</v>
      </c>
    </row>
    <row r="5" spans="1:27" x14ac:dyDescent="0.25">
      <c r="A5" t="s">
        <v>14</v>
      </c>
      <c r="B5" t="s">
        <v>77</v>
      </c>
      <c r="E5">
        <v>1.8487</v>
      </c>
      <c r="M5" t="s">
        <v>14</v>
      </c>
      <c r="N5" t="s">
        <v>78</v>
      </c>
      <c r="Q5">
        <v>-6.3446999999999898</v>
      </c>
      <c r="R5">
        <v>-14</v>
      </c>
    </row>
    <row r="6" spans="1:27" x14ac:dyDescent="0.25">
      <c r="A6" t="s">
        <v>15</v>
      </c>
      <c r="B6" t="s">
        <v>78</v>
      </c>
      <c r="E6">
        <v>-6.3446999999999996</v>
      </c>
      <c r="M6" t="s">
        <v>15</v>
      </c>
      <c r="N6" t="s">
        <v>76</v>
      </c>
      <c r="Q6">
        <v>-14</v>
      </c>
      <c r="R6">
        <v>8.1934000000000005</v>
      </c>
    </row>
    <row r="8" spans="1:27" x14ac:dyDescent="0.25">
      <c r="U8" t="s">
        <v>135</v>
      </c>
      <c r="V8" t="s">
        <v>136</v>
      </c>
      <c r="W8" t="s">
        <v>137</v>
      </c>
    </row>
    <row r="9" spans="1:27" x14ac:dyDescent="0.25">
      <c r="U9" s="77">
        <v>4.0999999998437502E-2</v>
      </c>
      <c r="V9">
        <v>0.32829999999926601</v>
      </c>
      <c r="W9">
        <v>0.50893000000098398</v>
      </c>
    </row>
    <row r="10" spans="1:27" x14ac:dyDescent="0.25">
      <c r="P10" t="s">
        <v>86</v>
      </c>
      <c r="Q10" t="s">
        <v>87</v>
      </c>
    </row>
    <row r="11" spans="1:27" x14ac:dyDescent="0.25">
      <c r="A11" t="s">
        <v>55</v>
      </c>
      <c r="B11" s="79" t="s">
        <v>56</v>
      </c>
      <c r="C11" t="s">
        <v>62</v>
      </c>
      <c r="D11" s="78">
        <v>0.95045051183342</v>
      </c>
      <c r="F11" t="s">
        <v>69</v>
      </c>
      <c r="G11" s="77">
        <v>9.9999999999999995E-7</v>
      </c>
      <c r="I11" s="77">
        <f>G11*D11</f>
        <v>9.5045051183341995E-7</v>
      </c>
      <c r="J11">
        <f>LOG10(I11)</f>
        <v>-6.0220704911048939</v>
      </c>
      <c r="N11" s="79" t="s">
        <v>58</v>
      </c>
      <c r="O11">
        <v>0</v>
      </c>
      <c r="P11">
        <v>0.80804242199909304</v>
      </c>
      <c r="Q11">
        <v>1E-3</v>
      </c>
      <c r="R11">
        <v>0.80804240334380495</v>
      </c>
    </row>
    <row r="12" spans="1:27" x14ac:dyDescent="0.25">
      <c r="B12" s="79" t="s">
        <v>5</v>
      </c>
      <c r="C12" t="s">
        <v>63</v>
      </c>
      <c r="D12" s="78">
        <v>0.99992810790304398</v>
      </c>
      <c r="F12" t="s">
        <v>70</v>
      </c>
      <c r="G12">
        <v>1</v>
      </c>
      <c r="I12" s="77">
        <f t="shared" ref="I12:I14" si="0">G12*D12</f>
        <v>0.99992810790304398</v>
      </c>
      <c r="J12">
        <f t="shared" ref="J12:J15" si="1">LOG10(I12)</f>
        <v>-3.1223463374028298E-5</v>
      </c>
      <c r="N12" s="79" t="s">
        <v>56</v>
      </c>
      <c r="O12">
        <v>1</v>
      </c>
      <c r="P12">
        <v>0.95045055856471605</v>
      </c>
      <c r="Q12" s="77">
        <v>9.999999999999989E-7</v>
      </c>
      <c r="R12">
        <v>0.95045055358085795</v>
      </c>
      <c r="U12" s="77"/>
    </row>
    <row r="13" spans="1:27" x14ac:dyDescent="0.25">
      <c r="B13" s="83" t="s">
        <v>61</v>
      </c>
      <c r="C13" t="s">
        <v>64</v>
      </c>
      <c r="D13" s="78">
        <v>0.94590600649763101</v>
      </c>
      <c r="F13" t="s">
        <v>71</v>
      </c>
      <c r="G13" s="77">
        <v>0</v>
      </c>
      <c r="I13" s="77">
        <f t="shared" si="0"/>
        <v>0</v>
      </c>
      <c r="J13" t="e">
        <f t="shared" si="1"/>
        <v>#NUM!</v>
      </c>
      <c r="N13" t="s">
        <v>57</v>
      </c>
      <c r="O13">
        <v>2</v>
      </c>
      <c r="P13">
        <v>0.94672021526622996</v>
      </c>
      <c r="Q13">
        <v>1E-3</v>
      </c>
      <c r="R13">
        <v>0.94672020949920799</v>
      </c>
    </row>
    <row r="14" spans="1:27" x14ac:dyDescent="0.25">
      <c r="B14" s="79" t="s">
        <v>57</v>
      </c>
      <c r="C14" t="s">
        <v>65</v>
      </c>
      <c r="D14" s="78">
        <v>0.94672016119156999</v>
      </c>
      <c r="F14" t="s">
        <v>72</v>
      </c>
      <c r="G14" s="77">
        <v>1E-3</v>
      </c>
      <c r="I14" s="77">
        <f t="shared" si="0"/>
        <v>9.4672016119157004E-4</v>
      </c>
      <c r="J14">
        <f t="shared" si="1"/>
        <v>-3.0237783741227044</v>
      </c>
      <c r="N14" t="s">
        <v>61</v>
      </c>
      <c r="O14">
        <v>3</v>
      </c>
      <c r="P14">
        <v>0.94590606224540696</v>
      </c>
      <c r="Q14">
        <v>0</v>
      </c>
      <c r="R14">
        <v>0.94590605629994795</v>
      </c>
    </row>
    <row r="15" spans="1:27" x14ac:dyDescent="0.25">
      <c r="B15" s="79" t="s">
        <v>58</v>
      </c>
      <c r="C15" t="s">
        <v>66</v>
      </c>
      <c r="D15" s="78">
        <v>0.80804224707724004</v>
      </c>
      <c r="F15" t="s">
        <v>73</v>
      </c>
      <c r="G15" s="77">
        <v>1E-3</v>
      </c>
      <c r="I15" s="77">
        <f t="shared" ref="I15" si="2">G15*D15</f>
        <v>8.080422470772401E-4</v>
      </c>
      <c r="J15">
        <f t="shared" si="1"/>
        <v>-3.0925659323035379</v>
      </c>
      <c r="N15" t="s">
        <v>59</v>
      </c>
      <c r="O15">
        <v>4</v>
      </c>
      <c r="P15">
        <v>1.0002360900398799</v>
      </c>
      <c r="Q15">
        <v>0</v>
      </c>
      <c r="R15">
        <v>1.00023609009614</v>
      </c>
      <c r="U15" s="77"/>
    </row>
    <row r="16" spans="1:27" x14ac:dyDescent="0.25">
      <c r="B16" t="s">
        <v>59</v>
      </c>
      <c r="C16" t="s">
        <v>67</v>
      </c>
      <c r="D16" s="78">
        <v>1.0002360905674501</v>
      </c>
      <c r="F16" t="s">
        <v>74</v>
      </c>
      <c r="G16" s="77">
        <v>0</v>
      </c>
      <c r="N16" s="79" t="s">
        <v>60</v>
      </c>
      <c r="O16">
        <v>5</v>
      </c>
      <c r="P16">
        <v>0</v>
      </c>
      <c r="Q16">
        <v>0</v>
      </c>
      <c r="R16">
        <v>0</v>
      </c>
      <c r="W16" t="s">
        <v>188</v>
      </c>
      <c r="AA16" t="s">
        <v>189</v>
      </c>
    </row>
    <row r="17" spans="1:29" x14ac:dyDescent="0.25">
      <c r="B17" t="s">
        <v>60</v>
      </c>
      <c r="C17" t="s">
        <v>68</v>
      </c>
      <c r="D17" s="78">
        <v>1</v>
      </c>
      <c r="F17" t="s">
        <v>75</v>
      </c>
      <c r="G17" s="77">
        <v>0</v>
      </c>
      <c r="N17" s="79" t="s">
        <v>5</v>
      </c>
      <c r="O17">
        <v>6</v>
      </c>
      <c r="P17">
        <v>0</v>
      </c>
      <c r="Q17">
        <v>0</v>
      </c>
      <c r="R17" s="83">
        <v>0</v>
      </c>
      <c r="U17" s="77"/>
      <c r="W17" s="183">
        <v>-1</v>
      </c>
      <c r="X17" s="184">
        <v>1</v>
      </c>
      <c r="Z17" s="77"/>
      <c r="AA17" s="77">
        <f>W18*LOG10(Q11)+X18*LOG10(Q12)</f>
        <v>6.0000000000000009</v>
      </c>
      <c r="AB17" s="77">
        <f>AA17+R5</f>
        <v>-7.9999999999999991</v>
      </c>
      <c r="AC17" s="77">
        <f>10^(AB17)</f>
        <v>1.0000000000000018E-8</v>
      </c>
    </row>
    <row r="18" spans="1:29" x14ac:dyDescent="0.25">
      <c r="W18" s="185">
        <v>0</v>
      </c>
      <c r="X18" s="186">
        <v>-1</v>
      </c>
      <c r="Z18" s="77"/>
      <c r="AA18" s="77">
        <f>W19*LOG10(Q11)+X19*LOG10(Q12)</f>
        <v>-9.0000000000000018</v>
      </c>
      <c r="AB18" s="77">
        <f>AA18+R6</f>
        <v>-0.80660000000000132</v>
      </c>
      <c r="AC18" s="77">
        <f>10^(AB18)</f>
        <v>0.15609895654550573</v>
      </c>
    </row>
    <row r="19" spans="1:29" x14ac:dyDescent="0.25">
      <c r="W19" s="187">
        <v>-1</v>
      </c>
      <c r="X19" s="188">
        <v>2</v>
      </c>
    </row>
    <row r="21" spans="1:29" s="83" customFormat="1" x14ac:dyDescent="0.25">
      <c r="A21" s="86" t="s">
        <v>85</v>
      </c>
      <c r="B21" s="86">
        <v>1</v>
      </c>
      <c r="N21" s="86" t="s">
        <v>85</v>
      </c>
      <c r="O21" s="86">
        <v>1</v>
      </c>
      <c r="P21" s="84" t="s">
        <v>97</v>
      </c>
      <c r="S21" s="85"/>
    </row>
    <row r="22" spans="1:29" s="83" customFormat="1" x14ac:dyDescent="0.25">
      <c r="P22" s="84"/>
    </row>
    <row r="23" spans="1:29" s="83" customFormat="1" x14ac:dyDescent="0.25">
      <c r="P23" s="83" t="s">
        <v>86</v>
      </c>
      <c r="Q23" s="137" t="s">
        <v>88</v>
      </c>
      <c r="S23" s="85"/>
    </row>
    <row r="24" spans="1:29" s="83" customFormat="1" x14ac:dyDescent="0.25">
      <c r="B24" t="s">
        <v>59</v>
      </c>
      <c r="C24" t="s">
        <v>67</v>
      </c>
      <c r="D24" s="78">
        <v>1.0002360905674501</v>
      </c>
      <c r="E24"/>
      <c r="F24" t="s">
        <v>74</v>
      </c>
      <c r="G24" s="180">
        <v>2.2115664858298801E-3</v>
      </c>
      <c r="N24" t="s">
        <v>57</v>
      </c>
      <c r="O24" s="83">
        <v>2</v>
      </c>
      <c r="P24">
        <v>0.94672021526622996</v>
      </c>
      <c r="Q24">
        <v>0.1</v>
      </c>
      <c r="S24" s="85"/>
      <c r="AB24" s="85"/>
    </row>
    <row r="25" spans="1:29" s="83" customFormat="1" x14ac:dyDescent="0.25">
      <c r="B25" s="83" t="s">
        <v>61</v>
      </c>
      <c r="C25" t="s">
        <v>64</v>
      </c>
      <c r="D25" s="78">
        <v>0.94590600649763101</v>
      </c>
      <c r="E25"/>
      <c r="F25" t="s">
        <v>71</v>
      </c>
      <c r="G25" s="181">
        <v>1.00461579027839E-8</v>
      </c>
      <c r="N25" t="s">
        <v>61</v>
      </c>
      <c r="O25" s="83">
        <v>3</v>
      </c>
      <c r="P25" s="85">
        <v>1.05213258174113E-8</v>
      </c>
      <c r="Q25" s="182">
        <v>1E-8</v>
      </c>
      <c r="S25" s="85"/>
      <c r="V25" s="85"/>
    </row>
    <row r="26" spans="1:29" s="83" customFormat="1" x14ac:dyDescent="0.25">
      <c r="N26" t="s">
        <v>59</v>
      </c>
      <c r="O26" s="83">
        <v>4</v>
      </c>
      <c r="P26">
        <v>1.0002360900398799</v>
      </c>
      <c r="Q26" s="180">
        <v>0.15609895654550601</v>
      </c>
      <c r="S26" s="85"/>
      <c r="Y26" s="85"/>
      <c r="AB26" s="85"/>
    </row>
    <row r="27" spans="1:29" s="83" customFormat="1" x14ac:dyDescent="0.25">
      <c r="I27"/>
      <c r="S27" s="85"/>
      <c r="V27" s="83" t="s">
        <v>41</v>
      </c>
      <c r="W27" s="83">
        <v>100</v>
      </c>
      <c r="X27" s="83" t="s">
        <v>25</v>
      </c>
      <c r="AB27" s="85"/>
    </row>
    <row r="28" spans="1:29" s="83" customFormat="1" x14ac:dyDescent="0.25">
      <c r="I28"/>
      <c r="V28" s="83" t="s">
        <v>44</v>
      </c>
      <c r="W28" s="83">
        <v>0</v>
      </c>
      <c r="X28" s="83" t="s">
        <v>25</v>
      </c>
    </row>
    <row r="29" spans="1:29" s="83" customFormat="1" x14ac:dyDescent="0.25">
      <c r="A29" s="86" t="s">
        <v>85</v>
      </c>
      <c r="B29" s="86">
        <v>2</v>
      </c>
      <c r="H29"/>
      <c r="I29"/>
      <c r="N29" s="86" t="s">
        <v>85</v>
      </c>
      <c r="O29" s="86">
        <v>2</v>
      </c>
      <c r="S29" s="85"/>
      <c r="V29" s="83" t="s">
        <v>46</v>
      </c>
      <c r="W29" s="83">
        <v>156.09895654550601</v>
      </c>
      <c r="X29" s="83" t="s">
        <v>25</v>
      </c>
      <c r="AB29" s="85"/>
    </row>
    <row r="30" spans="1:29" x14ac:dyDescent="0.25">
      <c r="A30" s="83"/>
      <c r="B30" s="83"/>
      <c r="C30" s="83"/>
      <c r="D30" s="83"/>
      <c r="E30" s="83"/>
      <c r="F30" s="83"/>
      <c r="G30" s="83"/>
      <c r="M30" s="83"/>
      <c r="N30" s="83"/>
      <c r="O30" s="83"/>
      <c r="P30" s="83"/>
      <c r="Q30" s="137" t="s">
        <v>88</v>
      </c>
      <c r="R30" s="83"/>
      <c r="S30" s="83"/>
      <c r="T30" s="77"/>
      <c r="V30" t="s">
        <v>140</v>
      </c>
      <c r="W30">
        <v>-100000</v>
      </c>
      <c r="X30" t="s">
        <v>25</v>
      </c>
      <c r="AB30" s="77"/>
    </row>
    <row r="31" spans="1:29" x14ac:dyDescent="0.25">
      <c r="A31" s="83"/>
      <c r="B31" t="s">
        <v>59</v>
      </c>
      <c r="C31" t="s">
        <v>67</v>
      </c>
      <c r="D31" s="78">
        <v>1.0002360905674501</v>
      </c>
      <c r="F31" t="s">
        <v>74</v>
      </c>
      <c r="G31" s="85">
        <v>1.9896644370708001E-3</v>
      </c>
      <c r="M31" s="83"/>
      <c r="N31" t="s">
        <v>57</v>
      </c>
      <c r="O31" s="83">
        <v>2</v>
      </c>
      <c r="P31" s="83"/>
      <c r="Q31">
        <v>0.1</v>
      </c>
      <c r="R31" s="83"/>
      <c r="S31" s="83"/>
      <c r="T31" s="77"/>
      <c r="V31" t="s">
        <v>141</v>
      </c>
      <c r="W31">
        <v>0.01</v>
      </c>
      <c r="X31" t="s">
        <v>25</v>
      </c>
      <c r="Y31" s="77"/>
    </row>
    <row r="32" spans="1:29" x14ac:dyDescent="0.25">
      <c r="A32" s="83"/>
      <c r="B32" s="83" t="s">
        <v>61</v>
      </c>
      <c r="C32" t="s">
        <v>64</v>
      </c>
      <c r="D32" s="78">
        <v>0.94590600649763101</v>
      </c>
      <c r="F32" t="s">
        <v>71</v>
      </c>
      <c r="G32" s="77">
        <v>1.11735527698642E-8</v>
      </c>
      <c r="M32" s="83"/>
      <c r="N32" t="s">
        <v>61</v>
      </c>
      <c r="O32" s="83">
        <v>3</v>
      </c>
      <c r="P32" s="83"/>
      <c r="Q32" s="77">
        <v>1.81675456445012E-9</v>
      </c>
      <c r="R32" s="83"/>
      <c r="S32" s="83"/>
      <c r="V32" t="s">
        <v>142</v>
      </c>
      <c r="W32">
        <v>-312197.91309101199</v>
      </c>
      <c r="X32" t="s">
        <v>25</v>
      </c>
      <c r="Y32" s="77"/>
      <c r="AB32" s="77"/>
    </row>
    <row r="33" spans="1:29" x14ac:dyDescent="0.25">
      <c r="M33" s="83"/>
      <c r="N33" t="s">
        <v>59</v>
      </c>
      <c r="O33" s="83">
        <v>4</v>
      </c>
      <c r="P33" s="83"/>
      <c r="Q33">
        <v>2.3564992199028599E-2</v>
      </c>
      <c r="R33" s="83"/>
      <c r="S33" s="83"/>
      <c r="V33" s="77"/>
    </row>
    <row r="34" spans="1:29" x14ac:dyDescent="0.25">
      <c r="M34" s="83"/>
      <c r="N34" s="83"/>
      <c r="O34" s="83"/>
      <c r="P34" s="85"/>
      <c r="Q34" s="83"/>
      <c r="R34" s="83"/>
      <c r="S34" s="83"/>
      <c r="AB34" s="77"/>
    </row>
    <row r="35" spans="1:29" x14ac:dyDescent="0.25">
      <c r="A35" s="83"/>
      <c r="B35" t="s">
        <v>60</v>
      </c>
      <c r="C35" s="83" t="s">
        <v>89</v>
      </c>
      <c r="D35" s="85">
        <v>1.1403185380969899E-2</v>
      </c>
      <c r="E35" s="83"/>
      <c r="F35" s="85">
        <f>(D15*G15+D14*G14)/(D11*G11)-4.2567</f>
        <v>1841.9860937293358</v>
      </c>
      <c r="G35" s="83">
        <f>LOG10(F35)</f>
        <v>3.2652863471206506</v>
      </c>
      <c r="M35" s="83"/>
      <c r="N35" s="83"/>
      <c r="O35" s="79" t="s">
        <v>58</v>
      </c>
      <c r="P35" s="79" t="s">
        <v>56</v>
      </c>
      <c r="Q35" s="83"/>
      <c r="R35" s="83"/>
      <c r="S35" s="83"/>
      <c r="AB35" s="77"/>
    </row>
    <row r="36" spans="1:29" x14ac:dyDescent="0.25">
      <c r="M36" s="83" t="s">
        <v>193</v>
      </c>
      <c r="N36" s="87" t="s">
        <v>57</v>
      </c>
      <c r="O36" s="189">
        <v>100</v>
      </c>
      <c r="P36" s="91">
        <v>-100000</v>
      </c>
      <c r="Q36" s="83"/>
      <c r="R36" s="83"/>
      <c r="S36" s="83"/>
      <c r="AB36" s="77"/>
    </row>
    <row r="37" spans="1:29" x14ac:dyDescent="0.25">
      <c r="C37" s="79" t="s">
        <v>56</v>
      </c>
      <c r="D37" s="79" t="s">
        <v>5</v>
      </c>
      <c r="E37" s="79" t="s">
        <v>57</v>
      </c>
      <c r="F37" s="79" t="s">
        <v>58</v>
      </c>
      <c r="H37" s="83" t="s">
        <v>193</v>
      </c>
      <c r="M37" s="83"/>
      <c r="N37" s="87" t="s">
        <v>61</v>
      </c>
      <c r="O37" s="194">
        <v>0</v>
      </c>
      <c r="P37" s="94">
        <v>0.01</v>
      </c>
      <c r="Q37" s="83"/>
      <c r="R37" s="83"/>
      <c r="S37" s="83"/>
      <c r="AB37" s="77"/>
    </row>
    <row r="38" spans="1:29" x14ac:dyDescent="0.25">
      <c r="A38" t="s">
        <v>192</v>
      </c>
      <c r="B38" s="79" t="s">
        <v>56</v>
      </c>
      <c r="C38" s="189">
        <v>1</v>
      </c>
      <c r="D38" s="190">
        <v>0</v>
      </c>
      <c r="E38" s="190">
        <v>0</v>
      </c>
      <c r="F38" s="191">
        <v>0</v>
      </c>
      <c r="H38" s="199">
        <f>F41</f>
        <v>0</v>
      </c>
      <c r="I38" s="191">
        <f>C41</f>
        <v>0</v>
      </c>
      <c r="M38" s="83"/>
      <c r="N38" s="87" t="s">
        <v>59</v>
      </c>
      <c r="O38" s="198">
        <v>156.09895654550601</v>
      </c>
      <c r="P38" s="97">
        <v>-312197.91309101199</v>
      </c>
      <c r="Q38" s="83"/>
      <c r="R38" s="83"/>
      <c r="S38" s="83"/>
      <c r="AB38" s="77"/>
    </row>
    <row r="39" spans="1:29" x14ac:dyDescent="0.25">
      <c r="B39" s="79" t="s">
        <v>5</v>
      </c>
      <c r="C39" s="192">
        <v>0</v>
      </c>
      <c r="D39" s="93">
        <v>1</v>
      </c>
      <c r="E39" s="158">
        <v>0</v>
      </c>
      <c r="F39" s="193">
        <v>0</v>
      </c>
      <c r="H39" s="200">
        <f>F40</f>
        <v>0</v>
      </c>
      <c r="I39" s="193">
        <f>C40</f>
        <v>-1.00461579027839E-2</v>
      </c>
      <c r="M39" s="83"/>
      <c r="N39" s="83"/>
      <c r="O39" s="83"/>
      <c r="P39" s="83"/>
      <c r="Q39" s="83"/>
      <c r="R39" s="83"/>
      <c r="S39" s="83"/>
      <c r="AB39" s="77"/>
    </row>
    <row r="40" spans="1:29" x14ac:dyDescent="0.25">
      <c r="B40" s="83" t="s">
        <v>61</v>
      </c>
      <c r="C40" s="192">
        <v>-1.00461579027839E-2</v>
      </c>
      <c r="D40" s="158">
        <v>0</v>
      </c>
      <c r="E40" s="158">
        <v>0</v>
      </c>
      <c r="F40" s="193">
        <v>0</v>
      </c>
      <c r="H40" s="201">
        <f>F43</f>
        <v>0</v>
      </c>
      <c r="I40" s="97">
        <f>C43</f>
        <v>2211.5664858298801</v>
      </c>
      <c r="M40" s="83"/>
      <c r="N40" s="83"/>
      <c r="O40" s="83"/>
      <c r="P40" s="83"/>
      <c r="Q40" s="83"/>
      <c r="R40" s="83"/>
      <c r="S40" s="83"/>
      <c r="AB40" s="77"/>
    </row>
    <row r="41" spans="1:29" x14ac:dyDescent="0.25">
      <c r="B41" s="79" t="s">
        <v>57</v>
      </c>
      <c r="C41" s="192">
        <v>0</v>
      </c>
      <c r="D41" s="158">
        <v>0</v>
      </c>
      <c r="E41" s="93">
        <v>1</v>
      </c>
      <c r="F41" s="193">
        <v>0</v>
      </c>
      <c r="M41" s="83"/>
      <c r="N41" s="83"/>
      <c r="O41" s="83"/>
      <c r="P41" s="83"/>
      <c r="Q41" s="83"/>
      <c r="R41" s="83"/>
      <c r="S41" s="83"/>
      <c r="AB41" s="77"/>
    </row>
    <row r="42" spans="1:29" x14ac:dyDescent="0.25">
      <c r="B42" s="79" t="s">
        <v>58</v>
      </c>
      <c r="C42" s="192">
        <v>0</v>
      </c>
      <c r="D42" s="158">
        <v>0</v>
      </c>
      <c r="E42" s="158">
        <v>0</v>
      </c>
      <c r="F42" s="94">
        <v>1</v>
      </c>
      <c r="M42" s="83"/>
      <c r="N42" s="83"/>
      <c r="O42" s="83"/>
      <c r="P42" s="83"/>
      <c r="Q42" s="83"/>
      <c r="R42" s="83"/>
      <c r="S42" s="83"/>
      <c r="AB42" s="77"/>
    </row>
    <row r="43" spans="1:29" x14ac:dyDescent="0.25">
      <c r="B43" t="s">
        <v>59</v>
      </c>
      <c r="C43" s="194">
        <v>2211.5664858298801</v>
      </c>
      <c r="D43" s="158">
        <v>0</v>
      </c>
      <c r="E43" s="93">
        <v>2.2115664858298798</v>
      </c>
      <c r="F43" s="193">
        <v>0</v>
      </c>
      <c r="M43" s="83"/>
      <c r="N43" s="83"/>
      <c r="O43" s="83"/>
      <c r="P43" s="83"/>
      <c r="Q43" s="83"/>
      <c r="R43" s="83"/>
      <c r="S43" s="83"/>
      <c r="AB43" s="77"/>
    </row>
    <row r="44" spans="1:29" x14ac:dyDescent="0.25">
      <c r="B44" t="s">
        <v>60</v>
      </c>
      <c r="C44" s="195">
        <v>0</v>
      </c>
      <c r="D44" s="196">
        <v>0</v>
      </c>
      <c r="E44" s="196">
        <v>0</v>
      </c>
      <c r="F44" s="197">
        <v>0</v>
      </c>
      <c r="M44" s="83"/>
      <c r="N44" s="83"/>
      <c r="O44" s="83"/>
      <c r="P44" s="83"/>
      <c r="Q44" s="83"/>
      <c r="R44" s="83"/>
      <c r="S44" s="83"/>
      <c r="AB44" s="77"/>
    </row>
    <row r="45" spans="1:29" x14ac:dyDescent="0.25">
      <c r="M45" s="83"/>
      <c r="N45" s="83"/>
      <c r="O45" s="83"/>
      <c r="P45" s="83"/>
      <c r="Q45" s="83"/>
      <c r="R45" s="83"/>
      <c r="S45" s="83"/>
      <c r="AB45" s="77"/>
    </row>
    <row r="46" spans="1:29" x14ac:dyDescent="0.25">
      <c r="M46" s="83"/>
      <c r="N46" s="83"/>
      <c r="O46" s="83"/>
      <c r="P46" s="83"/>
      <c r="Q46" s="83"/>
      <c r="R46" s="83"/>
      <c r="S46" s="83"/>
      <c r="AB46" s="77"/>
    </row>
    <row r="47" spans="1:29" x14ac:dyDescent="0.25">
      <c r="M47" s="83"/>
      <c r="N47" s="83"/>
      <c r="O47" s="83"/>
      <c r="P47" s="83"/>
      <c r="Q47" s="83"/>
      <c r="R47" s="83"/>
      <c r="S47" s="83"/>
      <c r="AB47" s="77"/>
    </row>
    <row r="48" spans="1:29" x14ac:dyDescent="0.25">
      <c r="D48" s="77"/>
      <c r="M48" s="83"/>
      <c r="N48" s="83"/>
      <c r="O48" s="83"/>
      <c r="P48" s="83"/>
      <c r="Q48" s="83"/>
      <c r="R48" s="83"/>
      <c r="S48" s="83"/>
      <c r="AA48" t="s">
        <v>190</v>
      </c>
      <c r="AB48" s="77">
        <v>0</v>
      </c>
      <c r="AC48" t="s">
        <v>96</v>
      </c>
    </row>
    <row r="49" spans="1:29" x14ac:dyDescent="0.25">
      <c r="A49" s="109" t="s">
        <v>85</v>
      </c>
      <c r="B49" s="109">
        <v>1</v>
      </c>
      <c r="C49" s="83" t="s">
        <v>98</v>
      </c>
      <c r="D49" s="83"/>
      <c r="E49" s="83"/>
      <c r="F49" s="83"/>
      <c r="G49" s="83"/>
      <c r="H49" s="83"/>
      <c r="I49" s="83"/>
      <c r="J49" s="83"/>
      <c r="M49" s="83"/>
      <c r="N49" s="109" t="s">
        <v>85</v>
      </c>
      <c r="O49" s="109">
        <v>1</v>
      </c>
      <c r="P49" s="83" t="s">
        <v>98</v>
      </c>
      <c r="Q49" s="83"/>
      <c r="R49" s="83"/>
      <c r="S49" s="83"/>
      <c r="T49" s="83"/>
      <c r="U49" s="83"/>
      <c r="V49" s="83"/>
      <c r="W49" s="83"/>
      <c r="AA49" t="s">
        <v>191</v>
      </c>
      <c r="AB49">
        <v>1</v>
      </c>
      <c r="AC49" t="s">
        <v>96</v>
      </c>
    </row>
    <row r="50" spans="1:29" x14ac:dyDescent="0.25">
      <c r="A50" s="83"/>
      <c r="B50" s="83"/>
      <c r="C50" s="83"/>
      <c r="D50" s="83"/>
      <c r="E50" s="83" t="s">
        <v>93</v>
      </c>
      <c r="F50" s="83"/>
      <c r="G50" s="83"/>
      <c r="J50" s="83" t="s">
        <v>94</v>
      </c>
      <c r="L50" s="83" t="s">
        <v>95</v>
      </c>
      <c r="N50" s="83"/>
      <c r="O50" s="83"/>
      <c r="P50" s="83"/>
      <c r="Q50" s="83"/>
      <c r="R50" t="s">
        <v>115</v>
      </c>
      <c r="T50" s="83"/>
      <c r="U50" s="83" t="s">
        <v>94</v>
      </c>
      <c r="V50" s="83"/>
      <c r="W50" s="83" t="s">
        <v>31</v>
      </c>
    </row>
    <row r="51" spans="1:29" x14ac:dyDescent="0.25">
      <c r="A51" s="79" t="s">
        <v>56</v>
      </c>
      <c r="B51" t="s">
        <v>62</v>
      </c>
      <c r="C51" s="83">
        <v>-1.7399391630277199E-2</v>
      </c>
      <c r="D51" s="83"/>
      <c r="E51">
        <v>1989.7169937183</v>
      </c>
      <c r="F51" s="77">
        <v>0</v>
      </c>
      <c r="G51">
        <v>2.9707515538878999</v>
      </c>
      <c r="H51" s="77">
        <v>-7.6044392727034296E-2</v>
      </c>
      <c r="J51" s="85">
        <v>-1.9905532660745798E-3</v>
      </c>
      <c r="L51" s="77">
        <v>-9.8775897178253404E-5</v>
      </c>
      <c r="N51" s="79" t="s">
        <v>58</v>
      </c>
      <c r="O51" s="83" t="s">
        <v>24</v>
      </c>
      <c r="P51" s="83">
        <v>5.4712471917186898E-3</v>
      </c>
      <c r="Q51" s="83"/>
      <c r="R51" s="89">
        <v>4.9345726145652309</v>
      </c>
      <c r="S51" s="91">
        <v>31022.814591849889</v>
      </c>
      <c r="T51" s="83"/>
      <c r="U51" s="131">
        <v>2.29117000753843E-2</v>
      </c>
      <c r="V51" s="83"/>
      <c r="W51" s="83"/>
    </row>
    <row r="52" spans="1:29" x14ac:dyDescent="0.25">
      <c r="A52" s="79" t="s">
        <v>5</v>
      </c>
      <c r="B52" t="s">
        <v>63</v>
      </c>
      <c r="C52" s="83">
        <v>1.8402691225484501E-2</v>
      </c>
      <c r="D52" s="83"/>
      <c r="E52" s="77">
        <v>0</v>
      </c>
      <c r="F52">
        <v>1</v>
      </c>
      <c r="G52" s="77">
        <v>0</v>
      </c>
      <c r="H52" s="77">
        <v>0</v>
      </c>
      <c r="J52" s="77">
        <v>0</v>
      </c>
      <c r="L52" s="77">
        <v>0</v>
      </c>
      <c r="N52" s="79" t="s">
        <v>56</v>
      </c>
      <c r="O52" s="83" t="s">
        <v>26</v>
      </c>
      <c r="P52" s="85">
        <v>6.1495724972881697E-7</v>
      </c>
      <c r="Q52" s="83"/>
      <c r="R52" s="95">
        <v>-7.655793028016423</v>
      </c>
      <c r="S52" s="97">
        <v>-60362.417053868434</v>
      </c>
      <c r="T52" s="83"/>
      <c r="U52" s="132">
        <v>-3.5884298959075502E-2</v>
      </c>
      <c r="V52" s="83"/>
      <c r="W52" s="85"/>
    </row>
    <row r="53" spans="1:29" x14ac:dyDescent="0.25">
      <c r="A53" s="79" t="s">
        <v>57</v>
      </c>
      <c r="B53" t="s">
        <v>65</v>
      </c>
      <c r="E53">
        <v>1.0005081998343499</v>
      </c>
      <c r="F53" s="77">
        <v>0</v>
      </c>
      <c r="G53">
        <v>-1.0015098429489899</v>
      </c>
      <c r="H53" s="77">
        <v>3.8213535995340602E-5</v>
      </c>
      <c r="J53" s="77">
        <v>9.7010335560372599E-2</v>
      </c>
      <c r="L53" s="77">
        <v>9.8900997090773601E-2</v>
      </c>
    </row>
    <row r="54" spans="1:29" x14ac:dyDescent="0.25">
      <c r="A54" s="79" t="s">
        <v>58</v>
      </c>
      <c r="B54" t="s">
        <v>66</v>
      </c>
      <c r="E54" s="77">
        <v>0</v>
      </c>
      <c r="F54" s="77">
        <v>0</v>
      </c>
      <c r="G54" s="77">
        <v>0</v>
      </c>
      <c r="H54">
        <v>1</v>
      </c>
      <c r="J54" s="77">
        <v>3.47E-3</v>
      </c>
      <c r="L54" s="77">
        <v>3.47E-3</v>
      </c>
    </row>
    <row r="59" spans="1:29" x14ac:dyDescent="0.25">
      <c r="D59" t="s">
        <v>106</v>
      </c>
      <c r="K59" s="77"/>
      <c r="M59" s="77"/>
      <c r="N59" t="s">
        <v>106</v>
      </c>
    </row>
    <row r="60" spans="1:29" x14ac:dyDescent="0.25">
      <c r="J60" s="77"/>
      <c r="L60" s="77"/>
      <c r="M60" s="77"/>
      <c r="O60" s="79" t="s">
        <v>58</v>
      </c>
      <c r="P60" s="79" t="s">
        <v>56</v>
      </c>
      <c r="S60" t="s">
        <v>130</v>
      </c>
      <c r="U60" t="s">
        <v>24</v>
      </c>
      <c r="V60" t="s">
        <v>131</v>
      </c>
      <c r="W60" t="s">
        <v>132</v>
      </c>
    </row>
    <row r="61" spans="1:29" x14ac:dyDescent="0.25">
      <c r="F61" s="79" t="s">
        <v>56</v>
      </c>
      <c r="G61" s="79" t="s">
        <v>5</v>
      </c>
      <c r="H61" s="79" t="s">
        <v>57</v>
      </c>
      <c r="I61" s="79" t="s">
        <v>58</v>
      </c>
      <c r="K61" s="77"/>
      <c r="M61" s="77"/>
      <c r="N61" t="s">
        <v>57</v>
      </c>
      <c r="O61">
        <v>-0.76713218079815804</v>
      </c>
      <c r="P61">
        <v>-0.39720691521104701</v>
      </c>
      <c r="S61" t="s">
        <v>130</v>
      </c>
      <c r="U61" t="s">
        <v>26</v>
      </c>
      <c r="V61" t="s">
        <v>133</v>
      </c>
      <c r="W61" t="s">
        <v>132</v>
      </c>
    </row>
    <row r="62" spans="1:29" x14ac:dyDescent="0.25">
      <c r="D62" s="79" t="s">
        <v>56</v>
      </c>
      <c r="E62" t="s">
        <v>99</v>
      </c>
      <c r="F62">
        <v>1</v>
      </c>
      <c r="G62" s="77">
        <v>0</v>
      </c>
      <c r="H62" s="77">
        <v>0</v>
      </c>
      <c r="I62" s="77">
        <v>0</v>
      </c>
      <c r="J62" s="77"/>
      <c r="K62" s="77"/>
      <c r="L62" s="77"/>
      <c r="N62" t="s">
        <v>61</v>
      </c>
      <c r="O62" s="139">
        <v>0.169235600907859</v>
      </c>
      <c r="P62">
        <v>-2.0154136054471499</v>
      </c>
      <c r="S62" t="s">
        <v>130</v>
      </c>
      <c r="U62" t="s">
        <v>27</v>
      </c>
      <c r="V62" t="s">
        <v>134</v>
      </c>
      <c r="W62" t="s">
        <v>132</v>
      </c>
    </row>
    <row r="63" spans="1:29" x14ac:dyDescent="0.25">
      <c r="D63" s="79" t="s">
        <v>5</v>
      </c>
      <c r="E63" t="s">
        <v>100</v>
      </c>
      <c r="F63" s="77">
        <v>0</v>
      </c>
      <c r="G63">
        <v>1</v>
      </c>
      <c r="H63" s="77">
        <v>0</v>
      </c>
      <c r="I63" s="77">
        <v>0</v>
      </c>
      <c r="N63" t="s">
        <v>59</v>
      </c>
      <c r="O63">
        <v>-0.93254657262574203</v>
      </c>
      <c r="P63">
        <v>1.59527943575445</v>
      </c>
    </row>
    <row r="64" spans="1:29" x14ac:dyDescent="0.25">
      <c r="D64" s="83" t="s">
        <v>61</v>
      </c>
      <c r="E64" t="s">
        <v>101</v>
      </c>
      <c r="F64" s="128">
        <v>-1.11738466125947E-2</v>
      </c>
      <c r="G64" s="77">
        <v>0</v>
      </c>
      <c r="H64" s="77">
        <v>1.07501406764532E-7</v>
      </c>
      <c r="I64" s="127">
        <v>4.3221179184649001E-7</v>
      </c>
    </row>
    <row r="65" spans="2:18" x14ac:dyDescent="0.25">
      <c r="D65" s="79" t="s">
        <v>57</v>
      </c>
      <c r="E65" t="s">
        <v>102</v>
      </c>
      <c r="F65" s="77">
        <v>0</v>
      </c>
      <c r="G65" s="77">
        <v>0</v>
      </c>
      <c r="H65">
        <v>1</v>
      </c>
      <c r="I65" s="77">
        <v>0</v>
      </c>
      <c r="O65">
        <v>4.4114573303109599E-4</v>
      </c>
      <c r="P65">
        <v>204.78333695691299</v>
      </c>
    </row>
    <row r="66" spans="2:18" x14ac:dyDescent="0.25">
      <c r="D66" s="79" t="s">
        <v>58</v>
      </c>
      <c r="E66" t="s">
        <v>103</v>
      </c>
      <c r="F66" s="77">
        <v>0</v>
      </c>
      <c r="G66" s="77">
        <v>0</v>
      </c>
      <c r="H66" s="77">
        <v>0</v>
      </c>
      <c r="I66">
        <v>1</v>
      </c>
      <c r="O66" s="77">
        <v>5.6018637531030403E-7</v>
      </c>
      <c r="P66">
        <v>0.26004294423438401</v>
      </c>
    </row>
    <row r="67" spans="2:18" x14ac:dyDescent="0.25">
      <c r="D67" t="s">
        <v>59</v>
      </c>
      <c r="E67" t="s">
        <v>104</v>
      </c>
      <c r="F67" s="129">
        <v>1989.7169937183</v>
      </c>
      <c r="G67" s="77">
        <v>0</v>
      </c>
      <c r="H67">
        <v>1.9707515538878999</v>
      </c>
      <c r="I67" s="130">
        <v>-7.6044392727034296E-2</v>
      </c>
      <c r="O67" s="77">
        <v>3.5922994903112903E-5</v>
      </c>
      <c r="P67">
        <v>16.6757382400592</v>
      </c>
    </row>
    <row r="68" spans="2:18" x14ac:dyDescent="0.25">
      <c r="D68" t="s">
        <v>60</v>
      </c>
      <c r="E68" t="s">
        <v>105</v>
      </c>
      <c r="F68" s="77">
        <v>0</v>
      </c>
      <c r="G68" s="77">
        <v>0</v>
      </c>
      <c r="H68" s="77">
        <v>0</v>
      </c>
      <c r="I68" s="77">
        <v>0</v>
      </c>
    </row>
    <row r="69" spans="2:18" x14ac:dyDescent="0.25">
      <c r="Q69">
        <v>-0.76713218079815804</v>
      </c>
      <c r="R69">
        <v>-0.39720691521104701</v>
      </c>
    </row>
    <row r="70" spans="2:18" x14ac:dyDescent="0.25">
      <c r="Q70">
        <v>0.169235600907859</v>
      </c>
      <c r="R70">
        <v>-2.0154136054471499</v>
      </c>
    </row>
    <row r="71" spans="2:18" x14ac:dyDescent="0.25">
      <c r="Q71">
        <v>-0.93254657262574203</v>
      </c>
      <c r="R71">
        <v>1.59527943575445</v>
      </c>
    </row>
    <row r="74" spans="2:18" x14ac:dyDescent="0.25">
      <c r="B74" s="79" t="s">
        <v>56</v>
      </c>
      <c r="C74" t="s">
        <v>117</v>
      </c>
      <c r="D74" s="77">
        <v>9.9999999999999995E-8</v>
      </c>
      <c r="F74" t="s">
        <v>121</v>
      </c>
      <c r="G74" s="77">
        <v>1.9906532660745801E-3</v>
      </c>
      <c r="I74" t="s">
        <v>125</v>
      </c>
      <c r="J74" s="132">
        <v>-1.9905532660745798E-3</v>
      </c>
      <c r="L74" s="77"/>
    </row>
    <row r="75" spans="2:18" x14ac:dyDescent="0.25">
      <c r="B75" s="79" t="s">
        <v>5</v>
      </c>
      <c r="C75" t="s">
        <v>118</v>
      </c>
      <c r="D75" s="77">
        <v>1.0000000000000001E-30</v>
      </c>
      <c r="F75" t="s">
        <v>122</v>
      </c>
      <c r="G75">
        <v>55.506260537959797</v>
      </c>
      <c r="I75" t="s">
        <v>126</v>
      </c>
      <c r="J75" s="77">
        <v>0</v>
      </c>
      <c r="L75" s="77"/>
    </row>
    <row r="76" spans="2:18" x14ac:dyDescent="0.25">
      <c r="B76" s="79" t="s">
        <v>57</v>
      </c>
      <c r="C76" t="s">
        <v>119</v>
      </c>
      <c r="D76">
        <v>0.1</v>
      </c>
      <c r="F76" t="s">
        <v>123</v>
      </c>
      <c r="G76" s="77">
        <v>2.9896644396273401E-3</v>
      </c>
      <c r="I76" t="s">
        <v>127</v>
      </c>
      <c r="J76" s="77">
        <v>9.7010335560372599E-2</v>
      </c>
      <c r="L76" s="77"/>
    </row>
    <row r="77" spans="2:18" x14ac:dyDescent="0.25">
      <c r="B77" s="79" t="s">
        <v>58</v>
      </c>
      <c r="C77" t="s">
        <v>120</v>
      </c>
      <c r="D77" s="77">
        <v>4.47E-3</v>
      </c>
      <c r="F77" t="s">
        <v>124</v>
      </c>
      <c r="G77" s="77">
        <v>1E-3</v>
      </c>
      <c r="I77" t="s">
        <v>128</v>
      </c>
      <c r="J77" s="131">
        <v>3.47E-3</v>
      </c>
      <c r="L77" s="77"/>
    </row>
    <row r="78" spans="2:18" x14ac:dyDescent="0.25">
      <c r="D78" s="77"/>
    </row>
    <row r="80" spans="2:18" x14ac:dyDescent="0.25">
      <c r="K80" s="77"/>
    </row>
    <row r="81" spans="1:11" x14ac:dyDescent="0.25">
      <c r="A81" s="109" t="s">
        <v>85</v>
      </c>
      <c r="B81" s="109">
        <v>1</v>
      </c>
      <c r="C81" s="83" t="s">
        <v>98</v>
      </c>
      <c r="D81" s="83"/>
    </row>
    <row r="82" spans="1:11" x14ac:dyDescent="0.25">
      <c r="K82" s="77"/>
    </row>
    <row r="83" spans="1:11" x14ac:dyDescent="0.25">
      <c r="B83" s="79" t="s">
        <v>56</v>
      </c>
      <c r="C83" t="s">
        <v>69</v>
      </c>
      <c r="D83" s="134">
        <v>5.0063245020879499E-7</v>
      </c>
      <c r="K83" s="77"/>
    </row>
    <row r="84" spans="1:11" x14ac:dyDescent="0.25">
      <c r="B84" s="79" t="s">
        <v>5</v>
      </c>
      <c r="C84" t="s">
        <v>70</v>
      </c>
      <c r="D84" s="134">
        <v>55.508250191225898</v>
      </c>
      <c r="K84" s="77"/>
    </row>
    <row r="85" spans="1:11" x14ac:dyDescent="0.25">
      <c r="B85" s="83" t="s">
        <v>61</v>
      </c>
      <c r="C85" t="s">
        <v>71</v>
      </c>
      <c r="D85" s="134">
        <v>1.1173552755506599E-8</v>
      </c>
      <c r="K85" s="77"/>
    </row>
    <row r="86" spans="1:11" x14ac:dyDescent="0.25">
      <c r="B86" s="79" t="s">
        <v>57</v>
      </c>
      <c r="C86" t="s">
        <v>72</v>
      </c>
      <c r="D86" s="134">
        <v>1.5E-3</v>
      </c>
      <c r="K86" s="77"/>
    </row>
    <row r="87" spans="1:11" x14ac:dyDescent="0.25">
      <c r="B87" s="79" t="s">
        <v>58</v>
      </c>
      <c r="C87" t="s">
        <v>73</v>
      </c>
      <c r="D87" s="134">
        <v>1.0175427958365999E-3</v>
      </c>
    </row>
    <row r="88" spans="1:11" x14ac:dyDescent="0.25">
      <c r="B88" t="s">
        <v>59</v>
      </c>
      <c r="C88" t="s">
        <v>74</v>
      </c>
      <c r="D88" s="134">
        <v>1.9896644396273401E-3</v>
      </c>
    </row>
    <row r="89" spans="1:11" x14ac:dyDescent="0.25">
      <c r="B89" t="s">
        <v>60</v>
      </c>
      <c r="C89" t="s">
        <v>75</v>
      </c>
      <c r="D89" s="134">
        <v>0</v>
      </c>
    </row>
    <row r="90" spans="1:11" x14ac:dyDescent="0.25">
      <c r="D90" s="134"/>
    </row>
    <row r="91" spans="1:11" x14ac:dyDescent="0.25">
      <c r="A91" s="109" t="s">
        <v>85</v>
      </c>
      <c r="B91" s="109">
        <v>2</v>
      </c>
      <c r="C91" s="83" t="s">
        <v>98</v>
      </c>
      <c r="D91" s="135"/>
    </row>
    <row r="92" spans="1:11" x14ac:dyDescent="0.25">
      <c r="D92" s="134"/>
      <c r="J92" s="77"/>
    </row>
    <row r="93" spans="1:11" x14ac:dyDescent="0.25">
      <c r="B93" s="79" t="s">
        <v>56</v>
      </c>
      <c r="C93" t="s">
        <v>69</v>
      </c>
      <c r="D93" s="134">
        <v>2.5041908915336502E-7</v>
      </c>
      <c r="J93" s="77"/>
    </row>
    <row r="94" spans="1:11" x14ac:dyDescent="0.25">
      <c r="B94" s="79" t="s">
        <v>5</v>
      </c>
      <c r="C94" t="s">
        <v>70</v>
      </c>
      <c r="D94" s="134">
        <v>55.508250191225898</v>
      </c>
      <c r="J94" s="77"/>
    </row>
    <row r="95" spans="1:11" x14ac:dyDescent="0.25">
      <c r="B95" s="83" t="s">
        <v>61</v>
      </c>
      <c r="C95" t="s">
        <v>71</v>
      </c>
      <c r="D95" s="134">
        <v>2.2438286709905401E-8</v>
      </c>
      <c r="J95" s="77"/>
    </row>
    <row r="96" spans="1:11" x14ac:dyDescent="0.25">
      <c r="B96" s="79" t="s">
        <v>57</v>
      </c>
      <c r="C96" t="s">
        <v>72</v>
      </c>
      <c r="D96" s="134">
        <v>2.2499999999999998E-3</v>
      </c>
      <c r="J96" s="77"/>
    </row>
    <row r="97" spans="1:10" x14ac:dyDescent="0.25">
      <c r="B97" s="79" t="s">
        <v>58</v>
      </c>
      <c r="C97" t="s">
        <v>73</v>
      </c>
      <c r="D97" s="134">
        <v>1.0438396093033801E-3</v>
      </c>
      <c r="J97" s="77"/>
    </row>
    <row r="98" spans="1:10" x14ac:dyDescent="0.25">
      <c r="B98" t="s">
        <v>59</v>
      </c>
      <c r="C98" t="s">
        <v>74</v>
      </c>
      <c r="D98" s="134">
        <v>1.4862815259401899E-3</v>
      </c>
      <c r="J98" s="77"/>
    </row>
    <row r="99" spans="1:10" x14ac:dyDescent="0.25">
      <c r="B99" t="s">
        <v>60</v>
      </c>
      <c r="C99" t="s">
        <v>75</v>
      </c>
      <c r="D99" s="134">
        <v>0</v>
      </c>
      <c r="J99" s="77"/>
    </row>
    <row r="100" spans="1:10" x14ac:dyDescent="0.25">
      <c r="D100" s="134"/>
    </row>
    <row r="101" spans="1:10" x14ac:dyDescent="0.25">
      <c r="A101" s="109" t="s">
        <v>85</v>
      </c>
      <c r="B101" s="109">
        <v>3</v>
      </c>
      <c r="C101" s="83" t="s">
        <v>98</v>
      </c>
      <c r="D101" s="135"/>
    </row>
    <row r="102" spans="1:10" x14ac:dyDescent="0.25">
      <c r="D102" s="134"/>
    </row>
    <row r="103" spans="1:10" x14ac:dyDescent="0.25">
      <c r="B103" s="79" t="s">
        <v>56</v>
      </c>
      <c r="C103" t="s">
        <v>69</v>
      </c>
      <c r="D103" s="134">
        <v>1.2520954457668201E-7</v>
      </c>
      <c r="J103" s="77"/>
    </row>
    <row r="104" spans="1:10" x14ac:dyDescent="0.25">
      <c r="B104" s="79" t="s">
        <v>5</v>
      </c>
      <c r="C104" t="s">
        <v>70</v>
      </c>
      <c r="D104" s="134">
        <v>55.508250191225898</v>
      </c>
    </row>
    <row r="105" spans="1:10" x14ac:dyDescent="0.25">
      <c r="B105" s="83" t="s">
        <v>61</v>
      </c>
      <c r="C105" t="s">
        <v>71</v>
      </c>
      <c r="D105" s="134">
        <v>4.5192396323571998E-8</v>
      </c>
      <c r="J105" s="77"/>
    </row>
    <row r="106" spans="1:10" x14ac:dyDescent="0.25">
      <c r="B106" s="79" t="s">
        <v>57</v>
      </c>
      <c r="C106" t="s">
        <v>72</v>
      </c>
      <c r="D106" s="134">
        <v>3.3730860211278399E-3</v>
      </c>
      <c r="J106" s="77"/>
    </row>
    <row r="107" spans="1:10" x14ac:dyDescent="0.25">
      <c r="B107" s="79" t="s">
        <v>58</v>
      </c>
      <c r="C107" t="s">
        <v>73</v>
      </c>
      <c r="D107" s="134">
        <v>1.08320919245951E-3</v>
      </c>
      <c r="J107" s="77"/>
    </row>
    <row r="108" spans="1:10" x14ac:dyDescent="0.25">
      <c r="B108" t="s">
        <v>59</v>
      </c>
      <c r="C108" t="s">
        <v>74</v>
      </c>
      <c r="D108" s="134">
        <v>1.1070280393087001E-3</v>
      </c>
      <c r="J108" s="77"/>
    </row>
    <row r="109" spans="1:10" x14ac:dyDescent="0.25">
      <c r="B109" t="s">
        <v>60</v>
      </c>
      <c r="C109" t="s">
        <v>75</v>
      </c>
      <c r="D109" s="134">
        <v>0</v>
      </c>
      <c r="J109" s="77"/>
    </row>
    <row r="110" spans="1:10" x14ac:dyDescent="0.25">
      <c r="D110" s="134"/>
    </row>
    <row r="111" spans="1:10" x14ac:dyDescent="0.25">
      <c r="A111" s="109" t="s">
        <v>85</v>
      </c>
      <c r="B111" s="109">
        <v>4</v>
      </c>
      <c r="C111" s="83" t="s">
        <v>98</v>
      </c>
      <c r="D111" s="135"/>
    </row>
    <row r="112" spans="1:10" x14ac:dyDescent="0.25">
      <c r="D112" s="134"/>
    </row>
    <row r="113" spans="1:11" x14ac:dyDescent="0.25">
      <c r="B113" s="79" t="s">
        <v>56</v>
      </c>
      <c r="C113" t="s">
        <v>69</v>
      </c>
      <c r="D113" s="134">
        <v>6.2604772288341295E-8</v>
      </c>
      <c r="K113" s="77"/>
    </row>
    <row r="114" spans="1:11" x14ac:dyDescent="0.25">
      <c r="B114" s="79" t="s">
        <v>5</v>
      </c>
      <c r="C114" t="s">
        <v>70</v>
      </c>
      <c r="D114" s="134">
        <v>55.508250191225898</v>
      </c>
    </row>
    <row r="115" spans="1:11" x14ac:dyDescent="0.25">
      <c r="B115" s="83" t="s">
        <v>61</v>
      </c>
      <c r="C115" t="s">
        <v>71</v>
      </c>
      <c r="D115" s="134">
        <v>9.1300035908620605E-8</v>
      </c>
      <c r="K115" s="77"/>
    </row>
    <row r="116" spans="1:11" x14ac:dyDescent="0.25">
      <c r="B116" s="79" t="s">
        <v>57</v>
      </c>
      <c r="C116" t="s">
        <v>72</v>
      </c>
      <c r="D116" s="134">
        <v>5.0488982904843202E-3</v>
      </c>
      <c r="K116" s="77"/>
    </row>
    <row r="117" spans="1:11" x14ac:dyDescent="0.25">
      <c r="B117" s="79" t="s">
        <v>58</v>
      </c>
      <c r="C117" t="s">
        <v>73</v>
      </c>
      <c r="D117" s="134">
        <v>1.1419505956168901E-3</v>
      </c>
      <c r="K117" s="77"/>
    </row>
    <row r="118" spans="1:11" x14ac:dyDescent="0.25">
      <c r="B118" t="s">
        <v>59</v>
      </c>
      <c r="C118" t="s">
        <v>74</v>
      </c>
      <c r="D118" s="134">
        <v>8.2159815137579297E-4</v>
      </c>
      <c r="K118" s="77"/>
    </row>
    <row r="119" spans="1:11" x14ac:dyDescent="0.25">
      <c r="B119" t="s">
        <v>60</v>
      </c>
      <c r="C119" t="s">
        <v>75</v>
      </c>
      <c r="D119" s="134">
        <v>0</v>
      </c>
      <c r="K119" s="77"/>
    </row>
    <row r="120" spans="1:11" x14ac:dyDescent="0.25">
      <c r="D120" s="134"/>
    </row>
    <row r="121" spans="1:11" x14ac:dyDescent="0.25">
      <c r="A121" s="109" t="s">
        <v>85</v>
      </c>
      <c r="B121" s="109">
        <v>5</v>
      </c>
      <c r="C121" s="83" t="s">
        <v>98</v>
      </c>
      <c r="D121" s="135"/>
    </row>
    <row r="122" spans="1:11" x14ac:dyDescent="0.25">
      <c r="D122" s="134"/>
    </row>
    <row r="123" spans="1:11" x14ac:dyDescent="0.25">
      <c r="B123" s="79" t="s">
        <v>56</v>
      </c>
      <c r="C123" t="s">
        <v>69</v>
      </c>
      <c r="D123" s="77">
        <v>3.1302386144170601E-8</v>
      </c>
      <c r="K123" s="77"/>
    </row>
    <row r="124" spans="1:11" x14ac:dyDescent="0.25">
      <c r="B124" s="79" t="s">
        <v>5</v>
      </c>
      <c r="C124" t="s">
        <v>70</v>
      </c>
      <c r="D124">
        <v>55.508250191225898</v>
      </c>
    </row>
    <row r="125" spans="1:11" x14ac:dyDescent="0.25">
      <c r="B125" s="83" t="s">
        <v>61</v>
      </c>
      <c r="C125" t="s">
        <v>71</v>
      </c>
      <c r="D125" s="77">
        <v>1.8504163253502001E-7</v>
      </c>
      <c r="K125" s="77"/>
    </row>
    <row r="126" spans="1:11" x14ac:dyDescent="0.25">
      <c r="B126" s="79" t="s">
        <v>57</v>
      </c>
      <c r="C126" t="s">
        <v>72</v>
      </c>
      <c r="D126" s="77">
        <v>7.53380959599197E-3</v>
      </c>
      <c r="K126" s="77"/>
    </row>
    <row r="127" spans="1:11" x14ac:dyDescent="0.25">
      <c r="B127" s="79" t="s">
        <v>58</v>
      </c>
      <c r="C127" t="s">
        <v>73</v>
      </c>
      <c r="D127" s="77">
        <v>1.22905174820757E-3</v>
      </c>
      <c r="K127" s="77"/>
    </row>
    <row r="128" spans="1:11" x14ac:dyDescent="0.25">
      <c r="B128" t="s">
        <v>59</v>
      </c>
      <c r="C128" t="s">
        <v>74</v>
      </c>
      <c r="D128" s="77">
        <v>6.0690302575341904E-4</v>
      </c>
      <c r="K128" s="77"/>
    </row>
    <row r="129" spans="1:11" x14ac:dyDescent="0.25">
      <c r="B129" t="s">
        <v>60</v>
      </c>
      <c r="C129" t="s">
        <v>75</v>
      </c>
      <c r="D129" s="77">
        <v>0</v>
      </c>
      <c r="K129" s="77"/>
    </row>
    <row r="130" spans="1:11" x14ac:dyDescent="0.25">
      <c r="D130" s="134"/>
    </row>
    <row r="132" spans="1:11" x14ac:dyDescent="0.25">
      <c r="A132" s="109" t="s">
        <v>85</v>
      </c>
      <c r="B132" s="109">
        <v>16</v>
      </c>
      <c r="C132" s="83" t="s">
        <v>98</v>
      </c>
      <c r="D132" s="135"/>
      <c r="K132" s="77"/>
    </row>
    <row r="133" spans="1:11" x14ac:dyDescent="0.25">
      <c r="D133" s="134"/>
    </row>
    <row r="134" spans="1:11" x14ac:dyDescent="0.25">
      <c r="B134" s="79" t="s">
        <v>56</v>
      </c>
      <c r="C134" t="s">
        <v>69</v>
      </c>
      <c r="D134" s="133">
        <v>3.11468194770886E-10</v>
      </c>
      <c r="K134" s="77"/>
    </row>
    <row r="135" spans="1:11" x14ac:dyDescent="0.25">
      <c r="B135" s="79" t="s">
        <v>5</v>
      </c>
      <c r="C135" t="s">
        <v>70</v>
      </c>
      <c r="D135" s="133">
        <v>55.508250191225898</v>
      </c>
      <c r="K135" s="77"/>
    </row>
    <row r="136" spans="1:11" x14ac:dyDescent="0.25">
      <c r="B136" s="83" t="s">
        <v>61</v>
      </c>
      <c r="C136" t="s">
        <v>71</v>
      </c>
      <c r="D136" s="133">
        <v>4.7270971380510797E-5</v>
      </c>
      <c r="K136" s="77"/>
    </row>
    <row r="137" spans="1:11" x14ac:dyDescent="0.25">
      <c r="B137" s="79" t="s">
        <v>57</v>
      </c>
      <c r="C137" t="s">
        <v>72</v>
      </c>
      <c r="D137" s="133">
        <v>9.9952629342531504E-2</v>
      </c>
      <c r="K137" s="77"/>
    </row>
    <row r="138" spans="1:11" x14ac:dyDescent="0.25">
      <c r="B138" s="79" t="s">
        <v>58</v>
      </c>
      <c r="C138" t="s">
        <v>73</v>
      </c>
      <c r="D138" s="133">
        <v>4.47E-3</v>
      </c>
      <c r="K138" s="77"/>
    </row>
    <row r="139" spans="1:11" x14ac:dyDescent="0.25">
      <c r="B139" t="s">
        <v>59</v>
      </c>
      <c r="C139" t="s">
        <v>74</v>
      </c>
      <c r="D139" s="133">
        <v>4.7370655020523101E-5</v>
      </c>
      <c r="K139" s="77"/>
    </row>
    <row r="140" spans="1:11" x14ac:dyDescent="0.25">
      <c r="B140" t="s">
        <v>60</v>
      </c>
      <c r="C140" t="s">
        <v>75</v>
      </c>
      <c r="D140" s="133">
        <v>0</v>
      </c>
      <c r="K140" s="77"/>
    </row>
    <row r="143" spans="1:11" x14ac:dyDescent="0.25">
      <c r="A143" s="109" t="s">
        <v>129</v>
      </c>
      <c r="B143" s="109"/>
      <c r="C143" s="83" t="s">
        <v>98</v>
      </c>
      <c r="D143" s="135"/>
    </row>
    <row r="144" spans="1:11" x14ac:dyDescent="0.25">
      <c r="D144" s="134"/>
    </row>
    <row r="145" spans="2:4" x14ac:dyDescent="0.25">
      <c r="B145" s="79" t="s">
        <v>56</v>
      </c>
      <c r="C145" t="s">
        <v>69</v>
      </c>
      <c r="D145" s="136">
        <v>3.11468194770886E-10</v>
      </c>
    </row>
    <row r="146" spans="2:4" x14ac:dyDescent="0.25">
      <c r="B146" s="79" t="s">
        <v>5</v>
      </c>
      <c r="C146" t="s">
        <v>70</v>
      </c>
      <c r="D146" s="133">
        <v>55.508250191225898</v>
      </c>
    </row>
    <row r="147" spans="2:4" x14ac:dyDescent="0.25">
      <c r="B147" s="83" t="s">
        <v>61</v>
      </c>
      <c r="C147" t="s">
        <v>71</v>
      </c>
      <c r="D147" s="133">
        <v>4.7270968936564602E-5</v>
      </c>
    </row>
    <row r="148" spans="2:4" x14ac:dyDescent="0.25">
      <c r="B148" s="79" t="s">
        <v>57</v>
      </c>
      <c r="C148" t="s">
        <v>72</v>
      </c>
      <c r="D148" s="133">
        <v>9.9952629342531504E-2</v>
      </c>
    </row>
    <row r="149" spans="2:4" x14ac:dyDescent="0.25">
      <c r="B149" s="79" t="s">
        <v>58</v>
      </c>
      <c r="C149" t="s">
        <v>73</v>
      </c>
      <c r="D149" s="136">
        <v>4.47E-3</v>
      </c>
    </row>
    <row r="150" spans="2:4" x14ac:dyDescent="0.25">
      <c r="B150" t="s">
        <v>59</v>
      </c>
      <c r="C150" t="s">
        <v>74</v>
      </c>
      <c r="D150" s="133">
        <v>4.73706574684505E-5</v>
      </c>
    </row>
    <row r="151" spans="2:4" x14ac:dyDescent="0.25">
      <c r="B151" t="s">
        <v>60</v>
      </c>
      <c r="C151" t="s">
        <v>75</v>
      </c>
      <c r="D151" s="13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topLeftCell="A25" workbookViewId="0">
      <selection activeCell="O48" sqref="O48:P48"/>
    </sheetView>
  </sheetViews>
  <sheetFormatPr defaultRowHeight="15" x14ac:dyDescent="0.25"/>
  <sheetData>
    <row r="1" spans="1:7" x14ac:dyDescent="0.25">
      <c r="E1" t="s">
        <v>79</v>
      </c>
      <c r="F1" t="s">
        <v>80</v>
      </c>
    </row>
    <row r="2" spans="1:7" x14ac:dyDescent="0.25">
      <c r="A2" t="s">
        <v>13</v>
      </c>
      <c r="B2" t="s">
        <v>77</v>
      </c>
      <c r="E2">
        <v>1.8487</v>
      </c>
      <c r="F2">
        <v>1.8487</v>
      </c>
    </row>
    <row r="3" spans="1:7" x14ac:dyDescent="0.25">
      <c r="A3" t="s">
        <v>14</v>
      </c>
      <c r="B3" t="s">
        <v>78</v>
      </c>
      <c r="E3">
        <v>-6.3446999999999898</v>
      </c>
      <c r="F3">
        <v>-14</v>
      </c>
    </row>
    <row r="4" spans="1:7" x14ac:dyDescent="0.25">
      <c r="A4" t="s">
        <v>15</v>
      </c>
      <c r="B4" t="s">
        <v>76</v>
      </c>
      <c r="E4">
        <v>-14</v>
      </c>
      <c r="F4">
        <v>8.1934000000000005</v>
      </c>
    </row>
    <row r="7" spans="1:7" x14ac:dyDescent="0.25">
      <c r="A7" t="s">
        <v>60</v>
      </c>
      <c r="B7" t="s">
        <v>5</v>
      </c>
      <c r="C7" t="s">
        <v>90</v>
      </c>
      <c r="D7" t="s">
        <v>56</v>
      </c>
      <c r="E7" s="87" t="s">
        <v>57</v>
      </c>
      <c r="F7" s="87" t="s">
        <v>61</v>
      </c>
      <c r="G7" s="87" t="s">
        <v>59</v>
      </c>
    </row>
    <row r="8" spans="1:7" x14ac:dyDescent="0.25">
      <c r="A8" s="88">
        <v>5</v>
      </c>
      <c r="B8" s="88">
        <v>6</v>
      </c>
      <c r="C8" s="88">
        <v>0</v>
      </c>
      <c r="D8" s="88">
        <v>1</v>
      </c>
      <c r="E8" s="88">
        <v>2</v>
      </c>
      <c r="F8" s="88">
        <v>3</v>
      </c>
      <c r="G8" s="88">
        <v>4</v>
      </c>
    </row>
    <row r="9" spans="1:7" x14ac:dyDescent="0.25">
      <c r="A9" s="89">
        <v>-1</v>
      </c>
      <c r="B9" s="91">
        <v>0</v>
      </c>
      <c r="C9" s="89">
        <v>1</v>
      </c>
      <c r="D9" s="91">
        <v>-1</v>
      </c>
      <c r="E9" s="89">
        <v>1</v>
      </c>
      <c r="F9" s="90">
        <v>0</v>
      </c>
      <c r="G9" s="91">
        <v>0</v>
      </c>
    </row>
    <row r="10" spans="1:7" x14ac:dyDescent="0.25">
      <c r="A10" s="92">
        <v>0</v>
      </c>
      <c r="B10" s="94">
        <v>-1</v>
      </c>
      <c r="C10" s="92">
        <v>0</v>
      </c>
      <c r="D10" s="94">
        <v>1</v>
      </c>
      <c r="E10" s="92">
        <v>1</v>
      </c>
      <c r="F10" s="93">
        <v>0</v>
      </c>
      <c r="G10" s="94">
        <v>-1</v>
      </c>
    </row>
    <row r="11" spans="1:7" x14ac:dyDescent="0.25">
      <c r="A11" s="95">
        <v>0</v>
      </c>
      <c r="B11" s="97">
        <v>-1</v>
      </c>
      <c r="C11" s="95">
        <v>0</v>
      </c>
      <c r="D11" s="97">
        <v>1</v>
      </c>
      <c r="E11" s="95">
        <v>0</v>
      </c>
      <c r="F11" s="96">
        <v>1</v>
      </c>
      <c r="G11" s="97">
        <v>0</v>
      </c>
    </row>
    <row r="13" spans="1:7" x14ac:dyDescent="0.25">
      <c r="E13" t="s">
        <v>91</v>
      </c>
    </row>
    <row r="14" spans="1:7" x14ac:dyDescent="0.25">
      <c r="E14" s="89">
        <f t="array" ref="E14:G16">MINVERSE(E9:G11)</f>
        <v>1</v>
      </c>
      <c r="F14" s="90">
        <v>0</v>
      </c>
      <c r="G14" s="91">
        <v>0</v>
      </c>
    </row>
    <row r="15" spans="1:7" x14ac:dyDescent="0.25">
      <c r="E15" s="92">
        <v>0</v>
      </c>
      <c r="F15" s="93">
        <v>0</v>
      </c>
      <c r="G15" s="94">
        <v>1</v>
      </c>
    </row>
    <row r="16" spans="1:7" x14ac:dyDescent="0.25">
      <c r="E16" s="95">
        <v>1</v>
      </c>
      <c r="F16" s="96">
        <v>-1</v>
      </c>
      <c r="G16" s="97">
        <v>0</v>
      </c>
    </row>
    <row r="18" spans="3:27" ht="15.75" thickBot="1" x14ac:dyDescent="0.3">
      <c r="C18" s="107" t="s">
        <v>39</v>
      </c>
      <c r="D18" s="87"/>
      <c r="E18" s="82" t="s">
        <v>38</v>
      </c>
      <c r="F18" s="87"/>
      <c r="G18" s="108" t="s">
        <v>92</v>
      </c>
    </row>
    <row r="19" spans="3:27" x14ac:dyDescent="0.25">
      <c r="C19" s="98">
        <f t="array" ref="C19:D21">-MMULT(E14:G16,A9:B11)</f>
        <v>1</v>
      </c>
      <c r="D19" s="99">
        <v>0</v>
      </c>
      <c r="E19" s="58">
        <f t="array" ref="E19:F21">-MMULT(E14:G16,C9:D11)</f>
        <v>-1</v>
      </c>
      <c r="F19" s="59">
        <v>1</v>
      </c>
      <c r="G19" s="104">
        <f t="array" ref="G19:G21">MMULT(E14:G16,E2:E4)</f>
        <v>1.8487</v>
      </c>
    </row>
    <row r="20" spans="3:27" x14ac:dyDescent="0.25">
      <c r="C20" s="100">
        <v>0</v>
      </c>
      <c r="D20" s="101">
        <v>1</v>
      </c>
      <c r="E20" s="60">
        <v>0</v>
      </c>
      <c r="F20" s="61">
        <v>-1</v>
      </c>
      <c r="G20" s="105">
        <v>-14</v>
      </c>
    </row>
    <row r="21" spans="3:27" ht="15.75" thickBot="1" x14ac:dyDescent="0.3">
      <c r="C21" s="102">
        <v>1</v>
      </c>
      <c r="D21" s="103">
        <v>-1</v>
      </c>
      <c r="E21" s="62">
        <v>-1</v>
      </c>
      <c r="F21" s="63">
        <v>2</v>
      </c>
      <c r="G21" s="106">
        <v>8.1933999999999898</v>
      </c>
    </row>
    <row r="25" spans="3:27" x14ac:dyDescent="0.25">
      <c r="H25" t="s">
        <v>107</v>
      </c>
    </row>
    <row r="26" spans="3:27" ht="15.75" thickBot="1" x14ac:dyDescent="0.3">
      <c r="E26" s="88">
        <v>0</v>
      </c>
      <c r="F26" s="88">
        <v>1</v>
      </c>
      <c r="I26" t="s">
        <v>57</v>
      </c>
      <c r="J26" t="s">
        <v>61</v>
      </c>
      <c r="K26" t="s">
        <v>59</v>
      </c>
      <c r="N26" t="s">
        <v>109</v>
      </c>
      <c r="R26" t="s">
        <v>110</v>
      </c>
      <c r="V26" t="s">
        <v>93</v>
      </c>
    </row>
    <row r="27" spans="3:27" x14ac:dyDescent="0.25">
      <c r="D27" s="88">
        <v>0</v>
      </c>
      <c r="E27" s="58">
        <v>-1</v>
      </c>
      <c r="F27" s="59">
        <v>1</v>
      </c>
      <c r="G27" s="88">
        <v>0</v>
      </c>
      <c r="H27" s="79" t="s">
        <v>58</v>
      </c>
      <c r="I27" s="121">
        <v>-62.617758842526499</v>
      </c>
      <c r="J27" s="122">
        <v>-15.6544397106316</v>
      </c>
      <c r="K27" s="123">
        <v>-15.6544397106316</v>
      </c>
      <c r="M27" s="88">
        <v>0</v>
      </c>
      <c r="N27" s="89">
        <f t="array" ref="N27:P29">-MMULT(E27:F29,I27:K28)</f>
        <v>-45.889094438792497</v>
      </c>
      <c r="O27" s="90">
        <v>-11.4722736096981</v>
      </c>
      <c r="P27" s="91">
        <v>-11.4722736096981</v>
      </c>
      <c r="R27" s="89">
        <f t="shared" ref="R27:T29" si="0">N27+I29</f>
        <v>-65.246503088502095</v>
      </c>
      <c r="S27" s="90">
        <f t="shared" si="0"/>
        <v>-16.31162577212551</v>
      </c>
      <c r="T27" s="91">
        <f t="shared" si="0"/>
        <v>-16.31162577212551</v>
      </c>
      <c r="V27" s="89">
        <f>1+R27</f>
        <v>-64.246503088502095</v>
      </c>
      <c r="W27" s="90">
        <f>S27</f>
        <v>-16.31162577212551</v>
      </c>
      <c r="X27" s="91">
        <f>T27</f>
        <v>-16.31162577212551</v>
      </c>
    </row>
    <row r="28" spans="3:27" x14ac:dyDescent="0.25">
      <c r="C28" t="s">
        <v>111</v>
      </c>
      <c r="D28" s="88">
        <v>1</v>
      </c>
      <c r="E28" s="60">
        <v>0</v>
      </c>
      <c r="F28" s="61">
        <v>-1</v>
      </c>
      <c r="G28" s="88">
        <v>1</v>
      </c>
      <c r="H28" s="79" t="s">
        <v>56</v>
      </c>
      <c r="I28" s="124">
        <v>-16.728664403734001</v>
      </c>
      <c r="J28" s="125">
        <v>-4.1821661009335003</v>
      </c>
      <c r="K28" s="126">
        <v>-4.1821661009335003</v>
      </c>
      <c r="M28" s="88">
        <v>1</v>
      </c>
      <c r="N28" s="92">
        <v>-16.728664403734001</v>
      </c>
      <c r="O28" s="93">
        <v>-4.1821661009335003</v>
      </c>
      <c r="P28" s="94">
        <v>-4.1821661009335003</v>
      </c>
      <c r="R28" s="92">
        <f t="shared" si="0"/>
        <v>-36.685007307945099</v>
      </c>
      <c r="S28" s="93">
        <f t="shared" si="0"/>
        <v>-9.171251826986289</v>
      </c>
      <c r="T28" s="94">
        <f t="shared" si="0"/>
        <v>-9.171251826986289</v>
      </c>
      <c r="V28" s="92">
        <f>R28</f>
        <v>-36.685007307945099</v>
      </c>
      <c r="W28" s="93">
        <f>1+S28</f>
        <v>-8.171251826986289</v>
      </c>
      <c r="X28" s="94">
        <f>T28</f>
        <v>-9.171251826986289</v>
      </c>
    </row>
    <row r="29" spans="3:27" ht="15.75" thickBot="1" x14ac:dyDescent="0.3">
      <c r="D29" s="88">
        <v>2</v>
      </c>
      <c r="E29" s="62">
        <v>-1</v>
      </c>
      <c r="F29" s="63">
        <v>2</v>
      </c>
      <c r="G29" s="88">
        <v>2</v>
      </c>
      <c r="H29" t="s">
        <v>57</v>
      </c>
      <c r="I29" s="110">
        <v>-19.357408649709601</v>
      </c>
      <c r="J29" s="105">
        <v>-4.8393521624274101</v>
      </c>
      <c r="K29" s="111">
        <v>-4.8393521624274101</v>
      </c>
      <c r="L29" t="s">
        <v>108</v>
      </c>
      <c r="M29" s="88">
        <v>2</v>
      </c>
      <c r="N29" s="95">
        <v>-29.160430035058496</v>
      </c>
      <c r="O29" s="96">
        <v>-7.2901075087645992</v>
      </c>
      <c r="P29" s="97">
        <v>-7.2901075087645992</v>
      </c>
      <c r="R29" s="95">
        <f t="shared" si="0"/>
        <v>-28.971573480802231</v>
      </c>
      <c r="S29" s="96">
        <f t="shared" si="0"/>
        <v>-7.2428933702005329</v>
      </c>
      <c r="T29" s="97">
        <f t="shared" si="0"/>
        <v>-7.2428933702005329</v>
      </c>
      <c r="V29" s="95">
        <f>R29</f>
        <v>-28.971573480802231</v>
      </c>
      <c r="W29" s="96">
        <f>S29</f>
        <v>-7.2428933702005329</v>
      </c>
      <c r="X29" s="97">
        <f>1+T29</f>
        <v>-6.2428933702005329</v>
      </c>
    </row>
    <row r="30" spans="3:27" ht="15.75" thickBot="1" x14ac:dyDescent="0.3">
      <c r="G30" s="88">
        <v>3</v>
      </c>
      <c r="H30" s="115" t="s">
        <v>61</v>
      </c>
      <c r="I30" s="116">
        <v>-19.956342904211098</v>
      </c>
      <c r="J30" s="119">
        <v>-4.9890857260527897</v>
      </c>
      <c r="K30" s="117">
        <v>-4.9890857260527897</v>
      </c>
    </row>
    <row r="31" spans="3:27" x14ac:dyDescent="0.25">
      <c r="G31" s="88">
        <v>4</v>
      </c>
      <c r="H31" t="s">
        <v>59</v>
      </c>
      <c r="I31" s="110">
        <v>0.18885655425626599</v>
      </c>
      <c r="J31" s="105">
        <v>4.7214138564066498E-2</v>
      </c>
      <c r="K31" s="111">
        <v>4.7214138564066498E-2</v>
      </c>
      <c r="V31">
        <f t="array" ref="V31:X33">MINVERSE(V27:X29)</f>
        <v>0.19109870209066585</v>
      </c>
      <c r="W31">
        <v>-0.20222532447733374</v>
      </c>
      <c r="X31">
        <v>-0.20222532447733371</v>
      </c>
      <c r="Z31">
        <f t="array" ref="Z31:Z33">MMULT(V31:X33,U39:U41)</f>
        <v>-0.79777467552266668</v>
      </c>
      <c r="AA31">
        <f t="array" ref="AA31:AA33">MMULT(V31:X33,V39:V41)</f>
        <v>-0.21335194686400194</v>
      </c>
    </row>
    <row r="32" spans="3:27" x14ac:dyDescent="0.25">
      <c r="H32" s="79" t="s">
        <v>60</v>
      </c>
      <c r="I32" s="92">
        <v>0</v>
      </c>
      <c r="J32" s="118">
        <v>0</v>
      </c>
      <c r="K32" s="94">
        <v>0</v>
      </c>
      <c r="V32">
        <v>-0.4548067501021465</v>
      </c>
      <c r="W32">
        <v>0.8862983124744841</v>
      </c>
      <c r="X32">
        <v>-0.11370168752551599</v>
      </c>
      <c r="Z32">
        <v>0.11370168752551901</v>
      </c>
      <c r="AA32">
        <v>-1.6822101251531774</v>
      </c>
    </row>
    <row r="33" spans="7:27" ht="15.75" thickBot="1" x14ac:dyDescent="0.3">
      <c r="H33" s="79" t="s">
        <v>5</v>
      </c>
      <c r="I33" s="95">
        <v>0</v>
      </c>
      <c r="J33" s="120">
        <v>0</v>
      </c>
      <c r="K33" s="97">
        <v>0</v>
      </c>
      <c r="V33">
        <v>-0.35917853496772861</v>
      </c>
      <c r="W33">
        <v>-8.9794633741951235E-2</v>
      </c>
      <c r="X33">
        <v>0.91020536625804871</v>
      </c>
      <c r="Z33">
        <v>-0.91020536625805093</v>
      </c>
      <c r="AA33">
        <v>1.4612321975483704</v>
      </c>
    </row>
    <row r="34" spans="7:27" x14ac:dyDescent="0.25">
      <c r="I34" s="112">
        <v>2</v>
      </c>
      <c r="J34" s="113">
        <v>3</v>
      </c>
      <c r="K34" s="114">
        <v>4</v>
      </c>
    </row>
    <row r="37" spans="7:27" x14ac:dyDescent="0.25">
      <c r="H37" t="s">
        <v>112</v>
      </c>
    </row>
    <row r="38" spans="7:27" x14ac:dyDescent="0.25">
      <c r="I38" t="s">
        <v>90</v>
      </c>
      <c r="J38" t="s">
        <v>56</v>
      </c>
      <c r="N38" t="s">
        <v>113</v>
      </c>
      <c r="Q38" t="s">
        <v>114</v>
      </c>
      <c r="U38" t="s">
        <v>94</v>
      </c>
    </row>
    <row r="39" spans="7:27" x14ac:dyDescent="0.25">
      <c r="G39" s="88">
        <v>0</v>
      </c>
      <c r="H39" s="79" t="s">
        <v>58</v>
      </c>
      <c r="I39" s="121">
        <v>-62.617758842526499</v>
      </c>
      <c r="J39" s="123">
        <v>-15.6544397106316</v>
      </c>
      <c r="N39" s="89">
        <f t="array" ref="N39:O41">MMULT(E27:F29,I39:J40)</f>
        <v>45.889094438792497</v>
      </c>
      <c r="O39" s="91">
        <v>11.4722736096981</v>
      </c>
      <c r="Q39" s="89">
        <f>N39-I41</f>
        <v>65.246503088502095</v>
      </c>
      <c r="R39" s="91">
        <f>O39-J41</f>
        <v>16.31162577212551</v>
      </c>
      <c r="U39" s="89">
        <f>Q39+E27</f>
        <v>64.246503088502095</v>
      </c>
      <c r="V39" s="91">
        <f>R39+F27</f>
        <v>17.31162577212551</v>
      </c>
    </row>
    <row r="40" spans="7:27" x14ac:dyDescent="0.25">
      <c r="G40" s="88">
        <v>1</v>
      </c>
      <c r="H40" s="79" t="s">
        <v>56</v>
      </c>
      <c r="I40" s="124">
        <v>-16.728664403734001</v>
      </c>
      <c r="J40" s="126">
        <v>-4.1821661009335003</v>
      </c>
      <c r="N40" s="92">
        <v>16.728664403734001</v>
      </c>
      <c r="O40" s="94">
        <v>4.1821661009335003</v>
      </c>
      <c r="Q40" s="92">
        <f t="shared" ref="Q40:R40" si="1">N40-I42</f>
        <v>36.685007307945099</v>
      </c>
      <c r="R40" s="94">
        <f t="shared" si="1"/>
        <v>9.171251826986289</v>
      </c>
      <c r="U40" s="92">
        <f t="shared" ref="U40:V40" si="2">Q40+E28</f>
        <v>36.685007307945099</v>
      </c>
      <c r="V40" s="94">
        <f t="shared" si="2"/>
        <v>8.171251826986289</v>
      </c>
    </row>
    <row r="41" spans="7:27" ht="15.75" thickBot="1" x14ac:dyDescent="0.3">
      <c r="G41" s="88">
        <v>2</v>
      </c>
      <c r="H41" t="s">
        <v>57</v>
      </c>
      <c r="I41" s="110">
        <v>-19.357408649709601</v>
      </c>
      <c r="J41" s="111">
        <v>-4.8393521624274101</v>
      </c>
      <c r="N41" s="95">
        <v>29.160430035058496</v>
      </c>
      <c r="O41" s="97">
        <v>7.2901075087645992</v>
      </c>
      <c r="Q41" s="95">
        <f t="shared" ref="Q41:R41" si="3">N41-I43</f>
        <v>28.971573480802231</v>
      </c>
      <c r="R41" s="97">
        <f t="shared" si="3"/>
        <v>7.2428933702005329</v>
      </c>
      <c r="U41" s="95">
        <f t="shared" ref="U41:V41" si="4">Q41+E29</f>
        <v>27.971573480802231</v>
      </c>
      <c r="V41" s="97">
        <f t="shared" si="4"/>
        <v>9.2428933702005338</v>
      </c>
    </row>
    <row r="42" spans="7:27" ht="15.75" thickBot="1" x14ac:dyDescent="0.3">
      <c r="G42" s="88">
        <v>3</v>
      </c>
      <c r="H42" s="115" t="s">
        <v>61</v>
      </c>
      <c r="I42" s="110">
        <v>-19.956342904211098</v>
      </c>
      <c r="J42" s="111">
        <v>-4.9890857260527897</v>
      </c>
    </row>
    <row r="43" spans="7:27" x14ac:dyDescent="0.25">
      <c r="G43" s="88">
        <v>4</v>
      </c>
      <c r="H43" t="s">
        <v>59</v>
      </c>
      <c r="I43" s="110">
        <v>0.18885655425626599</v>
      </c>
      <c r="J43" s="111">
        <v>4.7214138564066498E-2</v>
      </c>
    </row>
    <row r="44" spans="7:27" x14ac:dyDescent="0.25">
      <c r="H44" s="79" t="s">
        <v>60</v>
      </c>
      <c r="I44" s="92">
        <v>0</v>
      </c>
      <c r="J44" s="94">
        <v>0</v>
      </c>
    </row>
    <row r="45" spans="7:27" x14ac:dyDescent="0.25">
      <c r="H45" s="79" t="s">
        <v>5</v>
      </c>
      <c r="I45" s="95">
        <v>0</v>
      </c>
      <c r="J45" s="97">
        <v>0</v>
      </c>
    </row>
    <row r="47" spans="7:27" x14ac:dyDescent="0.25">
      <c r="N47" t="s">
        <v>106</v>
      </c>
      <c r="V47" t="s">
        <v>41</v>
      </c>
      <c r="W47">
        <v>-0.76713218079815804</v>
      </c>
      <c r="X47" t="s">
        <v>25</v>
      </c>
    </row>
    <row r="48" spans="7:27" x14ac:dyDescent="0.25">
      <c r="O48" s="79" t="s">
        <v>58</v>
      </c>
      <c r="P48" s="79" t="s">
        <v>56</v>
      </c>
      <c r="V48" t="s">
        <v>44</v>
      </c>
      <c r="W48">
        <v>0.169235600907859</v>
      </c>
      <c r="X48" t="s">
        <v>25</v>
      </c>
    </row>
    <row r="49" spans="2:24" x14ac:dyDescent="0.25">
      <c r="B49" t="s">
        <v>116</v>
      </c>
      <c r="N49" t="s">
        <v>57</v>
      </c>
      <c r="O49">
        <v>-0.76713218079815804</v>
      </c>
      <c r="P49">
        <v>-0.39720691521104701</v>
      </c>
      <c r="V49" t="s">
        <v>46</v>
      </c>
      <c r="W49">
        <v>-0.93254657262574203</v>
      </c>
      <c r="X49" t="s">
        <v>25</v>
      </c>
    </row>
    <row r="50" spans="2:24" x14ac:dyDescent="0.25">
      <c r="B50" s="89">
        <v>1</v>
      </c>
      <c r="C50" s="90">
        <v>0</v>
      </c>
      <c r="D50" s="90">
        <v>-1</v>
      </c>
      <c r="E50" s="90">
        <v>0</v>
      </c>
      <c r="F50" s="91">
        <v>-1</v>
      </c>
      <c r="N50" t="s">
        <v>61</v>
      </c>
      <c r="O50">
        <v>0.169235600907859</v>
      </c>
      <c r="P50">
        <v>-2.0154136054471499</v>
      </c>
      <c r="V50" t="s">
        <v>140</v>
      </c>
      <c r="W50">
        <v>-0.39720691521104701</v>
      </c>
      <c r="X50" t="s">
        <v>25</v>
      </c>
    </row>
    <row r="51" spans="2:24" x14ac:dyDescent="0.25">
      <c r="B51" s="95">
        <v>0</v>
      </c>
      <c r="C51" s="96">
        <v>1</v>
      </c>
      <c r="D51" s="96">
        <v>1</v>
      </c>
      <c r="E51" s="96">
        <v>-1</v>
      </c>
      <c r="F51" s="97">
        <v>2</v>
      </c>
      <c r="N51" t="s">
        <v>59</v>
      </c>
      <c r="O51">
        <v>-0.93254657262574203</v>
      </c>
      <c r="P51">
        <v>1.59527943575445</v>
      </c>
      <c r="V51" t="s">
        <v>141</v>
      </c>
      <c r="W51">
        <v>-2.0154136054471499</v>
      </c>
      <c r="X51" t="s">
        <v>25</v>
      </c>
    </row>
    <row r="52" spans="2:24" x14ac:dyDescent="0.25">
      <c r="V52" t="s">
        <v>142</v>
      </c>
      <c r="W52">
        <v>1.59527943575445</v>
      </c>
      <c r="X52" t="s">
        <v>25</v>
      </c>
    </row>
    <row r="53" spans="2:24" x14ac:dyDescent="0.25">
      <c r="V53" t="s">
        <v>115</v>
      </c>
    </row>
    <row r="54" spans="2:24" x14ac:dyDescent="0.25">
      <c r="O54">
        <f t="array" ref="O54:Q55">TRANSPOSE(E27:F29)</f>
        <v>-1</v>
      </c>
      <c r="P54">
        <v>0</v>
      </c>
      <c r="Q54">
        <v>-1</v>
      </c>
      <c r="S54">
        <f t="array" ref="S54:T55">MMULT(O54:Q55,O49:P51)</f>
        <v>1.6996787534239002</v>
      </c>
      <c r="T54">
        <v>-1.1980725205434029</v>
      </c>
      <c r="V54" s="89">
        <f>S54+1</f>
        <v>2.6996787534239002</v>
      </c>
      <c r="W54" s="91">
        <v>31022.814591849889</v>
      </c>
    </row>
    <row r="55" spans="2:24" x14ac:dyDescent="0.25">
      <c r="O55">
        <v>1</v>
      </c>
      <c r="P55">
        <v>-1</v>
      </c>
      <c r="Q55">
        <v>2</v>
      </c>
      <c r="S55">
        <v>-2.801460926957501</v>
      </c>
      <c r="T55">
        <v>4.8087655617450027</v>
      </c>
      <c r="V55" s="95">
        <v>-7.655793028016423</v>
      </c>
      <c r="W55" s="97">
        <f>1+T55</f>
        <v>5.8087655617450027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1"/>
  <sheetViews>
    <sheetView workbookViewId="0">
      <selection activeCell="A8" sqref="A8:A9"/>
    </sheetView>
  </sheetViews>
  <sheetFormatPr defaultRowHeight="15" x14ac:dyDescent="0.25"/>
  <sheetData>
    <row r="2" spans="1:28" x14ac:dyDescent="0.25">
      <c r="A2" t="s">
        <v>112</v>
      </c>
      <c r="I2" t="s">
        <v>138</v>
      </c>
    </row>
    <row r="4" spans="1:28" x14ac:dyDescent="0.25">
      <c r="B4" s="79" t="s">
        <v>56</v>
      </c>
      <c r="C4" s="79" t="s">
        <v>5</v>
      </c>
      <c r="D4" s="79" t="s">
        <v>57</v>
      </c>
      <c r="E4" s="79" t="s">
        <v>58</v>
      </c>
      <c r="I4" s="87" t="s">
        <v>57</v>
      </c>
      <c r="J4" s="87" t="s">
        <v>61</v>
      </c>
      <c r="K4" s="87" t="s">
        <v>59</v>
      </c>
    </row>
    <row r="5" spans="1:28" x14ac:dyDescent="0.25">
      <c r="A5" s="79" t="s">
        <v>56</v>
      </c>
      <c r="B5">
        <v>-4.1354293501050803</v>
      </c>
      <c r="C5" s="77">
        <v>0</v>
      </c>
      <c r="D5">
        <v>-4.1821606124161201</v>
      </c>
      <c r="E5">
        <v>-16.728642449664498</v>
      </c>
      <c r="H5" s="79" t="s">
        <v>58</v>
      </c>
      <c r="I5">
        <v>-62.617769108196498</v>
      </c>
      <c r="J5">
        <v>-15.6544422770491</v>
      </c>
      <c r="K5">
        <v>-15.6544422770491</v>
      </c>
    </row>
    <row r="6" spans="1:28" x14ac:dyDescent="0.25">
      <c r="A6" s="79" t="s">
        <v>5</v>
      </c>
      <c r="B6">
        <v>-35.861014351251299</v>
      </c>
      <c r="C6" s="77">
        <v>0</v>
      </c>
      <c r="D6" s="77">
        <v>-5.3858540313797297E-2</v>
      </c>
      <c r="E6" s="77">
        <v>-1.8015340000000001E-2</v>
      </c>
      <c r="H6" s="79" t="s">
        <v>56</v>
      </c>
      <c r="I6">
        <v>-16.728667024639499</v>
      </c>
      <c r="J6">
        <v>-4.1821667561598899</v>
      </c>
      <c r="K6">
        <v>-4.1821667561598899</v>
      </c>
    </row>
    <row r="7" spans="1:28" x14ac:dyDescent="0.25">
      <c r="A7" s="83" t="s">
        <v>61</v>
      </c>
      <c r="B7" s="80">
        <v>-4.9333322274390703</v>
      </c>
      <c r="C7" s="138">
        <v>0</v>
      </c>
      <c r="D7" s="80">
        <v>-4.98907996796863</v>
      </c>
      <c r="E7" s="80">
        <v>-19.956319871874499</v>
      </c>
      <c r="H7" t="s">
        <v>57</v>
      </c>
      <c r="I7">
        <v>-19.357411382131801</v>
      </c>
      <c r="J7">
        <v>-4.83935284553296</v>
      </c>
      <c r="K7">
        <v>-4.83935284553296</v>
      </c>
    </row>
    <row r="8" spans="1:28" x14ac:dyDescent="0.25">
      <c r="A8" s="79" t="s">
        <v>57</v>
      </c>
      <c r="B8" s="80">
        <v>-4.7852718151133198</v>
      </c>
      <c r="C8" s="138">
        <v>0</v>
      </c>
      <c r="D8" s="80">
        <v>-4.8393464403794999</v>
      </c>
      <c r="E8" s="80">
        <v>-19.357385761518</v>
      </c>
      <c r="H8" t="s">
        <v>61</v>
      </c>
      <c r="I8">
        <v>-19.956345653841499</v>
      </c>
      <c r="J8">
        <v>-4.9890864134603898</v>
      </c>
      <c r="K8">
        <v>-4.9890864134603898</v>
      </c>
    </row>
    <row r="9" spans="1:28" x14ac:dyDescent="0.25">
      <c r="A9" s="79" t="s">
        <v>58</v>
      </c>
      <c r="B9">
        <v>-15.479496493892</v>
      </c>
      <c r="C9" s="77">
        <v>0</v>
      </c>
      <c r="D9">
        <v>-15.654418212982799</v>
      </c>
      <c r="E9">
        <v>-62.617672851930998</v>
      </c>
      <c r="H9" t="s">
        <v>59</v>
      </c>
      <c r="I9">
        <v>0.18885655424564199</v>
      </c>
      <c r="J9">
        <v>4.7214138561410698E-2</v>
      </c>
      <c r="K9">
        <v>4.7214138561410698E-2</v>
      </c>
    </row>
    <row r="10" spans="1:28" x14ac:dyDescent="0.25">
      <c r="A10" t="s">
        <v>59</v>
      </c>
      <c r="B10" s="138">
        <v>4.6686570063833498E-2</v>
      </c>
      <c r="C10" s="138">
        <v>0</v>
      </c>
      <c r="D10" s="138">
        <v>4.7214138586313598E-2</v>
      </c>
      <c r="E10" s="80">
        <v>0.188856554345254</v>
      </c>
      <c r="H10" s="79" t="s">
        <v>60</v>
      </c>
      <c r="I10">
        <v>0</v>
      </c>
      <c r="J10">
        <v>0</v>
      </c>
      <c r="K10">
        <v>0</v>
      </c>
      <c r="V10" t="s">
        <v>24</v>
      </c>
      <c r="W10">
        <v>-6.9077552789821297</v>
      </c>
      <c r="X10" t="s">
        <v>25</v>
      </c>
      <c r="Y10">
        <f>EXP(W10)</f>
        <v>1.0000000000000074E-3</v>
      </c>
      <c r="AA10">
        <v>-1.1499999999999999</v>
      </c>
      <c r="AB10">
        <f>AA10*LN(10)</f>
        <v>-2.6479728569431527</v>
      </c>
    </row>
    <row r="11" spans="1:28" x14ac:dyDescent="0.25">
      <c r="A11" t="s">
        <v>60</v>
      </c>
      <c r="B11" s="77">
        <v>0</v>
      </c>
      <c r="C11" s="77">
        <v>0</v>
      </c>
      <c r="D11" s="77">
        <v>0</v>
      </c>
      <c r="E11" s="77">
        <v>0</v>
      </c>
      <c r="H11" s="79" t="s">
        <v>5</v>
      </c>
      <c r="I11">
        <v>0</v>
      </c>
      <c r="J11">
        <v>0</v>
      </c>
      <c r="K11">
        <v>0</v>
      </c>
      <c r="V11" t="s">
        <v>26</v>
      </c>
      <c r="W11">
        <v>-18.4206807439523</v>
      </c>
      <c r="X11" t="s">
        <v>25</v>
      </c>
      <c r="Y11">
        <f t="shared" ref="Y11:Y12" si="0">EXP(W11)</f>
        <v>1.0000000000000657E-8</v>
      </c>
    </row>
    <row r="12" spans="1:28" x14ac:dyDescent="0.25">
      <c r="V12" t="s">
        <v>27</v>
      </c>
      <c r="W12">
        <v>-1.85726513600899</v>
      </c>
      <c r="X12" t="s">
        <v>25</v>
      </c>
      <c r="Y12">
        <f t="shared" si="0"/>
        <v>0.15609895654550734</v>
      </c>
    </row>
    <row r="14" spans="1:28" x14ac:dyDescent="0.25">
      <c r="I14" t="s">
        <v>139</v>
      </c>
    </row>
    <row r="15" spans="1:28" x14ac:dyDescent="0.25">
      <c r="J15" t="s">
        <v>90</v>
      </c>
      <c r="K15" t="s">
        <v>56</v>
      </c>
    </row>
    <row r="16" spans="1:28" x14ac:dyDescent="0.25">
      <c r="H16" s="88">
        <v>0</v>
      </c>
      <c r="I16" s="79" t="s">
        <v>58</v>
      </c>
      <c r="J16" s="121">
        <v>-62.617758842526499</v>
      </c>
      <c r="K16" s="123">
        <v>-15.6544397106316</v>
      </c>
    </row>
    <row r="17" spans="4:25" x14ac:dyDescent="0.25">
      <c r="H17" s="88">
        <v>1</v>
      </c>
      <c r="I17" s="79" t="s">
        <v>56</v>
      </c>
      <c r="J17" s="124">
        <v>-16.728664403734001</v>
      </c>
      <c r="K17" s="126">
        <v>-4.1821661009335003</v>
      </c>
      <c r="P17">
        <v>-0.98281183403739003</v>
      </c>
    </row>
    <row r="18" spans="4:25" ht="15.75" thickBot="1" x14ac:dyDescent="0.3">
      <c r="H18" s="88">
        <v>2</v>
      </c>
      <c r="I18" t="s">
        <v>57</v>
      </c>
      <c r="J18" s="110">
        <v>-19.357408649709601</v>
      </c>
      <c r="K18" s="111">
        <v>-4.8393521624274101</v>
      </c>
    </row>
    <row r="19" spans="4:25" ht="15.75" thickBot="1" x14ac:dyDescent="0.3">
      <c r="H19" s="88">
        <v>3</v>
      </c>
      <c r="I19" s="115" t="s">
        <v>61</v>
      </c>
      <c r="J19" s="110">
        <v>-19.956342904211098</v>
      </c>
      <c r="K19" s="111">
        <v>-4.9890857260527897</v>
      </c>
    </row>
    <row r="20" spans="4:25" x14ac:dyDescent="0.25">
      <c r="H20" s="88">
        <v>4</v>
      </c>
      <c r="I20" t="s">
        <v>59</v>
      </c>
      <c r="J20" s="110">
        <v>0.18885655425626599</v>
      </c>
      <c r="K20" s="111">
        <v>4.7214138564066498E-2</v>
      </c>
    </row>
    <row r="21" spans="4:25" x14ac:dyDescent="0.25">
      <c r="I21" s="79" t="s">
        <v>60</v>
      </c>
      <c r="J21" s="92">
        <v>0</v>
      </c>
      <c r="K21" s="94">
        <v>0</v>
      </c>
    </row>
    <row r="22" spans="4:25" x14ac:dyDescent="0.25">
      <c r="I22" s="79" t="s">
        <v>5</v>
      </c>
      <c r="J22" s="95">
        <v>0</v>
      </c>
      <c r="K22" s="97">
        <v>0</v>
      </c>
    </row>
    <row r="27" spans="4:25" x14ac:dyDescent="0.25">
      <c r="D27" t="s">
        <v>41</v>
      </c>
      <c r="E27">
        <v>-1</v>
      </c>
      <c r="F27">
        <v>1</v>
      </c>
    </row>
    <row r="28" spans="4:25" x14ac:dyDescent="0.25">
      <c r="D28" t="s">
        <v>44</v>
      </c>
      <c r="E28">
        <v>0</v>
      </c>
      <c r="F28">
        <v>-1</v>
      </c>
      <c r="N28" t="s">
        <v>146</v>
      </c>
    </row>
    <row r="29" spans="4:25" ht="15.75" thickBot="1" x14ac:dyDescent="0.3">
      <c r="D29" t="s">
        <v>46</v>
      </c>
      <c r="E29" s="139">
        <v>-1</v>
      </c>
      <c r="F29" s="139">
        <v>2</v>
      </c>
      <c r="J29">
        <v>0.91966088442991401</v>
      </c>
      <c r="K29" s="77">
        <v>-2.0084778892521399E-5</v>
      </c>
      <c r="L29">
        <v>-2.0084778892521402E-2</v>
      </c>
      <c r="N29">
        <v>-0.88990271421932399</v>
      </c>
      <c r="O29" t="s">
        <v>57</v>
      </c>
      <c r="P29">
        <v>-0.98281183403739003</v>
      </c>
      <c r="R29">
        <f t="array" ref="R29:R31">MMULT(J29:L31,P29:P31)</f>
        <v>-0.88990271421932321</v>
      </c>
      <c r="T29">
        <f>ABS(N29-N33)</f>
        <v>2.57022880177038E-4</v>
      </c>
      <c r="W29" t="s">
        <v>41</v>
      </c>
      <c r="Y29" t="s">
        <v>25</v>
      </c>
    </row>
    <row r="30" spans="4:25" ht="15.75" thickBot="1" x14ac:dyDescent="0.3">
      <c r="D30" t="s">
        <v>140</v>
      </c>
      <c r="J30">
        <v>-3.8698327776302797E-2</v>
      </c>
      <c r="K30">
        <v>0.99999032541805499</v>
      </c>
      <c r="L30">
        <v>-9.6745819440757202E-3</v>
      </c>
      <c r="N30">
        <v>-2.9076794184732599</v>
      </c>
      <c r="O30" s="115" t="s">
        <v>61</v>
      </c>
      <c r="P30">
        <v>-2.9524325570485899</v>
      </c>
      <c r="R30">
        <v>-2.9076794184732591</v>
      </c>
      <c r="T30">
        <f t="shared" ref="T30:T31" si="1">ABS(N30-N34)</f>
        <v>5.1751003482536362E-10</v>
      </c>
      <c r="W30" t="s">
        <v>44</v>
      </c>
      <c r="Y30" t="s">
        <v>25</v>
      </c>
    </row>
    <row r="31" spans="4:25" x14ac:dyDescent="0.25">
      <c r="D31" t="s">
        <v>141</v>
      </c>
      <c r="F31">
        <v>1E-3</v>
      </c>
      <c r="G31">
        <f>E29*F31+F29*F32</f>
        <v>-9.9799999999999997E-4</v>
      </c>
      <c r="J31">
        <v>-4.2102760318788901E-2</v>
      </c>
      <c r="K31" s="77">
        <v>-1.05256900796972E-5</v>
      </c>
      <c r="L31">
        <v>0.98947430992030205</v>
      </c>
      <c r="N31">
        <v>-0.64295727689645699</v>
      </c>
      <c r="O31" t="s">
        <v>59</v>
      </c>
      <c r="P31">
        <v>-0.69164751172630401</v>
      </c>
      <c r="R31">
        <v>-0.64295727689645632</v>
      </c>
      <c r="T31">
        <f t="shared" si="1"/>
        <v>4.1834787754729041E-2</v>
      </c>
      <c r="W31" t="s">
        <v>46</v>
      </c>
      <c r="Y31" t="s">
        <v>25</v>
      </c>
    </row>
    <row r="32" spans="4:25" x14ac:dyDescent="0.25">
      <c r="D32" t="s">
        <v>142</v>
      </c>
      <c r="F32">
        <v>9.9999999999999995E-7</v>
      </c>
    </row>
    <row r="33" spans="10:18" x14ac:dyDescent="0.25">
      <c r="J33">
        <v>0.91326703936464104</v>
      </c>
      <c r="K33" s="77">
        <v>-2.1683240158839601E-5</v>
      </c>
      <c r="L33">
        <v>-8.1151102367054608E-3</v>
      </c>
      <c r="N33">
        <v>-0.88964569133914695</v>
      </c>
      <c r="P33">
        <v>-0.97996643611923695</v>
      </c>
      <c r="R33">
        <f t="array" ref="R33:R35">MMULT(J33:L35,P33:P35)</f>
        <v>-0.88964569133914617</v>
      </c>
    </row>
    <row r="34" spans="10:18" x14ac:dyDescent="0.25">
      <c r="J34">
        <v>-4.1858649805181898E-2</v>
      </c>
      <c r="K34">
        <v>0.99998953533754797</v>
      </c>
      <c r="L34">
        <v>-3.9164759860649701E-3</v>
      </c>
      <c r="N34">
        <v>-2.9076794179557499</v>
      </c>
      <c r="P34">
        <v>-2.9512695871163199</v>
      </c>
      <c r="R34">
        <v>-2.9076794179557397</v>
      </c>
    </row>
    <row r="35" spans="10:18" x14ac:dyDescent="0.25">
      <c r="J35">
        <v>-4.5343180971448897E-2</v>
      </c>
      <c r="K35" s="77">
        <v>-1.13357952428622E-5</v>
      </c>
      <c r="L35">
        <v>0.99575749623475596</v>
      </c>
      <c r="N35">
        <v>-0.60112248914172794</v>
      </c>
      <c r="P35">
        <v>-0.64834133012258199</v>
      </c>
      <c r="R35">
        <v>-0.60112248914172728</v>
      </c>
    </row>
    <row r="37" spans="10:18" x14ac:dyDescent="0.25">
      <c r="J37" t="s">
        <v>141</v>
      </c>
    </row>
    <row r="38" spans="10:18" x14ac:dyDescent="0.25">
      <c r="J38" t="s">
        <v>142</v>
      </c>
    </row>
    <row r="39" spans="10:18" x14ac:dyDescent="0.25">
      <c r="J39" t="s">
        <v>143</v>
      </c>
    </row>
    <row r="40" spans="10:18" x14ac:dyDescent="0.25">
      <c r="J40" t="s">
        <v>144</v>
      </c>
    </row>
    <row r="41" spans="10:18" x14ac:dyDescent="0.25">
      <c r="J4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opLeftCell="L1" workbookViewId="0">
      <selection activeCell="AH28" sqref="AH28"/>
    </sheetView>
  </sheetViews>
  <sheetFormatPr defaultRowHeight="15" x14ac:dyDescent="0.25"/>
  <cols>
    <col min="1" max="1" width="11.5703125" bestFit="1" customWidth="1"/>
    <col min="2" max="2" width="12.7109375" bestFit="1" customWidth="1"/>
    <col min="5" max="5" width="11.28515625" customWidth="1"/>
    <col min="6" max="6" width="10.28515625" bestFit="1" customWidth="1"/>
    <col min="8" max="8" width="12" bestFit="1" customWidth="1"/>
    <col min="10" max="10" width="12.7109375" bestFit="1" customWidth="1"/>
    <col min="14" max="15" width="12" bestFit="1" customWidth="1"/>
    <col min="17" max="17" width="12.7109375" bestFit="1" customWidth="1"/>
    <col min="19" max="19" width="12.42578125" bestFit="1" customWidth="1"/>
  </cols>
  <sheetData>
    <row r="1" spans="1:23" ht="15.75" thickBot="1" x14ac:dyDescent="0.3">
      <c r="D1" s="107" t="s">
        <v>39</v>
      </c>
      <c r="E1" s="87"/>
      <c r="F1" s="82" t="s">
        <v>38</v>
      </c>
      <c r="G1" s="87"/>
      <c r="H1" s="108" t="s">
        <v>92</v>
      </c>
      <c r="K1" s="205" t="s">
        <v>151</v>
      </c>
      <c r="L1" s="205"/>
    </row>
    <row r="2" spans="1:23" x14ac:dyDescent="0.25">
      <c r="D2" s="98">
        <v>1</v>
      </c>
      <c r="E2" s="99">
        <v>0</v>
      </c>
      <c r="F2" s="58">
        <v>-1</v>
      </c>
      <c r="G2" s="59">
        <v>1</v>
      </c>
      <c r="H2" s="104">
        <v>1.8487</v>
      </c>
      <c r="K2" s="147">
        <f t="array" ref="K2:M3">TRANSPOSE(F2:G4)</f>
        <v>-1</v>
      </c>
      <c r="L2" s="148">
        <v>0</v>
      </c>
      <c r="M2" s="149">
        <v>-1</v>
      </c>
      <c r="R2" t="s">
        <v>56</v>
      </c>
      <c r="S2" t="s">
        <v>61</v>
      </c>
      <c r="T2" t="s">
        <v>57</v>
      </c>
      <c r="U2" t="s">
        <v>58</v>
      </c>
      <c r="V2" t="s">
        <v>59</v>
      </c>
      <c r="W2" t="s">
        <v>60</v>
      </c>
    </row>
    <row r="3" spans="1:23" ht="15.75" thickBot="1" x14ac:dyDescent="0.3">
      <c r="A3" s="141"/>
      <c r="D3" s="100">
        <v>0</v>
      </c>
      <c r="E3" s="101">
        <v>1</v>
      </c>
      <c r="F3" s="60">
        <v>0</v>
      </c>
      <c r="G3" s="61">
        <v>-1</v>
      </c>
      <c r="H3" s="105">
        <v>-14</v>
      </c>
      <c r="K3" s="150">
        <v>1</v>
      </c>
      <c r="L3" s="151">
        <v>-1</v>
      </c>
      <c r="M3" s="152">
        <v>2</v>
      </c>
      <c r="R3" s="77">
        <v>3.1146820000000001E-10</v>
      </c>
      <c r="S3" s="77">
        <v>4.727097E-5</v>
      </c>
      <c r="T3" s="77">
        <v>9.9952630000000001E-2</v>
      </c>
      <c r="U3" s="77">
        <v>4.47E-3</v>
      </c>
      <c r="V3" s="77">
        <v>4.7370660000000001E-5</v>
      </c>
      <c r="W3" s="77">
        <v>0</v>
      </c>
    </row>
    <row r="4" spans="1:23" ht="15.75" thickBot="1" x14ac:dyDescent="0.3">
      <c r="D4" s="102">
        <v>1</v>
      </c>
      <c r="E4" s="103">
        <v>-1</v>
      </c>
      <c r="F4" s="62">
        <v>-1</v>
      </c>
      <c r="G4" s="63">
        <v>2</v>
      </c>
      <c r="H4" s="106">
        <v>8.1933999999999898</v>
      </c>
    </row>
    <row r="7" spans="1:23" x14ac:dyDescent="0.25">
      <c r="F7" s="78"/>
    </row>
    <row r="10" spans="1:23" x14ac:dyDescent="0.25">
      <c r="B10" s="87" t="s">
        <v>31</v>
      </c>
      <c r="C10" t="s">
        <v>86</v>
      </c>
      <c r="D10" t="s">
        <v>154</v>
      </c>
    </row>
    <row r="11" spans="1:23" x14ac:dyDescent="0.25">
      <c r="A11" t="s">
        <v>147</v>
      </c>
      <c r="B11">
        <v>1E-3</v>
      </c>
      <c r="C11" s="140">
        <v>1</v>
      </c>
      <c r="D11" s="77">
        <v>4.47E-3</v>
      </c>
    </row>
    <row r="12" spans="1:23" x14ac:dyDescent="0.25">
      <c r="A12" t="s">
        <v>7</v>
      </c>
      <c r="B12" s="77">
        <v>9.999999999999989E-7</v>
      </c>
      <c r="C12" s="140">
        <v>1</v>
      </c>
      <c r="D12" s="77">
        <v>9.9999999999999995E-8</v>
      </c>
    </row>
    <row r="14" spans="1:23" x14ac:dyDescent="0.25">
      <c r="B14" s="87" t="s">
        <v>36</v>
      </c>
      <c r="E14" t="s">
        <v>94</v>
      </c>
      <c r="G14" t="s">
        <v>148</v>
      </c>
      <c r="J14" t="s">
        <v>149</v>
      </c>
    </row>
    <row r="15" spans="1:23" x14ac:dyDescent="0.25">
      <c r="A15" t="s">
        <v>57</v>
      </c>
      <c r="B15">
        <v>7.0582981585982293E-2</v>
      </c>
      <c r="C15" s="140">
        <v>1</v>
      </c>
      <c r="E15" s="77">
        <v>1.10071951553436E-11</v>
      </c>
      <c r="G15" s="77">
        <f>F2*LN($B$11)+G2*LN($B$12)</f>
        <v>-6.9077552789821386</v>
      </c>
      <c r="J15">
        <v>0.18310928410175401</v>
      </c>
      <c r="O15" s="77"/>
    </row>
    <row r="16" spans="1:23" x14ac:dyDescent="0.25">
      <c r="A16" t="s">
        <v>61</v>
      </c>
      <c r="B16" s="77">
        <v>9.9999999999999804E-9</v>
      </c>
      <c r="C16" s="140">
        <v>1</v>
      </c>
      <c r="E16" s="77">
        <v>-8.3353768332017301E-11</v>
      </c>
      <c r="G16" s="77">
        <f t="shared" ref="G16:G17" si="0">F3*LN($B$11)+G3*LN($B$12)</f>
        <v>13.815510557964275</v>
      </c>
      <c r="J16" s="77">
        <v>1.56215425467638E-8</v>
      </c>
      <c r="O16" s="77"/>
      <c r="P16" s="77"/>
    </row>
    <row r="17" spans="1:29" x14ac:dyDescent="0.25">
      <c r="A17" t="s">
        <v>59</v>
      </c>
      <c r="B17">
        <v>0.15609895654550601</v>
      </c>
      <c r="C17" s="140">
        <v>1</v>
      </c>
      <c r="E17" s="77">
        <v>4.8782311523609601E-11</v>
      </c>
      <c r="G17" s="77">
        <f t="shared" si="0"/>
        <v>-20.723265836946414</v>
      </c>
      <c r="J17">
        <v>0.26207216844710801</v>
      </c>
      <c r="O17" s="77"/>
    </row>
    <row r="18" spans="1:29" x14ac:dyDescent="0.25">
      <c r="P18" s="77"/>
    </row>
    <row r="21" spans="1:29" x14ac:dyDescent="0.25">
      <c r="A21" s="166" t="s">
        <v>152</v>
      </c>
      <c r="B21" s="166"/>
      <c r="M21" t="s">
        <v>106</v>
      </c>
      <c r="S21" s="88" t="s">
        <v>153</v>
      </c>
    </row>
    <row r="23" spans="1:29" ht="15.75" thickBot="1" x14ac:dyDescent="0.3">
      <c r="B23" t="s">
        <v>94</v>
      </c>
      <c r="E23" t="s">
        <v>93</v>
      </c>
      <c r="I23" s="87" t="s">
        <v>150</v>
      </c>
      <c r="M23" s="83" t="s">
        <v>58</v>
      </c>
      <c r="N23" s="83" t="s">
        <v>56</v>
      </c>
      <c r="U23" s="79" t="s">
        <v>56</v>
      </c>
      <c r="V23" s="79" t="s">
        <v>5</v>
      </c>
      <c r="W23" s="79" t="s">
        <v>57</v>
      </c>
      <c r="X23" s="79" t="s">
        <v>58</v>
      </c>
    </row>
    <row r="24" spans="1:29" x14ac:dyDescent="0.25">
      <c r="B24" s="142">
        <v>0.99332818310836901</v>
      </c>
      <c r="C24" s="143">
        <v>-1.0000016679542201</v>
      </c>
      <c r="E24" s="142">
        <v>0.99332818310777704</v>
      </c>
      <c r="F24" s="154">
        <v>-1.66795422305566E-6</v>
      </c>
      <c r="G24" s="143">
        <v>-0.30541790366594901</v>
      </c>
      <c r="I24" s="142">
        <f t="array" ref="I24:J26">MMULT(E28:G30,B24:C26)</f>
        <v>1.3738618607975956</v>
      </c>
      <c r="J24" s="143">
        <v>-1.7558906883900072</v>
      </c>
      <c r="L24" t="s">
        <v>57</v>
      </c>
      <c r="M24" s="142">
        <f>I24*J15/B11</f>
        <v>251.56686178535136</v>
      </c>
      <c r="N24" s="156">
        <f>J24*J15/B12</f>
        <v>-321519.88691203063</v>
      </c>
      <c r="P24" s="142">
        <f t="array" ref="P24:Q25">MMULT(K2:M3,M24:N26)</f>
        <v>-570.22866512752023</v>
      </c>
      <c r="Q24" s="143">
        <v>960079.68727532728</v>
      </c>
      <c r="T24" s="79" t="s">
        <v>56</v>
      </c>
      <c r="U24">
        <v>1</v>
      </c>
      <c r="V24" s="77">
        <v>0</v>
      </c>
      <c r="W24" s="77">
        <v>0</v>
      </c>
      <c r="X24" s="77">
        <v>0</v>
      </c>
      <c r="Z24">
        <v>1</v>
      </c>
      <c r="AA24" s="77">
        <v>0</v>
      </c>
      <c r="AB24" s="77">
        <v>0</v>
      </c>
      <c r="AC24" s="77">
        <v>0</v>
      </c>
    </row>
    <row r="25" spans="1:29" ht="15.75" thickBot="1" x14ac:dyDescent="0.3">
      <c r="B25" s="160">
        <v>-2.9421461422591802E-3</v>
      </c>
      <c r="C25" s="167">
        <v>0.99999926446346399</v>
      </c>
      <c r="E25" s="160">
        <v>-2.94214614253688E-3</v>
      </c>
      <c r="F25" s="93">
        <v>0.99999926446346399</v>
      </c>
      <c r="G25" s="167">
        <v>-0.134683568456435</v>
      </c>
      <c r="I25" s="160">
        <v>0.16486607012096419</v>
      </c>
      <c r="J25" s="167">
        <v>0.66666638054490734</v>
      </c>
      <c r="L25" t="s">
        <v>61</v>
      </c>
      <c r="M25" s="157">
        <f>I25*J16/B11</f>
        <v>2.5754623289123861E-6</v>
      </c>
      <c r="N25" s="159">
        <f>J25*J16/B12</f>
        <v>1.0414357228179308E-2</v>
      </c>
      <c r="P25" s="144">
        <v>888.89046589422674</v>
      </c>
      <c r="Q25" s="146">
        <v>-1598639.4980529812</v>
      </c>
      <c r="T25" s="79" t="s">
        <v>5</v>
      </c>
      <c r="U25" s="77">
        <v>0</v>
      </c>
      <c r="V25">
        <v>1</v>
      </c>
      <c r="W25" s="77">
        <v>0</v>
      </c>
      <c r="X25" s="77">
        <v>0</v>
      </c>
      <c r="Z25" s="77">
        <v>0</v>
      </c>
      <c r="AA25">
        <v>1</v>
      </c>
      <c r="AB25" s="77">
        <v>0</v>
      </c>
      <c r="AC25" s="77">
        <v>0</v>
      </c>
    </row>
    <row r="26" spans="1:29" ht="15.75" thickBot="1" x14ac:dyDescent="0.3">
      <c r="B26" s="144">
        <v>0.996146556948307</v>
      </c>
      <c r="C26" s="146">
        <v>-2.0000009633607601</v>
      </c>
      <c r="E26" s="144">
        <v>-3.85344305201988E-3</v>
      </c>
      <c r="F26" s="162">
        <v>-9.6336076300497106E-7</v>
      </c>
      <c r="G26" s="146">
        <v>0.82359970037307895</v>
      </c>
      <c r="I26" s="144">
        <v>1.2159314941009538</v>
      </c>
      <c r="J26" s="146">
        <v>-2.4365799853797583</v>
      </c>
      <c r="L26" t="s">
        <v>59</v>
      </c>
      <c r="M26" s="144">
        <f>I26*J17/B11</f>
        <v>318.66180334216887</v>
      </c>
      <c r="N26" s="168">
        <f>J26*J17/B12</f>
        <v>-638559.80036329664</v>
      </c>
      <c r="T26" s="83" t="s">
        <v>61</v>
      </c>
      <c r="U26" s="77">
        <v>-1.11738466125947E-2</v>
      </c>
      <c r="V26" s="77">
        <v>0</v>
      </c>
      <c r="W26" s="77">
        <v>1.07501406764532E-7</v>
      </c>
      <c r="X26" s="77">
        <v>4.3221179184649001E-7</v>
      </c>
      <c r="Z26" s="77">
        <v>-1.11738466125947E-2</v>
      </c>
      <c r="AA26" s="77">
        <v>0</v>
      </c>
      <c r="AB26" s="77">
        <v>1.07501406764532E-7</v>
      </c>
      <c r="AC26" s="77">
        <v>4.3221179184649001E-7</v>
      </c>
    </row>
    <row r="27" spans="1:29" x14ac:dyDescent="0.25">
      <c r="T27" s="79" t="s">
        <v>57</v>
      </c>
      <c r="U27" s="77">
        <v>0</v>
      </c>
      <c r="V27" s="77">
        <v>0</v>
      </c>
      <c r="W27">
        <v>1</v>
      </c>
      <c r="X27" s="77">
        <v>0</v>
      </c>
      <c r="Z27" s="77">
        <v>0</v>
      </c>
      <c r="AA27" s="77">
        <v>0</v>
      </c>
      <c r="AB27">
        <v>1</v>
      </c>
      <c r="AC27" s="77">
        <v>0</v>
      </c>
    </row>
    <row r="28" spans="1:29" x14ac:dyDescent="0.25">
      <c r="E28">
        <f t="array" ref="E28:G30">MINVERSE(E24:G26)</f>
        <v>1.0081669667962578</v>
      </c>
      <c r="F28">
        <v>2.0417416990643881E-6</v>
      </c>
      <c r="G28">
        <v>0.37386186079687672</v>
      </c>
      <c r="T28" s="79" t="s">
        <v>58</v>
      </c>
      <c r="U28" s="77">
        <v>0</v>
      </c>
      <c r="V28" s="77">
        <v>0</v>
      </c>
      <c r="W28" s="77">
        <v>0</v>
      </c>
      <c r="X28">
        <v>1</v>
      </c>
      <c r="Z28" s="77">
        <v>0</v>
      </c>
      <c r="AA28" s="77">
        <v>0</v>
      </c>
      <c r="AB28" s="77">
        <v>0</v>
      </c>
      <c r="AC28">
        <v>1</v>
      </c>
    </row>
    <row r="29" spans="1:29" x14ac:dyDescent="0.25">
      <c r="E29">
        <v>3.6014792138324282E-3</v>
      </c>
      <c r="F29">
        <v>1.000000900369804</v>
      </c>
      <c r="G29">
        <v>0.16486607012063048</v>
      </c>
      <c r="T29" t="s">
        <v>59</v>
      </c>
      <c r="U29">
        <v>1989.7169937183</v>
      </c>
      <c r="V29" s="77">
        <v>0</v>
      </c>
      <c r="W29">
        <v>1.9707515538878999</v>
      </c>
      <c r="X29" s="77">
        <v>-7.6044392727034296E-2</v>
      </c>
      <c r="Z29">
        <v>1989.7169937183</v>
      </c>
      <c r="AA29" s="77">
        <v>0</v>
      </c>
      <c r="AB29">
        <v>1.9707515538878999</v>
      </c>
      <c r="AC29" s="77">
        <v>-7.6044392727034296E-2</v>
      </c>
    </row>
    <row r="30" spans="1:29" x14ac:dyDescent="0.25">
      <c r="E30">
        <v>4.7169971786548102E-3</v>
      </c>
      <c r="F30">
        <v>1.1792492946637036E-6</v>
      </c>
      <c r="G30">
        <v>1.2159314941005535</v>
      </c>
      <c r="M30" s="170"/>
      <c r="N30" s="170"/>
      <c r="O30" s="170"/>
      <c r="P30" s="170"/>
      <c r="Q30" s="170"/>
      <c r="R30" s="170"/>
      <c r="S30" s="170"/>
      <c r="T30" t="s">
        <v>60</v>
      </c>
      <c r="U30" s="77">
        <v>0</v>
      </c>
      <c r="V30" s="77">
        <v>0</v>
      </c>
      <c r="W30" s="77">
        <v>0</v>
      </c>
      <c r="X30" s="77">
        <v>0</v>
      </c>
      <c r="Y30" s="170"/>
      <c r="Z30" s="77">
        <v>0</v>
      </c>
      <c r="AA30" s="77">
        <v>0</v>
      </c>
      <c r="AB30" s="77">
        <v>0</v>
      </c>
      <c r="AC30" s="77">
        <v>0</v>
      </c>
    </row>
    <row r="31" spans="1:29" x14ac:dyDescent="0.25">
      <c r="M31" s="170"/>
      <c r="N31" s="170"/>
      <c r="O31" s="170"/>
      <c r="P31" s="170"/>
      <c r="Q31" s="170"/>
      <c r="R31" s="170"/>
      <c r="S31" s="170"/>
      <c r="T31" s="170"/>
      <c r="V31" s="113"/>
      <c r="W31" s="170"/>
      <c r="X31" s="170"/>
      <c r="Y31" s="170"/>
      <c r="Z31" s="170"/>
      <c r="AA31" s="170"/>
      <c r="AB31" s="170"/>
    </row>
    <row r="32" spans="1:29" x14ac:dyDescent="0.25">
      <c r="M32" s="170"/>
      <c r="N32" s="170"/>
      <c r="O32" s="170"/>
      <c r="P32" s="170"/>
      <c r="Q32" s="170"/>
      <c r="R32" s="170"/>
      <c r="S32" s="170"/>
      <c r="T32" s="170"/>
      <c r="V32" s="170"/>
      <c r="W32" s="170"/>
      <c r="X32" s="170"/>
      <c r="Y32" s="170"/>
      <c r="Z32" s="170"/>
      <c r="AA32" s="170"/>
      <c r="AB32" s="170"/>
    </row>
    <row r="33" spans="1:28" x14ac:dyDescent="0.25">
      <c r="M33" s="170"/>
      <c r="N33" s="170"/>
      <c r="O33" s="170"/>
      <c r="P33" s="170"/>
      <c r="Q33" s="170"/>
      <c r="R33" s="170"/>
      <c r="S33" s="170"/>
      <c r="T33" s="170"/>
      <c r="V33" s="170"/>
      <c r="W33" s="170"/>
      <c r="X33" s="170"/>
      <c r="Y33" s="170"/>
      <c r="Z33" s="170"/>
      <c r="AA33" s="170"/>
      <c r="AB33" s="170"/>
    </row>
    <row r="34" spans="1:28" x14ac:dyDescent="0.25">
      <c r="M34" s="170"/>
      <c r="N34" s="170"/>
      <c r="O34" s="170"/>
      <c r="P34" s="170"/>
      <c r="Q34" s="170"/>
      <c r="R34" s="170"/>
      <c r="S34" s="170"/>
      <c r="T34" s="170"/>
      <c r="V34" s="170"/>
      <c r="W34" s="170"/>
      <c r="X34" s="170"/>
      <c r="Y34" s="170"/>
      <c r="Z34" s="170"/>
      <c r="AA34" s="170"/>
      <c r="AB34" s="170"/>
    </row>
    <row r="35" spans="1:28" x14ac:dyDescent="0.25">
      <c r="M35" s="170"/>
      <c r="N35" s="170"/>
      <c r="O35" s="170"/>
      <c r="P35" s="170"/>
      <c r="Q35" s="170"/>
      <c r="R35" s="170"/>
      <c r="S35" s="170"/>
      <c r="T35" s="170"/>
      <c r="V35" s="170"/>
      <c r="W35" s="170"/>
      <c r="X35" s="170"/>
      <c r="Y35" s="170"/>
      <c r="Z35" s="170"/>
      <c r="AA35" s="170"/>
      <c r="AB35" s="170"/>
    </row>
    <row r="36" spans="1:28" x14ac:dyDescent="0.25">
      <c r="M36" s="170"/>
      <c r="N36" s="170" t="s">
        <v>24</v>
      </c>
      <c r="O36" s="170">
        <v>2.9713296629482302E-3</v>
      </c>
      <c r="P36" s="170" t="s">
        <v>25</v>
      </c>
      <c r="Q36" s="170"/>
      <c r="R36" s="170"/>
      <c r="S36" s="170"/>
      <c r="T36" s="170"/>
      <c r="V36" s="170"/>
      <c r="W36" s="171"/>
      <c r="X36" s="170"/>
      <c r="Y36" s="171"/>
      <c r="Z36" s="170"/>
      <c r="AA36" s="171"/>
      <c r="AB36" s="170"/>
    </row>
    <row r="37" spans="1:28" x14ac:dyDescent="0.25">
      <c r="M37" s="170"/>
      <c r="N37" s="170" t="s">
        <v>26</v>
      </c>
      <c r="O37" s="171">
        <v>9.16411138191717E-7</v>
      </c>
      <c r="P37" s="170" t="s">
        <v>25</v>
      </c>
      <c r="Q37" s="170"/>
      <c r="R37" s="170"/>
      <c r="S37" s="170"/>
      <c r="T37" s="170"/>
      <c r="V37" s="171"/>
      <c r="W37" s="170"/>
      <c r="X37" s="171"/>
      <c r="Y37" s="171"/>
      <c r="Z37" s="170"/>
      <c r="AA37" s="171"/>
      <c r="AB37" s="170"/>
    </row>
    <row r="38" spans="1:28" x14ac:dyDescent="0.25">
      <c r="D38" s="77"/>
      <c r="E38" s="77"/>
      <c r="M38" s="170"/>
      <c r="N38" s="170" t="s">
        <v>27</v>
      </c>
      <c r="O38" s="170">
        <v>3.9524937348563903E-2</v>
      </c>
      <c r="P38" s="170" t="s">
        <v>25</v>
      </c>
      <c r="Q38" s="170"/>
      <c r="R38" s="170"/>
      <c r="S38" s="170"/>
      <c r="T38" s="170"/>
      <c r="V38" s="170"/>
      <c r="W38" s="171"/>
      <c r="X38" s="170"/>
      <c r="Y38" s="171"/>
      <c r="Z38" s="170"/>
      <c r="AA38" s="171"/>
      <c r="AB38" s="170"/>
    </row>
    <row r="39" spans="1:28" x14ac:dyDescent="0.25">
      <c r="M39" s="170"/>
      <c r="N39" s="170" t="s">
        <v>28</v>
      </c>
      <c r="O39" s="171">
        <v>1.45090247489785E-8</v>
      </c>
      <c r="P39" s="170" t="s">
        <v>25</v>
      </c>
      <c r="Q39" s="170"/>
      <c r="R39" s="170"/>
      <c r="S39" s="170"/>
      <c r="T39" s="170"/>
      <c r="V39" s="171"/>
      <c r="W39" s="171"/>
      <c r="X39" s="171"/>
      <c r="Y39" s="170"/>
      <c r="Z39" s="170"/>
      <c r="AA39" s="171"/>
      <c r="AB39" s="170"/>
    </row>
    <row r="40" spans="1:28" x14ac:dyDescent="0.25">
      <c r="B40" s="87" t="s">
        <v>31</v>
      </c>
      <c r="C40" t="s">
        <v>86</v>
      </c>
      <c r="D40" t="s">
        <v>154</v>
      </c>
      <c r="M40" s="170"/>
      <c r="N40" s="170" t="s">
        <v>30</v>
      </c>
      <c r="O40" s="170">
        <v>6.0526160938935598E-2</v>
      </c>
      <c r="P40" s="170" t="s">
        <v>25</v>
      </c>
      <c r="Q40" s="170"/>
      <c r="R40" s="170"/>
      <c r="S40" s="170"/>
      <c r="T40" s="170"/>
      <c r="V40" s="170"/>
      <c r="W40" s="170"/>
      <c r="X40" s="170"/>
      <c r="Y40" s="170"/>
      <c r="Z40" s="170"/>
      <c r="AA40" s="170"/>
      <c r="AB40" s="170"/>
    </row>
    <row r="41" spans="1:28" x14ac:dyDescent="0.25">
      <c r="A41" t="s">
        <v>147</v>
      </c>
      <c r="B41">
        <v>1E-3</v>
      </c>
      <c r="C41" s="140">
        <v>1</v>
      </c>
      <c r="D41" s="77">
        <v>4.47E-3</v>
      </c>
      <c r="M41" s="170"/>
      <c r="N41" s="170"/>
      <c r="O41" s="170"/>
      <c r="P41" s="170"/>
      <c r="Q41" s="170"/>
      <c r="R41" s="170"/>
      <c r="S41" s="170"/>
      <c r="T41" s="170"/>
      <c r="V41" s="170"/>
      <c r="W41" s="170"/>
      <c r="X41" s="170"/>
      <c r="Y41" s="170"/>
      <c r="Z41" s="170"/>
      <c r="AA41" s="170"/>
      <c r="AB41" s="170"/>
    </row>
    <row r="42" spans="1:28" x14ac:dyDescent="0.25">
      <c r="A42" t="s">
        <v>7</v>
      </c>
      <c r="B42" s="77">
        <v>9.999999999999989E-7</v>
      </c>
      <c r="C42" s="140">
        <v>1</v>
      </c>
      <c r="D42" s="77">
        <v>9.9999999999999995E-8</v>
      </c>
      <c r="M42" s="170"/>
      <c r="N42" s="170"/>
      <c r="O42" s="170"/>
      <c r="P42" s="170"/>
      <c r="Q42" s="170"/>
      <c r="R42" s="170"/>
      <c r="S42" s="170"/>
      <c r="T42" s="170"/>
      <c r="V42" s="170"/>
      <c r="W42" s="170"/>
      <c r="X42" s="170"/>
      <c r="Y42" s="170"/>
      <c r="Z42" s="170"/>
      <c r="AA42" s="170"/>
      <c r="AB42" s="170"/>
    </row>
    <row r="43" spans="1:28" x14ac:dyDescent="0.25">
      <c r="M43" s="170"/>
      <c r="N43" s="170"/>
      <c r="O43" s="170"/>
      <c r="P43" s="170"/>
      <c r="Q43" s="170"/>
      <c r="R43" s="170"/>
      <c r="S43" s="170"/>
      <c r="T43" s="170"/>
      <c r="V43" s="170"/>
      <c r="W43" s="170"/>
      <c r="X43" s="170"/>
      <c r="Y43" s="170"/>
      <c r="Z43" s="170"/>
      <c r="AA43" s="170"/>
      <c r="AB43" s="170"/>
    </row>
    <row r="44" spans="1:28" x14ac:dyDescent="0.25">
      <c r="B44" t="s">
        <v>149</v>
      </c>
      <c r="M44" s="170"/>
      <c r="N44" s="170"/>
      <c r="O44" s="170"/>
      <c r="P44" s="170"/>
      <c r="Q44" s="170"/>
      <c r="R44" s="170"/>
      <c r="S44" s="170"/>
      <c r="T44" s="170"/>
      <c r="V44" s="171"/>
      <c r="W44" s="171"/>
      <c r="X44" s="171"/>
      <c r="Y44" s="171"/>
      <c r="Z44" s="171"/>
      <c r="AA44" s="171"/>
      <c r="AB44" s="170"/>
    </row>
    <row r="45" spans="1:28" x14ac:dyDescent="0.25">
      <c r="A45" t="s">
        <v>57</v>
      </c>
      <c r="B45">
        <v>0.18310928410175401</v>
      </c>
      <c r="M45" s="170"/>
      <c r="N45" s="170"/>
      <c r="O45" s="170"/>
      <c r="P45" s="170"/>
      <c r="Q45" s="170"/>
      <c r="R45" s="170"/>
      <c r="S45" s="170"/>
      <c r="T45" s="170"/>
      <c r="V45" s="170"/>
      <c r="W45" s="170"/>
      <c r="X45" s="170"/>
      <c r="Y45" s="170"/>
      <c r="Z45" s="170"/>
      <c r="AA45" s="170"/>
      <c r="AB45" s="170"/>
    </row>
    <row r="46" spans="1:28" x14ac:dyDescent="0.25">
      <c r="A46" t="s">
        <v>61</v>
      </c>
      <c r="B46" s="77">
        <v>1.56215425467638E-8</v>
      </c>
      <c r="M46" s="170"/>
      <c r="N46" s="170"/>
      <c r="O46" s="170"/>
      <c r="P46" s="170"/>
      <c r="Q46" s="170"/>
      <c r="R46" s="170"/>
      <c r="S46" s="170"/>
      <c r="T46" s="170"/>
      <c r="V46" s="170"/>
      <c r="W46" s="170"/>
      <c r="X46" s="170"/>
      <c r="Y46" s="170"/>
      <c r="Z46" s="170"/>
      <c r="AA46" s="170"/>
      <c r="AB46" s="170"/>
    </row>
    <row r="47" spans="1:28" x14ac:dyDescent="0.25">
      <c r="A47" t="s">
        <v>59</v>
      </c>
      <c r="B47">
        <v>0.26207216844710801</v>
      </c>
    </row>
    <row r="50" spans="1:25" ht="15.75" thickBot="1" x14ac:dyDescent="0.3">
      <c r="A50" t="s">
        <v>155</v>
      </c>
    </row>
    <row r="51" spans="1:25" x14ac:dyDescent="0.25">
      <c r="C51" s="142">
        <v>1</v>
      </c>
      <c r="D51" s="143">
        <v>0</v>
      </c>
      <c r="E51" s="155">
        <v>-1</v>
      </c>
      <c r="F51" s="155">
        <v>0</v>
      </c>
      <c r="G51" s="143">
        <v>-1</v>
      </c>
    </row>
    <row r="52" spans="1:25" ht="15.75" thickBot="1" x14ac:dyDescent="0.3">
      <c r="C52" s="144">
        <v>0</v>
      </c>
      <c r="D52" s="146">
        <v>1</v>
      </c>
      <c r="E52" s="145">
        <v>1</v>
      </c>
      <c r="F52" s="145">
        <v>-1</v>
      </c>
      <c r="G52" s="146">
        <v>2</v>
      </c>
    </row>
    <row r="54" spans="1:25" x14ac:dyDescent="0.25">
      <c r="C54" t="s">
        <v>160</v>
      </c>
      <c r="D54" t="s">
        <v>159</v>
      </c>
      <c r="E54" t="s">
        <v>161</v>
      </c>
    </row>
    <row r="55" spans="1:25" x14ac:dyDescent="0.25">
      <c r="A55" s="169" t="s">
        <v>52</v>
      </c>
      <c r="C55" s="93">
        <f t="array" ref="C55:C56">-MMULT(C51:D52,B41:B42)-MMULT(E51:G52,B45:B47)+D41:D42</f>
        <v>0.44865145254886196</v>
      </c>
      <c r="D55">
        <v>0.206644549100925</v>
      </c>
      <c r="E55">
        <v>0.104521098287499</v>
      </c>
    </row>
    <row r="56" spans="1:25" x14ac:dyDescent="0.25">
      <c r="C56" s="93">
        <v>-0.70725450537442758</v>
      </c>
      <c r="D56">
        <v>-0.32205107665379401</v>
      </c>
      <c r="E56">
        <v>-0.160576228306272</v>
      </c>
    </row>
    <row r="57" spans="1:25" x14ac:dyDescent="0.25">
      <c r="S57" s="88" t="s">
        <v>153</v>
      </c>
      <c r="T57" s="88"/>
    </row>
    <row r="59" spans="1:25" x14ac:dyDescent="0.25">
      <c r="A59" s="169" t="s">
        <v>156</v>
      </c>
      <c r="K59" t="s">
        <v>93</v>
      </c>
      <c r="O59" t="s">
        <v>94</v>
      </c>
      <c r="S59" t="s">
        <v>93</v>
      </c>
      <c r="Y59" t="s">
        <v>94</v>
      </c>
    </row>
    <row r="60" spans="1:25" x14ac:dyDescent="0.25">
      <c r="C60" t="s">
        <v>160</v>
      </c>
      <c r="D60" t="s">
        <v>159</v>
      </c>
      <c r="E60" t="s">
        <v>161</v>
      </c>
    </row>
    <row r="61" spans="1:25" ht="15.75" thickBot="1" x14ac:dyDescent="0.3">
      <c r="B61" t="s">
        <v>157</v>
      </c>
      <c r="C61">
        <v>0.39973809993911402</v>
      </c>
      <c r="D61">
        <v>0.45030801587902097</v>
      </c>
      <c r="E61">
        <v>0.482541587268835</v>
      </c>
      <c r="L61" s="79" t="s">
        <v>58</v>
      </c>
      <c r="M61" s="79" t="s">
        <v>56</v>
      </c>
      <c r="T61" s="79" t="s">
        <v>56</v>
      </c>
      <c r="U61" s="79" t="s">
        <v>5</v>
      </c>
      <c r="V61" s="79" t="s">
        <v>57</v>
      </c>
      <c r="W61" s="79" t="s">
        <v>58</v>
      </c>
    </row>
    <row r="62" spans="1:25" x14ac:dyDescent="0.25">
      <c r="B62" t="s">
        <v>158</v>
      </c>
      <c r="C62">
        <v>0.70725250537442896</v>
      </c>
      <c r="D62">
        <v>0.321022101976566</v>
      </c>
      <c r="E62">
        <v>0.15869745035060501</v>
      </c>
      <c r="K62" s="79" t="s">
        <v>58</v>
      </c>
      <c r="L62" s="142">
        <f>M50+1</f>
        <v>1</v>
      </c>
      <c r="M62" s="143">
        <f>N50</f>
        <v>0</v>
      </c>
      <c r="O62" s="153">
        <v>0.44965145254886302</v>
      </c>
      <c r="S62" s="79" t="s">
        <v>56</v>
      </c>
      <c r="T62" s="142">
        <v>1990.7281675649201</v>
      </c>
      <c r="U62" s="154">
        <v>0</v>
      </c>
      <c r="V62" s="155">
        <v>1.9707514463864899</v>
      </c>
      <c r="W62" s="156">
        <v>-7.6044824938826194E-2</v>
      </c>
      <c r="Y62" s="163">
        <v>-1.9905532660745798E-3</v>
      </c>
    </row>
    <row r="63" spans="1:25" ht="15.75" thickBot="1" x14ac:dyDescent="0.3">
      <c r="K63" s="79" t="s">
        <v>56</v>
      </c>
      <c r="L63" s="144">
        <f>M51</f>
        <v>0</v>
      </c>
      <c r="M63" s="146">
        <f>1+N51</f>
        <v>1</v>
      </c>
      <c r="O63" s="120">
        <v>-0.70725250537442896</v>
      </c>
      <c r="S63" s="79" t="s">
        <v>5</v>
      </c>
      <c r="T63" s="157">
        <v>0</v>
      </c>
      <c r="U63" s="93">
        <v>1</v>
      </c>
      <c r="V63" s="158">
        <v>0</v>
      </c>
      <c r="W63" s="159">
        <v>0</v>
      </c>
      <c r="Y63" s="164">
        <v>0</v>
      </c>
    </row>
    <row r="64" spans="1:25" x14ac:dyDescent="0.25">
      <c r="S64" s="79" t="s">
        <v>57</v>
      </c>
      <c r="T64" s="160">
        <v>1989.7169937183</v>
      </c>
      <c r="U64" s="158">
        <v>0</v>
      </c>
      <c r="V64" s="93">
        <v>2.9707515538878999</v>
      </c>
      <c r="W64" s="159">
        <v>-7.6044392727034296E-2</v>
      </c>
      <c r="Y64" s="164">
        <v>9.7010335560372599E-2</v>
      </c>
    </row>
    <row r="65" spans="1:30" ht="15.75" thickBot="1" x14ac:dyDescent="0.3">
      <c r="A65" s="169" t="s">
        <v>162</v>
      </c>
      <c r="L65">
        <f t="array" ref="L65:M66">MINVERSE(L62:M63)</f>
        <v>1</v>
      </c>
      <c r="M65">
        <v>0</v>
      </c>
      <c r="O65">
        <f t="array" ref="O65:O66">MMULT(L65:M66,O62:O63)</f>
        <v>0.44965145254886302</v>
      </c>
      <c r="S65" s="79" t="s">
        <v>58</v>
      </c>
      <c r="T65" s="161">
        <v>0</v>
      </c>
      <c r="U65" s="162">
        <v>0</v>
      </c>
      <c r="V65" s="162">
        <v>0</v>
      </c>
      <c r="W65" s="146">
        <v>1</v>
      </c>
      <c r="Y65" s="165">
        <v>3.47E-3</v>
      </c>
    </row>
    <row r="66" spans="1:30" x14ac:dyDescent="0.25">
      <c r="C66" t="s">
        <v>160</v>
      </c>
      <c r="D66" t="s">
        <v>159</v>
      </c>
      <c r="E66" t="s">
        <v>161</v>
      </c>
      <c r="L66">
        <v>0</v>
      </c>
      <c r="M66">
        <v>1</v>
      </c>
      <c r="O66">
        <v>-0.70725250537442896</v>
      </c>
    </row>
    <row r="67" spans="1:30" x14ac:dyDescent="0.25">
      <c r="B67" t="s">
        <v>162</v>
      </c>
      <c r="C67" s="93">
        <v>6.6593948391288496E-4</v>
      </c>
      <c r="D67">
        <v>1.36473866318965E-3</v>
      </c>
      <c r="E67">
        <v>2.8261754135662401E-3</v>
      </c>
    </row>
    <row r="68" spans="1:30" x14ac:dyDescent="0.25">
      <c r="C68" s="158">
        <v>-7.2127065091979406E-8</v>
      </c>
      <c r="D68" s="77">
        <v>-6.6225968089720299E-9</v>
      </c>
      <c r="E68" s="77">
        <v>2.8196691018862499E-8</v>
      </c>
    </row>
    <row r="71" spans="1:30" x14ac:dyDescent="0.25">
      <c r="A71" s="169" t="s">
        <v>36</v>
      </c>
    </row>
    <row r="72" spans="1:30" x14ac:dyDescent="0.25">
      <c r="C72" t="s">
        <v>160</v>
      </c>
      <c r="D72" t="s">
        <v>159</v>
      </c>
      <c r="E72" t="s">
        <v>161</v>
      </c>
    </row>
    <row r="73" spans="1:30" x14ac:dyDescent="0.25">
      <c r="B73" t="s">
        <v>36</v>
      </c>
      <c r="C73">
        <v>7.0582981585982293E-2</v>
      </c>
      <c r="E73" s="170">
        <v>3.9524937348563903E-2</v>
      </c>
    </row>
    <row r="74" spans="1:30" x14ac:dyDescent="0.25">
      <c r="C74" s="77">
        <v>9.9999999999999804E-9</v>
      </c>
      <c r="E74" s="171">
        <v>1.45090247489785E-8</v>
      </c>
    </row>
    <row r="75" spans="1:30" x14ac:dyDescent="0.25">
      <c r="C75">
        <v>0.15609895654550601</v>
      </c>
      <c r="E75" s="170">
        <v>6.0526160938935598E-2</v>
      </c>
    </row>
    <row r="77" spans="1:30" x14ac:dyDescent="0.25">
      <c r="A77" s="169" t="s">
        <v>31</v>
      </c>
      <c r="AD77" s="77"/>
    </row>
    <row r="78" spans="1:30" x14ac:dyDescent="0.25">
      <c r="C78" t="s">
        <v>160</v>
      </c>
      <c r="D78" t="s">
        <v>159</v>
      </c>
      <c r="E78" t="s">
        <v>161</v>
      </c>
      <c r="AD78" s="77"/>
    </row>
    <row r="79" spans="1:30" x14ac:dyDescent="0.25">
      <c r="B79" t="s">
        <v>31</v>
      </c>
      <c r="C79">
        <v>1E-3</v>
      </c>
      <c r="E79" s="170">
        <v>2.9713296629482302E-3</v>
      </c>
      <c r="AD79" s="77"/>
    </row>
    <row r="80" spans="1:30" x14ac:dyDescent="0.25">
      <c r="C80" s="77">
        <v>9.999999999999989E-7</v>
      </c>
      <c r="E80" s="171">
        <v>9.16411138191717E-7</v>
      </c>
      <c r="AD80" s="77"/>
    </row>
    <row r="82" spans="30:30" x14ac:dyDescent="0.25">
      <c r="AD82" s="77"/>
    </row>
    <row r="83" spans="30:30" x14ac:dyDescent="0.25">
      <c r="AD83" s="77"/>
    </row>
  </sheetData>
  <mergeCells count="1">
    <mergeCell ref="K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opLeftCell="G1" workbookViewId="0">
      <selection activeCell="M8" sqref="M8:M14"/>
    </sheetView>
  </sheetViews>
  <sheetFormatPr defaultRowHeight="15" x14ac:dyDescent="0.25"/>
  <cols>
    <col min="19" max="19" width="9.5703125" bestFit="1" customWidth="1"/>
    <col min="20" max="20" width="10" bestFit="1" customWidth="1"/>
    <col min="21" max="21" width="11" bestFit="1" customWidth="1"/>
    <col min="22" max="22" width="10.28515625" bestFit="1" customWidth="1"/>
    <col min="24" max="24" width="9.5703125" bestFit="1" customWidth="1"/>
    <col min="27" max="27" width="9.5703125" bestFit="1" customWidth="1"/>
  </cols>
  <sheetData>
    <row r="1" spans="1:29" x14ac:dyDescent="0.25">
      <c r="A1" s="80" t="s">
        <v>81</v>
      </c>
      <c r="B1" s="80"/>
      <c r="C1" s="80"/>
      <c r="D1" s="80"/>
      <c r="E1" s="80"/>
      <c r="F1" s="80"/>
      <c r="G1" s="80"/>
      <c r="H1" s="80"/>
      <c r="I1" s="80"/>
      <c r="J1" s="80"/>
      <c r="K1" s="80"/>
      <c r="M1" s="81" t="s">
        <v>82</v>
      </c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3" spans="1:29" x14ac:dyDescent="0.25">
      <c r="X3" t="s">
        <v>135</v>
      </c>
      <c r="Y3" t="s">
        <v>136</v>
      </c>
      <c r="Z3" t="s">
        <v>137</v>
      </c>
    </row>
    <row r="4" spans="1:29" x14ac:dyDescent="0.25">
      <c r="X4" s="77">
        <v>4.0999999998437502E-2</v>
      </c>
      <c r="Y4">
        <v>0.32829999999926501</v>
      </c>
      <c r="Z4">
        <v>0.50893000000098398</v>
      </c>
    </row>
    <row r="5" spans="1:29" x14ac:dyDescent="0.25">
      <c r="A5" t="s">
        <v>163</v>
      </c>
      <c r="C5" s="77">
        <v>2.5005000000000001E-3</v>
      </c>
      <c r="M5" t="s">
        <v>163</v>
      </c>
      <c r="O5" s="77">
        <v>2.5005000000000001E-3</v>
      </c>
      <c r="P5" s="77"/>
      <c r="T5" t="s">
        <v>171</v>
      </c>
      <c r="U5" s="175">
        <v>1.0000000000000001E-5</v>
      </c>
    </row>
    <row r="7" spans="1:29" x14ac:dyDescent="0.25">
      <c r="O7" t="s">
        <v>180</v>
      </c>
      <c r="P7" t="s">
        <v>181</v>
      </c>
      <c r="Q7" s="176" t="s">
        <v>170</v>
      </c>
      <c r="S7" s="87" t="s">
        <v>88</v>
      </c>
      <c r="T7" t="s">
        <v>171</v>
      </c>
      <c r="U7" s="87" t="s">
        <v>172</v>
      </c>
      <c r="V7" s="87" t="s">
        <v>173</v>
      </c>
      <c r="X7" s="87" t="s">
        <v>182</v>
      </c>
      <c r="Y7" s="87" t="s">
        <v>174</v>
      </c>
      <c r="Z7" s="87" t="s">
        <v>187</v>
      </c>
      <c r="AA7" s="87" t="s">
        <v>186</v>
      </c>
      <c r="AB7" t="s">
        <v>185</v>
      </c>
    </row>
    <row r="8" spans="1:29" x14ac:dyDescent="0.25">
      <c r="A8" s="79" t="s">
        <v>56</v>
      </c>
      <c r="B8" t="s">
        <v>164</v>
      </c>
      <c r="C8">
        <v>0.49441302395557202</v>
      </c>
      <c r="M8" s="79" t="s">
        <v>58</v>
      </c>
      <c r="N8" t="s">
        <v>24</v>
      </c>
      <c r="O8">
        <v>2</v>
      </c>
      <c r="P8">
        <v>6</v>
      </c>
      <c r="Q8">
        <v>2</v>
      </c>
      <c r="S8">
        <v>1E-3</v>
      </c>
      <c r="T8" s="77">
        <f>S8*$U$5</f>
        <v>1E-8</v>
      </c>
      <c r="U8">
        <f>S8+T8</f>
        <v>1.00001E-3</v>
      </c>
      <c r="V8">
        <f>S8-T8</f>
        <v>9.9999000000000008E-4</v>
      </c>
      <c r="X8" s="77">
        <f>-(($Z$4*O8*O8*SQRT(O5))/(1+P8*$Y$4*SQRT(O5)))+$X$4*O5</f>
        <v>-9.2565838289162108E-2</v>
      </c>
      <c r="Y8" s="77">
        <f>10^(X8)</f>
        <v>0.80804242199909393</v>
      </c>
      <c r="Z8">
        <f>2*SQRT(O5)*((1+P8*Y4*SQRT(O5))^2)</f>
        <v>0.12068225813295448</v>
      </c>
      <c r="AA8">
        <f>-Z4*O8*O8</f>
        <v>-2.0357200000039359</v>
      </c>
      <c r="AB8" s="177">
        <f>AA8/Z8+X4</f>
        <v>-16.827428147585632</v>
      </c>
    </row>
    <row r="9" spans="1:29" x14ac:dyDescent="0.25">
      <c r="A9" s="79" t="s">
        <v>5</v>
      </c>
      <c r="B9" t="s">
        <v>165</v>
      </c>
      <c r="C9" s="77">
        <v>0</v>
      </c>
      <c r="M9" s="79" t="s">
        <v>56</v>
      </c>
      <c r="N9" t="s">
        <v>26</v>
      </c>
      <c r="O9">
        <v>1</v>
      </c>
      <c r="Q9">
        <v>0.5</v>
      </c>
      <c r="S9" s="77">
        <v>9.999999999999989E-7</v>
      </c>
      <c r="T9">
        <f t="shared" ref="T9:T10" si="0">S9*$U$5</f>
        <v>9.9999999999999897E-12</v>
      </c>
      <c r="U9">
        <f t="shared" ref="U9" si="1">S9+T9</f>
        <v>1.000009999999999E-6</v>
      </c>
      <c r="V9">
        <f t="shared" ref="V9" si="2">S9-T9</f>
        <v>9.9998999999999883E-7</v>
      </c>
    </row>
    <row r="10" spans="1:29" x14ac:dyDescent="0.25">
      <c r="A10" s="79" t="s">
        <v>57</v>
      </c>
      <c r="B10" t="s">
        <v>166</v>
      </c>
      <c r="C10">
        <v>0.5</v>
      </c>
      <c r="M10" s="172" t="s">
        <v>57</v>
      </c>
      <c r="N10" s="172" t="s">
        <v>27</v>
      </c>
      <c r="O10" s="172"/>
      <c r="P10" s="172"/>
      <c r="Q10" s="172">
        <v>0.5</v>
      </c>
      <c r="R10" s="172"/>
      <c r="S10" s="172">
        <v>1E-3</v>
      </c>
      <c r="T10" s="172">
        <f t="shared" si="0"/>
        <v>1E-8</v>
      </c>
      <c r="U10" s="172">
        <f>S10</f>
        <v>1E-3</v>
      </c>
      <c r="V10" s="172">
        <f>S10</f>
        <v>1E-3</v>
      </c>
    </row>
    <row r="11" spans="1:29" x14ac:dyDescent="0.25">
      <c r="A11" s="79" t="s">
        <v>58</v>
      </c>
      <c r="B11" t="s">
        <v>167</v>
      </c>
      <c r="C11">
        <v>2</v>
      </c>
      <c r="M11" s="172" t="s">
        <v>61</v>
      </c>
      <c r="N11" s="172" t="s">
        <v>28</v>
      </c>
      <c r="O11" s="172"/>
      <c r="P11" s="172"/>
      <c r="Q11" s="172">
        <v>0.5</v>
      </c>
      <c r="R11" s="172"/>
      <c r="S11" s="172">
        <v>0</v>
      </c>
      <c r="T11" s="172">
        <v>0</v>
      </c>
      <c r="U11" s="172">
        <f t="shared" ref="U11:U14" si="3">S11</f>
        <v>0</v>
      </c>
      <c r="V11" s="172">
        <f t="shared" ref="V11:V14" si="4">S11</f>
        <v>0</v>
      </c>
    </row>
    <row r="12" spans="1:29" x14ac:dyDescent="0.25">
      <c r="M12" s="172" t="s">
        <v>59</v>
      </c>
      <c r="N12" s="172" t="s">
        <v>30</v>
      </c>
      <c r="O12" s="172"/>
      <c r="P12" s="172"/>
      <c r="Q12" s="172">
        <v>0</v>
      </c>
      <c r="R12" s="172"/>
      <c r="S12" s="172">
        <v>0</v>
      </c>
      <c r="T12" s="172">
        <v>0</v>
      </c>
      <c r="U12" s="172">
        <f t="shared" si="3"/>
        <v>0</v>
      </c>
      <c r="V12" s="172">
        <f t="shared" si="4"/>
        <v>0</v>
      </c>
    </row>
    <row r="13" spans="1:29" x14ac:dyDescent="0.25">
      <c r="M13" s="173" t="s">
        <v>60</v>
      </c>
      <c r="N13" s="172" t="s">
        <v>168</v>
      </c>
      <c r="O13" s="172"/>
      <c r="P13" s="172"/>
      <c r="Q13" s="172">
        <v>0</v>
      </c>
      <c r="R13" s="172"/>
      <c r="S13" s="172">
        <v>0</v>
      </c>
      <c r="T13" s="172">
        <v>0</v>
      </c>
      <c r="U13" s="172">
        <f t="shared" si="3"/>
        <v>0</v>
      </c>
      <c r="V13" s="172">
        <f t="shared" si="4"/>
        <v>0</v>
      </c>
    </row>
    <row r="14" spans="1:29" x14ac:dyDescent="0.25">
      <c r="M14" s="173" t="s">
        <v>5</v>
      </c>
      <c r="N14" s="172" t="s">
        <v>169</v>
      </c>
      <c r="O14" s="172"/>
      <c r="P14" s="172"/>
      <c r="Q14" s="172">
        <v>0</v>
      </c>
      <c r="R14" s="172"/>
      <c r="S14" s="172">
        <v>0</v>
      </c>
      <c r="T14" s="172">
        <v>0</v>
      </c>
      <c r="U14" s="172">
        <f t="shared" si="3"/>
        <v>0</v>
      </c>
      <c r="V14" s="172">
        <f t="shared" si="4"/>
        <v>0</v>
      </c>
    </row>
    <row r="15" spans="1:29" x14ac:dyDescent="0.25">
      <c r="AC15" s="77"/>
    </row>
    <row r="16" spans="1:29" x14ac:dyDescent="0.25">
      <c r="O16" s="87" t="s">
        <v>183</v>
      </c>
      <c r="P16" s="87" t="s">
        <v>184</v>
      </c>
      <c r="U16" s="87" t="s">
        <v>172</v>
      </c>
      <c r="V16" s="87" t="s">
        <v>173</v>
      </c>
      <c r="X16" s="87"/>
      <c r="Y16" s="87"/>
      <c r="Z16" s="87"/>
      <c r="AA16" s="87"/>
    </row>
    <row r="17" spans="15:27" x14ac:dyDescent="0.25">
      <c r="O17" s="77">
        <v>2.00070005E-3</v>
      </c>
      <c r="P17">
        <v>2.0002999499999898E-3</v>
      </c>
      <c r="T17" t="s">
        <v>178</v>
      </c>
      <c r="U17">
        <v>1.00001E-3</v>
      </c>
      <c r="V17">
        <v>9.9999000000000008E-4</v>
      </c>
      <c r="X17" s="77"/>
      <c r="Y17" s="133"/>
      <c r="Z17" s="77"/>
      <c r="AA17" s="133"/>
    </row>
    <row r="18" spans="15:27" x14ac:dyDescent="0.25">
      <c r="T18" t="s">
        <v>69</v>
      </c>
      <c r="U18" s="77">
        <v>1.00001E-6</v>
      </c>
      <c r="V18" s="77">
        <v>9.9998999999999904E-7</v>
      </c>
    </row>
    <row r="19" spans="15:27" x14ac:dyDescent="0.25">
      <c r="U19" s="172">
        <v>1E-3</v>
      </c>
      <c r="V19" s="172">
        <v>1E-3</v>
      </c>
    </row>
    <row r="20" spans="15:27" x14ac:dyDescent="0.25">
      <c r="U20" s="172">
        <v>0</v>
      </c>
      <c r="V20" s="172">
        <v>0</v>
      </c>
    </row>
    <row r="21" spans="15:27" x14ac:dyDescent="0.25">
      <c r="U21" s="172">
        <v>0</v>
      </c>
      <c r="V21" s="172">
        <v>0</v>
      </c>
    </row>
    <row r="22" spans="15:27" x14ac:dyDescent="0.25">
      <c r="U22" s="172">
        <v>0</v>
      </c>
      <c r="V22" s="172">
        <v>0</v>
      </c>
    </row>
    <row r="23" spans="15:27" x14ac:dyDescent="0.25">
      <c r="U23" s="172">
        <v>0</v>
      </c>
      <c r="V23" s="172">
        <v>0</v>
      </c>
    </row>
    <row r="26" spans="15:27" x14ac:dyDescent="0.25">
      <c r="S26" s="87" t="s">
        <v>174</v>
      </c>
      <c r="U26" s="87" t="s">
        <v>175</v>
      </c>
      <c r="V26" s="87" t="s">
        <v>176</v>
      </c>
      <c r="X26" s="87" t="s">
        <v>177</v>
      </c>
      <c r="Z26" s="87" t="s">
        <v>179</v>
      </c>
    </row>
    <row r="27" spans="15:27" x14ac:dyDescent="0.25">
      <c r="S27" s="178">
        <v>0.80804242199909304</v>
      </c>
      <c r="U27">
        <v>0.80804179566658196</v>
      </c>
      <c r="V27">
        <v>0.80804304833505303</v>
      </c>
      <c r="X27">
        <v>-62.633251174393202</v>
      </c>
      <c r="Z27" s="177">
        <v>-27.1945515927816</v>
      </c>
    </row>
    <row r="28" spans="15:27" x14ac:dyDescent="0.25">
      <c r="S28" s="178">
        <v>0.95045055856471605</v>
      </c>
      <c r="U28">
        <v>0.95045039123666397</v>
      </c>
      <c r="V28">
        <v>0.95045072589364799</v>
      </c>
    </row>
    <row r="29" spans="15:27" x14ac:dyDescent="0.25">
      <c r="S29" s="179">
        <v>0.94672021526622996</v>
      </c>
      <c r="T29" s="172"/>
      <c r="U29" s="172">
        <v>0.94672002164418201</v>
      </c>
      <c r="V29" s="172">
        <v>0.94672040888919695</v>
      </c>
    </row>
    <row r="30" spans="15:27" x14ac:dyDescent="0.25">
      <c r="S30" s="179">
        <v>0.94590606224540696</v>
      </c>
      <c r="T30" s="172"/>
      <c r="U30" s="172">
        <v>0.94590586263252097</v>
      </c>
      <c r="V30" s="172">
        <v>0.945906261859216</v>
      </c>
    </row>
    <row r="31" spans="15:27" x14ac:dyDescent="0.25">
      <c r="S31" s="179">
        <v>1.0002360900398799</v>
      </c>
      <c r="T31" s="172"/>
      <c r="U31" s="172">
        <v>1.0002360919289199</v>
      </c>
      <c r="V31" s="172">
        <v>1.0002360881508401</v>
      </c>
    </row>
    <row r="32" spans="15:27" x14ac:dyDescent="0.25">
      <c r="S32" s="179">
        <v>0</v>
      </c>
      <c r="T32" s="172"/>
      <c r="U32" s="172">
        <v>0</v>
      </c>
      <c r="V32" s="172">
        <v>0</v>
      </c>
    </row>
    <row r="33" spans="13:29" x14ac:dyDescent="0.25">
      <c r="S33" s="179">
        <v>0</v>
      </c>
      <c r="T33" s="172"/>
      <c r="U33" s="172">
        <v>0</v>
      </c>
      <c r="V33" s="172">
        <v>0</v>
      </c>
    </row>
    <row r="36" spans="13:29" x14ac:dyDescent="0.25">
      <c r="M36" t="s">
        <v>163</v>
      </c>
      <c r="Q36" s="77">
        <v>2.5005000000000001E-3</v>
      </c>
      <c r="T36" t="s">
        <v>171</v>
      </c>
      <c r="U36" s="175">
        <v>0.01</v>
      </c>
    </row>
    <row r="38" spans="13:29" x14ac:dyDescent="0.25">
      <c r="Q38" s="87" t="s">
        <v>170</v>
      </c>
      <c r="S38" s="87" t="s">
        <v>88</v>
      </c>
      <c r="T38" t="s">
        <v>171</v>
      </c>
      <c r="U38" s="87" t="s">
        <v>172</v>
      </c>
      <c r="V38" s="87" t="s">
        <v>173</v>
      </c>
      <c r="AA38" s="77"/>
    </row>
    <row r="39" spans="13:29" x14ac:dyDescent="0.25">
      <c r="M39" s="79" t="s">
        <v>58</v>
      </c>
      <c r="N39" t="s">
        <v>24</v>
      </c>
      <c r="Q39">
        <v>2</v>
      </c>
      <c r="S39">
        <v>1E-3</v>
      </c>
      <c r="T39" s="77">
        <f>S39*$U$36</f>
        <v>1.0000000000000001E-5</v>
      </c>
      <c r="U39">
        <f>S39+T39</f>
        <v>1.01E-3</v>
      </c>
      <c r="V39">
        <f>S39-T39</f>
        <v>9.8999999999999999E-4</v>
      </c>
    </row>
    <row r="40" spans="13:29" x14ac:dyDescent="0.25">
      <c r="M40" s="79" t="s">
        <v>56</v>
      </c>
      <c r="N40" t="s">
        <v>26</v>
      </c>
      <c r="Q40">
        <v>0.5</v>
      </c>
      <c r="S40" s="77">
        <v>9.999999999999989E-7</v>
      </c>
      <c r="T40" s="77">
        <f t="shared" ref="T40:T45" si="5">S40*$U$36</f>
        <v>9.9999999999999886E-9</v>
      </c>
      <c r="U40">
        <f t="shared" ref="U40:U45" si="6">S40+T40</f>
        <v>1.0099999999999988E-6</v>
      </c>
      <c r="V40">
        <f t="shared" ref="V40:V45" si="7">S40-T40</f>
        <v>9.8999999999999899E-7</v>
      </c>
    </row>
    <row r="41" spans="13:29" x14ac:dyDescent="0.25">
      <c r="M41" s="172" t="s">
        <v>57</v>
      </c>
      <c r="N41" s="172" t="s">
        <v>27</v>
      </c>
      <c r="O41" s="172"/>
      <c r="P41" s="172"/>
      <c r="Q41" s="172">
        <v>0.5</v>
      </c>
      <c r="R41" s="172"/>
      <c r="S41" s="172">
        <v>1E-3</v>
      </c>
      <c r="T41" s="174">
        <f t="shared" si="5"/>
        <v>1.0000000000000001E-5</v>
      </c>
      <c r="U41" s="172">
        <f t="shared" si="6"/>
        <v>1.01E-3</v>
      </c>
      <c r="V41" s="172">
        <f t="shared" si="7"/>
        <v>9.8999999999999999E-4</v>
      </c>
    </row>
    <row r="42" spans="13:29" x14ac:dyDescent="0.25">
      <c r="M42" s="172" t="s">
        <v>61</v>
      </c>
      <c r="N42" s="172" t="s">
        <v>28</v>
      </c>
      <c r="O42" s="172"/>
      <c r="P42" s="172"/>
      <c r="Q42" s="172">
        <v>0.5</v>
      </c>
      <c r="R42" s="172"/>
      <c r="S42" s="172">
        <v>0</v>
      </c>
      <c r="T42" s="174">
        <f t="shared" si="5"/>
        <v>0</v>
      </c>
      <c r="U42" s="172">
        <f t="shared" si="6"/>
        <v>0</v>
      </c>
      <c r="V42" s="172">
        <f t="shared" si="7"/>
        <v>0</v>
      </c>
    </row>
    <row r="43" spans="13:29" x14ac:dyDescent="0.25">
      <c r="M43" s="172" t="s">
        <v>59</v>
      </c>
      <c r="N43" s="172" t="s">
        <v>30</v>
      </c>
      <c r="O43" s="172"/>
      <c r="P43" s="172"/>
      <c r="Q43" s="172">
        <v>0</v>
      </c>
      <c r="R43" s="172"/>
      <c r="S43" s="172">
        <v>0</v>
      </c>
      <c r="T43" s="174">
        <f t="shared" si="5"/>
        <v>0</v>
      </c>
      <c r="U43" s="172">
        <f t="shared" si="6"/>
        <v>0</v>
      </c>
      <c r="V43" s="172">
        <f t="shared" si="7"/>
        <v>0</v>
      </c>
    </row>
    <row r="44" spans="13:29" x14ac:dyDescent="0.25">
      <c r="M44" s="173" t="s">
        <v>60</v>
      </c>
      <c r="N44" s="172" t="s">
        <v>168</v>
      </c>
      <c r="O44" s="172"/>
      <c r="P44" s="172"/>
      <c r="Q44" s="172">
        <v>0</v>
      </c>
      <c r="R44" s="172"/>
      <c r="S44" s="172">
        <v>0</v>
      </c>
      <c r="T44" s="174">
        <f t="shared" si="5"/>
        <v>0</v>
      </c>
      <c r="U44" s="172">
        <f t="shared" si="6"/>
        <v>0</v>
      </c>
      <c r="V44" s="172">
        <f t="shared" si="7"/>
        <v>0</v>
      </c>
    </row>
    <row r="45" spans="13:29" x14ac:dyDescent="0.25">
      <c r="M45" s="173" t="s">
        <v>5</v>
      </c>
      <c r="N45" s="172" t="s">
        <v>169</v>
      </c>
      <c r="O45" s="172"/>
      <c r="P45" s="172"/>
      <c r="Q45" s="172">
        <v>0</v>
      </c>
      <c r="R45" s="172"/>
      <c r="S45" s="172">
        <v>0</v>
      </c>
      <c r="T45" s="174">
        <f t="shared" si="5"/>
        <v>0</v>
      </c>
      <c r="U45" s="172">
        <f t="shared" si="6"/>
        <v>0</v>
      </c>
      <c r="V45" s="172">
        <f t="shared" si="7"/>
        <v>0</v>
      </c>
    </row>
    <row r="46" spans="13:29" x14ac:dyDescent="0.25">
      <c r="AC46" s="77"/>
    </row>
    <row r="47" spans="13:29" x14ac:dyDescent="0.25">
      <c r="U47" s="87" t="s">
        <v>172</v>
      </c>
      <c r="V47" s="87" t="s">
        <v>173</v>
      </c>
    </row>
    <row r="48" spans="13:29" x14ac:dyDescent="0.25">
      <c r="T48" t="s">
        <v>178</v>
      </c>
      <c r="U48">
        <v>1.01E-3</v>
      </c>
      <c r="V48">
        <v>9.8999999999999891E-4</v>
      </c>
    </row>
    <row r="49" spans="19:26" x14ac:dyDescent="0.25">
      <c r="T49" t="s">
        <v>69</v>
      </c>
      <c r="U49" s="77">
        <v>1.0099999999999899E-6</v>
      </c>
      <c r="V49" s="77">
        <v>9.9000000000000005E-7</v>
      </c>
    </row>
    <row r="50" spans="19:26" x14ac:dyDescent="0.25">
      <c r="U50" s="172">
        <v>0</v>
      </c>
      <c r="V50" s="172">
        <v>0</v>
      </c>
    </row>
    <row r="51" spans="19:26" x14ac:dyDescent="0.25">
      <c r="U51" s="172">
        <v>0</v>
      </c>
      <c r="V51" s="172">
        <v>0</v>
      </c>
    </row>
    <row r="52" spans="19:26" x14ac:dyDescent="0.25">
      <c r="U52" s="172">
        <v>0</v>
      </c>
      <c r="V52" s="172">
        <v>0</v>
      </c>
    </row>
    <row r="53" spans="19:26" x14ac:dyDescent="0.25">
      <c r="U53" s="172">
        <v>0</v>
      </c>
      <c r="V53" s="172">
        <v>0</v>
      </c>
    </row>
    <row r="54" spans="19:26" x14ac:dyDescent="0.25">
      <c r="U54" s="172">
        <v>0</v>
      </c>
      <c r="V54" s="172">
        <v>0</v>
      </c>
    </row>
    <row r="57" spans="19:26" x14ac:dyDescent="0.25">
      <c r="S57" s="87" t="s">
        <v>174</v>
      </c>
      <c r="U57" s="87" t="s">
        <v>175</v>
      </c>
      <c r="V57" s="87" t="s">
        <v>176</v>
      </c>
      <c r="X57" s="87" t="s">
        <v>177</v>
      </c>
      <c r="Z57" s="87" t="s">
        <v>179</v>
      </c>
    </row>
    <row r="58" spans="19:26" x14ac:dyDescent="0.25">
      <c r="S58">
        <v>0.80804242199909304</v>
      </c>
      <c r="U58" s="77">
        <v>0.82417660862012998</v>
      </c>
      <c r="V58">
        <v>0.82563423408351</v>
      </c>
      <c r="X58" s="133">
        <f>(U58-S58)/T39</f>
        <v>1613.4186621036938</v>
      </c>
      <c r="Z58" s="77">
        <v>-7.7493170412318499E-2</v>
      </c>
    </row>
    <row r="59" spans="19:26" x14ac:dyDescent="0.25">
      <c r="S59">
        <v>0.95045055856471605</v>
      </c>
      <c r="U59">
        <v>0.95474745598278599</v>
      </c>
      <c r="V59">
        <v>0.95513434337795899</v>
      </c>
    </row>
    <row r="60" spans="19:26" x14ac:dyDescent="0.25">
      <c r="S60" s="172">
        <v>0.94672021526622996</v>
      </c>
      <c r="T60" s="172"/>
      <c r="U60" s="172">
        <v>0.951659339928699</v>
      </c>
      <c r="V60" s="172">
        <v>0.95210084330532996</v>
      </c>
    </row>
    <row r="61" spans="19:26" x14ac:dyDescent="0.25">
      <c r="S61" s="172">
        <v>0.94590606224540696</v>
      </c>
      <c r="T61" s="172"/>
      <c r="U61" s="172">
        <v>0.95099066888812001</v>
      </c>
      <c r="V61" s="172">
        <v>0.95144446407935701</v>
      </c>
    </row>
    <row r="62" spans="19:26" x14ac:dyDescent="0.25">
      <c r="S62" s="172">
        <v>1.0002360900398799</v>
      </c>
      <c r="T62" s="172"/>
      <c r="U62" s="172">
        <v>1.0001907659659299</v>
      </c>
      <c r="V62" s="172">
        <v>1.0001869880688901</v>
      </c>
    </row>
    <row r="63" spans="19:26" x14ac:dyDescent="0.25">
      <c r="S63" s="172">
        <v>0</v>
      </c>
      <c r="T63" s="172"/>
      <c r="U63" s="172">
        <v>0</v>
      </c>
      <c r="V63" s="172">
        <v>0</v>
      </c>
    </row>
    <row r="64" spans="19:26" x14ac:dyDescent="0.25">
      <c r="S64" s="172">
        <v>0</v>
      </c>
      <c r="T64" s="172"/>
      <c r="U64" s="172">
        <v>0</v>
      </c>
      <c r="V64" s="172">
        <v>0</v>
      </c>
    </row>
    <row r="67" spans="13:30" x14ac:dyDescent="0.25">
      <c r="M67" t="s">
        <v>163</v>
      </c>
      <c r="Q67" s="77">
        <v>2.5005000000000001E-3</v>
      </c>
      <c r="T67" t="s">
        <v>171</v>
      </c>
      <c r="U67" s="175">
        <v>0.1</v>
      </c>
    </row>
    <row r="69" spans="13:30" x14ac:dyDescent="0.25">
      <c r="Q69" s="87" t="s">
        <v>170</v>
      </c>
      <c r="S69" s="87" t="s">
        <v>88</v>
      </c>
      <c r="T69" t="s">
        <v>171</v>
      </c>
      <c r="U69" s="87" t="s">
        <v>172</v>
      </c>
      <c r="V69" s="87" t="s">
        <v>173</v>
      </c>
    </row>
    <row r="70" spans="13:30" x14ac:dyDescent="0.25">
      <c r="M70" s="79" t="s">
        <v>58</v>
      </c>
      <c r="N70" t="s">
        <v>24</v>
      </c>
      <c r="Q70">
        <v>2</v>
      </c>
      <c r="S70">
        <v>1E-3</v>
      </c>
      <c r="T70" s="77">
        <f>S70*$U$67</f>
        <v>1E-4</v>
      </c>
      <c r="U70">
        <f>S70+T70</f>
        <v>1.1000000000000001E-3</v>
      </c>
      <c r="V70">
        <f>S70-T70</f>
        <v>8.9999999999999998E-4</v>
      </c>
    </row>
    <row r="71" spans="13:30" x14ac:dyDescent="0.25">
      <c r="M71" s="79" t="s">
        <v>56</v>
      </c>
      <c r="N71" t="s">
        <v>26</v>
      </c>
      <c r="Q71">
        <v>0.5</v>
      </c>
      <c r="S71" s="77">
        <v>9.999999999999989E-7</v>
      </c>
      <c r="T71" s="77">
        <f t="shared" ref="T71:T76" si="8">S71*$U$67</f>
        <v>9.999999999999989E-8</v>
      </c>
      <c r="U71">
        <f t="shared" ref="U71:U76" si="9">S71+T71</f>
        <v>1.0999999999999988E-6</v>
      </c>
      <c r="V71">
        <f t="shared" ref="V71:V76" si="10">S71-T71</f>
        <v>8.9999999999999901E-7</v>
      </c>
      <c r="AD71" s="77"/>
    </row>
    <row r="72" spans="13:30" x14ac:dyDescent="0.25">
      <c r="M72" s="172" t="s">
        <v>57</v>
      </c>
      <c r="N72" s="172" t="s">
        <v>27</v>
      </c>
      <c r="O72" s="172"/>
      <c r="P72" s="172"/>
      <c r="Q72" s="172">
        <v>0.5</v>
      </c>
      <c r="R72" s="172"/>
      <c r="S72" s="172">
        <v>1E-3</v>
      </c>
      <c r="T72" s="174">
        <f t="shared" si="8"/>
        <v>1E-4</v>
      </c>
      <c r="U72" s="172">
        <f t="shared" si="9"/>
        <v>1.1000000000000001E-3</v>
      </c>
      <c r="V72" s="172">
        <f t="shared" si="10"/>
        <v>8.9999999999999998E-4</v>
      </c>
      <c r="AC72" s="77"/>
    </row>
    <row r="73" spans="13:30" x14ac:dyDescent="0.25">
      <c r="M73" s="172" t="s">
        <v>61</v>
      </c>
      <c r="N73" s="172" t="s">
        <v>28</v>
      </c>
      <c r="O73" s="172"/>
      <c r="P73" s="172"/>
      <c r="Q73" s="172">
        <v>0.5</v>
      </c>
      <c r="R73" s="172"/>
      <c r="S73" s="172">
        <v>0</v>
      </c>
      <c r="T73" s="174">
        <f t="shared" si="8"/>
        <v>0</v>
      </c>
      <c r="U73" s="172">
        <f t="shared" si="9"/>
        <v>0</v>
      </c>
      <c r="V73" s="172">
        <f t="shared" si="10"/>
        <v>0</v>
      </c>
    </row>
    <row r="74" spans="13:30" x14ac:dyDescent="0.25">
      <c r="M74" s="172" t="s">
        <v>59</v>
      </c>
      <c r="N74" s="172" t="s">
        <v>30</v>
      </c>
      <c r="O74" s="172"/>
      <c r="P74" s="172"/>
      <c r="Q74" s="172">
        <v>0</v>
      </c>
      <c r="R74" s="172"/>
      <c r="S74" s="172">
        <v>0</v>
      </c>
      <c r="T74" s="174">
        <f t="shared" si="8"/>
        <v>0</v>
      </c>
      <c r="U74" s="172">
        <f t="shared" si="9"/>
        <v>0</v>
      </c>
      <c r="V74" s="172">
        <f t="shared" si="10"/>
        <v>0</v>
      </c>
    </row>
    <row r="75" spans="13:30" x14ac:dyDescent="0.25">
      <c r="M75" s="173" t="s">
        <v>60</v>
      </c>
      <c r="N75" s="172" t="s">
        <v>168</v>
      </c>
      <c r="O75" s="172"/>
      <c r="P75" s="172"/>
      <c r="Q75" s="172">
        <v>0</v>
      </c>
      <c r="R75" s="172"/>
      <c r="S75" s="172">
        <v>0</v>
      </c>
      <c r="T75" s="174">
        <f t="shared" si="8"/>
        <v>0</v>
      </c>
      <c r="U75" s="172">
        <f t="shared" si="9"/>
        <v>0</v>
      </c>
      <c r="V75" s="172">
        <f t="shared" si="10"/>
        <v>0</v>
      </c>
    </row>
    <row r="76" spans="13:30" x14ac:dyDescent="0.25">
      <c r="M76" s="173" t="s">
        <v>5</v>
      </c>
      <c r="N76" s="172" t="s">
        <v>169</v>
      </c>
      <c r="O76" s="172"/>
      <c r="P76" s="172"/>
      <c r="Q76" s="172">
        <v>0</v>
      </c>
      <c r="R76" s="172"/>
      <c r="S76" s="172">
        <v>0</v>
      </c>
      <c r="T76" s="174">
        <f t="shared" si="8"/>
        <v>0</v>
      </c>
      <c r="U76" s="172">
        <f t="shared" si="9"/>
        <v>0</v>
      </c>
      <c r="V76" s="172">
        <f t="shared" si="10"/>
        <v>0</v>
      </c>
    </row>
    <row r="78" spans="13:30" x14ac:dyDescent="0.25">
      <c r="U78" s="87" t="s">
        <v>172</v>
      </c>
      <c r="V78" s="87" t="s">
        <v>173</v>
      </c>
    </row>
    <row r="79" spans="13:30" x14ac:dyDescent="0.25">
      <c r="T79" t="s">
        <v>178</v>
      </c>
      <c r="U79">
        <v>1.1000000000000001E-3</v>
      </c>
      <c r="V79">
        <v>8.99999999999999E-4</v>
      </c>
    </row>
    <row r="80" spans="13:30" x14ac:dyDescent="0.25">
      <c r="T80" t="s">
        <v>69</v>
      </c>
      <c r="U80" s="77">
        <v>1.1000000000000001E-6</v>
      </c>
      <c r="V80" s="77">
        <v>8.9999999999999901E-7</v>
      </c>
    </row>
    <row r="81" spans="19:26" x14ac:dyDescent="0.25">
      <c r="U81" s="172">
        <v>0</v>
      </c>
      <c r="V81" s="172">
        <v>0</v>
      </c>
    </row>
    <row r="82" spans="19:26" x14ac:dyDescent="0.25">
      <c r="U82" s="172">
        <v>0</v>
      </c>
      <c r="V82" s="172">
        <v>0</v>
      </c>
    </row>
    <row r="83" spans="19:26" x14ac:dyDescent="0.25">
      <c r="U83" s="172">
        <v>0</v>
      </c>
      <c r="V83" s="172">
        <v>0</v>
      </c>
    </row>
    <row r="84" spans="19:26" x14ac:dyDescent="0.25">
      <c r="U84" s="172">
        <v>0</v>
      </c>
      <c r="V84" s="172">
        <v>0</v>
      </c>
    </row>
    <row r="85" spans="19:26" x14ac:dyDescent="0.25">
      <c r="U85" s="172">
        <v>0</v>
      </c>
      <c r="V85" s="172">
        <v>0</v>
      </c>
    </row>
    <row r="88" spans="19:26" x14ac:dyDescent="0.25">
      <c r="S88" s="87" t="s">
        <v>174</v>
      </c>
      <c r="U88" s="87" t="s">
        <v>175</v>
      </c>
      <c r="V88" s="87" t="s">
        <v>176</v>
      </c>
      <c r="X88" s="87" t="s">
        <v>177</v>
      </c>
      <c r="Z88" s="87" t="s">
        <v>179</v>
      </c>
    </row>
    <row r="89" spans="19:26" x14ac:dyDescent="0.25">
      <c r="S89">
        <v>0.80804242199909304</v>
      </c>
      <c r="U89">
        <v>0.81784738351269404</v>
      </c>
      <c r="V89">
        <v>0.832448891551826</v>
      </c>
      <c r="X89" s="133">
        <f>(U89-S89)/T70</f>
        <v>98.049615136009962</v>
      </c>
      <c r="Z89" s="77">
        <v>-7.7493170412318499E-2</v>
      </c>
    </row>
    <row r="90" spans="19:26" x14ac:dyDescent="0.25">
      <c r="S90">
        <v>0.95045055856471605</v>
      </c>
      <c r="U90">
        <v>0.95306502702196205</v>
      </c>
      <c r="V90">
        <v>0.95694026570600499</v>
      </c>
    </row>
    <row r="91" spans="19:26" x14ac:dyDescent="0.25">
      <c r="S91" s="172">
        <v>0.94672021526622996</v>
      </c>
      <c r="T91" s="172"/>
      <c r="U91" s="174">
        <v>0.94973327049588996</v>
      </c>
      <c r="V91" s="172">
        <v>0.95415477379628899</v>
      </c>
    </row>
    <row r="92" spans="19:26" x14ac:dyDescent="0.25">
      <c r="S92" s="172">
        <v>0.94590606224540696</v>
      </c>
      <c r="T92" s="172"/>
      <c r="U92" s="172">
        <v>0.949009610162595</v>
      </c>
      <c r="V92" s="172">
        <v>0.95355404579485403</v>
      </c>
    </row>
    <row r="93" spans="19:26" x14ac:dyDescent="0.25">
      <c r="S93" s="172">
        <v>1.0002360900398799</v>
      </c>
      <c r="T93" s="172"/>
      <c r="U93" s="172">
        <v>1.00020776667918</v>
      </c>
      <c r="V93" s="172">
        <v>1.0001699877088199</v>
      </c>
    </row>
    <row r="94" spans="19:26" x14ac:dyDescent="0.25">
      <c r="S94" s="172">
        <v>0</v>
      </c>
      <c r="T94" s="172"/>
      <c r="U94" s="172">
        <v>0</v>
      </c>
      <c r="V94" s="172">
        <v>0</v>
      </c>
    </row>
    <row r="95" spans="19:26" x14ac:dyDescent="0.25">
      <c r="S95" s="172">
        <v>0</v>
      </c>
      <c r="T95" s="172"/>
      <c r="U95" s="172">
        <v>0</v>
      </c>
      <c r="V95" s="172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9"/>
  <sheetViews>
    <sheetView workbookViewId="0">
      <selection activeCell="P12" sqref="P12"/>
    </sheetView>
  </sheetViews>
  <sheetFormatPr defaultRowHeight="15" x14ac:dyDescent="0.25"/>
  <sheetData>
    <row r="2" spans="2:11" x14ac:dyDescent="0.25">
      <c r="C2" t="s">
        <v>193</v>
      </c>
    </row>
    <row r="3" spans="2:11" x14ac:dyDescent="0.25">
      <c r="C3" s="183">
        <v>100</v>
      </c>
      <c r="D3" s="184">
        <v>-100000</v>
      </c>
      <c r="J3">
        <f t="array" ref="J3:K4">MMULT(E9:G10,C3:D5)</f>
        <v>-256.09895654550598</v>
      </c>
      <c r="K3">
        <v>412197.91309101199</v>
      </c>
    </row>
    <row r="4" spans="2:11" x14ac:dyDescent="0.25">
      <c r="C4" s="185">
        <v>0</v>
      </c>
      <c r="D4" s="202">
        <v>0.01</v>
      </c>
      <c r="J4">
        <v>412.19791309101203</v>
      </c>
      <c r="K4">
        <v>-724395.83618202398</v>
      </c>
    </row>
    <row r="5" spans="2:11" x14ac:dyDescent="0.25">
      <c r="C5" s="187">
        <v>156.09895654550601</v>
      </c>
      <c r="D5" s="203">
        <v>-312197.91309101199</v>
      </c>
    </row>
    <row r="7" spans="2:11" x14ac:dyDescent="0.25">
      <c r="C7" s="204">
        <v>0</v>
      </c>
      <c r="D7" s="204">
        <v>1</v>
      </c>
      <c r="E7">
        <v>2</v>
      </c>
    </row>
    <row r="8" spans="2:11" x14ac:dyDescent="0.25">
      <c r="C8" t="s">
        <v>116</v>
      </c>
      <c r="J8" t="s">
        <v>93</v>
      </c>
    </row>
    <row r="9" spans="2:11" x14ac:dyDescent="0.25">
      <c r="C9" s="89">
        <v>1</v>
      </c>
      <c r="D9" s="91">
        <v>0</v>
      </c>
      <c r="E9" s="89">
        <v>-1</v>
      </c>
      <c r="F9" s="90">
        <v>0</v>
      </c>
      <c r="G9" s="91">
        <v>-1</v>
      </c>
      <c r="J9" s="89">
        <f>1+J3</f>
        <v>-255.09895654550598</v>
      </c>
      <c r="K9" s="91">
        <f>0+K3</f>
        <v>412197.91309101199</v>
      </c>
    </row>
    <row r="10" spans="2:11" x14ac:dyDescent="0.25">
      <c r="C10" s="95">
        <v>0</v>
      </c>
      <c r="D10" s="97">
        <v>1</v>
      </c>
      <c r="E10" s="95">
        <v>1</v>
      </c>
      <c r="F10" s="96">
        <v>-1</v>
      </c>
      <c r="G10" s="97">
        <v>2</v>
      </c>
      <c r="J10" s="95">
        <f>0+J4</f>
        <v>412.19791309101203</v>
      </c>
      <c r="K10" s="97">
        <f>1+K4</f>
        <v>-724394.83618202398</v>
      </c>
    </row>
    <row r="12" spans="2:11" x14ac:dyDescent="0.25">
      <c r="C12" t="s">
        <v>154</v>
      </c>
      <c r="E12">
        <f>E10*D3+D4*F10+D5*G10</f>
        <v>-724395.83618202398</v>
      </c>
    </row>
    <row r="13" spans="2:11" x14ac:dyDescent="0.25">
      <c r="B13" s="79" t="s">
        <v>58</v>
      </c>
      <c r="C13">
        <v>4.47E-3</v>
      </c>
    </row>
    <row r="14" spans="2:11" x14ac:dyDescent="0.25">
      <c r="B14" s="79" t="s">
        <v>56</v>
      </c>
      <c r="C14" s="77">
        <v>9.9999999999999903E-8</v>
      </c>
    </row>
    <row r="15" spans="2:11" x14ac:dyDescent="0.25">
      <c r="B15" s="172" t="s">
        <v>57</v>
      </c>
      <c r="C15">
        <v>0.1</v>
      </c>
    </row>
    <row r="16" spans="2:11" x14ac:dyDescent="0.25">
      <c r="B16" s="172" t="s">
        <v>61</v>
      </c>
      <c r="C16">
        <v>4.47E-3</v>
      </c>
    </row>
    <row r="17" spans="2:20" x14ac:dyDescent="0.25">
      <c r="B17" s="172" t="s">
        <v>59</v>
      </c>
      <c r="C17" s="77">
        <v>-6.2774385622041902E+66</v>
      </c>
    </row>
    <row r="18" spans="2:20" x14ac:dyDescent="0.25">
      <c r="B18" s="173" t="s">
        <v>60</v>
      </c>
      <c r="C18" s="77">
        <v>-6.2774385622041902E+66</v>
      </c>
    </row>
    <row r="19" spans="2:20" x14ac:dyDescent="0.25">
      <c r="B19" s="173" t="s">
        <v>5</v>
      </c>
      <c r="C19" s="77">
        <v>-6.2774385622041902E+66</v>
      </c>
    </row>
    <row r="26" spans="2:20" x14ac:dyDescent="0.25">
      <c r="O26" s="83"/>
      <c r="P26" s="83"/>
      <c r="Q26" s="83"/>
      <c r="R26" s="83"/>
      <c r="S26" s="83"/>
      <c r="T26" s="83"/>
    </row>
    <row r="27" spans="2:20" x14ac:dyDescent="0.25">
      <c r="O27" s="83"/>
      <c r="P27" s="83"/>
      <c r="Q27" s="83"/>
      <c r="R27" s="83"/>
      <c r="S27" s="83"/>
      <c r="T27" s="83"/>
    </row>
    <row r="28" spans="2:20" x14ac:dyDescent="0.25">
      <c r="O28" s="83"/>
      <c r="P28" s="83"/>
      <c r="Q28" s="83"/>
      <c r="R28" s="83"/>
      <c r="S28" s="83"/>
      <c r="T28" s="83"/>
    </row>
    <row r="29" spans="2:20" x14ac:dyDescent="0.25">
      <c r="O29" s="83"/>
      <c r="P29" s="83"/>
      <c r="Q29" s="83"/>
      <c r="R29" s="83"/>
      <c r="S29" s="83"/>
      <c r="T29" s="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 Gaspari</dc:creator>
  <cp:lastModifiedBy>Francesca de Gaspari</cp:lastModifiedBy>
  <dcterms:created xsi:type="dcterms:W3CDTF">2012-01-17T12:01:33Z</dcterms:created>
  <dcterms:modified xsi:type="dcterms:W3CDTF">2012-02-20T15:52:26Z</dcterms:modified>
</cp:coreProperties>
</file>