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za Perez\Documents\Contabilizacones 2022\Contabilizacion 2024\"/>
    </mc:Choice>
  </mc:AlternateContent>
  <xr:revisionPtr revIDLastSave="0" documentId="13_ncr:1_{64E990E5-0CBE-4C65-81A4-F5912F2B2F5C}" xr6:coauthVersionLast="47" xr6:coauthVersionMax="47" xr10:uidLastSave="{00000000-0000-0000-0000-000000000000}"/>
  <bookViews>
    <workbookView xWindow="28680" yWindow="-6480" windowWidth="29040" windowHeight="15720" tabRatio="694" firstSheet="3" activeTab="13" xr2:uid="{02654BF6-3400-4237-BEBD-F14387F6BC1C}"/>
  </bookViews>
  <sheets>
    <sheet name="NIUM" sheetId="9" state="hidden" r:id="rId1"/>
    <sheet name="PAYCASH" sheetId="10" state="hidden" r:id="rId2"/>
    <sheet name="FACILITAPAY PayIn" sheetId="19" state="hidden" r:id="rId3"/>
    <sheet name="BCI OPE" sheetId="16" r:id="rId4"/>
    <sheet name="BCI AMD" sheetId="20" r:id="rId5"/>
    <sheet name="BCI RRHH" sheetId="21" r:id="rId6"/>
    <sheet name="Estado" sheetId="17" r:id="rId7"/>
    <sheet name="BICE" sheetId="26" r:id="rId8"/>
    <sheet name="BICE U" sheetId="22" r:id="rId9"/>
    <sheet name="MBI" sheetId="28" r:id="rId10"/>
    <sheet name="INTER OR" sheetId="27" state="hidden" r:id="rId11"/>
    <sheet name="CFSB" sheetId="23" state="hidden" r:id="rId12"/>
    <sheet name="TC" sheetId="24" r:id="rId13"/>
    <sheet name="Hoja2" sheetId="25" r:id="rId14"/>
  </sheets>
  <definedNames>
    <definedName name="_xlnm._FilterDatabase" localSheetId="4" hidden="1">'BCI AMD'!$E$1:$K$63</definedName>
    <definedName name="_xlnm._FilterDatabase" localSheetId="3" hidden="1">BICE!$U$1:$Z$63</definedName>
    <definedName name="_xlnm._FilterDatabase" localSheetId="5" hidden="1">'BCI RRHH'!$E$1:$J$63</definedName>
    <definedName name="_xlnm._FilterDatabase" localSheetId="7" hidden="1">BICE!$U$1:$Z$63</definedName>
    <definedName name="_xlnm._FilterDatabase" localSheetId="8" hidden="1">'BICE U'!$BN$1:$BS$63</definedName>
    <definedName name="_xlnm._FilterDatabase" localSheetId="11" hidden="1">CFSB!$AY$1:$BE$63</definedName>
    <definedName name="_xlnm._FilterDatabase" localSheetId="6" hidden="1">Estado!$AE$1:$AJ$63</definedName>
    <definedName name="_xlnm._FilterDatabase" localSheetId="10" hidden="1">'INTER OR'!$AF$1:$AK$63</definedName>
    <definedName name="_xlnm._FilterDatabase" localSheetId="9" hidden="1">MBI!$AZ$1:$BE$63</definedName>
    <definedName name="_xlnm._FilterDatabase" localSheetId="12" hidden="1">TC!$DG$1:$DM$64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40" i="24" l="1"/>
  <c r="DK62" i="24"/>
  <c r="DK56" i="24"/>
  <c r="DK46" i="24"/>
  <c r="DK16" i="24"/>
  <c r="DK12" i="24"/>
  <c r="DK6" i="24"/>
  <c r="DK4" i="24"/>
  <c r="DJ62" i="24" l="1"/>
  <c r="DJ60" i="24"/>
  <c r="DJ58" i="24"/>
  <c r="DJ59" i="24" s="1"/>
  <c r="DJ56" i="24"/>
  <c r="DJ54" i="24"/>
  <c r="DJ52" i="24"/>
  <c r="DJ50" i="24"/>
  <c r="DJ51" i="24" s="1"/>
  <c r="DJ48" i="24"/>
  <c r="DJ49" i="24" s="1"/>
  <c r="DJ46" i="24"/>
  <c r="DJ47" i="24" s="1"/>
  <c r="DJ44" i="24"/>
  <c r="DJ42" i="24"/>
  <c r="DJ43" i="24" s="1"/>
  <c r="DJ40" i="24"/>
  <c r="DJ38" i="24"/>
  <c r="DJ36" i="24"/>
  <c r="DJ34" i="24"/>
  <c r="DJ35" i="24" s="1"/>
  <c r="DJ32" i="24"/>
  <c r="DJ33" i="24" s="1"/>
  <c r="DJ30" i="24"/>
  <c r="DJ31" i="24" s="1"/>
  <c r="DJ28" i="24"/>
  <c r="DJ26" i="24"/>
  <c r="DJ24" i="24"/>
  <c r="DJ22" i="24"/>
  <c r="DJ20" i="24"/>
  <c r="DJ18" i="24"/>
  <c r="DJ19" i="24" s="1"/>
  <c r="DJ16" i="24"/>
  <c r="DJ14" i="24"/>
  <c r="DJ15" i="24" s="1"/>
  <c r="DJ12" i="24"/>
  <c r="DJ10" i="24"/>
  <c r="DJ11" i="24" s="1"/>
  <c r="DJ8" i="24"/>
  <c r="DJ6" i="24"/>
  <c r="DJ4" i="24"/>
  <c r="DJ2" i="24"/>
  <c r="DJ3" i="24" s="1"/>
  <c r="DJ63" i="24"/>
  <c r="DJ61" i="24"/>
  <c r="DJ57" i="24"/>
  <c r="DJ41" i="24"/>
  <c r="DJ37" i="24"/>
  <c r="DJ29" i="24"/>
  <c r="DJ27" i="24"/>
  <c r="DJ25" i="24"/>
  <c r="DJ13" i="24"/>
  <c r="DJ9" i="24"/>
  <c r="DJ53" i="24"/>
  <c r="DJ45" i="24"/>
  <c r="DJ17" i="24"/>
  <c r="DE33" i="24"/>
  <c r="DD3" i="24"/>
  <c r="DD4" i="24"/>
  <c r="DD5" i="24"/>
  <c r="DK8" i="24" s="1"/>
  <c r="DD6" i="24"/>
  <c r="DK10" i="24" s="1"/>
  <c r="DD7" i="24"/>
  <c r="DD8" i="24"/>
  <c r="DK14" i="24" s="1"/>
  <c r="DD9" i="24"/>
  <c r="DD10" i="24"/>
  <c r="DK18" i="24" s="1"/>
  <c r="DD11" i="24"/>
  <c r="DD12" i="24"/>
  <c r="DK22" i="24" s="1"/>
  <c r="DD13" i="24"/>
  <c r="DK24" i="24" s="1"/>
  <c r="DD14" i="24"/>
  <c r="DD15" i="24"/>
  <c r="DK28" i="24" s="1"/>
  <c r="DD16" i="24"/>
  <c r="DD17" i="24"/>
  <c r="DD18" i="24"/>
  <c r="DK34" i="24" s="1"/>
  <c r="DD19" i="24"/>
  <c r="DK36" i="24" s="1"/>
  <c r="DD20" i="24"/>
  <c r="DK38" i="24" s="1"/>
  <c r="DD21" i="24"/>
  <c r="DD22" i="24"/>
  <c r="DK42" i="24" s="1"/>
  <c r="DD23" i="24"/>
  <c r="DK44" i="24" s="1"/>
  <c r="DD24" i="24"/>
  <c r="DD25" i="24"/>
  <c r="DD26" i="24"/>
  <c r="DK50" i="24" s="1"/>
  <c r="DD27" i="24"/>
  <c r="DD28" i="24"/>
  <c r="DK54" i="24" s="1"/>
  <c r="DD29" i="24"/>
  <c r="DD30" i="24"/>
  <c r="DK58" i="24" s="1"/>
  <c r="DD31" i="24"/>
  <c r="DK60" i="24" s="1"/>
  <c r="DD32" i="24"/>
  <c r="DD2" i="24"/>
  <c r="DK32" i="24"/>
  <c r="DK48" i="24"/>
  <c r="DK52" i="24"/>
  <c r="DJ55" i="24"/>
  <c r="DJ39" i="24"/>
  <c r="DK30" i="24"/>
  <c r="DK26" i="24"/>
  <c r="DJ23" i="24"/>
  <c r="DK20" i="24"/>
  <c r="DJ21" i="24"/>
  <c r="DJ7" i="24"/>
  <c r="DJ5" i="24"/>
  <c r="BA62" i="24"/>
  <c r="BA60" i="24"/>
  <c r="BA58" i="24"/>
  <c r="BA56" i="24"/>
  <c r="BA54" i="24"/>
  <c r="BA52" i="24"/>
  <c r="BA50" i="24"/>
  <c r="BA48" i="24"/>
  <c r="BA46" i="24"/>
  <c r="BA44" i="24"/>
  <c r="BA42" i="24"/>
  <c r="BA40" i="24"/>
  <c r="BA38" i="24"/>
  <c r="BA36" i="24"/>
  <c r="BA34" i="24"/>
  <c r="BA32" i="24"/>
  <c r="BA30" i="24"/>
  <c r="BA28" i="24"/>
  <c r="BA26" i="24"/>
  <c r="BA24" i="24"/>
  <c r="BA22" i="24"/>
  <c r="BA20" i="24"/>
  <c r="BA18" i="24"/>
  <c r="BA16" i="24"/>
  <c r="BA14" i="24"/>
  <c r="BA12" i="24"/>
  <c r="BA10" i="24"/>
  <c r="BA8" i="24"/>
  <c r="BA6" i="24"/>
  <c r="BA4" i="24"/>
  <c r="BA2" i="24"/>
  <c r="DL59" i="24" l="1"/>
  <c r="DL23" i="24"/>
  <c r="DL11" i="24"/>
  <c r="DL15" i="24"/>
  <c r="DL43" i="24"/>
  <c r="DL61" i="24"/>
  <c r="DL45" i="24"/>
  <c r="DL29" i="24"/>
  <c r="DL13" i="24"/>
  <c r="DL33" i="24"/>
  <c r="DL37" i="24"/>
  <c r="DL7" i="24"/>
  <c r="DL21" i="24"/>
  <c r="DL17" i="24"/>
  <c r="DL51" i="24"/>
  <c r="DL35" i="24"/>
  <c r="DL19" i="24"/>
  <c r="DL47" i="24"/>
  <c r="DL5" i="24"/>
  <c r="DL49" i="24"/>
  <c r="DL27" i="24"/>
  <c r="DL63" i="24"/>
  <c r="DL31" i="24"/>
  <c r="DL53" i="24"/>
  <c r="DL57" i="24"/>
  <c r="DL41" i="24"/>
  <c r="DL9" i="24"/>
  <c r="DL55" i="24"/>
  <c r="DL39" i="24"/>
  <c r="DL25" i="24"/>
  <c r="DD33" i="24"/>
  <c r="DK2" i="24"/>
  <c r="DL3" i="24"/>
  <c r="BL32" i="22"/>
  <c r="BL31" i="22"/>
  <c r="BL30" i="22"/>
  <c r="BL29" i="22"/>
  <c r="BL28" i="22"/>
  <c r="BL27" i="22"/>
  <c r="BL26" i="22"/>
  <c r="BL25" i="22"/>
  <c r="BL24" i="22"/>
  <c r="BL23" i="22"/>
  <c r="BL22" i="22"/>
  <c r="BL21" i="22"/>
  <c r="BL20" i="22"/>
  <c r="BL19" i="22"/>
  <c r="BL18" i="22"/>
  <c r="BL17" i="22"/>
  <c r="BL16" i="22"/>
  <c r="BL15" i="22"/>
  <c r="BL14" i="22"/>
  <c r="BL13" i="22"/>
  <c r="BL12" i="22"/>
  <c r="BL11" i="22"/>
  <c r="BL10" i="22"/>
  <c r="BL9" i="22"/>
  <c r="BL8" i="22"/>
  <c r="BL7" i="22"/>
  <c r="BL6" i="22"/>
  <c r="BL5" i="22"/>
  <c r="BL4" i="22"/>
  <c r="BL2" i="22"/>
  <c r="BL3" i="22"/>
  <c r="BR4" i="22" s="1"/>
  <c r="BK3" i="22"/>
  <c r="BK4" i="22"/>
  <c r="BK5" i="22"/>
  <c r="BK6" i="22"/>
  <c r="BK7" i="22"/>
  <c r="BK8" i="22"/>
  <c r="BK9" i="22"/>
  <c r="BK10" i="22"/>
  <c r="BK11" i="22"/>
  <c r="BK12" i="22"/>
  <c r="BK13" i="22"/>
  <c r="BK14" i="22"/>
  <c r="BK15" i="22"/>
  <c r="BK16" i="22"/>
  <c r="BK17" i="22"/>
  <c r="BK18" i="22"/>
  <c r="BK19" i="22"/>
  <c r="BK20" i="22"/>
  <c r="BK21" i="22"/>
  <c r="BK22" i="22"/>
  <c r="BK23" i="22"/>
  <c r="BK24" i="22"/>
  <c r="BK25" i="22"/>
  <c r="BK26" i="22"/>
  <c r="BK27" i="22"/>
  <c r="BK28" i="22"/>
  <c r="BK29" i="22"/>
  <c r="BK30" i="22"/>
  <c r="BK31" i="22"/>
  <c r="BK32" i="22"/>
  <c r="BK2" i="22"/>
  <c r="BJ3" i="22"/>
  <c r="BJ4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20" i="22"/>
  <c r="BJ21" i="22"/>
  <c r="BJ22" i="22"/>
  <c r="BJ23" i="22"/>
  <c r="BJ24" i="22"/>
  <c r="BJ25" i="22"/>
  <c r="BJ26" i="22"/>
  <c r="BJ27" i="22"/>
  <c r="BJ28" i="22"/>
  <c r="BJ29" i="22"/>
  <c r="BJ30" i="22"/>
  <c r="BJ31" i="22"/>
  <c r="BJ32" i="22"/>
  <c r="BJ2" i="22"/>
  <c r="BI3" i="22"/>
  <c r="BI4" i="22"/>
  <c r="BI5" i="22"/>
  <c r="BI6" i="22"/>
  <c r="BI7" i="22"/>
  <c r="BI8" i="22"/>
  <c r="BI9" i="22"/>
  <c r="BI10" i="22"/>
  <c r="BI11" i="22"/>
  <c r="BI12" i="22"/>
  <c r="BI13" i="22"/>
  <c r="BI14" i="22"/>
  <c r="BI15" i="22"/>
  <c r="BI16" i="22"/>
  <c r="BI17" i="22"/>
  <c r="BI18" i="22"/>
  <c r="BI19" i="22"/>
  <c r="BI20" i="22"/>
  <c r="BI21" i="22"/>
  <c r="BI22" i="22"/>
  <c r="BI23" i="22"/>
  <c r="BI24" i="22"/>
  <c r="BI25" i="22"/>
  <c r="BI26" i="22"/>
  <c r="BI27" i="22"/>
  <c r="BI28" i="22"/>
  <c r="BI29" i="22"/>
  <c r="BI30" i="22"/>
  <c r="BI31" i="22"/>
  <c r="BI32" i="22"/>
  <c r="BI2" i="22"/>
  <c r="U21" i="25"/>
  <c r="AW70" i="25"/>
  <c r="AW66" i="25"/>
  <c r="BQ62" i="22" l="1"/>
  <c r="BQ63" i="22" s="1"/>
  <c r="BQ20" i="22"/>
  <c r="BQ21" i="22" s="1"/>
  <c r="BR8" i="22"/>
  <c r="BS9" i="22" s="1"/>
  <c r="BQ52" i="22"/>
  <c r="BQ53" i="22" s="1"/>
  <c r="BQ4" i="22"/>
  <c r="BQ5" i="22" s="1"/>
  <c r="BQ28" i="22"/>
  <c r="BQ29" i="22" s="1"/>
  <c r="BQ36" i="22"/>
  <c r="BQ37" i="22" s="1"/>
  <c r="BQ30" i="22"/>
  <c r="BQ31" i="22" s="1"/>
  <c r="BQ8" i="22"/>
  <c r="BQ9" i="22" s="1"/>
  <c r="BQ58" i="22"/>
  <c r="BQ59" i="22" s="1"/>
  <c r="BQ54" i="22"/>
  <c r="BQ55" i="22" s="1"/>
  <c r="BQ14" i="22"/>
  <c r="BQ15" i="22" s="1"/>
  <c r="BQ60" i="22"/>
  <c r="BQ61" i="22" s="1"/>
  <c r="BQ44" i="22"/>
  <c r="BQ45" i="22" s="1"/>
  <c r="BQ12" i="22"/>
  <c r="BQ13" i="22" s="1"/>
  <c r="DK64" i="24"/>
  <c r="BQ42" i="22"/>
  <c r="BQ43" i="22" s="1"/>
  <c r="BQ26" i="22"/>
  <c r="BQ27" i="22" s="1"/>
  <c r="BQ10" i="22"/>
  <c r="BQ11" i="22" s="1"/>
  <c r="BI33" i="22"/>
  <c r="BQ56" i="22"/>
  <c r="BQ57" i="22" s="1"/>
  <c r="BQ40" i="22"/>
  <c r="BQ41" i="22" s="1"/>
  <c r="BQ38" i="22"/>
  <c r="BQ39" i="22" s="1"/>
  <c r="BQ48" i="22"/>
  <c r="BQ49" i="22" s="1"/>
  <c r="BQ32" i="22"/>
  <c r="BQ33" i="22" s="1"/>
  <c r="BQ16" i="22"/>
  <c r="BQ17" i="22" s="1"/>
  <c r="BQ46" i="22"/>
  <c r="BQ47" i="22" s="1"/>
  <c r="BQ24" i="22"/>
  <c r="BQ25" i="22" s="1"/>
  <c r="BQ22" i="22"/>
  <c r="BQ23" i="22" s="1"/>
  <c r="BQ6" i="22"/>
  <c r="BQ7" i="22" s="1"/>
  <c r="BQ50" i="22"/>
  <c r="BQ51" i="22" s="1"/>
  <c r="BQ34" i="22"/>
  <c r="BQ35" i="22" s="1"/>
  <c r="BQ18" i="22"/>
  <c r="BQ19" i="22" s="1"/>
  <c r="BQ2" i="22"/>
  <c r="BQ3" i="22" s="1"/>
  <c r="X62" i="26" l="1"/>
  <c r="X60" i="26"/>
  <c r="X58" i="26"/>
  <c r="X56" i="26"/>
  <c r="X54" i="26"/>
  <c r="X52" i="26"/>
  <c r="X50" i="26"/>
  <c r="X48" i="26"/>
  <c r="X46" i="26"/>
  <c r="X44" i="26"/>
  <c r="X42" i="26"/>
  <c r="X40" i="26"/>
  <c r="X38" i="26"/>
  <c r="X36" i="26"/>
  <c r="X34" i="26"/>
  <c r="X32" i="26"/>
  <c r="X30" i="26"/>
  <c r="X28" i="26"/>
  <c r="X26" i="26"/>
  <c r="X24" i="26"/>
  <c r="X22" i="26"/>
  <c r="X20" i="26"/>
  <c r="X18" i="26"/>
  <c r="X16" i="26"/>
  <c r="X14" i="26"/>
  <c r="X12" i="26"/>
  <c r="X10" i="26"/>
  <c r="X8" i="26"/>
  <c r="X6" i="26"/>
  <c r="X4" i="26"/>
  <c r="X2" i="26"/>
  <c r="H62" i="21"/>
  <c r="H60" i="21"/>
  <c r="H58" i="21"/>
  <c r="H56" i="21"/>
  <c r="H54" i="21"/>
  <c r="H52" i="21"/>
  <c r="H50" i="21"/>
  <c r="H48" i="21"/>
  <c r="H46" i="21"/>
  <c r="H44" i="21"/>
  <c r="H42" i="21"/>
  <c r="H40" i="21"/>
  <c r="H38" i="21"/>
  <c r="H36" i="21"/>
  <c r="H34" i="21"/>
  <c r="H32" i="21"/>
  <c r="H30" i="21"/>
  <c r="H28" i="21"/>
  <c r="H26" i="21"/>
  <c r="H24" i="21"/>
  <c r="H22" i="21"/>
  <c r="H20" i="21"/>
  <c r="H18" i="21"/>
  <c r="H16" i="21"/>
  <c r="H14" i="21"/>
  <c r="H12" i="21"/>
  <c r="H10" i="21"/>
  <c r="H8" i="21"/>
  <c r="H6" i="21"/>
  <c r="H4" i="21"/>
  <c r="H2" i="21"/>
  <c r="AS53" i="20"/>
  <c r="AS52" i="20"/>
  <c r="AS51" i="20"/>
  <c r="AS50" i="20"/>
  <c r="AS49" i="20"/>
  <c r="AS48" i="20"/>
  <c r="AS47" i="20"/>
  <c r="AS46" i="20"/>
  <c r="AS45" i="20"/>
  <c r="AS44" i="20"/>
  <c r="AS43" i="20"/>
  <c r="AS42" i="20"/>
  <c r="AS40" i="20"/>
  <c r="AS38" i="20"/>
  <c r="AS36" i="20"/>
  <c r="AS34" i="20"/>
  <c r="AS32" i="20"/>
  <c r="AS30" i="20"/>
  <c r="AS28" i="20"/>
  <c r="AS26" i="20"/>
  <c r="AS24" i="20"/>
  <c r="AS22" i="20"/>
  <c r="AS20" i="20"/>
  <c r="AS18" i="20"/>
  <c r="AS16" i="20"/>
  <c r="AS14" i="20"/>
  <c r="AS12" i="20"/>
  <c r="AS10" i="20"/>
  <c r="AS8" i="20"/>
  <c r="AS6" i="20"/>
  <c r="AS4" i="20"/>
  <c r="AS2" i="20"/>
  <c r="AG62" i="20"/>
  <c r="AG63" i="20" s="1"/>
  <c r="AG60" i="20"/>
  <c r="AG61" i="20" s="1"/>
  <c r="AG58" i="20"/>
  <c r="AG56" i="20"/>
  <c r="AG54" i="20"/>
  <c r="AG52" i="20"/>
  <c r="AG53" i="20" s="1"/>
  <c r="AG50" i="20"/>
  <c r="AG48" i="20"/>
  <c r="AG49" i="20" s="1"/>
  <c r="AG46" i="20"/>
  <c r="AG47" i="20" s="1"/>
  <c r="AG44" i="20"/>
  <c r="AG45" i="20" s="1"/>
  <c r="AG42" i="20"/>
  <c r="AG40" i="20"/>
  <c r="AG38" i="20"/>
  <c r="AG36" i="20"/>
  <c r="AG37" i="20" s="1"/>
  <c r="AG34" i="20"/>
  <c r="AG32" i="20"/>
  <c r="AG33" i="20" s="1"/>
  <c r="AG30" i="20"/>
  <c r="AG31" i="20" s="1"/>
  <c r="AG28" i="20"/>
  <c r="AG29" i="20" s="1"/>
  <c r="AG26" i="20"/>
  <c r="AG24" i="20"/>
  <c r="AG22" i="20"/>
  <c r="AG20" i="20"/>
  <c r="AG21" i="20" s="1"/>
  <c r="AG18" i="20"/>
  <c r="AG16" i="20"/>
  <c r="AG17" i="20" s="1"/>
  <c r="AG14" i="20"/>
  <c r="AG15" i="20" s="1"/>
  <c r="AG12" i="20"/>
  <c r="AG13" i="20" s="1"/>
  <c r="AG10" i="20"/>
  <c r="AG11" i="20" s="1"/>
  <c r="AG8" i="20"/>
  <c r="AG6" i="20"/>
  <c r="AG4" i="20"/>
  <c r="AG5" i="20" s="1"/>
  <c r="AG2" i="20"/>
  <c r="AG3" i="20"/>
  <c r="AG7" i="20"/>
  <c r="AG9" i="20"/>
  <c r="AG19" i="20"/>
  <c r="AG23" i="20"/>
  <c r="AG25" i="20"/>
  <c r="AG27" i="20"/>
  <c r="AG35" i="20"/>
  <c r="AG39" i="20"/>
  <c r="AG41" i="20"/>
  <c r="AG43" i="20"/>
  <c r="AG51" i="20"/>
  <c r="AG55" i="20"/>
  <c r="AG57" i="20"/>
  <c r="AG59" i="20"/>
  <c r="U52" i="20"/>
  <c r="U51" i="20"/>
  <c r="U50" i="20"/>
  <c r="U49" i="20"/>
  <c r="U48" i="20"/>
  <c r="U47" i="20"/>
  <c r="U46" i="20"/>
  <c r="U45" i="20"/>
  <c r="U44" i="20"/>
  <c r="U43" i="20"/>
  <c r="U42" i="20"/>
  <c r="U40" i="20"/>
  <c r="U38" i="20"/>
  <c r="U36" i="20"/>
  <c r="U34" i="20"/>
  <c r="U32" i="20"/>
  <c r="U30" i="20"/>
  <c r="U28" i="20"/>
  <c r="U26" i="20"/>
  <c r="U24" i="20"/>
  <c r="U22" i="20"/>
  <c r="U20" i="20"/>
  <c r="U18" i="20"/>
  <c r="U16" i="20"/>
  <c r="U14" i="20"/>
  <c r="U12" i="20"/>
  <c r="U10" i="20"/>
  <c r="U8" i="20"/>
  <c r="U6" i="20"/>
  <c r="U4" i="20"/>
  <c r="U2" i="20"/>
  <c r="I62" i="20"/>
  <c r="I60" i="20"/>
  <c r="I58" i="20"/>
  <c r="I56" i="20"/>
  <c r="I54" i="20"/>
  <c r="I52" i="20"/>
  <c r="I50" i="20"/>
  <c r="I48" i="20"/>
  <c r="I46" i="20"/>
  <c r="I44" i="20"/>
  <c r="I42" i="20"/>
  <c r="I40" i="20"/>
  <c r="I38" i="20"/>
  <c r="I36" i="20"/>
  <c r="I34" i="20"/>
  <c r="I32" i="20"/>
  <c r="I30" i="20"/>
  <c r="I28" i="20"/>
  <c r="I26" i="20"/>
  <c r="I24" i="20"/>
  <c r="I22" i="20"/>
  <c r="I20" i="20"/>
  <c r="I18" i="20"/>
  <c r="I16" i="20"/>
  <c r="I14" i="20"/>
  <c r="I12" i="20"/>
  <c r="I10" i="20"/>
  <c r="I8" i="20"/>
  <c r="I6" i="20"/>
  <c r="I4" i="20"/>
  <c r="I2" i="20"/>
  <c r="H62" i="20"/>
  <c r="H60" i="20"/>
  <c r="H58" i="20"/>
  <c r="H56" i="20"/>
  <c r="H54" i="20"/>
  <c r="H52" i="20"/>
  <c r="H50" i="20"/>
  <c r="H48" i="20"/>
  <c r="H46" i="20"/>
  <c r="H44" i="20"/>
  <c r="H42" i="20"/>
  <c r="H40" i="20"/>
  <c r="H38" i="20"/>
  <c r="H36" i="20"/>
  <c r="H34" i="20"/>
  <c r="H32" i="20"/>
  <c r="H30" i="20"/>
  <c r="H28" i="20"/>
  <c r="H26" i="20"/>
  <c r="H24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T62" i="16"/>
  <c r="T60" i="16"/>
  <c r="T58" i="16"/>
  <c r="T56" i="16"/>
  <c r="T54" i="16"/>
  <c r="T52" i="16"/>
  <c r="T50" i="16"/>
  <c r="T48" i="16"/>
  <c r="T46" i="16"/>
  <c r="T44" i="16"/>
  <c r="T42" i="16"/>
  <c r="T40" i="16"/>
  <c r="T38" i="16"/>
  <c r="T36" i="16"/>
  <c r="T34" i="16"/>
  <c r="T32" i="16"/>
  <c r="T30" i="16"/>
  <c r="T28" i="16"/>
  <c r="T26" i="16"/>
  <c r="T24" i="16"/>
  <c r="T22" i="16"/>
  <c r="T20" i="16"/>
  <c r="T18" i="16"/>
  <c r="T16" i="16"/>
  <c r="T14" i="16"/>
  <c r="T12" i="16"/>
  <c r="T10" i="16"/>
  <c r="T8" i="16"/>
  <c r="T6" i="16"/>
  <c r="T4" i="16"/>
  <c r="T2" i="16"/>
  <c r="H62" i="17" l="1"/>
  <c r="H60" i="17"/>
  <c r="H58" i="17"/>
  <c r="H56" i="17"/>
  <c r="H54" i="17"/>
  <c r="H52" i="17"/>
  <c r="H50" i="17"/>
  <c r="H48" i="17"/>
  <c r="H46" i="17"/>
  <c r="H44" i="17"/>
  <c r="H42" i="17"/>
  <c r="H40" i="17"/>
  <c r="H38" i="17"/>
  <c r="H36" i="17"/>
  <c r="H34" i="17"/>
  <c r="H32" i="17"/>
  <c r="H30" i="17"/>
  <c r="H28" i="17"/>
  <c r="H26" i="17"/>
  <c r="H24" i="17"/>
  <c r="H22" i="17"/>
  <c r="H20" i="17"/>
  <c r="H18" i="17"/>
  <c r="H16" i="17"/>
  <c r="H14" i="17"/>
  <c r="H12" i="17"/>
  <c r="H10" i="17"/>
  <c r="H8" i="17"/>
  <c r="H6" i="17"/>
  <c r="H4" i="17"/>
  <c r="H2" i="17"/>
  <c r="BQ62" i="16"/>
  <c r="BQ60" i="16"/>
  <c r="BQ58" i="16"/>
  <c r="BQ56" i="16"/>
  <c r="BQ54" i="16"/>
  <c r="BQ52" i="16"/>
  <c r="BQ50" i="16"/>
  <c r="BQ48" i="16"/>
  <c r="BQ46" i="16"/>
  <c r="BQ44" i="16"/>
  <c r="BQ42" i="16"/>
  <c r="BQ40" i="16"/>
  <c r="BQ38" i="16"/>
  <c r="BQ36" i="16"/>
  <c r="BQ34" i="16"/>
  <c r="BQ32" i="16"/>
  <c r="BQ30" i="16"/>
  <c r="BQ28" i="16"/>
  <c r="BQ26" i="16"/>
  <c r="BQ24" i="16"/>
  <c r="BQ22" i="16"/>
  <c r="BQ20" i="16"/>
  <c r="BQ18" i="16"/>
  <c r="BQ16" i="16"/>
  <c r="BQ14" i="16"/>
  <c r="BQ12" i="16"/>
  <c r="BQ10" i="16"/>
  <c r="BQ8" i="16"/>
  <c r="BQ6" i="16"/>
  <c r="BQ4" i="16"/>
  <c r="BQ2" i="16"/>
  <c r="BD62" i="16"/>
  <c r="BD60" i="16"/>
  <c r="BD58" i="16"/>
  <c r="BD56" i="16"/>
  <c r="BD54" i="16"/>
  <c r="BD52" i="16"/>
  <c r="BD50" i="16"/>
  <c r="BD48" i="16"/>
  <c r="BD46" i="16"/>
  <c r="BD44" i="16"/>
  <c r="BD42" i="16"/>
  <c r="BD40" i="16"/>
  <c r="BD38" i="16"/>
  <c r="BD36" i="16"/>
  <c r="BD34" i="16"/>
  <c r="BD32" i="16"/>
  <c r="BD30" i="16"/>
  <c r="BD28" i="16"/>
  <c r="BD26" i="16"/>
  <c r="BD24" i="16"/>
  <c r="BD22" i="16"/>
  <c r="BD20" i="16"/>
  <c r="BD18" i="16"/>
  <c r="BD16" i="16"/>
  <c r="BD14" i="16"/>
  <c r="BD12" i="16"/>
  <c r="BD10" i="16"/>
  <c r="BD8" i="16"/>
  <c r="BD6" i="16"/>
  <c r="BD4" i="16"/>
  <c r="BD2" i="16"/>
  <c r="AR62" i="16"/>
  <c r="AR60" i="16"/>
  <c r="AR58" i="16"/>
  <c r="AR56" i="16"/>
  <c r="AR54" i="16"/>
  <c r="AR52" i="16"/>
  <c r="AR50" i="16"/>
  <c r="AR48" i="16"/>
  <c r="AR46" i="16"/>
  <c r="AR44" i="16"/>
  <c r="AR42" i="16"/>
  <c r="AR40" i="16"/>
  <c r="AR38" i="16"/>
  <c r="AR36" i="16"/>
  <c r="AR34" i="16"/>
  <c r="AR32" i="16"/>
  <c r="AR30" i="16"/>
  <c r="AR28" i="16"/>
  <c r="AR26" i="16"/>
  <c r="AR24" i="16"/>
  <c r="AR22" i="16"/>
  <c r="AR20" i="16"/>
  <c r="AR18" i="16"/>
  <c r="AR16" i="16"/>
  <c r="AR14" i="16"/>
  <c r="AR12" i="16"/>
  <c r="AR10" i="16"/>
  <c r="AR8" i="16"/>
  <c r="AR6" i="16"/>
  <c r="AR4" i="16"/>
  <c r="AR2" i="16"/>
  <c r="AF62" i="16"/>
  <c r="AF60" i="16"/>
  <c r="AF58" i="16"/>
  <c r="AF56" i="16"/>
  <c r="AF54" i="16"/>
  <c r="AF52" i="16"/>
  <c r="AF50" i="16"/>
  <c r="AF48" i="16"/>
  <c r="AF46" i="16"/>
  <c r="AF44" i="16"/>
  <c r="AF42" i="16"/>
  <c r="AF40" i="16"/>
  <c r="AF38" i="16"/>
  <c r="AF36" i="16"/>
  <c r="AF34" i="16"/>
  <c r="AF32" i="16"/>
  <c r="AF30" i="16"/>
  <c r="AF28" i="16"/>
  <c r="AF26" i="16"/>
  <c r="AF24" i="16"/>
  <c r="AF22" i="16"/>
  <c r="AF20" i="16"/>
  <c r="AF18" i="16"/>
  <c r="AF16" i="16"/>
  <c r="AF14" i="16"/>
  <c r="AF12" i="16"/>
  <c r="AF10" i="16"/>
  <c r="AF8" i="16"/>
  <c r="AF6" i="16"/>
  <c r="AF4" i="16"/>
  <c r="AF2" i="16"/>
  <c r="H62" i="16"/>
  <c r="H60" i="16"/>
  <c r="H58" i="16"/>
  <c r="H56" i="16"/>
  <c r="H54" i="16"/>
  <c r="H52" i="16"/>
  <c r="H50" i="16"/>
  <c r="H48" i="16"/>
  <c r="H46" i="16"/>
  <c r="H44" i="16"/>
  <c r="H42" i="16"/>
  <c r="H40" i="16"/>
  <c r="H38" i="16"/>
  <c r="H36" i="16"/>
  <c r="H34" i="16"/>
  <c r="H32" i="16"/>
  <c r="H30" i="16"/>
  <c r="H28" i="16"/>
  <c r="H26" i="16"/>
  <c r="H24" i="16"/>
  <c r="H22" i="16"/>
  <c r="H20" i="16"/>
  <c r="H18" i="16"/>
  <c r="H16" i="16"/>
  <c r="H14" i="16"/>
  <c r="H12" i="16"/>
  <c r="H10" i="16"/>
  <c r="H8" i="16"/>
  <c r="H6" i="16"/>
  <c r="H4" i="16"/>
  <c r="H2" i="16"/>
  <c r="AW9" i="25"/>
  <c r="AU33" i="25" l="1"/>
  <c r="AO33" i="25"/>
  <c r="AN65" i="25"/>
  <c r="AT38" i="25" l="1"/>
  <c r="AU38" i="25"/>
  <c r="AW15" i="25" l="1"/>
  <c r="AW62" i="25"/>
  <c r="AV85" i="25"/>
  <c r="AU85" i="25"/>
  <c r="AT85" i="25"/>
  <c r="AS85" i="25"/>
  <c r="AR85" i="25"/>
  <c r="AQ85" i="25"/>
  <c r="AP85" i="25"/>
  <c r="AO85" i="25"/>
  <c r="AN85" i="25"/>
  <c r="AM85" i="25"/>
  <c r="AL85" i="25"/>
  <c r="AK85" i="25"/>
  <c r="AJ85" i="25"/>
  <c r="AI85" i="25"/>
  <c r="AH85" i="25"/>
  <c r="AG85" i="25"/>
  <c r="AF85" i="25"/>
  <c r="AE85" i="25"/>
  <c r="AD85" i="25"/>
  <c r="AC85" i="25"/>
  <c r="AB85" i="25"/>
  <c r="AA85" i="25"/>
  <c r="Z85" i="25"/>
  <c r="Y85" i="25"/>
  <c r="X85" i="25"/>
  <c r="W85" i="25"/>
  <c r="V85" i="25"/>
  <c r="U85" i="25"/>
  <c r="T85" i="25"/>
  <c r="S85" i="25"/>
  <c r="R85" i="25"/>
  <c r="AV81" i="25"/>
  <c r="AU81" i="25"/>
  <c r="AT81" i="25"/>
  <c r="AS81" i="25"/>
  <c r="AR81" i="25"/>
  <c r="AQ81" i="25"/>
  <c r="AP81" i="25"/>
  <c r="AO81" i="25"/>
  <c r="AN81" i="25"/>
  <c r="AM81" i="25"/>
  <c r="AL81" i="25"/>
  <c r="AK81" i="25"/>
  <c r="AJ81" i="25"/>
  <c r="AI81" i="25"/>
  <c r="AH81" i="25"/>
  <c r="AG81" i="25"/>
  <c r="AF81" i="25"/>
  <c r="AE81" i="25"/>
  <c r="AD81" i="25"/>
  <c r="AC81" i="25"/>
  <c r="AB81" i="25"/>
  <c r="AA81" i="25"/>
  <c r="Z81" i="25"/>
  <c r="Y81" i="25"/>
  <c r="X81" i="25"/>
  <c r="W81" i="25"/>
  <c r="V81" i="25"/>
  <c r="U81" i="25"/>
  <c r="T81" i="25"/>
  <c r="S81" i="25"/>
  <c r="R81" i="25"/>
  <c r="AV77" i="25"/>
  <c r="AU77" i="25"/>
  <c r="AT77" i="25"/>
  <c r="AS77" i="25"/>
  <c r="AR77" i="25"/>
  <c r="AQ77" i="25"/>
  <c r="AP77" i="25"/>
  <c r="AO77" i="25"/>
  <c r="AN77" i="25"/>
  <c r="AM77" i="25"/>
  <c r="AL77" i="25"/>
  <c r="AK77" i="25"/>
  <c r="AJ77" i="25"/>
  <c r="AI77" i="25"/>
  <c r="AH77" i="25"/>
  <c r="AG77" i="25"/>
  <c r="AF77" i="25"/>
  <c r="AE77" i="25"/>
  <c r="AD77" i="25"/>
  <c r="AC77" i="25"/>
  <c r="AB77" i="25"/>
  <c r="AA77" i="25"/>
  <c r="Z77" i="25"/>
  <c r="Y77" i="25"/>
  <c r="X77" i="25"/>
  <c r="W77" i="25"/>
  <c r="V77" i="25"/>
  <c r="U77" i="25"/>
  <c r="T77" i="25"/>
  <c r="S77" i="25"/>
  <c r="R77" i="25"/>
  <c r="R65" i="25"/>
  <c r="AU2" i="24"/>
  <c r="BB2" i="24" s="1"/>
  <c r="AP33" i="25"/>
  <c r="AI33" i="25"/>
  <c r="AM25" i="25"/>
  <c r="AC33" i="25"/>
  <c r="AF33" i="25"/>
  <c r="AE33" i="25"/>
  <c r="AD33" i="25"/>
  <c r="AB33" i="25"/>
  <c r="AA33" i="25"/>
  <c r="Y33" i="25"/>
  <c r="X33" i="25"/>
  <c r="W33" i="25"/>
  <c r="V33" i="25"/>
  <c r="U33" i="25"/>
  <c r="T33" i="25"/>
  <c r="S33" i="25"/>
  <c r="R33" i="25"/>
  <c r="E24" i="25"/>
  <c r="F24" i="25"/>
  <c r="M24" i="25"/>
  <c r="AM33" i="25"/>
  <c r="AQ33" i="25"/>
  <c r="AT29" i="25" l="1"/>
  <c r="AV21" i="25"/>
  <c r="BR62" i="22" s="1"/>
  <c r="BS63" i="22" s="1"/>
  <c r="AU21" i="25"/>
  <c r="BR60" i="22" s="1"/>
  <c r="BS61" i="22" s="1"/>
  <c r="AT21" i="25"/>
  <c r="BR58" i="22" s="1"/>
  <c r="BS59" i="22" s="1"/>
  <c r="AS21" i="25"/>
  <c r="BR56" i="22" s="1"/>
  <c r="BS57" i="22" s="1"/>
  <c r="AR21" i="25"/>
  <c r="BR54" i="22" s="1"/>
  <c r="BS55" i="22" s="1"/>
  <c r="AQ21" i="25"/>
  <c r="BR52" i="22" s="1"/>
  <c r="BS53" i="22" s="1"/>
  <c r="AP21" i="25"/>
  <c r="BR50" i="22" s="1"/>
  <c r="BS51" i="22" s="1"/>
  <c r="AO21" i="25"/>
  <c r="BR48" i="22" s="1"/>
  <c r="BS49" i="22" s="1"/>
  <c r="AN21" i="25"/>
  <c r="BR46" i="22" s="1"/>
  <c r="BS47" i="22" s="1"/>
  <c r="AL33" i="25"/>
  <c r="AK33" i="25"/>
  <c r="AG33" i="25"/>
  <c r="AC21" i="25"/>
  <c r="BR24" i="22" s="1"/>
  <c r="BS25" i="22" s="1"/>
  <c r="Z33" i="25"/>
  <c r="X21" i="25"/>
  <c r="BR14" i="22" s="1"/>
  <c r="BS15" i="22" s="1"/>
  <c r="E2" i="25"/>
  <c r="M2" i="25"/>
  <c r="H63" i="28"/>
  <c r="H62" i="28"/>
  <c r="H60" i="28"/>
  <c r="H61" i="28" s="1"/>
  <c r="H58" i="28"/>
  <c r="H59" i="28" s="1"/>
  <c r="H56" i="28"/>
  <c r="H57" i="28" s="1"/>
  <c r="H55" i="28"/>
  <c r="H54" i="28"/>
  <c r="H52" i="28"/>
  <c r="H53" i="28" s="1"/>
  <c r="H50" i="28"/>
  <c r="H51" i="28" s="1"/>
  <c r="H48" i="28"/>
  <c r="H49" i="28" s="1"/>
  <c r="H47" i="28"/>
  <c r="H46" i="28"/>
  <c r="H44" i="28"/>
  <c r="H45" i="28" s="1"/>
  <c r="H42" i="28"/>
  <c r="H43" i="28" s="1"/>
  <c r="H40" i="28"/>
  <c r="H41" i="28" s="1"/>
  <c r="H39" i="28"/>
  <c r="H38" i="28"/>
  <c r="H36" i="28"/>
  <c r="H37" i="28" s="1"/>
  <c r="H34" i="28"/>
  <c r="H35" i="28" s="1"/>
  <c r="H32" i="28"/>
  <c r="H33" i="28" s="1"/>
  <c r="H31" i="28"/>
  <c r="H30" i="28"/>
  <c r="H28" i="28"/>
  <c r="H29" i="28" s="1"/>
  <c r="H26" i="28"/>
  <c r="H27" i="28" s="1"/>
  <c r="H24" i="28"/>
  <c r="H25" i="28" s="1"/>
  <c r="H23" i="28"/>
  <c r="H22" i="28"/>
  <c r="H20" i="28"/>
  <c r="H21" i="28" s="1"/>
  <c r="H18" i="28"/>
  <c r="H19" i="28" s="1"/>
  <c r="H16" i="28"/>
  <c r="H17" i="28" s="1"/>
  <c r="H15" i="28"/>
  <c r="H14" i="28"/>
  <c r="H12" i="28"/>
  <c r="H13" i="28" s="1"/>
  <c r="H10" i="28"/>
  <c r="H11" i="28" s="1"/>
  <c r="H8" i="28"/>
  <c r="H9" i="28" s="1"/>
  <c r="H7" i="28"/>
  <c r="H6" i="28"/>
  <c r="H4" i="28"/>
  <c r="H5" i="28" s="1"/>
  <c r="H2" i="28"/>
  <c r="AW3" i="28"/>
  <c r="AW4" i="28"/>
  <c r="AW5" i="28"/>
  <c r="AW6" i="28"/>
  <c r="AW7" i="28"/>
  <c r="AW8" i="28"/>
  <c r="AW9" i="28"/>
  <c r="AW10" i="28"/>
  <c r="AW11" i="28"/>
  <c r="AW12" i="28"/>
  <c r="AW13" i="28"/>
  <c r="AW14" i="28"/>
  <c r="AW15" i="28"/>
  <c r="AW16" i="28"/>
  <c r="AW17" i="28"/>
  <c r="AW18" i="28"/>
  <c r="AW19" i="28"/>
  <c r="AW20" i="28"/>
  <c r="AW21" i="28"/>
  <c r="AW22" i="28"/>
  <c r="AW23" i="28"/>
  <c r="AW24" i="28"/>
  <c r="AW25" i="28"/>
  <c r="AW26" i="28"/>
  <c r="AW27" i="28"/>
  <c r="AW28" i="28"/>
  <c r="AW29" i="28"/>
  <c r="AW30" i="28"/>
  <c r="AW31" i="28"/>
  <c r="AW32" i="28"/>
  <c r="AW2" i="28"/>
  <c r="AV3" i="28"/>
  <c r="AV4" i="28"/>
  <c r="AV5" i="28"/>
  <c r="AV6" i="28"/>
  <c r="AV7" i="28"/>
  <c r="AV8" i="28"/>
  <c r="AV9" i="28"/>
  <c r="AV10" i="28"/>
  <c r="AV11" i="28"/>
  <c r="AV12" i="28"/>
  <c r="AV13" i="28"/>
  <c r="AV14" i="28"/>
  <c r="AV15" i="28"/>
  <c r="AV16" i="28"/>
  <c r="AV17" i="28"/>
  <c r="AV18" i="28"/>
  <c r="AV19" i="28"/>
  <c r="AV20" i="28"/>
  <c r="AV21" i="28"/>
  <c r="AV22" i="28"/>
  <c r="AV23" i="28"/>
  <c r="AV24" i="28"/>
  <c r="AV25" i="28"/>
  <c r="AV26" i="28"/>
  <c r="AV27" i="28"/>
  <c r="AV28" i="28"/>
  <c r="AV29" i="28"/>
  <c r="AV30" i="28"/>
  <c r="AV31" i="28"/>
  <c r="AV32" i="28"/>
  <c r="AV2" i="28"/>
  <c r="AU3" i="28"/>
  <c r="AU4" i="28"/>
  <c r="AU5" i="28"/>
  <c r="AU6" i="28"/>
  <c r="AU7" i="28"/>
  <c r="AU8" i="28"/>
  <c r="AU9" i="28"/>
  <c r="AU10" i="28"/>
  <c r="AU11" i="28"/>
  <c r="AU12" i="28"/>
  <c r="AU13" i="28"/>
  <c r="AU14" i="28"/>
  <c r="AU15" i="28"/>
  <c r="AU16" i="28"/>
  <c r="AU17" i="28"/>
  <c r="AU18" i="28"/>
  <c r="AU19" i="28"/>
  <c r="AU20" i="28"/>
  <c r="AU21" i="28"/>
  <c r="AU22" i="28"/>
  <c r="AU23" i="28"/>
  <c r="AU24" i="28"/>
  <c r="AU25" i="28"/>
  <c r="AU26" i="28"/>
  <c r="AU27" i="28"/>
  <c r="AU28" i="28"/>
  <c r="AU29" i="28"/>
  <c r="AU30" i="28"/>
  <c r="AU31" i="28"/>
  <c r="AU32" i="28"/>
  <c r="AU2" i="28"/>
  <c r="AN25" i="25"/>
  <c r="H3" i="28"/>
  <c r="AV73" i="25"/>
  <c r="AX32" i="28" s="1"/>
  <c r="BD62" i="28" s="1"/>
  <c r="AU73" i="25"/>
  <c r="AX31" i="28" s="1"/>
  <c r="BD60" i="28" s="1"/>
  <c r="AT73" i="25"/>
  <c r="AX30" i="28" s="1"/>
  <c r="BD58" i="28" s="1"/>
  <c r="AS73" i="25"/>
  <c r="AX29" i="28" s="1"/>
  <c r="BD56" i="28" s="1"/>
  <c r="AR73" i="25"/>
  <c r="AX28" i="28" s="1"/>
  <c r="BD54" i="28" s="1"/>
  <c r="AQ73" i="25"/>
  <c r="AX27" i="28" s="1"/>
  <c r="BD52" i="28" s="1"/>
  <c r="AP73" i="25"/>
  <c r="AX26" i="28" s="1"/>
  <c r="BD50" i="28" s="1"/>
  <c r="AO73" i="25"/>
  <c r="AX25" i="28" s="1"/>
  <c r="BD48" i="28" s="1"/>
  <c r="AN73" i="25"/>
  <c r="AX24" i="28" s="1"/>
  <c r="BD46" i="28" s="1"/>
  <c r="AM73" i="25"/>
  <c r="AX23" i="28" s="1"/>
  <c r="BD44" i="28" s="1"/>
  <c r="AL73" i="25"/>
  <c r="AX22" i="28" s="1"/>
  <c r="BD42" i="28" s="1"/>
  <c r="AK73" i="25"/>
  <c r="AX21" i="28" s="1"/>
  <c r="BD40" i="28" s="1"/>
  <c r="AJ73" i="25"/>
  <c r="AX20" i="28" s="1"/>
  <c r="BD38" i="28" s="1"/>
  <c r="AI73" i="25"/>
  <c r="AX19" i="28" s="1"/>
  <c r="BD36" i="28" s="1"/>
  <c r="AH73" i="25"/>
  <c r="AX18" i="28" s="1"/>
  <c r="BD34" i="28" s="1"/>
  <c r="AG73" i="25"/>
  <c r="AX17" i="28" s="1"/>
  <c r="BD32" i="28" s="1"/>
  <c r="AF73" i="25"/>
  <c r="AX16" i="28" s="1"/>
  <c r="BD30" i="28" s="1"/>
  <c r="AE73" i="25"/>
  <c r="AX15" i="28" s="1"/>
  <c r="BD28" i="28" s="1"/>
  <c r="AD73" i="25"/>
  <c r="AX14" i="28" s="1"/>
  <c r="BD26" i="28" s="1"/>
  <c r="AC73" i="25"/>
  <c r="AX13" i="28" s="1"/>
  <c r="BD24" i="28" s="1"/>
  <c r="AB73" i="25"/>
  <c r="AX12" i="28" s="1"/>
  <c r="BD22" i="28" s="1"/>
  <c r="AA73" i="25"/>
  <c r="AX11" i="28" s="1"/>
  <c r="BD20" i="28" s="1"/>
  <c r="Z73" i="25"/>
  <c r="AX10" i="28" s="1"/>
  <c r="BD18" i="28" s="1"/>
  <c r="Y73" i="25"/>
  <c r="AX9" i="28" s="1"/>
  <c r="BD16" i="28" s="1"/>
  <c r="X73" i="25"/>
  <c r="AX8" i="28" s="1"/>
  <c r="BD14" i="28" s="1"/>
  <c r="W73" i="25"/>
  <c r="AX7" i="28" s="1"/>
  <c r="BD12" i="28" s="1"/>
  <c r="V73" i="25"/>
  <c r="AX6" i="28" s="1"/>
  <c r="BD10" i="28" s="1"/>
  <c r="U73" i="25"/>
  <c r="AX5" i="28" s="1"/>
  <c r="BD8" i="28" s="1"/>
  <c r="T73" i="25"/>
  <c r="AX4" i="28" s="1"/>
  <c r="BD6" i="28" s="1"/>
  <c r="S73" i="25"/>
  <c r="AX3" i="28" s="1"/>
  <c r="BD4" i="28" s="1"/>
  <c r="R73" i="25"/>
  <c r="AX2" i="28" s="1"/>
  <c r="AG3" i="28"/>
  <c r="AG4" i="28"/>
  <c r="AG5" i="28"/>
  <c r="AG6" i="28"/>
  <c r="AG7" i="28"/>
  <c r="AG8" i="28"/>
  <c r="AG9" i="28"/>
  <c r="AG10" i="28"/>
  <c r="AG11" i="28"/>
  <c r="AG12" i="28"/>
  <c r="AG13" i="28"/>
  <c r="AG14" i="28"/>
  <c r="AG15" i="28"/>
  <c r="AG16" i="28"/>
  <c r="AG17" i="28"/>
  <c r="AG18" i="28"/>
  <c r="AG19" i="28"/>
  <c r="AG20" i="28"/>
  <c r="AG21" i="28"/>
  <c r="AG22" i="28"/>
  <c r="AG23" i="28"/>
  <c r="AG24" i="28"/>
  <c r="AG25" i="28"/>
  <c r="AG26" i="28"/>
  <c r="AG27" i="28"/>
  <c r="AG28" i="28"/>
  <c r="AG29" i="28"/>
  <c r="AG30" i="28"/>
  <c r="AG31" i="28"/>
  <c r="AG32" i="28"/>
  <c r="AG2" i="28"/>
  <c r="AF3" i="28"/>
  <c r="AF4" i="28"/>
  <c r="AF5" i="28"/>
  <c r="AF6" i="28"/>
  <c r="AF7" i="28"/>
  <c r="AF8" i="28"/>
  <c r="AF9" i="28"/>
  <c r="AF10" i="28"/>
  <c r="AF11" i="28"/>
  <c r="AF12" i="28"/>
  <c r="AF13" i="28"/>
  <c r="AF14" i="28"/>
  <c r="AF15" i="28"/>
  <c r="AF16" i="28"/>
  <c r="AF17" i="28"/>
  <c r="AF18" i="28"/>
  <c r="AF19" i="28"/>
  <c r="AF20" i="28"/>
  <c r="AF21" i="28"/>
  <c r="AF22" i="28"/>
  <c r="AF23" i="28"/>
  <c r="AF24" i="28"/>
  <c r="AF25" i="28"/>
  <c r="AF26" i="28"/>
  <c r="AF27" i="28"/>
  <c r="AF28" i="28"/>
  <c r="AF29" i="28"/>
  <c r="AF30" i="28"/>
  <c r="AF31" i="28"/>
  <c r="AF32" i="28"/>
  <c r="AF2" i="28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2" i="28"/>
  <c r="P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2" i="28"/>
  <c r="B3" i="28"/>
  <c r="I4" i="28" s="1"/>
  <c r="B4" i="28"/>
  <c r="I6" i="28" s="1"/>
  <c r="B5" i="28"/>
  <c r="I8" i="28" s="1"/>
  <c r="B6" i="28"/>
  <c r="I10" i="28" s="1"/>
  <c r="B7" i="28"/>
  <c r="I12" i="28" s="1"/>
  <c r="B8" i="28"/>
  <c r="I14" i="28" s="1"/>
  <c r="B9" i="28"/>
  <c r="I16" i="28" s="1"/>
  <c r="B10" i="28"/>
  <c r="I18" i="28" s="1"/>
  <c r="B11" i="28"/>
  <c r="I20" i="28" s="1"/>
  <c r="B12" i="28"/>
  <c r="I22" i="28" s="1"/>
  <c r="B13" i="28"/>
  <c r="I24" i="28" s="1"/>
  <c r="B14" i="28"/>
  <c r="I26" i="28" s="1"/>
  <c r="B15" i="28"/>
  <c r="I28" i="28" s="1"/>
  <c r="B16" i="28"/>
  <c r="I30" i="28" s="1"/>
  <c r="B17" i="28"/>
  <c r="I32" i="28" s="1"/>
  <c r="B18" i="28"/>
  <c r="I34" i="28" s="1"/>
  <c r="B19" i="28"/>
  <c r="I36" i="28" s="1"/>
  <c r="B20" i="28"/>
  <c r="I38" i="28" s="1"/>
  <c r="B21" i="28"/>
  <c r="I40" i="28" s="1"/>
  <c r="B22" i="28"/>
  <c r="I42" i="28" s="1"/>
  <c r="B23" i="28"/>
  <c r="I44" i="28" s="1"/>
  <c r="B24" i="28"/>
  <c r="I46" i="28" s="1"/>
  <c r="B25" i="28"/>
  <c r="I48" i="28" s="1"/>
  <c r="B26" i="28"/>
  <c r="I50" i="28" s="1"/>
  <c r="B27" i="28"/>
  <c r="I52" i="28" s="1"/>
  <c r="B28" i="28"/>
  <c r="I54" i="28" s="1"/>
  <c r="B29" i="28"/>
  <c r="I56" i="28" s="1"/>
  <c r="B30" i="28"/>
  <c r="I58" i="28" s="1"/>
  <c r="B31" i="28"/>
  <c r="I60" i="28" s="1"/>
  <c r="B32" i="28"/>
  <c r="I62" i="28" s="1"/>
  <c r="B2" i="28"/>
  <c r="I2" i="28" s="1"/>
  <c r="AV69" i="25"/>
  <c r="AU69" i="25"/>
  <c r="AH31" i="28" s="1"/>
  <c r="AN60" i="28" s="1"/>
  <c r="AT69" i="25"/>
  <c r="AH30" i="28" s="1"/>
  <c r="AN58" i="28" s="1"/>
  <c r="AS69" i="25"/>
  <c r="AH29" i="28" s="1"/>
  <c r="AN56" i="28" s="1"/>
  <c r="AR69" i="25"/>
  <c r="AH28" i="28" s="1"/>
  <c r="AN54" i="28" s="1"/>
  <c r="AQ69" i="25"/>
  <c r="AH27" i="28" s="1"/>
  <c r="AN52" i="28" s="1"/>
  <c r="AP69" i="25"/>
  <c r="AH26" i="28" s="1"/>
  <c r="AN50" i="28" s="1"/>
  <c r="AO69" i="25"/>
  <c r="AH25" i="28" s="1"/>
  <c r="AN48" i="28" s="1"/>
  <c r="AN69" i="25"/>
  <c r="AH24" i="28" s="1"/>
  <c r="AN46" i="28" s="1"/>
  <c r="AM69" i="25"/>
  <c r="AH23" i="28" s="1"/>
  <c r="AN44" i="28" s="1"/>
  <c r="AL69" i="25"/>
  <c r="AH22" i="28" s="1"/>
  <c r="AN42" i="28" s="1"/>
  <c r="AK69" i="25"/>
  <c r="AH21" i="28" s="1"/>
  <c r="AN40" i="28" s="1"/>
  <c r="AJ69" i="25"/>
  <c r="AH20" i="28" s="1"/>
  <c r="AN38" i="28" s="1"/>
  <c r="AI69" i="25"/>
  <c r="AH19" i="28" s="1"/>
  <c r="AN36" i="28" s="1"/>
  <c r="AH69" i="25"/>
  <c r="AH18" i="28" s="1"/>
  <c r="AN34" i="28" s="1"/>
  <c r="AG69" i="25"/>
  <c r="AH17" i="28" s="1"/>
  <c r="AN32" i="28" s="1"/>
  <c r="AF69" i="25"/>
  <c r="AH16" i="28" s="1"/>
  <c r="AN30" i="28" s="1"/>
  <c r="AE69" i="25"/>
  <c r="AH15" i="28" s="1"/>
  <c r="AN28" i="28" s="1"/>
  <c r="AD69" i="25"/>
  <c r="AH14" i="28" s="1"/>
  <c r="AN26" i="28" s="1"/>
  <c r="AC69" i="25"/>
  <c r="AH13" i="28" s="1"/>
  <c r="AN24" i="28" s="1"/>
  <c r="AB69" i="25"/>
  <c r="AH12" i="28" s="1"/>
  <c r="AN22" i="28" s="1"/>
  <c r="AA69" i="25"/>
  <c r="AH11" i="28" s="1"/>
  <c r="AN20" i="28" s="1"/>
  <c r="Z69" i="25"/>
  <c r="AH10" i="28" s="1"/>
  <c r="AN18" i="28" s="1"/>
  <c r="Y69" i="25"/>
  <c r="AH9" i="28" s="1"/>
  <c r="AN16" i="28" s="1"/>
  <c r="X69" i="25"/>
  <c r="AH8" i="28" s="1"/>
  <c r="AN14" i="28" s="1"/>
  <c r="W69" i="25"/>
  <c r="AH7" i="28" s="1"/>
  <c r="AN12" i="28" s="1"/>
  <c r="V69" i="25"/>
  <c r="AH6" i="28" s="1"/>
  <c r="AN10" i="28" s="1"/>
  <c r="U69" i="25"/>
  <c r="AH5" i="28" s="1"/>
  <c r="AN8" i="28" s="1"/>
  <c r="T69" i="25"/>
  <c r="AH4" i="28" s="1"/>
  <c r="AN6" i="28" s="1"/>
  <c r="S69" i="25"/>
  <c r="AH3" i="28" s="1"/>
  <c r="AN4" i="28" s="1"/>
  <c r="R69" i="25"/>
  <c r="AH2" i="28" s="1"/>
  <c r="AV65" i="25"/>
  <c r="O32" i="28" s="1"/>
  <c r="X62" i="28" s="1"/>
  <c r="AU65" i="25"/>
  <c r="O31" i="28" s="1"/>
  <c r="X60" i="28" s="1"/>
  <c r="AT65" i="25"/>
  <c r="O30" i="28" s="1"/>
  <c r="X58" i="28" s="1"/>
  <c r="AS65" i="25"/>
  <c r="O29" i="28" s="1"/>
  <c r="X56" i="28" s="1"/>
  <c r="AR65" i="25"/>
  <c r="O28" i="28" s="1"/>
  <c r="X54" i="28" s="1"/>
  <c r="AQ65" i="25"/>
  <c r="O27" i="28" s="1"/>
  <c r="X52" i="28" s="1"/>
  <c r="AP65" i="25"/>
  <c r="O26" i="28" s="1"/>
  <c r="X50" i="28" s="1"/>
  <c r="AO65" i="25"/>
  <c r="O25" i="28" s="1"/>
  <c r="X48" i="28" s="1"/>
  <c r="O24" i="28"/>
  <c r="X46" i="28" s="1"/>
  <c r="AM65" i="25"/>
  <c r="O23" i="28" s="1"/>
  <c r="X44" i="28" s="1"/>
  <c r="AL65" i="25"/>
  <c r="O22" i="28" s="1"/>
  <c r="X42" i="28" s="1"/>
  <c r="AK65" i="25"/>
  <c r="O21" i="28" s="1"/>
  <c r="X40" i="28" s="1"/>
  <c r="AJ65" i="25"/>
  <c r="O20" i="28" s="1"/>
  <c r="X38" i="28" s="1"/>
  <c r="AI65" i="25"/>
  <c r="O19" i="28" s="1"/>
  <c r="X36" i="28" s="1"/>
  <c r="AH65" i="25"/>
  <c r="O18" i="28" s="1"/>
  <c r="X34" i="28" s="1"/>
  <c r="AG65" i="25"/>
  <c r="O17" i="28" s="1"/>
  <c r="X32" i="28" s="1"/>
  <c r="AF65" i="25"/>
  <c r="O16" i="28" s="1"/>
  <c r="X30" i="28" s="1"/>
  <c r="AE65" i="25"/>
  <c r="O15" i="28" s="1"/>
  <c r="X28" i="28" s="1"/>
  <c r="AD65" i="25"/>
  <c r="O14" i="28" s="1"/>
  <c r="X26" i="28" s="1"/>
  <c r="AC65" i="25"/>
  <c r="O13" i="28" s="1"/>
  <c r="X24" i="28" s="1"/>
  <c r="AB65" i="25"/>
  <c r="O12" i="28" s="1"/>
  <c r="X22" i="28" s="1"/>
  <c r="AA65" i="25"/>
  <c r="O11" i="28" s="1"/>
  <c r="X20" i="28" s="1"/>
  <c r="Z65" i="25"/>
  <c r="O10" i="28" s="1"/>
  <c r="X18" i="28" s="1"/>
  <c r="Y65" i="25"/>
  <c r="O9" i="28" s="1"/>
  <c r="X16" i="28" s="1"/>
  <c r="X65" i="25"/>
  <c r="O8" i="28" s="1"/>
  <c r="X14" i="28" s="1"/>
  <c r="W65" i="25"/>
  <c r="O7" i="28" s="1"/>
  <c r="X12" i="28" s="1"/>
  <c r="V65" i="25"/>
  <c r="O6" i="28" s="1"/>
  <c r="X10" i="28" s="1"/>
  <c r="U65" i="25"/>
  <c r="O5" i="28" s="1"/>
  <c r="X8" i="28" s="1"/>
  <c r="T65" i="25"/>
  <c r="O4" i="28" s="1"/>
  <c r="X6" i="28" s="1"/>
  <c r="S65" i="25"/>
  <c r="O3" i="28" s="1"/>
  <c r="X4" i="28" s="1"/>
  <c r="O2" i="28"/>
  <c r="X2" i="28" s="1"/>
  <c r="AS29" i="25"/>
  <c r="W2" i="28" l="1"/>
  <c r="W48" i="28"/>
  <c r="W60" i="28"/>
  <c r="W44" i="28"/>
  <c r="W28" i="28"/>
  <c r="W12" i="28"/>
  <c r="W32" i="28"/>
  <c r="W62" i="28"/>
  <c r="W46" i="28"/>
  <c r="W30" i="28"/>
  <c r="W14" i="28"/>
  <c r="W58" i="28"/>
  <c r="W42" i="28"/>
  <c r="W26" i="28"/>
  <c r="W10" i="28"/>
  <c r="W16" i="28"/>
  <c r="W22" i="28"/>
  <c r="W56" i="28"/>
  <c r="W24" i="28"/>
  <c r="W54" i="28"/>
  <c r="W6" i="28"/>
  <c r="W52" i="28"/>
  <c r="W36" i="28"/>
  <c r="W20" i="28"/>
  <c r="W4" i="28"/>
  <c r="W40" i="28"/>
  <c r="W8" i="28"/>
  <c r="W38" i="28"/>
  <c r="W50" i="28"/>
  <c r="W34" i="28"/>
  <c r="W18" i="28"/>
  <c r="AH32" i="28"/>
  <c r="AN62" i="28" s="1"/>
  <c r="AM52" i="28"/>
  <c r="AM36" i="28"/>
  <c r="AM20" i="28"/>
  <c r="AM4" i="28"/>
  <c r="AM50" i="28"/>
  <c r="AM34" i="28"/>
  <c r="AM18" i="28"/>
  <c r="AM2" i="28"/>
  <c r="AM48" i="28"/>
  <c r="AM32" i="28"/>
  <c r="AM16" i="28"/>
  <c r="AM62" i="28"/>
  <c r="AM46" i="28"/>
  <c r="AM30" i="28"/>
  <c r="AM14" i="28"/>
  <c r="AM60" i="28"/>
  <c r="AM44" i="28"/>
  <c r="AM28" i="28"/>
  <c r="AM12" i="28"/>
  <c r="AM58" i="28"/>
  <c r="AM42" i="28"/>
  <c r="AM26" i="28"/>
  <c r="AM10" i="28"/>
  <c r="AM56" i="28"/>
  <c r="AM40" i="28"/>
  <c r="AM24" i="28"/>
  <c r="AM8" i="28"/>
  <c r="AM54" i="28"/>
  <c r="AM38" i="28"/>
  <c r="AM22" i="28"/>
  <c r="AM6" i="28"/>
  <c r="Y51" i="28"/>
  <c r="Y5" i="28"/>
  <c r="Y21" i="28"/>
  <c r="Y37" i="28"/>
  <c r="Y53" i="28"/>
  <c r="AO7" i="28"/>
  <c r="AO23" i="28"/>
  <c r="AO39" i="28"/>
  <c r="AO55" i="28"/>
  <c r="J59" i="28"/>
  <c r="J43" i="28"/>
  <c r="J27" i="28"/>
  <c r="J11" i="28"/>
  <c r="BE53" i="28"/>
  <c r="J61" i="28"/>
  <c r="Y7" i="28"/>
  <c r="Y23" i="28"/>
  <c r="Y39" i="28"/>
  <c r="Y55" i="28"/>
  <c r="AO9" i="28"/>
  <c r="AO25" i="28"/>
  <c r="AO41" i="28"/>
  <c r="AO57" i="28"/>
  <c r="J57" i="28"/>
  <c r="J41" i="28"/>
  <c r="J25" i="28"/>
  <c r="J9" i="28"/>
  <c r="BE7" i="28"/>
  <c r="BE23" i="28"/>
  <c r="BE39" i="28"/>
  <c r="BE55" i="28"/>
  <c r="AO21" i="28"/>
  <c r="BE5" i="28"/>
  <c r="Y41" i="28"/>
  <c r="Y57" i="28"/>
  <c r="AO11" i="28"/>
  <c r="AO27" i="28"/>
  <c r="AO43" i="28"/>
  <c r="AO59" i="28"/>
  <c r="J55" i="28"/>
  <c r="J39" i="28"/>
  <c r="J23" i="28"/>
  <c r="J7" i="28"/>
  <c r="BE9" i="28"/>
  <c r="BE25" i="28"/>
  <c r="BE41" i="28"/>
  <c r="BE57" i="28"/>
  <c r="AO5" i="28"/>
  <c r="J29" i="28"/>
  <c r="BE51" i="28"/>
  <c r="Y25" i="28"/>
  <c r="Y11" i="28"/>
  <c r="Y27" i="28"/>
  <c r="Y43" i="28"/>
  <c r="Y59" i="28"/>
  <c r="AO13" i="28"/>
  <c r="AO29" i="28"/>
  <c r="AO45" i="28"/>
  <c r="AO61" i="28"/>
  <c r="J53" i="28"/>
  <c r="J37" i="28"/>
  <c r="J21" i="28"/>
  <c r="J5" i="28"/>
  <c r="BE11" i="28"/>
  <c r="BE27" i="28"/>
  <c r="BE43" i="28"/>
  <c r="BE59" i="28"/>
  <c r="AO53" i="28"/>
  <c r="BE19" i="28"/>
  <c r="Y9" i="28"/>
  <c r="Y13" i="28"/>
  <c r="Y29" i="28"/>
  <c r="Y45" i="28"/>
  <c r="Y61" i="28"/>
  <c r="AO15" i="28"/>
  <c r="AO31" i="28"/>
  <c r="AO47" i="28"/>
  <c r="J51" i="28"/>
  <c r="J35" i="28"/>
  <c r="J19" i="28"/>
  <c r="BE13" i="28"/>
  <c r="BE29" i="28"/>
  <c r="BE45" i="28"/>
  <c r="BE61" i="28"/>
  <c r="Y35" i="28"/>
  <c r="J45" i="28"/>
  <c r="BE35" i="28"/>
  <c r="Y15" i="28"/>
  <c r="Y31" i="28"/>
  <c r="Y47" i="28"/>
  <c r="Y63" i="28"/>
  <c r="AO17" i="28"/>
  <c r="AO33" i="28"/>
  <c r="AO49" i="28"/>
  <c r="J3" i="28"/>
  <c r="J49" i="28"/>
  <c r="J33" i="28"/>
  <c r="J17" i="28"/>
  <c r="BE15" i="28"/>
  <c r="BE31" i="28"/>
  <c r="BE47" i="28"/>
  <c r="BE63" i="28"/>
  <c r="BE37" i="28"/>
  <c r="Y19" i="28"/>
  <c r="AO37" i="28"/>
  <c r="J13" i="28"/>
  <c r="Y17" i="28"/>
  <c r="Y33" i="28"/>
  <c r="Y49" i="28"/>
  <c r="AO19" i="28"/>
  <c r="AO35" i="28"/>
  <c r="AO51" i="28"/>
  <c r="J63" i="28"/>
  <c r="J47" i="28"/>
  <c r="J31" i="28"/>
  <c r="J15" i="28"/>
  <c r="BE17" i="28"/>
  <c r="BE33" i="28"/>
  <c r="BE49" i="28"/>
  <c r="BE21" i="28"/>
  <c r="BC30" i="28"/>
  <c r="BC54" i="28"/>
  <c r="BC38" i="28"/>
  <c r="BC22" i="28"/>
  <c r="BC28" i="28"/>
  <c r="BC12" i="28"/>
  <c r="BC62" i="28"/>
  <c r="BC14" i="28"/>
  <c r="BC42" i="28"/>
  <c r="BC26" i="28"/>
  <c r="BC10" i="28"/>
  <c r="BC6" i="28"/>
  <c r="BC44" i="28"/>
  <c r="BC58" i="28"/>
  <c r="BC8" i="28"/>
  <c r="BC46" i="28"/>
  <c r="BC60" i="28"/>
  <c r="BC56" i="28"/>
  <c r="BC40" i="28"/>
  <c r="BC24" i="28"/>
  <c r="BC52" i="28"/>
  <c r="BC48" i="28"/>
  <c r="BC32" i="28"/>
  <c r="BC16" i="28"/>
  <c r="BC36" i="28"/>
  <c r="BC4" i="28"/>
  <c r="BC20" i="28"/>
  <c r="BC34" i="28"/>
  <c r="BC50" i="28"/>
  <c r="BC18" i="28"/>
  <c r="BC2" i="28"/>
  <c r="AX33" i="28"/>
  <c r="BD2" i="28"/>
  <c r="AU33" i="28"/>
  <c r="Y3" i="28"/>
  <c r="AN2" i="28"/>
  <c r="AE33" i="28"/>
  <c r="O33" i="28"/>
  <c r="B33" i="28"/>
  <c r="AW16" i="25"/>
  <c r="AF21" i="25"/>
  <c r="BR30" i="22" s="1"/>
  <c r="BS31" i="22" s="1"/>
  <c r="AW12" i="25"/>
  <c r="AW43" i="25"/>
  <c r="AW4" i="25"/>
  <c r="AW5" i="25"/>
  <c r="AW6" i="25"/>
  <c r="AW7" i="25"/>
  <c r="AW8" i="25"/>
  <c r="AW10" i="25"/>
  <c r="AW11" i="25"/>
  <c r="AW13" i="25"/>
  <c r="AW14" i="25"/>
  <c r="AW3" i="25"/>
  <c r="AH33" i="28" l="1"/>
  <c r="AO63" i="28"/>
  <c r="AM31" i="28"/>
  <c r="W3" i="28"/>
  <c r="AM35" i="28"/>
  <c r="W51" i="28"/>
  <c r="W63" i="28"/>
  <c r="W23" i="28"/>
  <c r="W61" i="28"/>
  <c r="BC5" i="28"/>
  <c r="BC57" i="28"/>
  <c r="AM37" i="28"/>
  <c r="AM27" i="28"/>
  <c r="BC59" i="28"/>
  <c r="AM51" i="28"/>
  <c r="BC43" i="28"/>
  <c r="BC31" i="28"/>
  <c r="W45" i="28"/>
  <c r="BC9" i="28"/>
  <c r="W9" i="28"/>
  <c r="W39" i="28"/>
  <c r="W47" i="28"/>
  <c r="BE3" i="28"/>
  <c r="BC37" i="28"/>
  <c r="AM17" i="28"/>
  <c r="AM53" i="28"/>
  <c r="AM43" i="28"/>
  <c r="AM15" i="28"/>
  <c r="AM9" i="28"/>
  <c r="BC15" i="28"/>
  <c r="W17" i="28"/>
  <c r="W11" i="28"/>
  <c r="W41" i="28"/>
  <c r="W5" i="28"/>
  <c r="BC17" i="28"/>
  <c r="AM33" i="28"/>
  <c r="BC47" i="28"/>
  <c r="AM59" i="28"/>
  <c r="AM25" i="28"/>
  <c r="BC63" i="28"/>
  <c r="W35" i="28"/>
  <c r="AM11" i="28"/>
  <c r="W27" i="28"/>
  <c r="W57" i="28"/>
  <c r="W21" i="28"/>
  <c r="BC3" i="28"/>
  <c r="BC33" i="28"/>
  <c r="AM49" i="28"/>
  <c r="AM7" i="28"/>
  <c r="AM13" i="28"/>
  <c r="AM47" i="28"/>
  <c r="AM41" i="28"/>
  <c r="BC13" i="28"/>
  <c r="W15" i="28"/>
  <c r="BC55" i="28"/>
  <c r="W55" i="28"/>
  <c r="W49" i="28"/>
  <c r="W43" i="28"/>
  <c r="W25" i="28"/>
  <c r="W37" i="28"/>
  <c r="BC19" i="28"/>
  <c r="BC49" i="28"/>
  <c r="AM3" i="28"/>
  <c r="AM23" i="28"/>
  <c r="AM29" i="28"/>
  <c r="AM63" i="28"/>
  <c r="AM57" i="28"/>
  <c r="BC29" i="28"/>
  <c r="W7" i="28"/>
  <c r="BC21" i="28"/>
  <c r="AM21" i="28"/>
  <c r="BC27" i="28"/>
  <c r="W19" i="28"/>
  <c r="W13" i="28"/>
  <c r="W53" i="28"/>
  <c r="BC51" i="28"/>
  <c r="BC53" i="28"/>
  <c r="BC61" i="28"/>
  <c r="AM39" i="28"/>
  <c r="AM45" i="28"/>
  <c r="BC45" i="28"/>
  <c r="BC7" i="28"/>
  <c r="BC23" i="28"/>
  <c r="BC41" i="28"/>
  <c r="W33" i="28"/>
  <c r="AO3" i="28"/>
  <c r="W59" i="28"/>
  <c r="W31" i="28"/>
  <c r="W29" i="28"/>
  <c r="BC35" i="28"/>
  <c r="BC25" i="28"/>
  <c r="AM5" i="28"/>
  <c r="AM55" i="28"/>
  <c r="AM61" i="28"/>
  <c r="AM19" i="28"/>
  <c r="BC11" i="28"/>
  <c r="BC39" i="28"/>
  <c r="X57" i="26"/>
  <c r="R32" i="26"/>
  <c r="Y62" i="26" s="1"/>
  <c r="R31" i="26"/>
  <c r="Y60" i="26" s="1"/>
  <c r="R30" i="26"/>
  <c r="Y58" i="26" s="1"/>
  <c r="R29" i="26"/>
  <c r="Y56" i="26" s="1"/>
  <c r="R28" i="26"/>
  <c r="Y54" i="26" s="1"/>
  <c r="R27" i="26"/>
  <c r="Y52" i="26" s="1"/>
  <c r="R26" i="26"/>
  <c r="Y50" i="26" s="1"/>
  <c r="R25" i="26"/>
  <c r="Y48" i="26" s="1"/>
  <c r="X25" i="26"/>
  <c r="R24" i="26"/>
  <c r="Y46" i="26" s="1"/>
  <c r="R23" i="26"/>
  <c r="Y44" i="26" s="1"/>
  <c r="X23" i="26"/>
  <c r="R22" i="26"/>
  <c r="Y42" i="26" s="1"/>
  <c r="R21" i="26"/>
  <c r="Y40" i="26" s="1"/>
  <c r="R20" i="26"/>
  <c r="Y38" i="26" s="1"/>
  <c r="R19" i="26"/>
  <c r="Y36" i="26" s="1"/>
  <c r="R18" i="26"/>
  <c r="Y34" i="26" s="1"/>
  <c r="R17" i="26"/>
  <c r="Y32" i="26" s="1"/>
  <c r="R16" i="26"/>
  <c r="Y30" i="26" s="1"/>
  <c r="R15" i="26"/>
  <c r="Y28" i="26" s="1"/>
  <c r="R14" i="26"/>
  <c r="Y26" i="26" s="1"/>
  <c r="R13" i="26"/>
  <c r="Y24" i="26" s="1"/>
  <c r="R12" i="26"/>
  <c r="Y22" i="26" s="1"/>
  <c r="R11" i="26"/>
  <c r="Y20" i="26" s="1"/>
  <c r="R10" i="26"/>
  <c r="Y18" i="26" s="1"/>
  <c r="R9" i="26"/>
  <c r="Y16" i="26" s="1"/>
  <c r="R8" i="26"/>
  <c r="Y14" i="26" s="1"/>
  <c r="R7" i="26"/>
  <c r="Y12" i="26" s="1"/>
  <c r="R6" i="26"/>
  <c r="Y10" i="26" s="1"/>
  <c r="R5" i="26"/>
  <c r="Y8" i="26" s="1"/>
  <c r="R4" i="26"/>
  <c r="Y6" i="26" s="1"/>
  <c r="R3" i="26"/>
  <c r="Y4" i="26" s="1"/>
  <c r="R2" i="26"/>
  <c r="Y2" i="26" s="1"/>
  <c r="AU32" i="24"/>
  <c r="E26" i="25"/>
  <c r="F26" i="25"/>
  <c r="AV60" i="25"/>
  <c r="AU60" i="25"/>
  <c r="AT60" i="25"/>
  <c r="AS60" i="25"/>
  <c r="AR60" i="25"/>
  <c r="AQ60" i="25"/>
  <c r="AP60" i="25"/>
  <c r="AO60" i="25"/>
  <c r="AN60" i="25"/>
  <c r="AM60" i="25"/>
  <c r="AL60" i="25"/>
  <c r="AK60" i="25"/>
  <c r="AJ60" i="25"/>
  <c r="AI60" i="25"/>
  <c r="AH60" i="25"/>
  <c r="AG60" i="25"/>
  <c r="AF60" i="25"/>
  <c r="AE60" i="25"/>
  <c r="AD60" i="25"/>
  <c r="AC60" i="25"/>
  <c r="AB60" i="25"/>
  <c r="AA60" i="25"/>
  <c r="Z60" i="25"/>
  <c r="Y60" i="25"/>
  <c r="X60" i="25"/>
  <c r="W60" i="25"/>
  <c r="V60" i="25"/>
  <c r="U60" i="25"/>
  <c r="T60" i="25"/>
  <c r="S60" i="25"/>
  <c r="R60" i="25"/>
  <c r="AU56" i="25"/>
  <c r="AB31" i="27" s="1"/>
  <c r="AJ60" i="27" s="1"/>
  <c r="AT56" i="25"/>
  <c r="AB30" i="27" s="1"/>
  <c r="AJ58" i="27" s="1"/>
  <c r="AU48" i="25"/>
  <c r="AT48" i="25"/>
  <c r="AT33" i="25"/>
  <c r="AS33" i="25"/>
  <c r="AR33" i="25"/>
  <c r="AD3" i="27"/>
  <c r="AD4" i="27"/>
  <c r="AD5" i="27"/>
  <c r="AD6" i="27"/>
  <c r="AD7" i="27"/>
  <c r="AD8" i="27"/>
  <c r="AD9" i="27"/>
  <c r="AD10" i="27"/>
  <c r="AD11" i="27"/>
  <c r="AD12" i="27"/>
  <c r="AD13" i="27"/>
  <c r="AD14" i="27"/>
  <c r="AD15" i="27"/>
  <c r="AD16" i="27"/>
  <c r="AD17" i="27"/>
  <c r="AD18" i="27"/>
  <c r="AD19" i="27"/>
  <c r="AD20" i="27"/>
  <c r="AD21" i="27"/>
  <c r="AD22" i="27"/>
  <c r="AD23" i="27"/>
  <c r="AD24" i="27"/>
  <c r="AD25" i="27"/>
  <c r="AD26" i="27"/>
  <c r="AD27" i="27"/>
  <c r="AD28" i="27"/>
  <c r="AD29" i="27"/>
  <c r="AD30" i="27"/>
  <c r="AD31" i="27"/>
  <c r="AD32" i="27"/>
  <c r="AD2" i="27"/>
  <c r="AC3" i="27"/>
  <c r="AC4" i="27"/>
  <c r="AC5" i="27"/>
  <c r="AC6" i="27"/>
  <c r="AC7" i="27"/>
  <c r="AC8" i="27"/>
  <c r="AC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2" i="27"/>
  <c r="AV56" i="25"/>
  <c r="AB32" i="27" s="1"/>
  <c r="AJ62" i="27" s="1"/>
  <c r="AS56" i="25"/>
  <c r="AB29" i="27" s="1"/>
  <c r="AJ56" i="27" s="1"/>
  <c r="AR56" i="25"/>
  <c r="AB28" i="27" s="1"/>
  <c r="AJ54" i="27" s="1"/>
  <c r="AQ56" i="25"/>
  <c r="AB27" i="27" s="1"/>
  <c r="AJ52" i="27" s="1"/>
  <c r="AP56" i="25"/>
  <c r="AB26" i="27" s="1"/>
  <c r="AJ50" i="27" s="1"/>
  <c r="AO56" i="25"/>
  <c r="AB25" i="27" s="1"/>
  <c r="AJ48" i="27" s="1"/>
  <c r="AN56" i="25"/>
  <c r="AB24" i="27" s="1"/>
  <c r="AJ46" i="27" s="1"/>
  <c r="AM56" i="25"/>
  <c r="AB23" i="27" s="1"/>
  <c r="AJ44" i="27" s="1"/>
  <c r="AL56" i="25"/>
  <c r="AB22" i="27" s="1"/>
  <c r="AJ42" i="27" s="1"/>
  <c r="AK56" i="25"/>
  <c r="AB21" i="27" s="1"/>
  <c r="AJ40" i="27" s="1"/>
  <c r="AJ56" i="25"/>
  <c r="AB20" i="27" s="1"/>
  <c r="AJ38" i="27" s="1"/>
  <c r="AI56" i="25"/>
  <c r="AB19" i="27" s="1"/>
  <c r="AJ36" i="27" s="1"/>
  <c r="AH56" i="25"/>
  <c r="AB18" i="27" s="1"/>
  <c r="AJ34" i="27" s="1"/>
  <c r="AG56" i="25"/>
  <c r="AB17" i="27" s="1"/>
  <c r="AJ32" i="27" s="1"/>
  <c r="AF56" i="25"/>
  <c r="AB16" i="27" s="1"/>
  <c r="AJ30" i="27" s="1"/>
  <c r="AE56" i="25"/>
  <c r="AB15" i="27" s="1"/>
  <c r="AJ28" i="27" s="1"/>
  <c r="AD56" i="25"/>
  <c r="AB14" i="27" s="1"/>
  <c r="AJ26" i="27" s="1"/>
  <c r="AC56" i="25"/>
  <c r="AB13" i="27" s="1"/>
  <c r="AJ24" i="27" s="1"/>
  <c r="AB56" i="25"/>
  <c r="AB12" i="27" s="1"/>
  <c r="AJ22" i="27" s="1"/>
  <c r="AA56" i="25"/>
  <c r="AB11" i="27" s="1"/>
  <c r="AJ20" i="27" s="1"/>
  <c r="Z56" i="25"/>
  <c r="AB10" i="27" s="1"/>
  <c r="AJ18" i="27" s="1"/>
  <c r="Y56" i="25"/>
  <c r="AB9" i="27" s="1"/>
  <c r="AJ16" i="27" s="1"/>
  <c r="X56" i="25"/>
  <c r="AB8" i="27" s="1"/>
  <c r="AJ14" i="27" s="1"/>
  <c r="W56" i="25"/>
  <c r="AB7" i="27" s="1"/>
  <c r="AJ12" i="27" s="1"/>
  <c r="V56" i="25"/>
  <c r="AB6" i="27" s="1"/>
  <c r="AJ10" i="27" s="1"/>
  <c r="U56" i="25"/>
  <c r="AB5" i="27" s="1"/>
  <c r="AJ8" i="27" s="1"/>
  <c r="T56" i="25"/>
  <c r="AB4" i="27" s="1"/>
  <c r="AJ6" i="27" s="1"/>
  <c r="S56" i="25"/>
  <c r="AB3" i="27" s="1"/>
  <c r="AJ4" i="27" s="1"/>
  <c r="R56" i="25"/>
  <c r="AB2" i="27" s="1"/>
  <c r="AJ2" i="27" s="1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2" i="27"/>
  <c r="O30" i="27"/>
  <c r="W58" i="27" s="1"/>
  <c r="O31" i="27"/>
  <c r="W60" i="27" s="1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2" i="27"/>
  <c r="C2" i="27"/>
  <c r="C3" i="27"/>
  <c r="C4" i="27"/>
  <c r="C5" i="27"/>
  <c r="C6" i="27"/>
  <c r="C7" i="27"/>
  <c r="C8" i="27"/>
  <c r="C9" i="27"/>
  <c r="C10" i="27"/>
  <c r="C11" i="27"/>
  <c r="C12" i="27"/>
  <c r="C13" i="27"/>
  <c r="I24" i="27" s="1"/>
  <c r="C14" i="27"/>
  <c r="C15" i="27"/>
  <c r="C16" i="27"/>
  <c r="C17" i="27"/>
  <c r="C18" i="27"/>
  <c r="C19" i="27"/>
  <c r="C20" i="27"/>
  <c r="C21" i="27"/>
  <c r="C22" i="27"/>
  <c r="C23" i="27"/>
  <c r="C24" i="27"/>
  <c r="I46" i="27" s="1"/>
  <c r="C25" i="27"/>
  <c r="C26" i="27"/>
  <c r="C27" i="27"/>
  <c r="C28" i="27"/>
  <c r="C29" i="27"/>
  <c r="I56" i="27" s="1"/>
  <c r="C30" i="27"/>
  <c r="C31" i="27"/>
  <c r="C32" i="27"/>
  <c r="B30" i="27"/>
  <c r="J58" i="27" s="1"/>
  <c r="B31" i="27"/>
  <c r="J60" i="27" s="1"/>
  <c r="AV52" i="25"/>
  <c r="O32" i="27" s="1"/>
  <c r="W62" i="27" s="1"/>
  <c r="AS52" i="25"/>
  <c r="O29" i="27" s="1"/>
  <c r="W56" i="27" s="1"/>
  <c r="AR52" i="25"/>
  <c r="O28" i="27" s="1"/>
  <c r="W54" i="27" s="1"/>
  <c r="AQ52" i="25"/>
  <c r="O27" i="27" s="1"/>
  <c r="W52" i="27" s="1"/>
  <c r="AP52" i="25"/>
  <c r="O26" i="27" s="1"/>
  <c r="W50" i="27" s="1"/>
  <c r="AO52" i="25"/>
  <c r="O25" i="27" s="1"/>
  <c r="W48" i="27" s="1"/>
  <c r="AN52" i="25"/>
  <c r="O24" i="27" s="1"/>
  <c r="W46" i="27" s="1"/>
  <c r="AM52" i="25"/>
  <c r="O23" i="27" s="1"/>
  <c r="W44" i="27" s="1"/>
  <c r="AL52" i="25"/>
  <c r="O22" i="27" s="1"/>
  <c r="W42" i="27" s="1"/>
  <c r="AK52" i="25"/>
  <c r="O21" i="27" s="1"/>
  <c r="W40" i="27" s="1"/>
  <c r="AJ52" i="25"/>
  <c r="O20" i="27" s="1"/>
  <c r="W38" i="27" s="1"/>
  <c r="AI52" i="25"/>
  <c r="O19" i="27" s="1"/>
  <c r="W36" i="27" s="1"/>
  <c r="AH52" i="25"/>
  <c r="O18" i="27" s="1"/>
  <c r="W34" i="27" s="1"/>
  <c r="AG52" i="25"/>
  <c r="O17" i="27" s="1"/>
  <c r="W32" i="27" s="1"/>
  <c r="AF52" i="25"/>
  <c r="O16" i="27" s="1"/>
  <c r="W30" i="27" s="1"/>
  <c r="AE52" i="25"/>
  <c r="O15" i="27" s="1"/>
  <c r="W28" i="27" s="1"/>
  <c r="AD52" i="25"/>
  <c r="O14" i="27" s="1"/>
  <c r="W26" i="27" s="1"/>
  <c r="AC52" i="25"/>
  <c r="O13" i="27" s="1"/>
  <c r="W24" i="27" s="1"/>
  <c r="AB52" i="25"/>
  <c r="O12" i="27" s="1"/>
  <c r="W22" i="27" s="1"/>
  <c r="AA52" i="25"/>
  <c r="O11" i="27" s="1"/>
  <c r="W20" i="27" s="1"/>
  <c r="Z52" i="25"/>
  <c r="O10" i="27" s="1"/>
  <c r="W18" i="27" s="1"/>
  <c r="Y52" i="25"/>
  <c r="O9" i="27" s="1"/>
  <c r="W16" i="27" s="1"/>
  <c r="X52" i="25"/>
  <c r="O8" i="27" s="1"/>
  <c r="W14" i="27" s="1"/>
  <c r="W52" i="25"/>
  <c r="O7" i="27" s="1"/>
  <c r="W12" i="27" s="1"/>
  <c r="V52" i="25"/>
  <c r="O6" i="27" s="1"/>
  <c r="W10" i="27" s="1"/>
  <c r="U52" i="25"/>
  <c r="O5" i="27" s="1"/>
  <c r="W8" i="27" s="1"/>
  <c r="T52" i="25"/>
  <c r="O4" i="27" s="1"/>
  <c r="W6" i="27" s="1"/>
  <c r="S52" i="25"/>
  <c r="O3" i="27" s="1"/>
  <c r="W4" i="27" s="1"/>
  <c r="R52" i="25"/>
  <c r="O2" i="27" s="1"/>
  <c r="W2" i="27" s="1"/>
  <c r="AV48" i="25"/>
  <c r="B32" i="27" s="1"/>
  <c r="J62" i="27" s="1"/>
  <c r="AS48" i="25"/>
  <c r="B29" i="27" s="1"/>
  <c r="J56" i="27" s="1"/>
  <c r="AR48" i="25"/>
  <c r="B28" i="27" s="1"/>
  <c r="J54" i="27" s="1"/>
  <c r="AQ48" i="25"/>
  <c r="B27" i="27" s="1"/>
  <c r="J52" i="27" s="1"/>
  <c r="AP48" i="25"/>
  <c r="B26" i="27" s="1"/>
  <c r="J50" i="27" s="1"/>
  <c r="AO48" i="25"/>
  <c r="B25" i="27" s="1"/>
  <c r="J48" i="27" s="1"/>
  <c r="AN48" i="25"/>
  <c r="B24" i="27" s="1"/>
  <c r="J46" i="27" s="1"/>
  <c r="AM48" i="25"/>
  <c r="B23" i="27" s="1"/>
  <c r="J44" i="27" s="1"/>
  <c r="AL48" i="25"/>
  <c r="B22" i="27" s="1"/>
  <c r="J42" i="27" s="1"/>
  <c r="AK48" i="25"/>
  <c r="B21" i="27" s="1"/>
  <c r="J40" i="27" s="1"/>
  <c r="AJ48" i="25"/>
  <c r="B20" i="27" s="1"/>
  <c r="J38" i="27" s="1"/>
  <c r="AI48" i="25"/>
  <c r="B19" i="27" s="1"/>
  <c r="J36" i="27" s="1"/>
  <c r="AH48" i="25"/>
  <c r="B18" i="27" s="1"/>
  <c r="J34" i="27" s="1"/>
  <c r="AG48" i="25"/>
  <c r="B17" i="27" s="1"/>
  <c r="J32" i="27" s="1"/>
  <c r="AF48" i="25"/>
  <c r="B16" i="27" s="1"/>
  <c r="J30" i="27" s="1"/>
  <c r="AE48" i="25"/>
  <c r="B15" i="27" s="1"/>
  <c r="J28" i="27" s="1"/>
  <c r="AD48" i="25"/>
  <c r="B14" i="27" s="1"/>
  <c r="J26" i="27" s="1"/>
  <c r="AC48" i="25"/>
  <c r="B13" i="27" s="1"/>
  <c r="J24" i="27" s="1"/>
  <c r="AB48" i="25"/>
  <c r="B12" i="27" s="1"/>
  <c r="J22" i="27" s="1"/>
  <c r="AA48" i="25"/>
  <c r="B11" i="27" s="1"/>
  <c r="J20" i="27" s="1"/>
  <c r="Z48" i="25"/>
  <c r="B10" i="27" s="1"/>
  <c r="J18" i="27" s="1"/>
  <c r="Y48" i="25"/>
  <c r="B9" i="27" s="1"/>
  <c r="J16" i="27" s="1"/>
  <c r="X48" i="25"/>
  <c r="B8" i="27" s="1"/>
  <c r="J14" i="27" s="1"/>
  <c r="W48" i="25"/>
  <c r="B7" i="27" s="1"/>
  <c r="J12" i="27" s="1"/>
  <c r="V48" i="25"/>
  <c r="B6" i="27" s="1"/>
  <c r="J10" i="27" s="1"/>
  <c r="U48" i="25"/>
  <c r="B5" i="27" s="1"/>
  <c r="J8" i="27" s="1"/>
  <c r="T48" i="25"/>
  <c r="B4" i="27" s="1"/>
  <c r="J6" i="27" s="1"/>
  <c r="S48" i="25"/>
  <c r="B3" i="27" s="1"/>
  <c r="R48" i="25"/>
  <c r="B2" i="27" s="1"/>
  <c r="J2" i="27" s="1"/>
  <c r="X63" i="26" l="1"/>
  <c r="X47" i="26"/>
  <c r="X41" i="26"/>
  <c r="X11" i="26"/>
  <c r="X27" i="26"/>
  <c r="X9" i="26"/>
  <c r="X13" i="26"/>
  <c r="X29" i="26"/>
  <c r="X45" i="26"/>
  <c r="X61" i="26"/>
  <c r="I18" i="27"/>
  <c r="I19" i="27" s="1"/>
  <c r="I12" i="27"/>
  <c r="I13" i="27" s="1"/>
  <c r="I50" i="27"/>
  <c r="I51" i="27" s="1"/>
  <c r="I34" i="27"/>
  <c r="I35" i="27" s="1"/>
  <c r="I48" i="27"/>
  <c r="I49" i="27" s="1"/>
  <c r="I20" i="27"/>
  <c r="I21" i="27" s="1"/>
  <c r="I6" i="27"/>
  <c r="I7" i="27" s="1"/>
  <c r="I52" i="27"/>
  <c r="I53" i="27" s="1"/>
  <c r="I58" i="27"/>
  <c r="I59" i="27" s="1"/>
  <c r="I8" i="27"/>
  <c r="I9" i="27" s="1"/>
  <c r="I38" i="27"/>
  <c r="I39" i="27" s="1"/>
  <c r="I26" i="27"/>
  <c r="I27" i="27" s="1"/>
  <c r="I28" i="27"/>
  <c r="I29" i="27" s="1"/>
  <c r="I60" i="27"/>
  <c r="I61" i="27" s="1"/>
  <c r="I30" i="27"/>
  <c r="I31" i="27" s="1"/>
  <c r="I14" i="27"/>
  <c r="I15" i="27" s="1"/>
  <c r="I4" i="27"/>
  <c r="I5" i="27" s="1"/>
  <c r="I16" i="27"/>
  <c r="I17" i="27" s="1"/>
  <c r="I10" i="27"/>
  <c r="I11" i="27" s="1"/>
  <c r="I62" i="27"/>
  <c r="I63" i="27" s="1"/>
  <c r="I42" i="27"/>
  <c r="I32" i="27"/>
  <c r="I40" i="27"/>
  <c r="I22" i="27"/>
  <c r="I54" i="27"/>
  <c r="X37" i="26"/>
  <c r="X53" i="26"/>
  <c r="Z27" i="26"/>
  <c r="Z5" i="26"/>
  <c r="Z41" i="26"/>
  <c r="X33" i="26"/>
  <c r="X49" i="26"/>
  <c r="X3" i="26"/>
  <c r="Z7" i="26"/>
  <c r="Z19" i="26"/>
  <c r="Z31" i="26"/>
  <c r="Z43" i="26"/>
  <c r="Z53" i="26"/>
  <c r="X35" i="26"/>
  <c r="X51" i="26"/>
  <c r="X5" i="26"/>
  <c r="X21" i="26"/>
  <c r="Z3" i="26"/>
  <c r="Z9" i="26"/>
  <c r="Z11" i="26"/>
  <c r="Z21" i="26"/>
  <c r="Z33" i="26"/>
  <c r="Z45" i="26"/>
  <c r="X39" i="26"/>
  <c r="X55" i="26"/>
  <c r="Z51" i="26"/>
  <c r="Z63" i="26"/>
  <c r="Z17" i="26"/>
  <c r="X17" i="26"/>
  <c r="Z13" i="26"/>
  <c r="X19" i="26"/>
  <c r="Z59" i="26"/>
  <c r="X43" i="26"/>
  <c r="X59" i="26"/>
  <c r="Z39" i="26"/>
  <c r="Z29" i="26"/>
  <c r="Z55" i="26"/>
  <c r="X7" i="26"/>
  <c r="Z23" i="26"/>
  <c r="Z35" i="26"/>
  <c r="Z47" i="26"/>
  <c r="Z57" i="26"/>
  <c r="Z15" i="26"/>
  <c r="Z25" i="26"/>
  <c r="Z37" i="26"/>
  <c r="Z49" i="26"/>
  <c r="Z61" i="26"/>
  <c r="X15" i="26"/>
  <c r="X31" i="26"/>
  <c r="AI36" i="27"/>
  <c r="V36" i="27"/>
  <c r="X13" i="27"/>
  <c r="X45" i="27"/>
  <c r="X15" i="27"/>
  <c r="K61" i="27"/>
  <c r="K33" i="27"/>
  <c r="X39" i="27"/>
  <c r="AK61" i="27"/>
  <c r="AK45" i="27"/>
  <c r="AK29" i="27"/>
  <c r="AK13" i="27"/>
  <c r="K9" i="27"/>
  <c r="K63" i="27"/>
  <c r="X49" i="27"/>
  <c r="K59" i="27"/>
  <c r="K29" i="27"/>
  <c r="X23" i="27"/>
  <c r="AK59" i="27"/>
  <c r="AK43" i="27"/>
  <c r="AK27" i="27"/>
  <c r="AK11" i="27"/>
  <c r="AK63" i="27"/>
  <c r="K25" i="27"/>
  <c r="K43" i="27"/>
  <c r="X35" i="27"/>
  <c r="X51" i="27"/>
  <c r="K55" i="27"/>
  <c r="K23" i="27"/>
  <c r="I57" i="27"/>
  <c r="X7" i="27"/>
  <c r="AK57" i="27"/>
  <c r="AK41" i="27"/>
  <c r="AK25" i="27"/>
  <c r="AK9" i="27"/>
  <c r="I47" i="27"/>
  <c r="K41" i="27"/>
  <c r="K11" i="27"/>
  <c r="X3" i="27"/>
  <c r="K47" i="27"/>
  <c r="X53" i="27"/>
  <c r="AK55" i="27"/>
  <c r="AK39" i="27"/>
  <c r="AK23" i="27"/>
  <c r="AK7" i="27"/>
  <c r="X29" i="27"/>
  <c r="K35" i="27"/>
  <c r="X55" i="27"/>
  <c r="AK15" i="27"/>
  <c r="K57" i="27"/>
  <c r="K27" i="27"/>
  <c r="X19" i="27"/>
  <c r="K31" i="27"/>
  <c r="X21" i="27"/>
  <c r="K51" i="27"/>
  <c r="K49" i="27"/>
  <c r="K17" i="27"/>
  <c r="AK53" i="27"/>
  <c r="AK37" i="27"/>
  <c r="AK21" i="27"/>
  <c r="AK5" i="27"/>
  <c r="AK47" i="27"/>
  <c r="X47" i="27"/>
  <c r="X17" i="27"/>
  <c r="K15" i="27"/>
  <c r="X5" i="27"/>
  <c r="X37" i="27"/>
  <c r="K19" i="27"/>
  <c r="X9" i="27"/>
  <c r="X25" i="27"/>
  <c r="X41" i="27"/>
  <c r="X57" i="27"/>
  <c r="K45" i="27"/>
  <c r="K13" i="27"/>
  <c r="X61" i="27"/>
  <c r="AK51" i="27"/>
  <c r="AK35" i="27"/>
  <c r="AK19" i="27"/>
  <c r="AK31" i="27"/>
  <c r="X31" i="27"/>
  <c r="X33" i="27"/>
  <c r="K21" i="27"/>
  <c r="K37" i="27"/>
  <c r="K53" i="27"/>
  <c r="X11" i="27"/>
  <c r="X27" i="27"/>
  <c r="X43" i="27"/>
  <c r="X63" i="27"/>
  <c r="K39" i="27"/>
  <c r="K7" i="27"/>
  <c r="X59" i="27"/>
  <c r="AK3" i="27"/>
  <c r="AK49" i="27"/>
  <c r="AK33" i="27"/>
  <c r="AK17" i="27"/>
  <c r="I44" i="27"/>
  <c r="AI62" i="27"/>
  <c r="AI28" i="27"/>
  <c r="AI12" i="27"/>
  <c r="AI44" i="27"/>
  <c r="AI30" i="27"/>
  <c r="AI14" i="27"/>
  <c r="V56" i="27"/>
  <c r="V40" i="27"/>
  <c r="V24" i="27"/>
  <c r="AI58" i="27"/>
  <c r="AI42" i="27"/>
  <c r="AI26" i="27"/>
  <c r="AI10" i="27"/>
  <c r="AI24" i="27"/>
  <c r="AI8" i="27"/>
  <c r="AI46" i="27"/>
  <c r="AI20" i="27"/>
  <c r="AI60" i="27"/>
  <c r="AI40" i="27"/>
  <c r="AI22" i="27"/>
  <c r="AI6" i="27"/>
  <c r="AI52" i="27"/>
  <c r="AI4" i="27"/>
  <c r="AI2" i="27"/>
  <c r="AI38" i="27"/>
  <c r="AI56" i="27"/>
  <c r="V10" i="27"/>
  <c r="AI48" i="27"/>
  <c r="AI32" i="27"/>
  <c r="AI16" i="27"/>
  <c r="AI54" i="27"/>
  <c r="AI50" i="27"/>
  <c r="AI34" i="27"/>
  <c r="AI18" i="27"/>
  <c r="V30" i="27"/>
  <c r="V8" i="27"/>
  <c r="V60" i="27"/>
  <c r="V44" i="27"/>
  <c r="V28" i="27"/>
  <c r="V52" i="27"/>
  <c r="V4" i="27"/>
  <c r="V12" i="27"/>
  <c r="V48" i="27"/>
  <c r="V14" i="27"/>
  <c r="V62" i="27"/>
  <c r="V46" i="27"/>
  <c r="V32" i="27"/>
  <c r="V16" i="27"/>
  <c r="V58" i="27"/>
  <c r="V54" i="27"/>
  <c r="V22" i="27"/>
  <c r="V6" i="27"/>
  <c r="V42" i="27"/>
  <c r="V20" i="27"/>
  <c r="V18" i="27"/>
  <c r="V26" i="27"/>
  <c r="V38" i="27"/>
  <c r="V50" i="27"/>
  <c r="V34" i="27"/>
  <c r="V2" i="27"/>
  <c r="I2" i="27"/>
  <c r="I36" i="27"/>
  <c r="J4" i="27"/>
  <c r="I25" i="27"/>
  <c r="K3" i="27"/>
  <c r="I43" i="27" l="1"/>
  <c r="V37" i="27"/>
  <c r="AI37" i="27"/>
  <c r="I55" i="27"/>
  <c r="I23" i="27"/>
  <c r="I41" i="27"/>
  <c r="I33" i="27"/>
  <c r="AI35" i="27"/>
  <c r="V27" i="27"/>
  <c r="V17" i="27"/>
  <c r="V53" i="27"/>
  <c r="AI51" i="27"/>
  <c r="AI3" i="27"/>
  <c r="AI47" i="27"/>
  <c r="V41" i="27"/>
  <c r="I45" i="27"/>
  <c r="AI63" i="27"/>
  <c r="V19" i="27"/>
  <c r="AI55" i="27"/>
  <c r="AI9" i="27"/>
  <c r="K5" i="27"/>
  <c r="V29" i="27"/>
  <c r="AI5" i="27"/>
  <c r="V57" i="27"/>
  <c r="I37" i="27"/>
  <c r="V21" i="27"/>
  <c r="V47" i="27"/>
  <c r="V45" i="27"/>
  <c r="AI17" i="27"/>
  <c r="AI53" i="27"/>
  <c r="AI25" i="27"/>
  <c r="AI15" i="27"/>
  <c r="AI21" i="27"/>
  <c r="V33" i="27"/>
  <c r="I3" i="27"/>
  <c r="V63" i="27"/>
  <c r="AI7" i="27"/>
  <c r="AI31" i="27"/>
  <c r="V39" i="27"/>
  <c r="V25" i="27"/>
  <c r="V43" i="27"/>
  <c r="V61" i="27"/>
  <c r="AI33" i="27"/>
  <c r="AI11" i="27"/>
  <c r="V3" i="27"/>
  <c r="V7" i="27"/>
  <c r="V15" i="27"/>
  <c r="V9" i="27"/>
  <c r="AI49" i="27"/>
  <c r="AI23" i="27"/>
  <c r="AI27" i="27"/>
  <c r="AI45" i="27"/>
  <c r="V5" i="27"/>
  <c r="V35" i="27"/>
  <c r="V23" i="27"/>
  <c r="V49" i="27"/>
  <c r="V31" i="27"/>
  <c r="V11" i="27"/>
  <c r="AI41" i="27"/>
  <c r="AI43" i="27"/>
  <c r="AI13" i="27"/>
  <c r="V59" i="27"/>
  <c r="AI39" i="27"/>
  <c r="V51" i="27"/>
  <c r="V55" i="27"/>
  <c r="V13" i="27"/>
  <c r="AI19" i="27"/>
  <c r="AI57" i="27"/>
  <c r="AI61" i="27"/>
  <c r="AI59" i="27"/>
  <c r="AI29" i="27"/>
  <c r="AA3" i="20"/>
  <c r="AH4" i="20" s="1"/>
  <c r="AA4" i="20"/>
  <c r="AH6" i="20" s="1"/>
  <c r="AA5" i="20"/>
  <c r="AH8" i="20" s="1"/>
  <c r="AA6" i="20"/>
  <c r="AH10" i="20" s="1"/>
  <c r="AA7" i="20"/>
  <c r="AH12" i="20" s="1"/>
  <c r="AA8" i="20"/>
  <c r="AH14" i="20" s="1"/>
  <c r="AA9" i="20"/>
  <c r="AH16" i="20" s="1"/>
  <c r="AA10" i="20"/>
  <c r="AH18" i="20" s="1"/>
  <c r="AA11" i="20"/>
  <c r="AH20" i="20" s="1"/>
  <c r="AA12" i="20"/>
  <c r="AH22" i="20" s="1"/>
  <c r="AA13" i="20"/>
  <c r="AH24" i="20" s="1"/>
  <c r="AA14" i="20"/>
  <c r="AH26" i="20" s="1"/>
  <c r="AA15" i="20"/>
  <c r="AH28" i="20" s="1"/>
  <c r="AA16" i="20"/>
  <c r="AH30" i="20" s="1"/>
  <c r="AA17" i="20"/>
  <c r="AH32" i="20" s="1"/>
  <c r="AA18" i="20"/>
  <c r="AH34" i="20" s="1"/>
  <c r="AA19" i="20"/>
  <c r="AH36" i="20" s="1"/>
  <c r="AA20" i="20"/>
  <c r="AH38" i="20" s="1"/>
  <c r="AA21" i="20"/>
  <c r="AH40" i="20" s="1"/>
  <c r="AA22" i="20"/>
  <c r="AH42" i="20" s="1"/>
  <c r="AA23" i="20"/>
  <c r="AH44" i="20" s="1"/>
  <c r="AA24" i="20"/>
  <c r="AH46" i="20" s="1"/>
  <c r="AA25" i="20"/>
  <c r="AH48" i="20" s="1"/>
  <c r="AA26" i="20"/>
  <c r="AH50" i="20" s="1"/>
  <c r="AA27" i="20"/>
  <c r="AH52" i="20" s="1"/>
  <c r="AA28" i="20"/>
  <c r="AH54" i="20" s="1"/>
  <c r="AA29" i="20"/>
  <c r="AH56" i="20" s="1"/>
  <c r="AA30" i="20"/>
  <c r="AH58" i="20" s="1"/>
  <c r="AA31" i="20"/>
  <c r="AH60" i="20" s="1"/>
  <c r="AA32" i="20"/>
  <c r="AH62" i="20" s="1"/>
  <c r="AA2" i="20"/>
  <c r="AI59" i="20" l="1"/>
  <c r="AI11" i="20"/>
  <c r="AI57" i="20"/>
  <c r="AI41" i="20"/>
  <c r="AI25" i="20"/>
  <c r="AI9" i="20"/>
  <c r="AI43" i="20"/>
  <c r="AI23" i="20"/>
  <c r="AI53" i="20"/>
  <c r="AI37" i="20"/>
  <c r="AI21" i="20"/>
  <c r="AI5" i="20"/>
  <c r="AI7" i="20"/>
  <c r="AI51" i="20"/>
  <c r="AI35" i="20"/>
  <c r="AI19" i="20"/>
  <c r="AI39" i="20"/>
  <c r="AI49" i="20"/>
  <c r="AI33" i="20"/>
  <c r="AI17" i="20"/>
  <c r="AI55" i="20"/>
  <c r="AI63" i="20"/>
  <c r="AI47" i="20"/>
  <c r="AI31" i="20"/>
  <c r="AI15" i="20"/>
  <c r="AI27" i="20"/>
  <c r="AI61" i="20"/>
  <c r="AI45" i="20"/>
  <c r="AI29" i="20"/>
  <c r="AI13" i="20"/>
  <c r="X29" i="25"/>
  <c r="X25" i="25"/>
  <c r="C10" i="21" l="1"/>
  <c r="I18" i="21" s="1"/>
  <c r="H11" i="21" l="1"/>
  <c r="AH62" i="17"/>
  <c r="AH60" i="17"/>
  <c r="AH58" i="17"/>
  <c r="AH56" i="17"/>
  <c r="AH54" i="17"/>
  <c r="AH52" i="17"/>
  <c r="AH50" i="17"/>
  <c r="AH48" i="17"/>
  <c r="AH46" i="17"/>
  <c r="AH44" i="17"/>
  <c r="AH42" i="17"/>
  <c r="AH40" i="17"/>
  <c r="AH38" i="17"/>
  <c r="AH36" i="17"/>
  <c r="AH34" i="17"/>
  <c r="AH32" i="17"/>
  <c r="AH30" i="17"/>
  <c r="AH28" i="17"/>
  <c r="AH26" i="17"/>
  <c r="AH24" i="17"/>
  <c r="AH22" i="17"/>
  <c r="AH20" i="17"/>
  <c r="AH18" i="17"/>
  <c r="AH16" i="17"/>
  <c r="AH14" i="17"/>
  <c r="AH12" i="17"/>
  <c r="AH10" i="17"/>
  <c r="AH8" i="17"/>
  <c r="AH6" i="17"/>
  <c r="AH4" i="17"/>
  <c r="AH2" i="17"/>
  <c r="AU29" i="25" l="1"/>
  <c r="AV25" i="25"/>
  <c r="AU25" i="25"/>
  <c r="AC3" i="17"/>
  <c r="AI4" i="17" s="1"/>
  <c r="AC4" i="17"/>
  <c r="AI6" i="17" s="1"/>
  <c r="AC5" i="17"/>
  <c r="AI8" i="17" s="1"/>
  <c r="AC6" i="17"/>
  <c r="AI10" i="17" s="1"/>
  <c r="AC7" i="17"/>
  <c r="AI12" i="17" s="1"/>
  <c r="AC8" i="17"/>
  <c r="AI14" i="17" s="1"/>
  <c r="AC9" i="17"/>
  <c r="AI16" i="17" s="1"/>
  <c r="AC10" i="17"/>
  <c r="AI18" i="17" s="1"/>
  <c r="AC11" i="17"/>
  <c r="AI20" i="17" s="1"/>
  <c r="AC12" i="17"/>
  <c r="AI22" i="17" s="1"/>
  <c r="AC13" i="17"/>
  <c r="AI24" i="17" s="1"/>
  <c r="AC14" i="17"/>
  <c r="AI26" i="17" s="1"/>
  <c r="AC15" i="17"/>
  <c r="AI28" i="17" s="1"/>
  <c r="AC16" i="17"/>
  <c r="AI30" i="17" s="1"/>
  <c r="AC17" i="17"/>
  <c r="AI32" i="17" s="1"/>
  <c r="AC18" i="17"/>
  <c r="AI34" i="17" s="1"/>
  <c r="AC19" i="17"/>
  <c r="AI36" i="17" s="1"/>
  <c r="AC20" i="17"/>
  <c r="AI38" i="17" s="1"/>
  <c r="AC21" i="17"/>
  <c r="AI40" i="17" s="1"/>
  <c r="AC22" i="17"/>
  <c r="AI42" i="17" s="1"/>
  <c r="AC23" i="17"/>
  <c r="AI44" i="17" s="1"/>
  <c r="AC24" i="17"/>
  <c r="AI46" i="17" s="1"/>
  <c r="AC25" i="17"/>
  <c r="AI48" i="17" s="1"/>
  <c r="AC26" i="17"/>
  <c r="AI50" i="17" s="1"/>
  <c r="AC27" i="17"/>
  <c r="AI52" i="17" s="1"/>
  <c r="AC28" i="17"/>
  <c r="AI54" i="17" s="1"/>
  <c r="AC29" i="17"/>
  <c r="AI56" i="17" s="1"/>
  <c r="AC30" i="17"/>
  <c r="AI58" i="17" s="1"/>
  <c r="AC31" i="17"/>
  <c r="AI60" i="17" s="1"/>
  <c r="AC32" i="17"/>
  <c r="AI62" i="17" s="1"/>
  <c r="AC2" i="17"/>
  <c r="AI2" i="17" s="1"/>
  <c r="AH3" i="17"/>
  <c r="AH51" i="17"/>
  <c r="AH35" i="17"/>
  <c r="AH19" i="17"/>
  <c r="AH9" i="17"/>
  <c r="AH61" i="17"/>
  <c r="AH59" i="17"/>
  <c r="AH57" i="17"/>
  <c r="AH55" i="17"/>
  <c r="AH45" i="17"/>
  <c r="AH43" i="17"/>
  <c r="AH41" i="17"/>
  <c r="AH39" i="17"/>
  <c r="AH29" i="17"/>
  <c r="AH27" i="17"/>
  <c r="AH25" i="17"/>
  <c r="AH23" i="17"/>
  <c r="AH7" i="17"/>
  <c r="AN29" i="25"/>
  <c r="AG21" i="25"/>
  <c r="BR32" i="22" s="1"/>
  <c r="BS33" i="22" s="1"/>
  <c r="AJ21" i="25"/>
  <c r="BR38" i="22" s="1"/>
  <c r="BS39" i="22" s="1"/>
  <c r="AI21" i="25"/>
  <c r="BR36" i="22" s="1"/>
  <c r="BS37" i="22" s="1"/>
  <c r="AH21" i="25"/>
  <c r="BR34" i="22" s="1"/>
  <c r="BS35" i="22" s="1"/>
  <c r="B3" i="20"/>
  <c r="B2" i="20"/>
  <c r="AH15" i="17" l="1"/>
  <c r="AJ35" i="17"/>
  <c r="AJ57" i="17"/>
  <c r="AJ41" i="17"/>
  <c r="AJ25" i="17"/>
  <c r="AJ9" i="17"/>
  <c r="AH17" i="17"/>
  <c r="AH13" i="17"/>
  <c r="AH11" i="17"/>
  <c r="AJ55" i="17"/>
  <c r="AJ39" i="17"/>
  <c r="AJ23" i="17"/>
  <c r="AJ7" i="17"/>
  <c r="AJ53" i="17"/>
  <c r="AJ37" i="17"/>
  <c r="AJ21" i="17"/>
  <c r="AJ5" i="17"/>
  <c r="AJ19" i="17"/>
  <c r="AJ17" i="17"/>
  <c r="AH47" i="17"/>
  <c r="AH31" i="17"/>
  <c r="AH49" i="17"/>
  <c r="AJ33" i="17"/>
  <c r="AJ63" i="17"/>
  <c r="AJ47" i="17"/>
  <c r="AJ31" i="17"/>
  <c r="AJ15" i="17"/>
  <c r="AH33" i="17"/>
  <c r="AJ3" i="17"/>
  <c r="AJ49" i="17"/>
  <c r="AH5" i="17"/>
  <c r="AH21" i="17"/>
  <c r="AH37" i="17"/>
  <c r="AH53" i="17"/>
  <c r="AJ61" i="17"/>
  <c r="AJ45" i="17"/>
  <c r="AJ29" i="17"/>
  <c r="AJ13" i="17"/>
  <c r="AJ51" i="17"/>
  <c r="AH63" i="17"/>
  <c r="AJ59" i="17"/>
  <c r="AJ43" i="17"/>
  <c r="AJ27" i="17"/>
  <c r="AJ11" i="17"/>
  <c r="R2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5" i="25"/>
  <c r="E27" i="25"/>
  <c r="E28" i="25"/>
  <c r="E29" i="25"/>
  <c r="E30" i="25"/>
  <c r="E31" i="25"/>
  <c r="E32" i="25"/>
  <c r="BL33" i="22" l="1"/>
  <c r="BR2" i="22"/>
  <c r="BS3" i="22" s="1"/>
  <c r="E33" i="25"/>
  <c r="AM21" i="25"/>
  <c r="BR44" i="22" s="1"/>
  <c r="BS45" i="22" s="1"/>
  <c r="AV33" i="24"/>
  <c r="N33" i="24"/>
  <c r="D33" i="23" l="1"/>
  <c r="AT25" i="25"/>
  <c r="AS25" i="25"/>
  <c r="AN33" i="25"/>
  <c r="AO25" i="25"/>
  <c r="AM29" i="25"/>
  <c r="AO42" i="25" l="1"/>
  <c r="AN42" i="25"/>
  <c r="AM42" i="25"/>
  <c r="AL42" i="25"/>
  <c r="AK42" i="25"/>
  <c r="AJ42" i="25"/>
  <c r="AI42" i="25"/>
  <c r="AH42" i="25"/>
  <c r="AG42" i="25"/>
  <c r="AF42" i="25"/>
  <c r="AE42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R42" i="25"/>
  <c r="AO38" i="25"/>
  <c r="AN38" i="25"/>
  <c r="AM38" i="25"/>
  <c r="AL38" i="25"/>
  <c r="AK38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B2" i="26"/>
  <c r="J4" i="20" l="1"/>
  <c r="J2" i="20"/>
  <c r="B8" i="20" l="1"/>
  <c r="J14" i="20" s="1"/>
  <c r="B9" i="20"/>
  <c r="J16" i="20" s="1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CX8" i="24"/>
  <c r="CX2" i="24"/>
  <c r="CR33" i="24" l="1"/>
  <c r="CW62" i="24" l="1"/>
  <c r="CW60" i="24"/>
  <c r="CW58" i="24"/>
  <c r="CW56" i="24"/>
  <c r="CW54" i="24"/>
  <c r="CW55" i="24" s="1"/>
  <c r="CW52" i="24"/>
  <c r="CW53" i="24" s="1"/>
  <c r="CW50" i="24"/>
  <c r="CW51" i="24" s="1"/>
  <c r="CW48" i="24"/>
  <c r="CW49" i="24" s="1"/>
  <c r="CW46" i="24"/>
  <c r="CW44" i="24"/>
  <c r="CW42" i="24"/>
  <c r="CW40" i="24"/>
  <c r="CW38" i="24"/>
  <c r="CW36" i="24"/>
  <c r="CW37" i="24" s="1"/>
  <c r="CW34" i="24"/>
  <c r="CW35" i="24" s="1"/>
  <c r="CW32" i="24"/>
  <c r="CW33" i="24" s="1"/>
  <c r="CW30" i="24"/>
  <c r="CW31" i="24" s="1"/>
  <c r="CW28" i="24"/>
  <c r="CW26" i="24"/>
  <c r="CW27" i="24" s="1"/>
  <c r="CW24" i="24"/>
  <c r="CW22" i="24"/>
  <c r="CW23" i="24" s="1"/>
  <c r="CW20" i="24"/>
  <c r="CW21" i="24" s="1"/>
  <c r="CW18" i="24"/>
  <c r="CW19" i="24" s="1"/>
  <c r="CW16" i="24"/>
  <c r="CW17" i="24" s="1"/>
  <c r="CW14" i="24"/>
  <c r="CW12" i="24"/>
  <c r="CW10" i="24"/>
  <c r="CW11" i="24" s="1"/>
  <c r="CW8" i="24"/>
  <c r="CW6" i="24"/>
  <c r="CW7" i="24" s="1"/>
  <c r="CW4" i="24"/>
  <c r="CW5" i="24" s="1"/>
  <c r="CW2" i="24"/>
  <c r="CW3" i="24" s="1"/>
  <c r="CY63" i="24"/>
  <c r="CX62" i="24"/>
  <c r="CW63" i="24"/>
  <c r="CX60" i="24"/>
  <c r="CY61" i="24" s="1"/>
  <c r="CW61" i="24"/>
  <c r="CX58" i="24"/>
  <c r="CY59" i="24" s="1"/>
  <c r="CW59" i="24"/>
  <c r="CX56" i="24"/>
  <c r="CY57" i="24" s="1"/>
  <c r="CW57" i="24"/>
  <c r="CX54" i="24"/>
  <c r="CY55" i="24" s="1"/>
  <c r="CX52" i="24"/>
  <c r="CY53" i="24" s="1"/>
  <c r="CX50" i="24"/>
  <c r="CY51" i="24" s="1"/>
  <c r="CX48" i="24"/>
  <c r="CY49" i="24" s="1"/>
  <c r="CX46" i="24"/>
  <c r="CY47" i="24" s="1"/>
  <c r="CW47" i="24"/>
  <c r="CX44" i="24"/>
  <c r="CY45" i="24" s="1"/>
  <c r="CW45" i="24"/>
  <c r="CX42" i="24"/>
  <c r="CY43" i="24" s="1"/>
  <c r="CW43" i="24"/>
  <c r="CX40" i="24"/>
  <c r="CY41" i="24" s="1"/>
  <c r="CW41" i="24"/>
  <c r="CX38" i="24"/>
  <c r="CY39" i="24" s="1"/>
  <c r="CW39" i="24"/>
  <c r="CX36" i="24"/>
  <c r="CY37" i="24" s="1"/>
  <c r="CX34" i="24"/>
  <c r="CY35" i="24" s="1"/>
  <c r="CX32" i="24"/>
  <c r="CY33" i="24" s="1"/>
  <c r="CX30" i="24"/>
  <c r="CY31" i="24" s="1"/>
  <c r="CX28" i="24"/>
  <c r="CY29" i="24" s="1"/>
  <c r="CW29" i="24"/>
  <c r="CX26" i="24"/>
  <c r="CY27" i="24" s="1"/>
  <c r="CX24" i="24"/>
  <c r="CY25" i="24" s="1"/>
  <c r="CW25" i="24"/>
  <c r="CX22" i="24"/>
  <c r="CY23" i="24" s="1"/>
  <c r="CX20" i="24"/>
  <c r="CY21" i="24" s="1"/>
  <c r="CX18" i="24"/>
  <c r="CY19" i="24" s="1"/>
  <c r="CX16" i="24"/>
  <c r="CY17" i="24" s="1"/>
  <c r="CX14" i="24"/>
  <c r="CY15" i="24" s="1"/>
  <c r="CW15" i="24"/>
  <c r="CX12" i="24"/>
  <c r="CY13" i="24" s="1"/>
  <c r="CW13" i="24"/>
  <c r="CX10" i="24"/>
  <c r="CY11" i="24" s="1"/>
  <c r="CY9" i="24"/>
  <c r="CW9" i="24"/>
  <c r="CX6" i="24"/>
  <c r="CY7" i="24" s="1"/>
  <c r="CX4" i="24"/>
  <c r="CY5" i="24" s="1"/>
  <c r="CK62" i="24"/>
  <c r="CK60" i="24"/>
  <c r="CK58" i="24"/>
  <c r="CK56" i="24"/>
  <c r="CK54" i="24"/>
  <c r="CK52" i="24"/>
  <c r="CK50" i="24"/>
  <c r="CK48" i="24"/>
  <c r="CK46" i="24"/>
  <c r="CK44" i="24"/>
  <c r="CK42" i="24"/>
  <c r="CK40" i="24"/>
  <c r="CK38" i="24"/>
  <c r="CK36" i="24"/>
  <c r="CK34" i="24"/>
  <c r="CK32" i="24"/>
  <c r="CK30" i="24"/>
  <c r="CK28" i="24"/>
  <c r="CK26" i="24"/>
  <c r="CK24" i="24"/>
  <c r="CK22" i="24"/>
  <c r="CK20" i="24"/>
  <c r="CK18" i="24"/>
  <c r="CK16" i="24"/>
  <c r="CK14" i="24"/>
  <c r="CK12" i="24"/>
  <c r="CK10" i="24"/>
  <c r="CK8" i="24"/>
  <c r="CK6" i="24"/>
  <c r="CK4" i="24"/>
  <c r="CK2" i="24"/>
  <c r="CX64" i="24" l="1"/>
  <c r="CY3" i="24"/>
  <c r="CL8" i="24"/>
  <c r="CM9" i="24" s="1"/>
  <c r="CL6" i="24"/>
  <c r="CM7" i="24" s="1"/>
  <c r="CL2" i="24"/>
  <c r="CK9" i="24"/>
  <c r="CK7" i="24"/>
  <c r="CK5" i="24"/>
  <c r="CK3" i="24"/>
  <c r="CK51" i="24"/>
  <c r="CK49" i="24"/>
  <c r="CK35" i="24"/>
  <c r="CK33" i="24"/>
  <c r="CK19" i="24"/>
  <c r="CK17" i="24"/>
  <c r="CL62" i="24"/>
  <c r="CM63" i="24" s="1"/>
  <c r="CK63" i="24"/>
  <c r="CL60" i="24"/>
  <c r="CM61" i="24" s="1"/>
  <c r="CK61" i="24"/>
  <c r="CL58" i="24"/>
  <c r="CM59" i="24" s="1"/>
  <c r="CK59" i="24"/>
  <c r="CL56" i="24"/>
  <c r="CM57" i="24" s="1"/>
  <c r="CK57" i="24"/>
  <c r="CL54" i="24"/>
  <c r="CM55" i="24" s="1"/>
  <c r="CK55" i="24"/>
  <c r="CL52" i="24"/>
  <c r="CM53" i="24" s="1"/>
  <c r="CK53" i="24"/>
  <c r="CL50" i="24"/>
  <c r="CM51" i="24" s="1"/>
  <c r="CL48" i="24"/>
  <c r="CM49" i="24" s="1"/>
  <c r="CL46" i="24"/>
  <c r="CM47" i="24" s="1"/>
  <c r="CK47" i="24"/>
  <c r="CL44" i="24"/>
  <c r="CM45" i="24" s="1"/>
  <c r="CK45" i="24"/>
  <c r="CL42" i="24"/>
  <c r="CM43" i="24" s="1"/>
  <c r="CK43" i="24"/>
  <c r="CL40" i="24"/>
  <c r="CM41" i="24" s="1"/>
  <c r="CK41" i="24"/>
  <c r="CL38" i="24"/>
  <c r="CM39" i="24" s="1"/>
  <c r="CK39" i="24"/>
  <c r="CL36" i="24"/>
  <c r="CM37" i="24" s="1"/>
  <c r="CK37" i="24"/>
  <c r="CL34" i="24"/>
  <c r="CM35" i="24" s="1"/>
  <c r="CF33" i="24"/>
  <c r="CL32" i="24"/>
  <c r="CM33" i="24" s="1"/>
  <c r="CL30" i="24"/>
  <c r="CM31" i="24" s="1"/>
  <c r="CK31" i="24"/>
  <c r="CL28" i="24"/>
  <c r="CM29" i="24" s="1"/>
  <c r="CK29" i="24"/>
  <c r="CL26" i="24"/>
  <c r="CM27" i="24" s="1"/>
  <c r="CK27" i="24"/>
  <c r="CL24" i="24"/>
  <c r="CM25" i="24" s="1"/>
  <c r="CK25" i="24"/>
  <c r="CL22" i="24"/>
  <c r="CM23" i="24" s="1"/>
  <c r="CK23" i="24"/>
  <c r="CL20" i="24"/>
  <c r="CM21" i="24" s="1"/>
  <c r="CK21" i="24"/>
  <c r="CL18" i="24"/>
  <c r="CM19" i="24" s="1"/>
  <c r="CL16" i="24"/>
  <c r="CM17" i="24" s="1"/>
  <c r="CL14" i="24"/>
  <c r="CM15" i="24" s="1"/>
  <c r="CK15" i="24"/>
  <c r="CL12" i="24"/>
  <c r="CM13" i="24" s="1"/>
  <c r="CK13" i="24"/>
  <c r="CL10" i="24"/>
  <c r="CM11" i="24" s="1"/>
  <c r="CK11" i="24"/>
  <c r="CL4" i="24"/>
  <c r="CM5" i="24" s="1"/>
  <c r="AW3" i="23"/>
  <c r="BC4" i="23" s="1"/>
  <c r="AW4" i="23"/>
  <c r="BC6" i="23" s="1"/>
  <c r="AW5" i="23"/>
  <c r="BC8" i="23" s="1"/>
  <c r="AW6" i="23"/>
  <c r="BC10" i="23" s="1"/>
  <c r="AW7" i="23"/>
  <c r="BC12" i="23" s="1"/>
  <c r="AW8" i="23"/>
  <c r="BC14" i="23" s="1"/>
  <c r="AW9" i="23"/>
  <c r="BC16" i="23" s="1"/>
  <c r="AW10" i="23"/>
  <c r="BC18" i="23" s="1"/>
  <c r="AW11" i="23"/>
  <c r="BC20" i="23" s="1"/>
  <c r="AW12" i="23"/>
  <c r="BC22" i="23" s="1"/>
  <c r="AW13" i="23"/>
  <c r="BC24" i="23" s="1"/>
  <c r="AW14" i="23"/>
  <c r="BC26" i="23" s="1"/>
  <c r="AW15" i="23"/>
  <c r="BC28" i="23" s="1"/>
  <c r="AW16" i="23"/>
  <c r="BC30" i="23" s="1"/>
  <c r="AW17" i="23"/>
  <c r="BC32" i="23" s="1"/>
  <c r="AW18" i="23"/>
  <c r="BC34" i="23" s="1"/>
  <c r="AW19" i="23"/>
  <c r="BC36" i="23" s="1"/>
  <c r="AW20" i="23"/>
  <c r="BC38" i="23" s="1"/>
  <c r="AW21" i="23"/>
  <c r="BC40" i="23" s="1"/>
  <c r="AW22" i="23"/>
  <c r="BC42" i="23" s="1"/>
  <c r="AW23" i="23"/>
  <c r="BC44" i="23" s="1"/>
  <c r="AW24" i="23"/>
  <c r="BC46" i="23" s="1"/>
  <c r="AW25" i="23"/>
  <c r="BC48" i="23" s="1"/>
  <c r="AW30" i="23"/>
  <c r="BC58" i="23" s="1"/>
  <c r="AW31" i="23"/>
  <c r="BC60" i="23" s="1"/>
  <c r="AW2" i="23"/>
  <c r="AV3" i="23"/>
  <c r="AV4" i="23"/>
  <c r="AV5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2" i="23"/>
  <c r="AU3" i="23"/>
  <c r="AU4" i="23"/>
  <c r="AU5" i="23"/>
  <c r="AU6" i="23"/>
  <c r="AU7" i="23"/>
  <c r="AU8" i="23"/>
  <c r="AU9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2" i="23"/>
  <c r="AT3" i="23"/>
  <c r="AT4" i="23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2" i="23"/>
  <c r="AV42" i="25"/>
  <c r="AW32" i="23" s="1"/>
  <c r="BC62" i="23" s="1"/>
  <c r="AS42" i="25"/>
  <c r="AW29" i="23" s="1"/>
  <c r="BC56" i="23" s="1"/>
  <c r="AR42" i="25"/>
  <c r="AW28" i="23" s="1"/>
  <c r="BC54" i="23" s="1"/>
  <c r="AQ42" i="25"/>
  <c r="AW27" i="23" s="1"/>
  <c r="BC52" i="23" s="1"/>
  <c r="AP42" i="25"/>
  <c r="AW26" i="23" s="1"/>
  <c r="BC50" i="23" s="1"/>
  <c r="AG32" i="23"/>
  <c r="AF32" i="23"/>
  <c r="AE32" i="23"/>
  <c r="AH31" i="23"/>
  <c r="AN60" i="23" s="1"/>
  <c r="AO61" i="23" s="1"/>
  <c r="AG31" i="23"/>
  <c r="AF31" i="23"/>
  <c r="AE31" i="23"/>
  <c r="AH30" i="23"/>
  <c r="AN58" i="23" s="1"/>
  <c r="AO59" i="23" s="1"/>
  <c r="AG30" i="23"/>
  <c r="AF30" i="23"/>
  <c r="AE30" i="23"/>
  <c r="AG29" i="23"/>
  <c r="AF29" i="23"/>
  <c r="AE29" i="23"/>
  <c r="AG28" i="23"/>
  <c r="AF28" i="23"/>
  <c r="AE28" i="23"/>
  <c r="AG27" i="23"/>
  <c r="AF27" i="23"/>
  <c r="AE27" i="23"/>
  <c r="AG26" i="23"/>
  <c r="AF26" i="23"/>
  <c r="AE26" i="23"/>
  <c r="AH25" i="23"/>
  <c r="AN48" i="23" s="1"/>
  <c r="AO49" i="23" s="1"/>
  <c r="AG25" i="23"/>
  <c r="AF25" i="23"/>
  <c r="AE25" i="23"/>
  <c r="AH24" i="23"/>
  <c r="AN46" i="23" s="1"/>
  <c r="AO47" i="23" s="1"/>
  <c r="AG24" i="23"/>
  <c r="AF24" i="23"/>
  <c r="AE24" i="23"/>
  <c r="AH23" i="23"/>
  <c r="AN44" i="23" s="1"/>
  <c r="AO45" i="23" s="1"/>
  <c r="AG23" i="23"/>
  <c r="AF23" i="23"/>
  <c r="AE23" i="23"/>
  <c r="AH22" i="23"/>
  <c r="AN42" i="23" s="1"/>
  <c r="AO43" i="23" s="1"/>
  <c r="AG22" i="23"/>
  <c r="AF22" i="23"/>
  <c r="AE22" i="23"/>
  <c r="AH21" i="23"/>
  <c r="AN40" i="23" s="1"/>
  <c r="AO41" i="23" s="1"/>
  <c r="AG21" i="23"/>
  <c r="AF21" i="23"/>
  <c r="AE21" i="23"/>
  <c r="AH20" i="23"/>
  <c r="AN38" i="23" s="1"/>
  <c r="AO39" i="23" s="1"/>
  <c r="AG20" i="23"/>
  <c r="AF20" i="23"/>
  <c r="AE20" i="23"/>
  <c r="AH19" i="23"/>
  <c r="AN36" i="23" s="1"/>
  <c r="AO37" i="23" s="1"/>
  <c r="AG19" i="23"/>
  <c r="AF19" i="23"/>
  <c r="AE19" i="23"/>
  <c r="AH18" i="23"/>
  <c r="AN34" i="23" s="1"/>
  <c r="AO35" i="23" s="1"/>
  <c r="AG18" i="23"/>
  <c r="AF18" i="23"/>
  <c r="AE18" i="23"/>
  <c r="AH17" i="23"/>
  <c r="AN32" i="23" s="1"/>
  <c r="AO33" i="23" s="1"/>
  <c r="AG17" i="23"/>
  <c r="AF17" i="23"/>
  <c r="AE17" i="23"/>
  <c r="AH16" i="23"/>
  <c r="AN30" i="23" s="1"/>
  <c r="AO31" i="23" s="1"/>
  <c r="AG16" i="23"/>
  <c r="AF16" i="23"/>
  <c r="AE16" i="23"/>
  <c r="AH15" i="23"/>
  <c r="AN28" i="23" s="1"/>
  <c r="AO29" i="23" s="1"/>
  <c r="AG15" i="23"/>
  <c r="AF15" i="23"/>
  <c r="AE15" i="23"/>
  <c r="AH14" i="23"/>
  <c r="AN26" i="23" s="1"/>
  <c r="AO27" i="23" s="1"/>
  <c r="AG14" i="23"/>
  <c r="AF14" i="23"/>
  <c r="AE14" i="23"/>
  <c r="AH13" i="23"/>
  <c r="AN24" i="23" s="1"/>
  <c r="AO25" i="23" s="1"/>
  <c r="AG13" i="23"/>
  <c r="AF13" i="23"/>
  <c r="AE13" i="23"/>
  <c r="AH12" i="23"/>
  <c r="AN22" i="23" s="1"/>
  <c r="AO23" i="23" s="1"/>
  <c r="AG12" i="23"/>
  <c r="AF12" i="23"/>
  <c r="AE12" i="23"/>
  <c r="AH11" i="23"/>
  <c r="AN20" i="23" s="1"/>
  <c r="AO21" i="23" s="1"/>
  <c r="AG11" i="23"/>
  <c r="AF11" i="23"/>
  <c r="AE11" i="23"/>
  <c r="AH10" i="23"/>
  <c r="AN18" i="23" s="1"/>
  <c r="AO19" i="23" s="1"/>
  <c r="AG10" i="23"/>
  <c r="AF10" i="23"/>
  <c r="AE10" i="23"/>
  <c r="AH9" i="23"/>
  <c r="AN16" i="23" s="1"/>
  <c r="AO17" i="23" s="1"/>
  <c r="AG9" i="23"/>
  <c r="AF9" i="23"/>
  <c r="AE9" i="23"/>
  <c r="AH8" i="23"/>
  <c r="AN14" i="23" s="1"/>
  <c r="AO15" i="23" s="1"/>
  <c r="AG8" i="23"/>
  <c r="AF8" i="23"/>
  <c r="AE8" i="23"/>
  <c r="AH7" i="23"/>
  <c r="AN12" i="23" s="1"/>
  <c r="AO13" i="23" s="1"/>
  <c r="AG7" i="23"/>
  <c r="AF7" i="23"/>
  <c r="AE7" i="23"/>
  <c r="AH6" i="23"/>
  <c r="AN10" i="23" s="1"/>
  <c r="AO11" i="23" s="1"/>
  <c r="AG6" i="23"/>
  <c r="AF6" i="23"/>
  <c r="AE6" i="23"/>
  <c r="AH5" i="23"/>
  <c r="AN8" i="23" s="1"/>
  <c r="AO9" i="23" s="1"/>
  <c r="AG5" i="23"/>
  <c r="AF5" i="23"/>
  <c r="AE5" i="23"/>
  <c r="AH4" i="23"/>
  <c r="AN6" i="23" s="1"/>
  <c r="AO7" i="23" s="1"/>
  <c r="AG4" i="23"/>
  <c r="AF4" i="23"/>
  <c r="AE4" i="23"/>
  <c r="AH3" i="23"/>
  <c r="AN4" i="23" s="1"/>
  <c r="AO5" i="23" s="1"/>
  <c r="AG3" i="23"/>
  <c r="AF3" i="23"/>
  <c r="AE3" i="23"/>
  <c r="AH2" i="23"/>
  <c r="AN2" i="23" s="1"/>
  <c r="AO3" i="23" s="1"/>
  <c r="AG2" i="23"/>
  <c r="AF2" i="23"/>
  <c r="AE2" i="23"/>
  <c r="S3" i="23"/>
  <c r="Y4" i="23" s="1"/>
  <c r="S4" i="23"/>
  <c r="Y6" i="23" s="1"/>
  <c r="S5" i="23"/>
  <c r="Y8" i="23" s="1"/>
  <c r="S6" i="23"/>
  <c r="Y10" i="23" s="1"/>
  <c r="S7" i="23"/>
  <c r="Y12" i="23" s="1"/>
  <c r="S8" i="23"/>
  <c r="Y14" i="23" s="1"/>
  <c r="S9" i="23"/>
  <c r="Y16" i="23" s="1"/>
  <c r="S10" i="23"/>
  <c r="Y18" i="23" s="1"/>
  <c r="S11" i="23"/>
  <c r="Y20" i="23" s="1"/>
  <c r="S12" i="23"/>
  <c r="Y22" i="23" s="1"/>
  <c r="S13" i="23"/>
  <c r="Y24" i="23" s="1"/>
  <c r="S14" i="23"/>
  <c r="Y26" i="23" s="1"/>
  <c r="S15" i="23"/>
  <c r="Y28" i="23" s="1"/>
  <c r="S16" i="23"/>
  <c r="Y30" i="23" s="1"/>
  <c r="S17" i="23"/>
  <c r="Y32" i="23" s="1"/>
  <c r="S18" i="23"/>
  <c r="Y34" i="23" s="1"/>
  <c r="S19" i="23"/>
  <c r="Y36" i="23" s="1"/>
  <c r="S20" i="23"/>
  <c r="Y38" i="23" s="1"/>
  <c r="S21" i="23"/>
  <c r="Y40" i="23" s="1"/>
  <c r="S22" i="23"/>
  <c r="Y42" i="23" s="1"/>
  <c r="S23" i="23"/>
  <c r="Y44" i="23" s="1"/>
  <c r="S24" i="23"/>
  <c r="Y46" i="23" s="1"/>
  <c r="S25" i="23"/>
  <c r="Y48" i="23" s="1"/>
  <c r="S30" i="23"/>
  <c r="Y58" i="23" s="1"/>
  <c r="S31" i="23"/>
  <c r="Y60" i="23" s="1"/>
  <c r="S2" i="23"/>
  <c r="Y2" i="23" s="1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2" i="23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2" i="23"/>
  <c r="AV38" i="25"/>
  <c r="S32" i="23" s="1"/>
  <c r="Y62" i="23" s="1"/>
  <c r="AQ38" i="25"/>
  <c r="AH27" i="23" s="1"/>
  <c r="AN52" i="23" s="1"/>
  <c r="AO53" i="23" s="1"/>
  <c r="AR38" i="25"/>
  <c r="S28" i="23" s="1"/>
  <c r="Y54" i="23" s="1"/>
  <c r="AS38" i="25"/>
  <c r="AH29" i="23" s="1"/>
  <c r="AN56" i="23" s="1"/>
  <c r="AO57" i="23" s="1"/>
  <c r="AP38" i="25"/>
  <c r="S26" i="23" s="1"/>
  <c r="Z27" i="23" l="1"/>
  <c r="Z41" i="23"/>
  <c r="Z25" i="23"/>
  <c r="Z9" i="23"/>
  <c r="BD47" i="23"/>
  <c r="BD31" i="23"/>
  <c r="BD15" i="23"/>
  <c r="Z39" i="23"/>
  <c r="Z23" i="23"/>
  <c r="Z7" i="23"/>
  <c r="BD13" i="23"/>
  <c r="Z61" i="23"/>
  <c r="Z37" i="23"/>
  <c r="Z21" i="23"/>
  <c r="Z5" i="23"/>
  <c r="BD51" i="23"/>
  <c r="BD43" i="23"/>
  <c r="BD27" i="23"/>
  <c r="BD11" i="23"/>
  <c r="Z59" i="23"/>
  <c r="Z35" i="23"/>
  <c r="Z19" i="23"/>
  <c r="BD53" i="23"/>
  <c r="Z49" i="23"/>
  <c r="Z33" i="23"/>
  <c r="Z17" i="23"/>
  <c r="BD55" i="23"/>
  <c r="BD39" i="23"/>
  <c r="BD23" i="23"/>
  <c r="BD7" i="23"/>
  <c r="Z31" i="23"/>
  <c r="BD57" i="23"/>
  <c r="BD37" i="23"/>
  <c r="BD21" i="23"/>
  <c r="BD5" i="23"/>
  <c r="Z55" i="23"/>
  <c r="Z45" i="23"/>
  <c r="Z29" i="23"/>
  <c r="Z13" i="23"/>
  <c r="BD63" i="23"/>
  <c r="BD59" i="23"/>
  <c r="BD35" i="23"/>
  <c r="BD19" i="23"/>
  <c r="X36" i="23"/>
  <c r="X20" i="23"/>
  <c r="X4" i="23"/>
  <c r="BB58" i="23"/>
  <c r="BB42" i="23"/>
  <c r="BB26" i="23"/>
  <c r="X40" i="23"/>
  <c r="X41" i="23" s="1"/>
  <c r="X24" i="23"/>
  <c r="X8" i="23"/>
  <c r="BB10" i="23"/>
  <c r="AM2" i="23"/>
  <c r="AM3" i="23" s="1"/>
  <c r="X2" i="23"/>
  <c r="X48" i="23"/>
  <c r="X32" i="23"/>
  <c r="X16" i="23"/>
  <c r="X17" i="23" s="1"/>
  <c r="X38" i="23"/>
  <c r="X22" i="23"/>
  <c r="X6" i="23"/>
  <c r="BB60" i="23"/>
  <c r="BB44" i="23"/>
  <c r="BB45" i="23" s="1"/>
  <c r="BB28" i="23"/>
  <c r="BB12" i="23"/>
  <c r="X34" i="23"/>
  <c r="X18" i="23"/>
  <c r="BB56" i="23"/>
  <c r="BB40" i="23"/>
  <c r="BB24" i="23"/>
  <c r="BB8" i="23"/>
  <c r="BB54" i="23"/>
  <c r="BB38" i="23"/>
  <c r="BB22" i="23"/>
  <c r="BB6" i="23"/>
  <c r="X62" i="23"/>
  <c r="X46" i="23"/>
  <c r="X30" i="23"/>
  <c r="X14" i="23"/>
  <c r="BB52" i="23"/>
  <c r="BB36" i="23"/>
  <c r="BB20" i="23"/>
  <c r="BB4" i="23"/>
  <c r="X60" i="23"/>
  <c r="X44" i="23"/>
  <c r="X28" i="23"/>
  <c r="X12" i="23"/>
  <c r="BB50" i="23"/>
  <c r="BB34" i="23"/>
  <c r="BB18" i="23"/>
  <c r="X58" i="23"/>
  <c r="X42" i="23"/>
  <c r="X26" i="23"/>
  <c r="X10" i="23"/>
  <c r="BB2" i="23"/>
  <c r="BB48" i="23"/>
  <c r="BB32" i="23"/>
  <c r="BB16" i="23"/>
  <c r="BB62" i="23"/>
  <c r="BB46" i="23"/>
  <c r="BB30" i="23"/>
  <c r="BB14" i="23"/>
  <c r="AH28" i="23"/>
  <c r="AN54" i="23" s="1"/>
  <c r="AO55" i="23" s="1"/>
  <c r="AH26" i="23"/>
  <c r="AN50" i="23" s="1"/>
  <c r="AO51" i="23" s="1"/>
  <c r="AM10" i="23"/>
  <c r="AM11" i="23" s="1"/>
  <c r="AM18" i="23"/>
  <c r="AM19" i="23" s="1"/>
  <c r="AM26" i="23"/>
  <c r="AM27" i="23" s="1"/>
  <c r="AM34" i="23"/>
  <c r="AM35" i="23" s="1"/>
  <c r="AM42" i="23"/>
  <c r="AM43" i="23" s="1"/>
  <c r="AM46" i="23"/>
  <c r="AM47" i="23" s="1"/>
  <c r="AM54" i="23"/>
  <c r="AM55" i="23" s="1"/>
  <c r="AM58" i="23"/>
  <c r="AM59" i="23" s="1"/>
  <c r="AH32" i="23"/>
  <c r="AN62" i="23" s="1"/>
  <c r="AO63" i="23" s="1"/>
  <c r="S29" i="23"/>
  <c r="Y56" i="23" s="1"/>
  <c r="AM6" i="23"/>
  <c r="AM7" i="23" s="1"/>
  <c r="AM14" i="23"/>
  <c r="AM15" i="23" s="1"/>
  <c r="AM22" i="23"/>
  <c r="AM23" i="23" s="1"/>
  <c r="AM30" i="23"/>
  <c r="AM31" i="23" s="1"/>
  <c r="AM38" i="23"/>
  <c r="AM39" i="23" s="1"/>
  <c r="AM50" i="23"/>
  <c r="AM51" i="23" s="1"/>
  <c r="AM62" i="23"/>
  <c r="AM63" i="23" s="1"/>
  <c r="S27" i="23"/>
  <c r="Y52" i="23" s="1"/>
  <c r="CL64" i="24"/>
  <c r="CM3" i="24"/>
  <c r="BD49" i="23"/>
  <c r="BD33" i="23"/>
  <c r="BD17" i="23"/>
  <c r="X56" i="23"/>
  <c r="AM52" i="23"/>
  <c r="AM53" i="23" s="1"/>
  <c r="BD61" i="23"/>
  <c r="BD45" i="23"/>
  <c r="BD29" i="23"/>
  <c r="BD41" i="23"/>
  <c r="BD25" i="23"/>
  <c r="BD9" i="23"/>
  <c r="AM4" i="23"/>
  <c r="AM5" i="23" s="1"/>
  <c r="AM8" i="23"/>
  <c r="AM9" i="23" s="1"/>
  <c r="AM12" i="23"/>
  <c r="AM13" i="23" s="1"/>
  <c r="AM16" i="23"/>
  <c r="AM17" i="23" s="1"/>
  <c r="AM20" i="23"/>
  <c r="AM21" i="23" s="1"/>
  <c r="AM24" i="23"/>
  <c r="AM25" i="23" s="1"/>
  <c r="AM28" i="23"/>
  <c r="AM29" i="23" s="1"/>
  <c r="AM32" i="23"/>
  <c r="AM33" i="23" s="1"/>
  <c r="AM36" i="23"/>
  <c r="AM37" i="23" s="1"/>
  <c r="AM40" i="23"/>
  <c r="AM41" i="23" s="1"/>
  <c r="AM44" i="23"/>
  <c r="AM45" i="23" s="1"/>
  <c r="AM48" i="23"/>
  <c r="AM49" i="23" s="1"/>
  <c r="AM56" i="23"/>
  <c r="AM57" i="23" s="1"/>
  <c r="AM60" i="23"/>
  <c r="AM61" i="23" s="1"/>
  <c r="AE33" i="23"/>
  <c r="Z15" i="23"/>
  <c r="Z63" i="23"/>
  <c r="Z47" i="23"/>
  <c r="Z43" i="23"/>
  <c r="Z11" i="23"/>
  <c r="AW33" i="23"/>
  <c r="BC2" i="23"/>
  <c r="AT33" i="23"/>
  <c r="X54" i="23"/>
  <c r="X50" i="23"/>
  <c r="X52" i="23"/>
  <c r="Y50" i="23"/>
  <c r="Z3" i="23"/>
  <c r="P33" i="23"/>
  <c r="BZ10" i="24"/>
  <c r="CA11" i="24" s="1"/>
  <c r="BZ6" i="24"/>
  <c r="CA7" i="24" s="1"/>
  <c r="BY62" i="24"/>
  <c r="BY63" i="24" s="1"/>
  <c r="BY60" i="24"/>
  <c r="BY61" i="24" s="1"/>
  <c r="BY58" i="24"/>
  <c r="BY59" i="24" s="1"/>
  <c r="BY56" i="24"/>
  <c r="BY54" i="24"/>
  <c r="BY52" i="24"/>
  <c r="BY53" i="24" s="1"/>
  <c r="BY50" i="24"/>
  <c r="BY51" i="24" s="1"/>
  <c r="BY48" i="24"/>
  <c r="BY49" i="24" s="1"/>
  <c r="BY46" i="24"/>
  <c r="BY47" i="24" s="1"/>
  <c r="BY44" i="24"/>
  <c r="BY45" i="24" s="1"/>
  <c r="BY42" i="24"/>
  <c r="BY43" i="24" s="1"/>
  <c r="BY40" i="24"/>
  <c r="BY38" i="24"/>
  <c r="BY36" i="24"/>
  <c r="BY37" i="24" s="1"/>
  <c r="BY34" i="24"/>
  <c r="BY35" i="24" s="1"/>
  <c r="BY32" i="24"/>
  <c r="BY33" i="24" s="1"/>
  <c r="BY30" i="24"/>
  <c r="BY31" i="24" s="1"/>
  <c r="BY28" i="24"/>
  <c r="BY29" i="24" s="1"/>
  <c r="BY26" i="24"/>
  <c r="BY27" i="24" s="1"/>
  <c r="BY24" i="24"/>
  <c r="BY22" i="24"/>
  <c r="BY20" i="24"/>
  <c r="BY21" i="24" s="1"/>
  <c r="BY18" i="24"/>
  <c r="BY19" i="24" s="1"/>
  <c r="BY16" i="24"/>
  <c r="BY17" i="24" s="1"/>
  <c r="BY14" i="24"/>
  <c r="BY15" i="24" s="1"/>
  <c r="BY12" i="24"/>
  <c r="BY13" i="24" s="1"/>
  <c r="BY10" i="24"/>
  <c r="BY11" i="24" s="1"/>
  <c r="BY8" i="24"/>
  <c r="BY6" i="24"/>
  <c r="BY4" i="24"/>
  <c r="BY5" i="24" s="1"/>
  <c r="BY2" i="24"/>
  <c r="BY3" i="24" s="1"/>
  <c r="BZ62" i="24"/>
  <c r="CA63" i="24" s="1"/>
  <c r="BZ60" i="24"/>
  <c r="CA61" i="24" s="1"/>
  <c r="BZ58" i="24"/>
  <c r="CA59" i="24" s="1"/>
  <c r="BZ56" i="24"/>
  <c r="CA57" i="24" s="1"/>
  <c r="BY57" i="24"/>
  <c r="BZ54" i="24"/>
  <c r="CA55" i="24" s="1"/>
  <c r="BY55" i="24"/>
  <c r="BZ52" i="24"/>
  <c r="CA53" i="24" s="1"/>
  <c r="BZ50" i="24"/>
  <c r="CA51" i="24" s="1"/>
  <c r="BZ48" i="24"/>
  <c r="CA49" i="24" s="1"/>
  <c r="BZ46" i="24"/>
  <c r="CA47" i="24" s="1"/>
  <c r="BZ44" i="24"/>
  <c r="CA45" i="24" s="1"/>
  <c r="BZ42" i="24"/>
  <c r="CA43" i="24" s="1"/>
  <c r="BZ40" i="24"/>
  <c r="CA41" i="24" s="1"/>
  <c r="BY41" i="24"/>
  <c r="BZ38" i="24"/>
  <c r="CA39" i="24" s="1"/>
  <c r="BY39" i="24"/>
  <c r="BZ36" i="24"/>
  <c r="CA37" i="24" s="1"/>
  <c r="BZ34" i="24"/>
  <c r="CA35" i="24" s="1"/>
  <c r="BT33" i="24"/>
  <c r="BZ32" i="24"/>
  <c r="CA33" i="24" s="1"/>
  <c r="BZ30" i="24"/>
  <c r="CA31" i="24" s="1"/>
  <c r="BZ28" i="24"/>
  <c r="CA29" i="24" s="1"/>
  <c r="BZ26" i="24"/>
  <c r="CA27" i="24" s="1"/>
  <c r="BZ24" i="24"/>
  <c r="CA25" i="24" s="1"/>
  <c r="BY25" i="24"/>
  <c r="BZ22" i="24"/>
  <c r="CA23" i="24" s="1"/>
  <c r="BY23" i="24"/>
  <c r="BZ20" i="24"/>
  <c r="CA21" i="24" s="1"/>
  <c r="BZ18" i="24"/>
  <c r="CA19" i="24" s="1"/>
  <c r="BZ16" i="24"/>
  <c r="CA17" i="24" s="1"/>
  <c r="BZ14" i="24"/>
  <c r="CA15" i="24" s="1"/>
  <c r="BZ12" i="24"/>
  <c r="CA13" i="24" s="1"/>
  <c r="BZ8" i="24"/>
  <c r="CA9" i="24" s="1"/>
  <c r="BY9" i="24"/>
  <c r="BY7" i="24"/>
  <c r="BZ4" i="24"/>
  <c r="CA5" i="24" s="1"/>
  <c r="BZ2" i="24"/>
  <c r="BN56" i="24"/>
  <c r="BN52" i="24"/>
  <c r="BN42" i="24"/>
  <c r="BN40" i="24"/>
  <c r="BN34" i="24"/>
  <c r="BN24" i="24"/>
  <c r="BN12" i="24"/>
  <c r="BN8" i="24"/>
  <c r="BN10" i="24"/>
  <c r="BN2" i="24"/>
  <c r="BM2" i="24"/>
  <c r="BH33" i="24"/>
  <c r="X3" i="23" l="1"/>
  <c r="BB9" i="23"/>
  <c r="BB59" i="23"/>
  <c r="BB15" i="23"/>
  <c r="BB61" i="23"/>
  <c r="BB31" i="23"/>
  <c r="Z57" i="23"/>
  <c r="BB47" i="23"/>
  <c r="BB57" i="23"/>
  <c r="X55" i="23"/>
  <c r="BB5" i="23"/>
  <c r="BB7" i="23"/>
  <c r="X57" i="23"/>
  <c r="BB19" i="23"/>
  <c r="BB23" i="23"/>
  <c r="BB33" i="23"/>
  <c r="BB39" i="23"/>
  <c r="BB13" i="23"/>
  <c r="BB53" i="23"/>
  <c r="BB29" i="23"/>
  <c r="X49" i="23"/>
  <c r="AH33" i="23"/>
  <c r="S33" i="23"/>
  <c r="X25" i="23"/>
  <c r="BB27" i="23"/>
  <c r="BB25" i="23"/>
  <c r="BB49" i="23"/>
  <c r="BB63" i="23"/>
  <c r="X35" i="23"/>
  <c r="X7" i="23"/>
  <c r="BB51" i="23"/>
  <c r="X51" i="23"/>
  <c r="BB3" i="23"/>
  <c r="BB43" i="23"/>
  <c r="BB41" i="23"/>
  <c r="X43" i="23"/>
  <c r="X13" i="23"/>
  <c r="X33" i="23"/>
  <c r="BB17" i="23"/>
  <c r="BB21" i="23"/>
  <c r="BB35" i="23"/>
  <c r="BD3" i="23"/>
  <c r="BB11" i="23"/>
  <c r="BB55" i="23"/>
  <c r="BB37" i="23"/>
  <c r="X21" i="23"/>
  <c r="X37" i="23"/>
  <c r="X31" i="23"/>
  <c r="X45" i="23"/>
  <c r="X19" i="23"/>
  <c r="X15" i="23"/>
  <c r="X61" i="23"/>
  <c r="X63" i="23"/>
  <c r="Z53" i="23"/>
  <c r="Z51" i="23"/>
  <c r="X27" i="23"/>
  <c r="X23" i="23"/>
  <c r="X59" i="23"/>
  <c r="X11" i="23"/>
  <c r="X39" i="23"/>
  <c r="X9" i="23"/>
  <c r="X53" i="23"/>
  <c r="X47" i="23"/>
  <c r="X5" i="23"/>
  <c r="X29" i="23"/>
  <c r="BZ64" i="24"/>
  <c r="CA3" i="24"/>
  <c r="AI3" i="24" l="1"/>
  <c r="AI4" i="24"/>
  <c r="AI5" i="24"/>
  <c r="AO8" i="24" s="1"/>
  <c r="AI6" i="24"/>
  <c r="AO10" i="24" s="1"/>
  <c r="AI7" i="24"/>
  <c r="AO12" i="24" s="1"/>
  <c r="AI8" i="24"/>
  <c r="AI9" i="24"/>
  <c r="AI10" i="24"/>
  <c r="AI11" i="24"/>
  <c r="AO20" i="24" s="1"/>
  <c r="AI12" i="24"/>
  <c r="AO22" i="24" s="1"/>
  <c r="AI13" i="24"/>
  <c r="AO24" i="24" s="1"/>
  <c r="AI14" i="24"/>
  <c r="AO26" i="24" s="1"/>
  <c r="AI15" i="24"/>
  <c r="AI16" i="24"/>
  <c r="AI17" i="24"/>
  <c r="AI18" i="24"/>
  <c r="AO34" i="24" s="1"/>
  <c r="AI19" i="24"/>
  <c r="AI20" i="24"/>
  <c r="AI21" i="24"/>
  <c r="AO40" i="24" s="1"/>
  <c r="AI22" i="24"/>
  <c r="AI23" i="24"/>
  <c r="AI24" i="24"/>
  <c r="AI25" i="24"/>
  <c r="AI26" i="24"/>
  <c r="AI27" i="24"/>
  <c r="AO52" i="24" s="1"/>
  <c r="AI28" i="24"/>
  <c r="AI29" i="24"/>
  <c r="AO56" i="24" s="1"/>
  <c r="AI30" i="24"/>
  <c r="AI31" i="24"/>
  <c r="AI32" i="24"/>
  <c r="AO62" i="24" s="1"/>
  <c r="AI2" i="24"/>
  <c r="AO2" i="24" s="1"/>
  <c r="BM62" i="24"/>
  <c r="BM60" i="24"/>
  <c r="BM58" i="24"/>
  <c r="BM59" i="24" s="1"/>
  <c r="BM56" i="24"/>
  <c r="BM57" i="24" s="1"/>
  <c r="BM54" i="24"/>
  <c r="BM55" i="24" s="1"/>
  <c r="BM52" i="24"/>
  <c r="BM50" i="24"/>
  <c r="BM48" i="24"/>
  <c r="BM46" i="24"/>
  <c r="BM44" i="24"/>
  <c r="BM42" i="24"/>
  <c r="BM43" i="24" s="1"/>
  <c r="BM40" i="24"/>
  <c r="BM41" i="24" s="1"/>
  <c r="BM38" i="24"/>
  <c r="BM36" i="24"/>
  <c r="BM34" i="24"/>
  <c r="BM32" i="24"/>
  <c r="BM30" i="24"/>
  <c r="BM28" i="24"/>
  <c r="BM26" i="24"/>
  <c r="BM27" i="24" s="1"/>
  <c r="BM24" i="24"/>
  <c r="BM25" i="24" s="1"/>
  <c r="BM22" i="24"/>
  <c r="BM20" i="24"/>
  <c r="BM18" i="24"/>
  <c r="BM16" i="24"/>
  <c r="BM14" i="24"/>
  <c r="BM12" i="24"/>
  <c r="BM10" i="24"/>
  <c r="BM11" i="24" s="1"/>
  <c r="BM8" i="24"/>
  <c r="BM9" i="24" s="1"/>
  <c r="BM6" i="24"/>
  <c r="BM4" i="24"/>
  <c r="BN62" i="24"/>
  <c r="BN60" i="24"/>
  <c r="BN58" i="24"/>
  <c r="BO57" i="24"/>
  <c r="BN54" i="24"/>
  <c r="BO53" i="24"/>
  <c r="BN50" i="24"/>
  <c r="BN48" i="24"/>
  <c r="BN46" i="24"/>
  <c r="BN44" i="24"/>
  <c r="BO43" i="24"/>
  <c r="BO41" i="24"/>
  <c r="BN38" i="24"/>
  <c r="BN36" i="24"/>
  <c r="BO35" i="24"/>
  <c r="BN32" i="24"/>
  <c r="BN30" i="24"/>
  <c r="BN28" i="24"/>
  <c r="BN26" i="24"/>
  <c r="BO25" i="24"/>
  <c r="BN22" i="24"/>
  <c r="BN20" i="24"/>
  <c r="BN18" i="24"/>
  <c r="BN16" i="24"/>
  <c r="BN14" i="24"/>
  <c r="BO13" i="24"/>
  <c r="BO11" i="24"/>
  <c r="BO9" i="24"/>
  <c r="BN6" i="24"/>
  <c r="BN4" i="24"/>
  <c r="BO3" i="24"/>
  <c r="BM3" i="24"/>
  <c r="X3" i="24"/>
  <c r="X4" i="24"/>
  <c r="X5" i="24"/>
  <c r="X6" i="24"/>
  <c r="X7" i="24"/>
  <c r="AD12" i="24" s="1"/>
  <c r="X8" i="24"/>
  <c r="AD14" i="24" s="1"/>
  <c r="X9" i="24"/>
  <c r="X10" i="24"/>
  <c r="X11" i="24"/>
  <c r="AD20" i="24" s="1"/>
  <c r="X12" i="24"/>
  <c r="AD22" i="24" s="1"/>
  <c r="X13" i="24"/>
  <c r="AD24" i="24" s="1"/>
  <c r="X14" i="24"/>
  <c r="AD26" i="24" s="1"/>
  <c r="X15" i="24"/>
  <c r="X16" i="24"/>
  <c r="X17" i="24"/>
  <c r="X18" i="24"/>
  <c r="AD34" i="24" s="1"/>
  <c r="X19" i="24"/>
  <c r="AD36" i="24" s="1"/>
  <c r="X20" i="24"/>
  <c r="AD38" i="24" s="1"/>
  <c r="X21" i="24"/>
  <c r="AD40" i="24" s="1"/>
  <c r="X22" i="24"/>
  <c r="X23" i="24"/>
  <c r="X24" i="24"/>
  <c r="X25" i="24"/>
  <c r="X26" i="24"/>
  <c r="X27" i="24"/>
  <c r="X28" i="24"/>
  <c r="AD54" i="24" s="1"/>
  <c r="X29" i="24"/>
  <c r="AD56" i="24" s="1"/>
  <c r="X30" i="24"/>
  <c r="X31" i="24"/>
  <c r="X32" i="24"/>
  <c r="X2" i="24"/>
  <c r="AD2" i="24" s="1"/>
  <c r="M3" i="24"/>
  <c r="M4" i="24"/>
  <c r="S6" i="24" s="1"/>
  <c r="M5" i="24"/>
  <c r="S8" i="24" s="1"/>
  <c r="M6" i="24"/>
  <c r="S10" i="24" s="1"/>
  <c r="M7" i="24"/>
  <c r="S12" i="24" s="1"/>
  <c r="M8" i="24"/>
  <c r="S14" i="24" s="1"/>
  <c r="M9" i="24"/>
  <c r="M10" i="24"/>
  <c r="M11" i="24"/>
  <c r="S20" i="24" s="1"/>
  <c r="M12" i="24"/>
  <c r="S22" i="24" s="1"/>
  <c r="M13" i="24"/>
  <c r="S24" i="24" s="1"/>
  <c r="M14" i="24"/>
  <c r="S26" i="24" s="1"/>
  <c r="M15" i="24"/>
  <c r="S28" i="24" s="1"/>
  <c r="M16" i="24"/>
  <c r="S30" i="24" s="1"/>
  <c r="M17" i="24"/>
  <c r="S32" i="24" s="1"/>
  <c r="M18" i="24"/>
  <c r="S34" i="24" s="1"/>
  <c r="M19" i="24"/>
  <c r="M20" i="24"/>
  <c r="M21" i="24"/>
  <c r="S40" i="24" s="1"/>
  <c r="M22" i="24"/>
  <c r="S42" i="24" s="1"/>
  <c r="M23" i="24"/>
  <c r="S44" i="24" s="1"/>
  <c r="M24" i="24"/>
  <c r="S46" i="24" s="1"/>
  <c r="M25" i="24"/>
  <c r="S48" i="24" s="1"/>
  <c r="M26" i="24"/>
  <c r="S50" i="24" s="1"/>
  <c r="M27" i="24"/>
  <c r="S52" i="24" s="1"/>
  <c r="M28" i="24"/>
  <c r="S54" i="24" s="1"/>
  <c r="M29" i="24"/>
  <c r="S56" i="24" s="1"/>
  <c r="M30" i="24"/>
  <c r="S58" i="24" s="1"/>
  <c r="M31" i="24"/>
  <c r="S60" i="24" s="1"/>
  <c r="M32" i="24"/>
  <c r="S62" i="24" s="1"/>
  <c r="M2" i="24"/>
  <c r="S2" i="24" s="1"/>
  <c r="AI33" i="24" l="1"/>
  <c r="BM7" i="24"/>
  <c r="BM33" i="24"/>
  <c r="BO33" i="24"/>
  <c r="BM45" i="24"/>
  <c r="BO55" i="24"/>
  <c r="BO63" i="24"/>
  <c r="BM19" i="24"/>
  <c r="BM35" i="24"/>
  <c r="BM51" i="24"/>
  <c r="BO23" i="24"/>
  <c r="BM15" i="24"/>
  <c r="BO45" i="24"/>
  <c r="BM5" i="24"/>
  <c r="BM21" i="24"/>
  <c r="BM37" i="24"/>
  <c r="BM53" i="24"/>
  <c r="BO19" i="24"/>
  <c r="BO29" i="24"/>
  <c r="BO51" i="24"/>
  <c r="BM61" i="24"/>
  <c r="BO21" i="24"/>
  <c r="BM31" i="24"/>
  <c r="BO61" i="24"/>
  <c r="BO5" i="24"/>
  <c r="BM13" i="24"/>
  <c r="BO31" i="24"/>
  <c r="BM63" i="24"/>
  <c r="BO7" i="24"/>
  <c r="BO15" i="24"/>
  <c r="BO37" i="24"/>
  <c r="BM47" i="24"/>
  <c r="BM23" i="24"/>
  <c r="BM39" i="24"/>
  <c r="BM17" i="24"/>
  <c r="BO27" i="24"/>
  <c r="BO39" i="24"/>
  <c r="BO47" i="24"/>
  <c r="BM49" i="24"/>
  <c r="BO17" i="24"/>
  <c r="BM29" i="24"/>
  <c r="BO49" i="24"/>
  <c r="BO59" i="24"/>
  <c r="M33" i="24"/>
  <c r="X33" i="24"/>
  <c r="BN64" i="24"/>
  <c r="AU23" i="24"/>
  <c r="BB44" i="24" s="1"/>
  <c r="AU24" i="24"/>
  <c r="BB46" i="24" s="1"/>
  <c r="AU25" i="24"/>
  <c r="BB48" i="24" s="1"/>
  <c r="AU26" i="24"/>
  <c r="BB50" i="24" s="1"/>
  <c r="AU27" i="24"/>
  <c r="BB52" i="24" s="1"/>
  <c r="AU28" i="24"/>
  <c r="BB54" i="24" s="1"/>
  <c r="AU29" i="24"/>
  <c r="BB56" i="24" s="1"/>
  <c r="AU30" i="24"/>
  <c r="BB58" i="24" s="1"/>
  <c r="AU31" i="24"/>
  <c r="BB60" i="24" s="1"/>
  <c r="BB62" i="24"/>
  <c r="AV29" i="25" l="1"/>
  <c r="AR29" i="25"/>
  <c r="AQ29" i="25"/>
  <c r="AO29" i="25"/>
  <c r="AR25" i="25"/>
  <c r="AP25" i="25"/>
  <c r="AP29" i="25"/>
  <c r="AQ25" i="25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2" i="23"/>
  <c r="I62" i="23"/>
  <c r="I60" i="23"/>
  <c r="I58" i="23"/>
  <c r="I56" i="23"/>
  <c r="I54" i="23"/>
  <c r="I52" i="23"/>
  <c r="I50" i="23"/>
  <c r="I48" i="23"/>
  <c r="I46" i="23"/>
  <c r="I44" i="23"/>
  <c r="I42" i="23"/>
  <c r="I40" i="23"/>
  <c r="I38" i="23"/>
  <c r="I36" i="23"/>
  <c r="I34" i="23"/>
  <c r="I32" i="23"/>
  <c r="I30" i="23"/>
  <c r="I28" i="23"/>
  <c r="I26" i="23"/>
  <c r="I24" i="23"/>
  <c r="I22" i="23"/>
  <c r="I20" i="23"/>
  <c r="I18" i="23"/>
  <c r="I16" i="23"/>
  <c r="I14" i="23"/>
  <c r="I12" i="23"/>
  <c r="I10" i="23"/>
  <c r="I8" i="23"/>
  <c r="I6" i="23"/>
  <c r="I4" i="23"/>
  <c r="B33" i="23"/>
  <c r="AU3" i="24" l="1"/>
  <c r="BB4" i="24" s="1"/>
  <c r="AU4" i="24"/>
  <c r="BB6" i="24" s="1"/>
  <c r="AU5" i="24"/>
  <c r="BB8" i="24" s="1"/>
  <c r="AU6" i="24"/>
  <c r="BB10" i="24" s="1"/>
  <c r="AU7" i="24"/>
  <c r="BB12" i="24" s="1"/>
  <c r="AU8" i="24"/>
  <c r="BB14" i="24" s="1"/>
  <c r="AU9" i="24"/>
  <c r="BB16" i="24" s="1"/>
  <c r="AU10" i="24"/>
  <c r="BB18" i="24" s="1"/>
  <c r="AU11" i="24"/>
  <c r="BB20" i="24" s="1"/>
  <c r="AU12" i="24"/>
  <c r="BB22" i="24" s="1"/>
  <c r="AU13" i="24"/>
  <c r="BB24" i="24" s="1"/>
  <c r="AU14" i="24"/>
  <c r="BB26" i="24" s="1"/>
  <c r="AU15" i="24"/>
  <c r="BB28" i="24" s="1"/>
  <c r="AU16" i="24"/>
  <c r="BB30" i="24" s="1"/>
  <c r="AU17" i="24"/>
  <c r="BB32" i="24" s="1"/>
  <c r="AU18" i="24"/>
  <c r="BB34" i="24" s="1"/>
  <c r="AU19" i="24"/>
  <c r="BB36" i="24" s="1"/>
  <c r="AU20" i="24"/>
  <c r="BB38" i="24" s="1"/>
  <c r="AU21" i="24"/>
  <c r="BB40" i="24" s="1"/>
  <c r="AU22" i="24"/>
  <c r="BB42" i="24" s="1"/>
  <c r="F19" i="25"/>
  <c r="F18" i="25"/>
  <c r="F17" i="25"/>
  <c r="F15" i="25"/>
  <c r="F16" i="25"/>
  <c r="F20" i="25"/>
  <c r="F3" i="25"/>
  <c r="AW35" i="22"/>
  <c r="AW3" i="22"/>
  <c r="BC4" i="22" s="1"/>
  <c r="AW4" i="22"/>
  <c r="BC6" i="22" s="1"/>
  <c r="AW5" i="22"/>
  <c r="BC8" i="22" s="1"/>
  <c r="AW6" i="22"/>
  <c r="BC10" i="22" s="1"/>
  <c r="AW7" i="22"/>
  <c r="BC12" i="22" s="1"/>
  <c r="AW8" i="22"/>
  <c r="BC14" i="22" s="1"/>
  <c r="AW9" i="22"/>
  <c r="BC16" i="22" s="1"/>
  <c r="AW10" i="22"/>
  <c r="BC18" i="22" s="1"/>
  <c r="AW11" i="22"/>
  <c r="BC20" i="22" s="1"/>
  <c r="AW12" i="22"/>
  <c r="BC22" i="22" s="1"/>
  <c r="AW13" i="22"/>
  <c r="BC24" i="22" s="1"/>
  <c r="AW14" i="22"/>
  <c r="BC26" i="22" s="1"/>
  <c r="AW16" i="22"/>
  <c r="BC30" i="22" s="1"/>
  <c r="AW17" i="22"/>
  <c r="BC32" i="22" s="1"/>
  <c r="AW19" i="22"/>
  <c r="BC36" i="22" s="1"/>
  <c r="AW21" i="22"/>
  <c r="BC40" i="22" s="1"/>
  <c r="AW22" i="22"/>
  <c r="BC42" i="22" s="1"/>
  <c r="AW23" i="22"/>
  <c r="BC44" i="22" s="1"/>
  <c r="AW24" i="22"/>
  <c r="BC46" i="22" s="1"/>
  <c r="AW25" i="22"/>
  <c r="BC48" i="22" s="1"/>
  <c r="AW26" i="22"/>
  <c r="BC50" i="22" s="1"/>
  <c r="AW27" i="22"/>
  <c r="BC52" i="22" s="1"/>
  <c r="AW28" i="22"/>
  <c r="BC54" i="22" s="1"/>
  <c r="AW29" i="22"/>
  <c r="BC56" i="22" s="1"/>
  <c r="AW30" i="22"/>
  <c r="BC58" i="22" s="1"/>
  <c r="AW31" i="22"/>
  <c r="BC60" i="22" s="1"/>
  <c r="AW32" i="22"/>
  <c r="BC62" i="22" s="1"/>
  <c r="AW2" i="22"/>
  <c r="BC2" i="22" s="1"/>
  <c r="AV3" i="22"/>
  <c r="AV4" i="22"/>
  <c r="AV5" i="22"/>
  <c r="AV6" i="22"/>
  <c r="AV7" i="22"/>
  <c r="AV8" i="22"/>
  <c r="AV9" i="22"/>
  <c r="AV10" i="22"/>
  <c r="AV11" i="22"/>
  <c r="AV12" i="22"/>
  <c r="AV13" i="22"/>
  <c r="AV14" i="22"/>
  <c r="AV15" i="22"/>
  <c r="AV16" i="22"/>
  <c r="AV17" i="22"/>
  <c r="AV18" i="22"/>
  <c r="AV19" i="22"/>
  <c r="AV20" i="22"/>
  <c r="AV21" i="22"/>
  <c r="AV22" i="22"/>
  <c r="AV23" i="22"/>
  <c r="AV24" i="22"/>
  <c r="AV25" i="22"/>
  <c r="AV26" i="22"/>
  <c r="AV27" i="22"/>
  <c r="AV28" i="22"/>
  <c r="AV29" i="22"/>
  <c r="AV30" i="22"/>
  <c r="AV31" i="22"/>
  <c r="AV32" i="22"/>
  <c r="AV2" i="22"/>
  <c r="AU3" i="22"/>
  <c r="AU4" i="22"/>
  <c r="AU5" i="22"/>
  <c r="AU6" i="22"/>
  <c r="AU7" i="22"/>
  <c r="AU8" i="22"/>
  <c r="AU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2" i="22"/>
  <c r="AT3" i="22"/>
  <c r="AT7" i="22"/>
  <c r="AT11" i="22"/>
  <c r="AT15" i="22"/>
  <c r="AT22" i="22"/>
  <c r="AT23" i="22"/>
  <c r="AT24" i="22"/>
  <c r="AT25" i="22"/>
  <c r="AT26" i="22"/>
  <c r="AT27" i="22"/>
  <c r="AT28" i="22"/>
  <c r="AT29" i="22"/>
  <c r="AT30" i="22"/>
  <c r="AT31" i="22"/>
  <c r="AT32" i="22"/>
  <c r="AJ33" i="25"/>
  <c r="AW20" i="22" s="1"/>
  <c r="BC38" i="22" s="1"/>
  <c r="AH33" i="25"/>
  <c r="AW18" i="22" s="1"/>
  <c r="BC34" i="22" s="1"/>
  <c r="AW15" i="22"/>
  <c r="BC28" i="22" s="1"/>
  <c r="M33" i="25"/>
  <c r="M32" i="25"/>
  <c r="F32" i="25"/>
  <c r="M31" i="25"/>
  <c r="F31" i="25"/>
  <c r="M30" i="25"/>
  <c r="F30" i="25"/>
  <c r="AH23" i="22"/>
  <c r="AN44" i="22" s="1"/>
  <c r="AH24" i="22"/>
  <c r="AN46" i="22" s="1"/>
  <c r="AH25" i="22"/>
  <c r="AN48" i="22" s="1"/>
  <c r="AH26" i="22"/>
  <c r="AN50" i="22" s="1"/>
  <c r="AH27" i="22"/>
  <c r="AN52" i="22" s="1"/>
  <c r="AH28" i="22"/>
  <c r="AN54" i="22" s="1"/>
  <c r="AH29" i="22"/>
  <c r="AN56" i="22" s="1"/>
  <c r="AH30" i="22"/>
  <c r="AN58" i="22" s="1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2" i="22"/>
  <c r="AF3" i="22"/>
  <c r="AF4" i="22"/>
  <c r="AF5" i="22"/>
  <c r="AF6" i="22"/>
  <c r="AF7" i="22"/>
  <c r="AF8" i="22"/>
  <c r="AF9" i="22"/>
  <c r="AF10" i="22"/>
  <c r="AF11" i="22"/>
  <c r="AF12" i="22"/>
  <c r="AF13" i="22"/>
  <c r="AF14" i="22"/>
  <c r="AF15" i="22"/>
  <c r="AF16" i="22"/>
  <c r="AF17" i="22"/>
  <c r="AF18" i="22"/>
  <c r="AF19" i="22"/>
  <c r="AF20" i="22"/>
  <c r="AF21" i="22"/>
  <c r="AF22" i="22"/>
  <c r="AF23" i="22"/>
  <c r="AF24" i="22"/>
  <c r="AF25" i="22"/>
  <c r="AF26" i="22"/>
  <c r="AF27" i="22"/>
  <c r="AF28" i="22"/>
  <c r="AF29" i="22"/>
  <c r="AF30" i="22"/>
  <c r="AF31" i="22"/>
  <c r="AF32" i="22"/>
  <c r="AF2" i="22"/>
  <c r="AE3" i="22"/>
  <c r="AE7" i="22"/>
  <c r="AE11" i="22"/>
  <c r="AE15" i="22"/>
  <c r="AE19" i="22"/>
  <c r="AE23" i="22"/>
  <c r="AE24" i="22"/>
  <c r="AE25" i="22"/>
  <c r="AE26" i="22"/>
  <c r="AE27" i="22"/>
  <c r="AE28" i="22"/>
  <c r="AE29" i="22"/>
  <c r="AE30" i="22"/>
  <c r="AE31" i="22"/>
  <c r="AE32" i="22"/>
  <c r="AI29" i="25"/>
  <c r="AH19" i="22" s="1"/>
  <c r="AL29" i="25"/>
  <c r="AH22" i="22" s="1"/>
  <c r="AK29" i="25"/>
  <c r="AH21" i="22" s="1"/>
  <c r="AJ29" i="25"/>
  <c r="AH20" i="22" s="1"/>
  <c r="AH29" i="25"/>
  <c r="AH18" i="22" s="1"/>
  <c r="AG29" i="25"/>
  <c r="AH17" i="22" s="1"/>
  <c r="AN32" i="22" s="1"/>
  <c r="AF29" i="25"/>
  <c r="AH16" i="22" s="1"/>
  <c r="AE29" i="25"/>
  <c r="AH15" i="22" s="1"/>
  <c r="AD29" i="25"/>
  <c r="AH14" i="22" s="1"/>
  <c r="AC29" i="25"/>
  <c r="AH13" i="22" s="1"/>
  <c r="AN24" i="22" s="1"/>
  <c r="AB29" i="25"/>
  <c r="AH12" i="22" s="1"/>
  <c r="AA29" i="25"/>
  <c r="AH11" i="22" s="1"/>
  <c r="Z29" i="25"/>
  <c r="AH10" i="22" s="1"/>
  <c r="Y29" i="25"/>
  <c r="AH9" i="22" s="1"/>
  <c r="AN16" i="22" s="1"/>
  <c r="AH8" i="22"/>
  <c r="W29" i="25"/>
  <c r="AH7" i="22" s="1"/>
  <c r="V29" i="25"/>
  <c r="AH6" i="22" s="1"/>
  <c r="U29" i="25"/>
  <c r="AH5" i="22" s="1"/>
  <c r="T29" i="25"/>
  <c r="AH4" i="22" s="1"/>
  <c r="S29" i="25"/>
  <c r="AH3" i="22" s="1"/>
  <c r="R29" i="25"/>
  <c r="AH31" i="22" s="1"/>
  <c r="AN60" i="22" s="1"/>
  <c r="M29" i="25"/>
  <c r="F29" i="25"/>
  <c r="M28" i="25"/>
  <c r="F28" i="25"/>
  <c r="M27" i="25"/>
  <c r="F27" i="25"/>
  <c r="M26" i="25"/>
  <c r="T23" i="22"/>
  <c r="Z44" i="22" s="1"/>
  <c r="T24" i="22"/>
  <c r="Z46" i="22" s="1"/>
  <c r="T25" i="22"/>
  <c r="Z48" i="22" s="1"/>
  <c r="T26" i="22"/>
  <c r="Z50" i="22" s="1"/>
  <c r="T27" i="22"/>
  <c r="Z52" i="22" s="1"/>
  <c r="T28" i="22"/>
  <c r="Z54" i="22" s="1"/>
  <c r="T29" i="22"/>
  <c r="Z56" i="22" s="1"/>
  <c r="T30" i="22"/>
  <c r="Z58" i="22" s="1"/>
  <c r="S25" i="25"/>
  <c r="T3" i="22" s="1"/>
  <c r="T25" i="25"/>
  <c r="AE4" i="22" s="1"/>
  <c r="U25" i="25"/>
  <c r="AE5" i="22" s="1"/>
  <c r="V25" i="25"/>
  <c r="T6" i="22" s="1"/>
  <c r="W25" i="25"/>
  <c r="T7" i="22" s="1"/>
  <c r="T8" i="22"/>
  <c r="Y25" i="25"/>
  <c r="T9" i="22" s="1"/>
  <c r="Z25" i="25"/>
  <c r="AE10" i="22" s="1"/>
  <c r="AA25" i="25"/>
  <c r="T11" i="22" s="1"/>
  <c r="AB25" i="25"/>
  <c r="AE12" i="22" s="1"/>
  <c r="AC25" i="25"/>
  <c r="T13" i="22" s="1"/>
  <c r="AD25" i="25"/>
  <c r="T14" i="22" s="1"/>
  <c r="AE25" i="25"/>
  <c r="T15" i="22" s="1"/>
  <c r="AF25" i="25"/>
  <c r="T16" i="22" s="1"/>
  <c r="AG25" i="25"/>
  <c r="T17" i="22" s="1"/>
  <c r="AH25" i="25"/>
  <c r="AE18" i="22" s="1"/>
  <c r="AI25" i="25"/>
  <c r="T19" i="22" s="1"/>
  <c r="AJ25" i="25"/>
  <c r="AE20" i="22" s="1"/>
  <c r="AK25" i="25"/>
  <c r="AE21" i="22" s="1"/>
  <c r="AL25" i="25"/>
  <c r="T22" i="22" s="1"/>
  <c r="R25" i="25"/>
  <c r="T31" i="22" s="1"/>
  <c r="Z60" i="22" s="1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2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2" i="22"/>
  <c r="Q16" i="22"/>
  <c r="Q17" i="22"/>
  <c r="Q18" i="22"/>
  <c r="Q19" i="22"/>
  <c r="Q20" i="22"/>
  <c r="Q23" i="22"/>
  <c r="Q24" i="22"/>
  <c r="Q25" i="22"/>
  <c r="Q26" i="22"/>
  <c r="Q27" i="22"/>
  <c r="Q28" i="22"/>
  <c r="Q29" i="22"/>
  <c r="Q30" i="22"/>
  <c r="Q31" i="22"/>
  <c r="Q32" i="22"/>
  <c r="Q2" i="22"/>
  <c r="Y50" i="22" l="1"/>
  <c r="Y34" i="22"/>
  <c r="Y18" i="22"/>
  <c r="Y54" i="22"/>
  <c r="Y38" i="22"/>
  <c r="Y22" i="22"/>
  <c r="AM50" i="22"/>
  <c r="AM34" i="22"/>
  <c r="AM18" i="22"/>
  <c r="BB2" i="22"/>
  <c r="BB48" i="22"/>
  <c r="BB32" i="22"/>
  <c r="BB16" i="22"/>
  <c r="Y52" i="22"/>
  <c r="Y20" i="22"/>
  <c r="Y58" i="22"/>
  <c r="Y42" i="22"/>
  <c r="Y26" i="22"/>
  <c r="Y10" i="22"/>
  <c r="AM54" i="22"/>
  <c r="AM38" i="22"/>
  <c r="AM22" i="22"/>
  <c r="AM6" i="22"/>
  <c r="BB52" i="22"/>
  <c r="BB36" i="22"/>
  <c r="BB20" i="22"/>
  <c r="BB4" i="22"/>
  <c r="Y56" i="22"/>
  <c r="Y40" i="22"/>
  <c r="Y24" i="22"/>
  <c r="AM52" i="22"/>
  <c r="AM36" i="22"/>
  <c r="AM20" i="22"/>
  <c r="AM4" i="22"/>
  <c r="BB50" i="22"/>
  <c r="BB34" i="22"/>
  <c r="BB18" i="22"/>
  <c r="AM2" i="22"/>
  <c r="AM48" i="22"/>
  <c r="AM32" i="22"/>
  <c r="AM16" i="22"/>
  <c r="BB62" i="22"/>
  <c r="BB46" i="22"/>
  <c r="BB30" i="22"/>
  <c r="BB14" i="22"/>
  <c r="AM62" i="22"/>
  <c r="AM46" i="22"/>
  <c r="AM30" i="22"/>
  <c r="AM14" i="22"/>
  <c r="BB60" i="22"/>
  <c r="BB44" i="22"/>
  <c r="BB28" i="22"/>
  <c r="BB12" i="22"/>
  <c r="Y32" i="22"/>
  <c r="Y16" i="22"/>
  <c r="AM60" i="22"/>
  <c r="AM44" i="22"/>
  <c r="AM28" i="22"/>
  <c r="AM12" i="22"/>
  <c r="BB58" i="22"/>
  <c r="BB42" i="22"/>
  <c r="BB26" i="22"/>
  <c r="BB10" i="22"/>
  <c r="Y62" i="22"/>
  <c r="Y30" i="22"/>
  <c r="Y14" i="22"/>
  <c r="AM58" i="22"/>
  <c r="AM42" i="22"/>
  <c r="AM26" i="22"/>
  <c r="AM10" i="22"/>
  <c r="BB56" i="22"/>
  <c r="BB40" i="22"/>
  <c r="BB24" i="22"/>
  <c r="BB8" i="22"/>
  <c r="Y60" i="22"/>
  <c r="Y44" i="22"/>
  <c r="Y28" i="22"/>
  <c r="Y12" i="22"/>
  <c r="AM56" i="22"/>
  <c r="AM40" i="22"/>
  <c r="AM24" i="22"/>
  <c r="AM8" i="22"/>
  <c r="BB54" i="22"/>
  <c r="BB38" i="22"/>
  <c r="BB22" i="22"/>
  <c r="BB6" i="22"/>
  <c r="Y8" i="22"/>
  <c r="BD41" i="22"/>
  <c r="BA23" i="24"/>
  <c r="BA29" i="24"/>
  <c r="BD63" i="22"/>
  <c r="Y36" i="22"/>
  <c r="Y4" i="22"/>
  <c r="Y2" i="22"/>
  <c r="Y48" i="22"/>
  <c r="Y46" i="22"/>
  <c r="Y6" i="22"/>
  <c r="T2" i="22"/>
  <c r="AW25" i="25"/>
  <c r="AH2" i="22"/>
  <c r="AN2" i="22" s="1"/>
  <c r="AW29" i="25"/>
  <c r="AU33" i="24"/>
  <c r="BC3" i="24"/>
  <c r="AE14" i="22"/>
  <c r="AT14" i="22"/>
  <c r="AE13" i="22"/>
  <c r="AT21" i="22"/>
  <c r="AT13" i="22"/>
  <c r="AT5" i="22"/>
  <c r="AE22" i="22"/>
  <c r="AE6" i="22"/>
  <c r="AT6" i="22"/>
  <c r="AT20" i="22"/>
  <c r="AT12" i="22"/>
  <c r="AT4" i="22"/>
  <c r="AT19" i="22"/>
  <c r="AT18" i="22"/>
  <c r="AE2" i="22"/>
  <c r="AE17" i="22"/>
  <c r="AE9" i="22"/>
  <c r="AT2" i="22"/>
  <c r="AT17" i="22"/>
  <c r="AT9" i="22"/>
  <c r="AT10" i="22"/>
  <c r="AE16" i="22"/>
  <c r="AE8" i="22"/>
  <c r="AT16" i="22"/>
  <c r="AT8" i="22"/>
  <c r="AH32" i="22"/>
  <c r="AN62" i="22" s="1"/>
  <c r="T32" i="22"/>
  <c r="Z62" i="22" s="1"/>
  <c r="BA57" i="24"/>
  <c r="BA7" i="24"/>
  <c r="BA31" i="24"/>
  <c r="BA41" i="24"/>
  <c r="BA45" i="24"/>
  <c r="BA55" i="24"/>
  <c r="BA35" i="24"/>
  <c r="BC15" i="24"/>
  <c r="BC29" i="24"/>
  <c r="BC13" i="24"/>
  <c r="BC27" i="24"/>
  <c r="BC11" i="24"/>
  <c r="BC25" i="24"/>
  <c r="BC39" i="24"/>
  <c r="BC7" i="24"/>
  <c r="BA21" i="24"/>
  <c r="BA3" i="24"/>
  <c r="BA5" i="24"/>
  <c r="BA43" i="24"/>
  <c r="BA15" i="24"/>
  <c r="BC41" i="24"/>
  <c r="BA27" i="24"/>
  <c r="BA25" i="24"/>
  <c r="BC23" i="24"/>
  <c r="BA9" i="24"/>
  <c r="BA49" i="24"/>
  <c r="BA37" i="24"/>
  <c r="BC37" i="24"/>
  <c r="BC31" i="24"/>
  <c r="BA11" i="24"/>
  <c r="BA51" i="24"/>
  <c r="BA47" i="24"/>
  <c r="BC35" i="24"/>
  <c r="BC19" i="24"/>
  <c r="BC33" i="24"/>
  <c r="BA13" i="24"/>
  <c r="BA33" i="24"/>
  <c r="BA53" i="24"/>
  <c r="BC17" i="24"/>
  <c r="BA17" i="24"/>
  <c r="BA61" i="24"/>
  <c r="BA19" i="24"/>
  <c r="BA39" i="24"/>
  <c r="BA59" i="24"/>
  <c r="BA63" i="24"/>
  <c r="BC43" i="24"/>
  <c r="BC51" i="24"/>
  <c r="BC63" i="24"/>
  <c r="BC53" i="24"/>
  <c r="BC55" i="24"/>
  <c r="BC45" i="24"/>
  <c r="BC57" i="24"/>
  <c r="BC47" i="24"/>
  <c r="BC59" i="24"/>
  <c r="BC49" i="24"/>
  <c r="BC61" i="24"/>
  <c r="BD13" i="22"/>
  <c r="BD57" i="22"/>
  <c r="AO49" i="22"/>
  <c r="AO61" i="22"/>
  <c r="AO45" i="22"/>
  <c r="BD21" i="22"/>
  <c r="AO25" i="22"/>
  <c r="AO59" i="22"/>
  <c r="BD25" i="22"/>
  <c r="BD19" i="22"/>
  <c r="AA51" i="22"/>
  <c r="AO57" i="22"/>
  <c r="BD29" i="22"/>
  <c r="BD43" i="22"/>
  <c r="BD55" i="22"/>
  <c r="BD37" i="22"/>
  <c r="BD17" i="22"/>
  <c r="AO55" i="22"/>
  <c r="BD35" i="22"/>
  <c r="BD27" i="22"/>
  <c r="BD33" i="22"/>
  <c r="BD15" i="22"/>
  <c r="AO53" i="22"/>
  <c r="BD31" i="22"/>
  <c r="AA61" i="22"/>
  <c r="AA45" i="22"/>
  <c r="AO17" i="22"/>
  <c r="AO33" i="22"/>
  <c r="AO51" i="22"/>
  <c r="BD5" i="22"/>
  <c r="BD3" i="22"/>
  <c r="BD49" i="22"/>
  <c r="AA53" i="22"/>
  <c r="BD53" i="22"/>
  <c r="AA59" i="22"/>
  <c r="BD59" i="22"/>
  <c r="BD47" i="22"/>
  <c r="BD9" i="22"/>
  <c r="AA47" i="22"/>
  <c r="BD39" i="22"/>
  <c r="BD51" i="22"/>
  <c r="AA57" i="22"/>
  <c r="AO47" i="22"/>
  <c r="BD11" i="22"/>
  <c r="BD61" i="22"/>
  <c r="BD45" i="22"/>
  <c r="BD23" i="22"/>
  <c r="BD7" i="22"/>
  <c r="BC9" i="24"/>
  <c r="AN38" i="22"/>
  <c r="AN6" i="22"/>
  <c r="AN8" i="22"/>
  <c r="AN22" i="22"/>
  <c r="AW33" i="22"/>
  <c r="AN42" i="22"/>
  <c r="AN26" i="22"/>
  <c r="AN10" i="22"/>
  <c r="AN40" i="22"/>
  <c r="AN34" i="22"/>
  <c r="AN18" i="22"/>
  <c r="T5" i="22"/>
  <c r="AN20" i="22"/>
  <c r="T21" i="22"/>
  <c r="T18" i="22"/>
  <c r="AN36" i="22"/>
  <c r="AN4" i="22"/>
  <c r="T10" i="22"/>
  <c r="AN12" i="22"/>
  <c r="AN28" i="22"/>
  <c r="T20" i="22"/>
  <c r="T12" i="22"/>
  <c r="T4" i="22"/>
  <c r="AN14" i="22"/>
  <c r="AN30" i="22"/>
  <c r="AA49" i="22"/>
  <c r="AA55" i="22"/>
  <c r="BB63" i="22" l="1"/>
  <c r="BB41" i="22"/>
  <c r="AA63" i="22"/>
  <c r="AO63" i="22"/>
  <c r="AE33" i="22"/>
  <c r="AT33" i="22"/>
  <c r="Y29" i="22"/>
  <c r="BB64" i="24"/>
  <c r="BC21" i="24"/>
  <c r="BC5" i="24"/>
  <c r="AM63" i="22"/>
  <c r="AM55" i="22"/>
  <c r="AM11" i="22"/>
  <c r="AM59" i="22"/>
  <c r="AM19" i="22"/>
  <c r="AM51" i="22"/>
  <c r="AM5" i="22"/>
  <c r="Y5" i="22"/>
  <c r="Y3" i="22"/>
  <c r="AM17" i="22"/>
  <c r="BB51" i="22"/>
  <c r="AM3" i="22"/>
  <c r="BB9" i="22"/>
  <c r="Y17" i="22"/>
  <c r="BB55" i="22"/>
  <c r="Y59" i="22"/>
  <c r="AM13" i="22"/>
  <c r="AM33" i="22"/>
  <c r="AO3" i="22"/>
  <c r="AM43" i="22"/>
  <c r="BB3" i="22"/>
  <c r="BB45" i="22"/>
  <c r="AO9" i="22"/>
  <c r="AM41" i="22"/>
  <c r="AO31" i="22"/>
  <c r="AM37" i="22"/>
  <c r="BB25" i="22"/>
  <c r="AM29" i="22"/>
  <c r="AM15" i="22"/>
  <c r="BB19" i="22"/>
  <c r="BB61" i="22"/>
  <c r="BB33" i="22"/>
  <c r="BB57" i="22"/>
  <c r="AM39" i="22"/>
  <c r="AO27" i="22"/>
  <c r="BB39" i="22"/>
  <c r="AM23" i="22"/>
  <c r="AO15" i="22"/>
  <c r="BB29" i="22"/>
  <c r="AM47" i="22"/>
  <c r="AM61" i="22"/>
  <c r="AM25" i="22"/>
  <c r="AO5" i="22"/>
  <c r="AM31" i="22"/>
  <c r="AO19" i="22"/>
  <c r="BB11" i="22"/>
  <c r="AO23" i="22"/>
  <c r="BB49" i="22"/>
  <c r="BB5" i="22"/>
  <c r="Y51" i="22"/>
  <c r="AM57" i="22"/>
  <c r="AM21" i="22"/>
  <c r="AO37" i="22"/>
  <c r="AO21" i="22"/>
  <c r="AO35" i="22"/>
  <c r="BB35" i="22"/>
  <c r="BB27" i="22"/>
  <c r="BB15" i="22"/>
  <c r="BB21" i="22"/>
  <c r="AO43" i="22"/>
  <c r="AM49" i="22"/>
  <c r="AO29" i="22"/>
  <c r="AM7" i="22"/>
  <c r="AO41" i="22"/>
  <c r="BB43" i="22"/>
  <c r="BB31" i="22"/>
  <c r="AO7" i="22"/>
  <c r="BB17" i="22"/>
  <c r="BB37" i="22"/>
  <c r="BB7" i="22"/>
  <c r="BB13" i="22"/>
  <c r="Y39" i="22"/>
  <c r="AM35" i="22"/>
  <c r="AM53" i="22"/>
  <c r="AM45" i="22"/>
  <c r="AM9" i="22"/>
  <c r="AO13" i="22"/>
  <c r="AM27" i="22"/>
  <c r="AO11" i="22"/>
  <c r="Y7" i="22"/>
  <c r="BB59" i="22"/>
  <c r="BB47" i="22"/>
  <c r="AO39" i="22"/>
  <c r="BB53" i="22"/>
  <c r="BB23" i="22"/>
  <c r="Y33" i="22"/>
  <c r="AH33" i="22"/>
  <c r="Y55" i="22"/>
  <c r="Y35" i="22"/>
  <c r="Y43" i="22"/>
  <c r="Y11" i="22"/>
  <c r="Y63" i="22"/>
  <c r="Y23" i="22"/>
  <c r="Y19" i="22"/>
  <c r="Y13" i="22"/>
  <c r="Y25" i="22"/>
  <c r="Y9" i="22"/>
  <c r="Y47" i="22"/>
  <c r="Y21" i="22"/>
  <c r="Y31" i="22"/>
  <c r="Y15" i="22"/>
  <c r="Y57" i="22"/>
  <c r="Y53" i="22"/>
  <c r="Y27" i="22"/>
  <c r="Y61" i="22"/>
  <c r="Y37" i="22"/>
  <c r="Y45" i="22"/>
  <c r="Y41" i="22"/>
  <c r="Y49" i="22"/>
  <c r="D2" i="22" l="1"/>
  <c r="E23" i="22"/>
  <c r="K44" i="22" s="1"/>
  <c r="E24" i="22"/>
  <c r="K46" i="22" s="1"/>
  <c r="E25" i="22"/>
  <c r="K48" i="22" s="1"/>
  <c r="E26" i="22"/>
  <c r="K50" i="22" s="1"/>
  <c r="E27" i="22"/>
  <c r="K52" i="22" s="1"/>
  <c r="E28" i="22"/>
  <c r="K54" i="22" s="1"/>
  <c r="E29" i="22"/>
  <c r="K56" i="22" s="1"/>
  <c r="E30" i="22"/>
  <c r="K58" i="22" s="1"/>
  <c r="E31" i="22"/>
  <c r="K60" i="22" s="1"/>
  <c r="S21" i="25"/>
  <c r="BS5" i="22" s="1"/>
  <c r="T21" i="25"/>
  <c r="Q5" i="22"/>
  <c r="V21" i="25"/>
  <c r="BR10" i="22" s="1"/>
  <c r="BS11" i="22" s="1"/>
  <c r="W21" i="25"/>
  <c r="BR12" i="22" s="1"/>
  <c r="BS13" i="22" s="1"/>
  <c r="Y21" i="25"/>
  <c r="BR16" i="22" s="1"/>
  <c r="BS17" i="22" s="1"/>
  <c r="Z21" i="25"/>
  <c r="BR18" i="22" s="1"/>
  <c r="BS19" i="22" s="1"/>
  <c r="AA21" i="25"/>
  <c r="BR20" i="22" s="1"/>
  <c r="BS21" i="22" s="1"/>
  <c r="AB21" i="25"/>
  <c r="BR22" i="22" s="1"/>
  <c r="BS23" i="22" s="1"/>
  <c r="Q13" i="22"/>
  <c r="AD21" i="25"/>
  <c r="BR26" i="22" s="1"/>
  <c r="BS27" i="22" s="1"/>
  <c r="AE21" i="25"/>
  <c r="BR28" i="22" s="1"/>
  <c r="BS29" i="22" s="1"/>
  <c r="E16" i="22"/>
  <c r="K30" i="22" s="1"/>
  <c r="E17" i="22"/>
  <c r="K32" i="22" s="1"/>
  <c r="E18" i="22"/>
  <c r="K34" i="22" s="1"/>
  <c r="E19" i="22"/>
  <c r="K36" i="22" s="1"/>
  <c r="E20" i="22"/>
  <c r="K38" i="22" s="1"/>
  <c r="AK21" i="25"/>
  <c r="AL21" i="25"/>
  <c r="BR42" i="22" s="1"/>
  <c r="BS43" i="22" s="1"/>
  <c r="E2" i="22"/>
  <c r="K2" i="22" s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2" i="22"/>
  <c r="B3" i="26"/>
  <c r="K4" i="26" s="1"/>
  <c r="B4" i="26"/>
  <c r="K6" i="26" s="1"/>
  <c r="B5" i="26"/>
  <c r="K8" i="26" s="1"/>
  <c r="B6" i="26"/>
  <c r="K10" i="26" s="1"/>
  <c r="B7" i="26"/>
  <c r="K12" i="26" s="1"/>
  <c r="B8" i="26"/>
  <c r="K14" i="26" s="1"/>
  <c r="B9" i="26"/>
  <c r="K16" i="26" s="1"/>
  <c r="B10" i="26"/>
  <c r="K18" i="26" s="1"/>
  <c r="B11" i="26"/>
  <c r="K20" i="26" s="1"/>
  <c r="B12" i="26"/>
  <c r="K22" i="26" s="1"/>
  <c r="B13" i="26"/>
  <c r="K24" i="26" s="1"/>
  <c r="B14" i="26"/>
  <c r="K26" i="26" s="1"/>
  <c r="B15" i="26"/>
  <c r="K28" i="26" s="1"/>
  <c r="B16" i="26"/>
  <c r="K30" i="26" s="1"/>
  <c r="B17" i="26"/>
  <c r="K32" i="26" s="1"/>
  <c r="B18" i="26"/>
  <c r="K34" i="26" s="1"/>
  <c r="B19" i="26"/>
  <c r="K36" i="26" s="1"/>
  <c r="B20" i="26"/>
  <c r="K38" i="26" s="1"/>
  <c r="B21" i="26"/>
  <c r="K40" i="26" s="1"/>
  <c r="B22" i="26"/>
  <c r="K42" i="26" s="1"/>
  <c r="B23" i="26"/>
  <c r="K44" i="26" s="1"/>
  <c r="B24" i="26"/>
  <c r="K46" i="26" s="1"/>
  <c r="B25" i="26"/>
  <c r="K48" i="26" s="1"/>
  <c r="B26" i="26"/>
  <c r="K50" i="26" s="1"/>
  <c r="B27" i="26"/>
  <c r="K52" i="26" s="1"/>
  <c r="B28" i="26"/>
  <c r="K54" i="26" s="1"/>
  <c r="B29" i="26"/>
  <c r="K56" i="26" s="1"/>
  <c r="B30" i="26"/>
  <c r="K58" i="26" s="1"/>
  <c r="B31" i="26"/>
  <c r="K60" i="26" s="1"/>
  <c r="B32" i="26"/>
  <c r="K62" i="26" s="1"/>
  <c r="K2" i="26"/>
  <c r="D32" i="26"/>
  <c r="C32" i="26"/>
  <c r="D31" i="26"/>
  <c r="C31" i="26"/>
  <c r="D30" i="26"/>
  <c r="C30" i="26"/>
  <c r="D29" i="26"/>
  <c r="C29" i="26"/>
  <c r="D28" i="26"/>
  <c r="C28" i="26"/>
  <c r="D27" i="26"/>
  <c r="C27" i="26"/>
  <c r="D26" i="26"/>
  <c r="C26" i="26"/>
  <c r="D25" i="26"/>
  <c r="C25" i="26"/>
  <c r="D24" i="26"/>
  <c r="C24" i="26"/>
  <c r="D23" i="26"/>
  <c r="C23" i="26"/>
  <c r="D22" i="26"/>
  <c r="C22" i="26"/>
  <c r="D21" i="26"/>
  <c r="C21" i="26"/>
  <c r="D20" i="26"/>
  <c r="C20" i="26"/>
  <c r="D19" i="26"/>
  <c r="C19" i="26"/>
  <c r="D18" i="26"/>
  <c r="C18" i="26"/>
  <c r="D17" i="26"/>
  <c r="C17" i="26"/>
  <c r="D16" i="26"/>
  <c r="C16" i="26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J2" i="26" l="1"/>
  <c r="J26" i="26"/>
  <c r="J8" i="26"/>
  <c r="J16" i="26"/>
  <c r="J24" i="26"/>
  <c r="J32" i="26"/>
  <c r="J40" i="26"/>
  <c r="J48" i="26"/>
  <c r="J56" i="26"/>
  <c r="J42" i="26"/>
  <c r="J18" i="26"/>
  <c r="J10" i="26"/>
  <c r="J50" i="26"/>
  <c r="J34" i="26"/>
  <c r="J58" i="26"/>
  <c r="J4" i="26"/>
  <c r="J12" i="26"/>
  <c r="J20" i="26"/>
  <c r="J28" i="26"/>
  <c r="J36" i="26"/>
  <c r="J44" i="26"/>
  <c r="J52" i="26"/>
  <c r="J60" i="26"/>
  <c r="Q21" i="22"/>
  <c r="BR40" i="22"/>
  <c r="BS41" i="22" s="1"/>
  <c r="Q4" i="22"/>
  <c r="BR6" i="22"/>
  <c r="BS7" i="22" s="1"/>
  <c r="J6" i="26"/>
  <c r="J14" i="26"/>
  <c r="J22" i="26"/>
  <c r="J30" i="26"/>
  <c r="J38" i="26"/>
  <c r="J46" i="26"/>
  <c r="J54" i="26"/>
  <c r="J62" i="26"/>
  <c r="J54" i="22"/>
  <c r="J38" i="22"/>
  <c r="J22" i="22"/>
  <c r="J6" i="22"/>
  <c r="J52" i="22"/>
  <c r="J36" i="22"/>
  <c r="J20" i="22"/>
  <c r="J4" i="22"/>
  <c r="J50" i="22"/>
  <c r="J34" i="22"/>
  <c r="J18" i="22"/>
  <c r="J48" i="22"/>
  <c r="J32" i="22"/>
  <c r="J16" i="22"/>
  <c r="J62" i="22"/>
  <c r="J46" i="22"/>
  <c r="J30" i="22"/>
  <c r="J14" i="22"/>
  <c r="J60" i="22"/>
  <c r="J44" i="22"/>
  <c r="J28" i="22"/>
  <c r="J12" i="22"/>
  <c r="J58" i="22"/>
  <c r="J42" i="22"/>
  <c r="J26" i="22"/>
  <c r="J10" i="22"/>
  <c r="J56" i="22"/>
  <c r="J40" i="22"/>
  <c r="J24" i="22"/>
  <c r="J8" i="22"/>
  <c r="J2" i="22"/>
  <c r="AW21" i="25"/>
  <c r="L63" i="26"/>
  <c r="L61" i="26"/>
  <c r="E15" i="22"/>
  <c r="K28" i="22" s="1"/>
  <c r="Q15" i="22"/>
  <c r="E22" i="22"/>
  <c r="K42" i="22" s="1"/>
  <c r="Q22" i="22"/>
  <c r="E14" i="22"/>
  <c r="K26" i="22" s="1"/>
  <c r="Q14" i="22"/>
  <c r="E6" i="22"/>
  <c r="K10" i="22" s="1"/>
  <c r="Q6" i="22"/>
  <c r="E7" i="22"/>
  <c r="K12" i="22" s="1"/>
  <c r="Q7" i="22"/>
  <c r="E8" i="22"/>
  <c r="K14" i="22" s="1"/>
  <c r="Q8" i="22"/>
  <c r="E12" i="22"/>
  <c r="K22" i="22" s="1"/>
  <c r="Q12" i="22"/>
  <c r="E11" i="22"/>
  <c r="K20" i="22" s="1"/>
  <c r="Q11" i="22"/>
  <c r="E3" i="22"/>
  <c r="K4" i="22" s="1"/>
  <c r="Q3" i="22"/>
  <c r="E10" i="22"/>
  <c r="K18" i="22" s="1"/>
  <c r="Q10" i="22"/>
  <c r="E9" i="22"/>
  <c r="K16" i="22" s="1"/>
  <c r="Q9" i="22"/>
  <c r="E32" i="22"/>
  <c r="K62" i="22" s="1"/>
  <c r="L47" i="26"/>
  <c r="L21" i="26"/>
  <c r="L9" i="26"/>
  <c r="Z40" i="22"/>
  <c r="Z24" i="22"/>
  <c r="Z8" i="22"/>
  <c r="L23" i="26"/>
  <c r="L29" i="26"/>
  <c r="L57" i="26"/>
  <c r="L45" i="26"/>
  <c r="L53" i="26"/>
  <c r="L37" i="26"/>
  <c r="Z38" i="22"/>
  <c r="Z22" i="22"/>
  <c r="Z6" i="22"/>
  <c r="L5" i="26"/>
  <c r="L31" i="26"/>
  <c r="L51" i="26"/>
  <c r="L35" i="26"/>
  <c r="L19" i="26"/>
  <c r="Z36" i="22"/>
  <c r="Z20" i="22"/>
  <c r="Z4" i="22"/>
  <c r="E4" i="22"/>
  <c r="K6" i="22" s="1"/>
  <c r="L15" i="26"/>
  <c r="L49" i="26"/>
  <c r="L33" i="26"/>
  <c r="L17" i="26"/>
  <c r="Z34" i="22"/>
  <c r="Z18" i="22"/>
  <c r="L25" i="26"/>
  <c r="L39" i="26"/>
  <c r="L59" i="26"/>
  <c r="Z32" i="22"/>
  <c r="Z16" i="22"/>
  <c r="L7" i="26"/>
  <c r="L13" i="26"/>
  <c r="Z30" i="22"/>
  <c r="Z14" i="22"/>
  <c r="L55" i="26"/>
  <c r="L43" i="26"/>
  <c r="L27" i="26"/>
  <c r="L11" i="26"/>
  <c r="Z28" i="22"/>
  <c r="Z12" i="22"/>
  <c r="L41" i="26"/>
  <c r="L3" i="26"/>
  <c r="Z42" i="22"/>
  <c r="Z26" i="22"/>
  <c r="Z10" i="22"/>
  <c r="E21" i="22"/>
  <c r="K40" i="22" s="1"/>
  <c r="E13" i="22"/>
  <c r="K24" i="22" s="1"/>
  <c r="E5" i="22"/>
  <c r="K8" i="22" s="1"/>
  <c r="L39" i="22"/>
  <c r="L55" i="22"/>
  <c r="L49" i="22"/>
  <c r="L33" i="22"/>
  <c r="L57" i="22"/>
  <c r="L47" i="22"/>
  <c r="L31" i="22"/>
  <c r="L61" i="22"/>
  <c r="L45" i="22"/>
  <c r="L51" i="22"/>
  <c r="L35" i="22"/>
  <c r="L59" i="22"/>
  <c r="L37" i="22"/>
  <c r="L53" i="22"/>
  <c r="L3" i="22"/>
  <c r="B33" i="22"/>
  <c r="B33" i="26"/>
  <c r="L5" i="22" l="1"/>
  <c r="L13" i="22"/>
  <c r="L29" i="22"/>
  <c r="J27" i="26"/>
  <c r="L11" i="22"/>
  <c r="J57" i="26"/>
  <c r="J49" i="26"/>
  <c r="J23" i="26"/>
  <c r="J41" i="26"/>
  <c r="J15" i="26"/>
  <c r="J13" i="26"/>
  <c r="J25" i="26"/>
  <c r="J33" i="26"/>
  <c r="J7" i="26"/>
  <c r="J5" i="26"/>
  <c r="L21" i="22"/>
  <c r="J17" i="26"/>
  <c r="J11" i="26"/>
  <c r="J35" i="26"/>
  <c r="J19" i="26"/>
  <c r="J63" i="26"/>
  <c r="J61" i="26"/>
  <c r="J9" i="26"/>
  <c r="J31" i="26"/>
  <c r="J29" i="26"/>
  <c r="J55" i="26"/>
  <c r="J53" i="26"/>
  <c r="L17" i="22"/>
  <c r="L23" i="22"/>
  <c r="L27" i="22"/>
  <c r="J59" i="26"/>
  <c r="J21" i="26"/>
  <c r="J47" i="26"/>
  <c r="J45" i="26"/>
  <c r="J51" i="26"/>
  <c r="L63" i="22"/>
  <c r="J39" i="26"/>
  <c r="J37" i="26"/>
  <c r="L19" i="22"/>
  <c r="L15" i="22"/>
  <c r="L43" i="22"/>
  <c r="J43" i="26"/>
  <c r="Q33" i="22"/>
  <c r="J55" i="22"/>
  <c r="J11" i="22"/>
  <c r="J43" i="22"/>
  <c r="J49" i="22"/>
  <c r="J47" i="22"/>
  <c r="J25" i="22"/>
  <c r="L25" i="22"/>
  <c r="J27" i="22"/>
  <c r="J53" i="22"/>
  <c r="J15" i="22"/>
  <c r="J33" i="22"/>
  <c r="J57" i="22"/>
  <c r="J59" i="22"/>
  <c r="J61" i="22"/>
  <c r="J63" i="22"/>
  <c r="J29" i="22"/>
  <c r="J45" i="22"/>
  <c r="J13" i="22"/>
  <c r="L9" i="22"/>
  <c r="E33" i="22"/>
  <c r="J19" i="22"/>
  <c r="AA33" i="22"/>
  <c r="AA25" i="22"/>
  <c r="AA27" i="22"/>
  <c r="AA37" i="22"/>
  <c r="AA39" i="22"/>
  <c r="AA41" i="22"/>
  <c r="J17" i="22"/>
  <c r="AA43" i="22"/>
  <c r="AA13" i="22"/>
  <c r="AA19" i="22"/>
  <c r="AA15" i="22"/>
  <c r="AA7" i="22"/>
  <c r="AA29" i="22"/>
  <c r="AA35" i="22"/>
  <c r="AA5" i="22"/>
  <c r="AA11" i="22"/>
  <c r="AA31" i="22"/>
  <c r="AA23" i="22"/>
  <c r="L7" i="22"/>
  <c r="AA9" i="22"/>
  <c r="AA21" i="22"/>
  <c r="J7" i="22"/>
  <c r="J23" i="22"/>
  <c r="L41" i="22"/>
  <c r="J31" i="22"/>
  <c r="AA17" i="22"/>
  <c r="J21" i="22"/>
  <c r="J3" i="26"/>
  <c r="Z2" i="22"/>
  <c r="T33" i="22"/>
  <c r="J3" i="22"/>
  <c r="J37" i="22"/>
  <c r="J51" i="22"/>
  <c r="J39" i="22"/>
  <c r="J35" i="22"/>
  <c r="J9" i="22"/>
  <c r="J41" i="22"/>
  <c r="J5" i="22"/>
  <c r="C3" i="21"/>
  <c r="C4" i="21"/>
  <c r="C5" i="21"/>
  <c r="C6" i="21"/>
  <c r="C7" i="21"/>
  <c r="C8" i="21"/>
  <c r="C9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2" i="21"/>
  <c r="C4" i="20"/>
  <c r="C5" i="20"/>
  <c r="C6" i="20"/>
  <c r="C7" i="20"/>
  <c r="C8" i="20"/>
  <c r="C11" i="20"/>
  <c r="C23" i="20"/>
  <c r="C24" i="20"/>
  <c r="C25" i="20"/>
  <c r="C26" i="20"/>
  <c r="C27" i="20"/>
  <c r="C28" i="20"/>
  <c r="C29" i="20"/>
  <c r="C30" i="20"/>
  <c r="C31" i="20"/>
  <c r="C32" i="20"/>
  <c r="B4" i="20"/>
  <c r="J6" i="20" s="1"/>
  <c r="B5" i="20"/>
  <c r="J8" i="20" s="1"/>
  <c r="B6" i="20"/>
  <c r="J10" i="20" s="1"/>
  <c r="B7" i="20"/>
  <c r="J44" i="20"/>
  <c r="BQ63" i="16"/>
  <c r="BQ61" i="16"/>
  <c r="BQ59" i="16"/>
  <c r="BQ57" i="16"/>
  <c r="BQ55" i="16"/>
  <c r="BQ53" i="16"/>
  <c r="BQ51" i="16"/>
  <c r="BQ49" i="16"/>
  <c r="BQ47" i="16"/>
  <c r="BQ45" i="16"/>
  <c r="BQ43" i="16"/>
  <c r="BQ39" i="16"/>
  <c r="BQ37" i="16"/>
  <c r="BQ35" i="16"/>
  <c r="BQ33" i="16"/>
  <c r="BQ31" i="16"/>
  <c r="BQ29" i="16"/>
  <c r="BQ27" i="16"/>
  <c r="BQ25" i="16"/>
  <c r="BQ23" i="16"/>
  <c r="BQ21" i="16"/>
  <c r="BQ19" i="16"/>
  <c r="BQ17" i="16"/>
  <c r="BQ15" i="16"/>
  <c r="BQ13" i="16"/>
  <c r="BQ11" i="16"/>
  <c r="BQ9" i="16"/>
  <c r="BQ7" i="16"/>
  <c r="BQ5" i="16"/>
  <c r="BQ3" i="16"/>
  <c r="BK3" i="16"/>
  <c r="BR4" i="16" s="1"/>
  <c r="BK4" i="16"/>
  <c r="BR6" i="16" s="1"/>
  <c r="BK5" i="16"/>
  <c r="BR8" i="16" s="1"/>
  <c r="BK6" i="16"/>
  <c r="BR10" i="16" s="1"/>
  <c r="BK7" i="16"/>
  <c r="BR12" i="16" s="1"/>
  <c r="BK8" i="16"/>
  <c r="BR14" i="16" s="1"/>
  <c r="BK9" i="16"/>
  <c r="BR16" i="16" s="1"/>
  <c r="BK10" i="16"/>
  <c r="BR18" i="16" s="1"/>
  <c r="BK11" i="16"/>
  <c r="BR20" i="16" s="1"/>
  <c r="BK12" i="16"/>
  <c r="BR22" i="16" s="1"/>
  <c r="BK13" i="16"/>
  <c r="BR24" i="16" s="1"/>
  <c r="BK14" i="16"/>
  <c r="BR26" i="16" s="1"/>
  <c r="BK15" i="16"/>
  <c r="BR28" i="16" s="1"/>
  <c r="BK16" i="16"/>
  <c r="BR30" i="16" s="1"/>
  <c r="BK17" i="16"/>
  <c r="BR32" i="16" s="1"/>
  <c r="BK18" i="16"/>
  <c r="BR34" i="16" s="1"/>
  <c r="BK19" i="16"/>
  <c r="BR36" i="16" s="1"/>
  <c r="BK20" i="16"/>
  <c r="BR38" i="16" s="1"/>
  <c r="BK21" i="16"/>
  <c r="BR40" i="16" s="1"/>
  <c r="BK22" i="16"/>
  <c r="BR42" i="16" s="1"/>
  <c r="BK23" i="16"/>
  <c r="BR44" i="16" s="1"/>
  <c r="BK24" i="16"/>
  <c r="BR46" i="16" s="1"/>
  <c r="BK25" i="16"/>
  <c r="BR48" i="16" s="1"/>
  <c r="BK26" i="16"/>
  <c r="BR50" i="16" s="1"/>
  <c r="BK27" i="16"/>
  <c r="BR52" i="16" s="1"/>
  <c r="BK28" i="16"/>
  <c r="BR54" i="16" s="1"/>
  <c r="BK29" i="16"/>
  <c r="BR56" i="16" s="1"/>
  <c r="BK30" i="16"/>
  <c r="BR58" i="16" s="1"/>
  <c r="BK31" i="16"/>
  <c r="BR60" i="16" s="1"/>
  <c r="BK32" i="16"/>
  <c r="BR62" i="16" s="1"/>
  <c r="BK2" i="16"/>
  <c r="BR2" i="16" s="1"/>
  <c r="BQ41" i="16"/>
  <c r="AX3" i="16"/>
  <c r="AX4" i="16"/>
  <c r="AX5" i="16"/>
  <c r="AX6" i="16"/>
  <c r="AX7" i="16"/>
  <c r="AX8" i="16"/>
  <c r="AX9" i="16"/>
  <c r="AX10" i="16"/>
  <c r="AX11" i="16"/>
  <c r="AX12" i="16"/>
  <c r="AX13" i="16"/>
  <c r="AX14" i="16"/>
  <c r="AX15" i="16"/>
  <c r="AX16" i="16"/>
  <c r="AX17" i="16"/>
  <c r="AX18" i="16"/>
  <c r="AX19" i="16"/>
  <c r="AX20" i="16"/>
  <c r="AX21" i="16"/>
  <c r="AX22" i="16"/>
  <c r="AX23" i="16"/>
  <c r="AX24" i="16"/>
  <c r="AX25" i="16"/>
  <c r="AX26" i="16"/>
  <c r="AX27" i="16"/>
  <c r="AX28" i="16"/>
  <c r="AX29" i="16"/>
  <c r="AX30" i="16"/>
  <c r="AX31" i="16"/>
  <c r="AX32" i="16"/>
  <c r="AX2" i="16"/>
  <c r="AL3" i="16"/>
  <c r="AL4" i="16"/>
  <c r="AL5" i="16"/>
  <c r="AL6" i="16"/>
  <c r="AL7" i="16"/>
  <c r="AL8" i="16"/>
  <c r="AL9" i="16"/>
  <c r="AL10" i="16"/>
  <c r="AL11" i="16"/>
  <c r="AL12" i="16"/>
  <c r="AL13" i="16"/>
  <c r="AL14" i="16"/>
  <c r="AL15" i="16"/>
  <c r="AL16" i="16"/>
  <c r="AL17" i="16"/>
  <c r="AL18" i="16"/>
  <c r="AL19" i="16"/>
  <c r="AL20" i="16"/>
  <c r="AL21" i="16"/>
  <c r="AL22" i="16"/>
  <c r="AL23" i="16"/>
  <c r="AL24" i="16"/>
  <c r="AL25" i="16"/>
  <c r="AL26" i="16"/>
  <c r="AL27" i="16"/>
  <c r="AL28" i="16"/>
  <c r="AL29" i="16"/>
  <c r="AL30" i="16"/>
  <c r="AL31" i="16"/>
  <c r="AL32" i="16"/>
  <c r="AL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P3" i="17"/>
  <c r="V4" i="17" s="1"/>
  <c r="P4" i="17"/>
  <c r="V6" i="17" s="1"/>
  <c r="P5" i="17"/>
  <c r="V8" i="17" s="1"/>
  <c r="P6" i="17"/>
  <c r="V10" i="17" s="1"/>
  <c r="P7" i="17"/>
  <c r="V12" i="17" s="1"/>
  <c r="P8" i="17"/>
  <c r="V14" i="17" s="1"/>
  <c r="P9" i="17"/>
  <c r="V16" i="17" s="1"/>
  <c r="P10" i="17"/>
  <c r="V18" i="17" s="1"/>
  <c r="P11" i="17"/>
  <c r="V20" i="17" s="1"/>
  <c r="P12" i="17"/>
  <c r="V22" i="17" s="1"/>
  <c r="P13" i="17"/>
  <c r="V24" i="17" s="1"/>
  <c r="P14" i="17"/>
  <c r="V26" i="17" s="1"/>
  <c r="P15" i="17"/>
  <c r="V28" i="17" s="1"/>
  <c r="P16" i="17"/>
  <c r="V30" i="17" s="1"/>
  <c r="P17" i="17"/>
  <c r="V32" i="17" s="1"/>
  <c r="P18" i="17"/>
  <c r="V34" i="17" s="1"/>
  <c r="P19" i="17"/>
  <c r="V36" i="17" s="1"/>
  <c r="P20" i="17"/>
  <c r="V38" i="17" s="1"/>
  <c r="P21" i="17"/>
  <c r="V40" i="17" s="1"/>
  <c r="P22" i="17"/>
  <c r="V42" i="17" s="1"/>
  <c r="P23" i="17"/>
  <c r="V44" i="17" s="1"/>
  <c r="P24" i="17"/>
  <c r="V46" i="17" s="1"/>
  <c r="P25" i="17"/>
  <c r="V48" i="17" s="1"/>
  <c r="P26" i="17"/>
  <c r="V50" i="17" s="1"/>
  <c r="P27" i="17"/>
  <c r="V52" i="17" s="1"/>
  <c r="P28" i="17"/>
  <c r="V54" i="17" s="1"/>
  <c r="P29" i="17"/>
  <c r="V56" i="17" s="1"/>
  <c r="P30" i="17"/>
  <c r="V58" i="17" s="1"/>
  <c r="P31" i="17"/>
  <c r="V60" i="17" s="1"/>
  <c r="P32" i="17"/>
  <c r="V62" i="17" s="1"/>
  <c r="P2" i="17"/>
  <c r="V2" i="17" s="1"/>
  <c r="U62" i="17"/>
  <c r="U60" i="17"/>
  <c r="U61" i="17" s="1"/>
  <c r="U58" i="17"/>
  <c r="U56" i="17"/>
  <c r="U54" i="17"/>
  <c r="U52" i="17"/>
  <c r="U50" i="17"/>
  <c r="U48" i="17"/>
  <c r="U46" i="17"/>
  <c r="U44" i="17"/>
  <c r="U45" i="17" s="1"/>
  <c r="U42" i="17"/>
  <c r="U43" i="17" s="1"/>
  <c r="U40" i="17"/>
  <c r="U38" i="17"/>
  <c r="U36" i="17"/>
  <c r="U34" i="17"/>
  <c r="U32" i="17"/>
  <c r="U30" i="17"/>
  <c r="U28" i="17"/>
  <c r="U26" i="17"/>
  <c r="U24" i="17"/>
  <c r="U22" i="17"/>
  <c r="U20" i="17"/>
  <c r="U18" i="17"/>
  <c r="U16" i="17"/>
  <c r="U14" i="17"/>
  <c r="U12" i="17"/>
  <c r="U10" i="17"/>
  <c r="U8" i="17"/>
  <c r="U6" i="17"/>
  <c r="U4" i="17"/>
  <c r="U2" i="17"/>
  <c r="U37" i="17" l="1"/>
  <c r="U7" i="17"/>
  <c r="U23" i="17"/>
  <c r="U39" i="17"/>
  <c r="U55" i="17"/>
  <c r="U25" i="17"/>
  <c r="U11" i="17"/>
  <c r="U27" i="17"/>
  <c r="U59" i="17"/>
  <c r="U9" i="17"/>
  <c r="U29" i="17"/>
  <c r="U21" i="17"/>
  <c r="U15" i="17"/>
  <c r="U31" i="17"/>
  <c r="U47" i="17"/>
  <c r="U63" i="17"/>
  <c r="U53" i="17"/>
  <c r="U57" i="17"/>
  <c r="U13" i="17"/>
  <c r="U17" i="17"/>
  <c r="U33" i="17"/>
  <c r="U49" i="17"/>
  <c r="U5" i="17"/>
  <c r="U41" i="17"/>
  <c r="U19" i="17"/>
  <c r="U35" i="17"/>
  <c r="U51" i="17"/>
  <c r="H33" i="20"/>
  <c r="H49" i="20"/>
  <c r="H35" i="20"/>
  <c r="H51" i="20"/>
  <c r="H23" i="20"/>
  <c r="H37" i="20"/>
  <c r="H53" i="20"/>
  <c r="H39" i="20"/>
  <c r="H55" i="20"/>
  <c r="H25" i="20"/>
  <c r="H41" i="20"/>
  <c r="H57" i="20"/>
  <c r="H27" i="20"/>
  <c r="H43" i="20"/>
  <c r="H59" i="20"/>
  <c r="H29" i="20"/>
  <c r="H45" i="20"/>
  <c r="H61" i="20"/>
  <c r="H31" i="20"/>
  <c r="H47" i="20"/>
  <c r="H63" i="20"/>
  <c r="AA3" i="22"/>
  <c r="BS31" i="16"/>
  <c r="BS13" i="16"/>
  <c r="W43" i="17"/>
  <c r="BS29" i="16"/>
  <c r="W57" i="17"/>
  <c r="W41" i="17"/>
  <c r="W25" i="17"/>
  <c r="W9" i="17"/>
  <c r="BS27" i="16"/>
  <c r="BS11" i="16"/>
  <c r="BS9" i="16"/>
  <c r="BS57" i="16"/>
  <c r="BS41" i="16"/>
  <c r="W59" i="17"/>
  <c r="BS45" i="16"/>
  <c r="W53" i="17"/>
  <c r="W37" i="17"/>
  <c r="W21" i="17"/>
  <c r="W5" i="17"/>
  <c r="BS25" i="16"/>
  <c r="BS55" i="16"/>
  <c r="BS39" i="16"/>
  <c r="BS23" i="16"/>
  <c r="BS7" i="16"/>
  <c r="W27" i="17"/>
  <c r="W51" i="17"/>
  <c r="W35" i="17"/>
  <c r="W19" i="17"/>
  <c r="BS53" i="16"/>
  <c r="BS37" i="16"/>
  <c r="BS21" i="16"/>
  <c r="BS5" i="16"/>
  <c r="BS61" i="16"/>
  <c r="W3" i="17"/>
  <c r="W49" i="17"/>
  <c r="W33" i="17"/>
  <c r="W17" i="17"/>
  <c r="BS43" i="16"/>
  <c r="BS51" i="16"/>
  <c r="BS35" i="16"/>
  <c r="BS19" i="16"/>
  <c r="W11" i="17"/>
  <c r="W31" i="17"/>
  <c r="W15" i="17"/>
  <c r="BS59" i="16"/>
  <c r="BS3" i="16"/>
  <c r="BS49" i="16"/>
  <c r="BS33" i="16"/>
  <c r="BS17" i="16"/>
  <c r="W63" i="17"/>
  <c r="W47" i="17"/>
  <c r="W61" i="17"/>
  <c r="W45" i="17"/>
  <c r="W29" i="17"/>
  <c r="W13" i="17"/>
  <c r="BS63" i="16"/>
  <c r="BS47" i="16"/>
  <c r="BS15" i="16"/>
  <c r="C33" i="20"/>
  <c r="B33" i="20"/>
  <c r="AL33" i="16"/>
  <c r="AX33" i="16"/>
  <c r="W55" i="17"/>
  <c r="W39" i="17"/>
  <c r="W23" i="17"/>
  <c r="W7" i="17"/>
  <c r="U3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2" i="17"/>
  <c r="B2" i="16"/>
  <c r="B33" i="16" s="1"/>
  <c r="Z2" i="16"/>
  <c r="N2" i="16"/>
  <c r="N33" i="16" s="1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5" i="25"/>
  <c r="F25" i="25"/>
  <c r="F23" i="25"/>
  <c r="F22" i="25"/>
  <c r="F21" i="25"/>
  <c r="F14" i="25"/>
  <c r="F13" i="25"/>
  <c r="F12" i="25"/>
  <c r="F11" i="25"/>
  <c r="F10" i="25"/>
  <c r="F9" i="25"/>
  <c r="F8" i="25"/>
  <c r="F7" i="25"/>
  <c r="F6" i="25"/>
  <c r="F5" i="25"/>
  <c r="F4" i="25"/>
  <c r="I2" i="23" l="1"/>
  <c r="AD60" i="24"/>
  <c r="AD58" i="24"/>
  <c r="AD4" i="24"/>
  <c r="J2" i="23" l="1"/>
  <c r="I24" i="17"/>
  <c r="V51" i="20" l="1"/>
  <c r="AT51" i="20"/>
  <c r="BE51" i="20"/>
  <c r="BF51" i="20"/>
  <c r="V48" i="20"/>
  <c r="AT48" i="20"/>
  <c r="BE48" i="20"/>
  <c r="BF48" i="20"/>
  <c r="V45" i="20"/>
  <c r="AT45" i="20"/>
  <c r="BE45" i="20"/>
  <c r="BF45" i="20"/>
  <c r="V42" i="20"/>
  <c r="AT42" i="20"/>
  <c r="BE42" i="20"/>
  <c r="BF42" i="20"/>
  <c r="V36" i="20"/>
  <c r="AT36" i="20"/>
  <c r="BE36" i="20"/>
  <c r="BF36" i="20"/>
  <c r="V30" i="20"/>
  <c r="AT30" i="20"/>
  <c r="BE30" i="20"/>
  <c r="BF30" i="20"/>
  <c r="V24" i="20"/>
  <c r="AT24" i="20"/>
  <c r="BE24" i="20"/>
  <c r="BF24" i="20"/>
  <c r="V18" i="20"/>
  <c r="AT18" i="20"/>
  <c r="BE18" i="20"/>
  <c r="BF18" i="20"/>
  <c r="V12" i="20"/>
  <c r="AT12" i="20"/>
  <c r="BE12" i="20"/>
  <c r="BF12" i="20"/>
  <c r="V6" i="20"/>
  <c r="AT6" i="20"/>
  <c r="BE6" i="20"/>
  <c r="BF6" i="20"/>
  <c r="AD52" i="24"/>
  <c r="AD32" i="24"/>
  <c r="AD30" i="24"/>
  <c r="AD18" i="24"/>
  <c r="AD16" i="24"/>
  <c r="AD10" i="24"/>
  <c r="AD8" i="24"/>
  <c r="J62" i="20" l="1"/>
  <c r="J60" i="20"/>
  <c r="J58" i="20"/>
  <c r="I16" i="16" l="1"/>
  <c r="AS2" i="16"/>
  <c r="AG2" i="16"/>
  <c r="I16" i="17" l="1"/>
  <c r="I12" i="17"/>
  <c r="I10" i="17"/>
  <c r="I8" i="17"/>
  <c r="I6" i="17"/>
  <c r="I4" i="17"/>
  <c r="I2" i="17"/>
  <c r="AP23" i="24"/>
  <c r="AN62" i="24"/>
  <c r="AN60" i="24"/>
  <c r="AN61" i="24" s="1"/>
  <c r="AN58" i="24"/>
  <c r="AN56" i="24"/>
  <c r="AN54" i="24"/>
  <c r="AN52" i="24"/>
  <c r="AN50" i="24"/>
  <c r="AN48" i="24"/>
  <c r="AN46" i="24"/>
  <c r="AN44" i="24"/>
  <c r="AN42" i="24"/>
  <c r="AN40" i="24"/>
  <c r="AN38" i="24"/>
  <c r="AN36" i="24"/>
  <c r="AN34" i="24"/>
  <c r="AN32" i="24"/>
  <c r="AN30" i="24"/>
  <c r="AN28" i="24"/>
  <c r="AN26" i="24"/>
  <c r="AN27" i="24" s="1"/>
  <c r="AN24" i="24"/>
  <c r="AN22" i="24"/>
  <c r="AN20" i="24"/>
  <c r="AN18" i="24"/>
  <c r="AN16" i="24"/>
  <c r="AN14" i="24"/>
  <c r="AN12" i="24"/>
  <c r="AN10" i="24"/>
  <c r="AN8" i="24"/>
  <c r="AN6" i="24"/>
  <c r="AN4" i="24"/>
  <c r="AP63" i="24"/>
  <c r="AO60" i="24"/>
  <c r="AO58" i="24"/>
  <c r="AP57" i="24"/>
  <c r="AO54" i="24"/>
  <c r="AP53" i="24"/>
  <c r="AO50" i="24"/>
  <c r="AO48" i="24"/>
  <c r="AO46" i="24"/>
  <c r="AO44" i="24"/>
  <c r="AO42" i="24"/>
  <c r="AN43" i="24"/>
  <c r="AP41" i="24"/>
  <c r="AN41" i="24"/>
  <c r="AO38" i="24"/>
  <c r="AO36" i="24"/>
  <c r="AP35" i="24"/>
  <c r="AO32" i="24"/>
  <c r="AO30" i="24"/>
  <c r="AO28" i="24"/>
  <c r="AP27" i="24"/>
  <c r="AP25" i="24"/>
  <c r="AP21" i="24"/>
  <c r="AO18" i="24"/>
  <c r="AO16" i="24"/>
  <c r="AO14" i="24"/>
  <c r="AP13" i="24"/>
  <c r="AP11" i="24"/>
  <c r="AP9" i="24"/>
  <c r="AO6" i="24"/>
  <c r="AO4" i="24"/>
  <c r="AP3" i="24"/>
  <c r="AN2" i="24"/>
  <c r="AC62" i="24"/>
  <c r="AC60" i="24"/>
  <c r="AC58" i="24"/>
  <c r="AC56" i="24"/>
  <c r="AC54" i="24"/>
  <c r="AC52" i="24"/>
  <c r="AC50" i="24"/>
  <c r="AC48" i="24"/>
  <c r="AC46" i="24"/>
  <c r="AC44" i="24"/>
  <c r="AC42" i="24"/>
  <c r="AC40" i="24"/>
  <c r="AC38" i="24"/>
  <c r="AC36" i="24"/>
  <c r="AC34" i="24"/>
  <c r="AC32" i="24"/>
  <c r="AC30" i="24"/>
  <c r="AC28" i="24"/>
  <c r="AC26" i="24"/>
  <c r="AC24" i="24"/>
  <c r="AC22" i="24"/>
  <c r="AC20" i="24"/>
  <c r="AC18" i="24"/>
  <c r="AC16" i="24"/>
  <c r="AC14" i="24"/>
  <c r="AC12" i="24"/>
  <c r="AC10" i="24"/>
  <c r="AC8" i="24"/>
  <c r="AC6" i="24"/>
  <c r="AC4" i="24"/>
  <c r="AC2" i="24"/>
  <c r="AD62" i="24"/>
  <c r="AE61" i="24"/>
  <c r="AE59" i="24"/>
  <c r="AE57" i="24"/>
  <c r="AE55" i="24"/>
  <c r="AE53" i="24"/>
  <c r="AD50" i="24"/>
  <c r="AD48" i="24"/>
  <c r="AD46" i="24"/>
  <c r="AD44" i="24"/>
  <c r="AD42" i="24"/>
  <c r="AE41" i="24"/>
  <c r="AE39" i="24"/>
  <c r="AE37" i="24"/>
  <c r="AE35" i="24"/>
  <c r="AE33" i="24"/>
  <c r="AE31" i="24"/>
  <c r="AD28" i="24"/>
  <c r="AE27" i="24"/>
  <c r="AE25" i="24"/>
  <c r="AE23" i="24"/>
  <c r="AE21" i="24"/>
  <c r="AE19" i="24"/>
  <c r="AE17" i="24"/>
  <c r="AE15" i="24"/>
  <c r="AE13" i="24"/>
  <c r="AE11" i="24"/>
  <c r="AE9" i="24"/>
  <c r="AD6" i="24"/>
  <c r="AE5" i="24"/>
  <c r="AC51" i="24" l="1"/>
  <c r="AP19" i="24"/>
  <c r="AP47" i="24"/>
  <c r="AP61" i="24"/>
  <c r="AN47" i="24"/>
  <c r="AC21" i="24"/>
  <c r="AN17" i="24"/>
  <c r="AC23" i="24"/>
  <c r="AN35" i="24"/>
  <c r="AC59" i="24"/>
  <c r="AP55" i="24"/>
  <c r="AN7" i="24"/>
  <c r="AN23" i="24"/>
  <c r="AN39" i="24"/>
  <c r="AN55" i="24"/>
  <c r="AC35" i="24"/>
  <c r="AE51" i="24"/>
  <c r="AC37" i="24"/>
  <c r="AP5" i="24"/>
  <c r="AO64" i="24"/>
  <c r="AP37" i="24"/>
  <c r="AN63" i="24"/>
  <c r="AN49" i="24"/>
  <c r="AC39" i="24"/>
  <c r="AN19" i="24"/>
  <c r="AC9" i="24"/>
  <c r="AC41" i="24"/>
  <c r="AN5" i="24"/>
  <c r="AN53" i="24"/>
  <c r="AC27" i="24"/>
  <c r="AE43" i="24"/>
  <c r="AC13" i="24"/>
  <c r="AC29" i="24"/>
  <c r="AC45" i="24"/>
  <c r="AC61" i="24"/>
  <c r="AP29" i="24"/>
  <c r="AN9" i="24"/>
  <c r="AN25" i="24"/>
  <c r="AN57" i="24"/>
  <c r="AE49" i="24"/>
  <c r="AC19" i="24"/>
  <c r="AN31" i="24"/>
  <c r="AC5" i="24"/>
  <c r="AC53" i="24"/>
  <c r="AP49" i="24"/>
  <c r="AN33" i="24"/>
  <c r="AC7" i="24"/>
  <c r="AC55" i="24"/>
  <c r="AP7" i="24"/>
  <c r="AP39" i="24"/>
  <c r="AP51" i="24"/>
  <c r="AN51" i="24"/>
  <c r="AE7" i="24"/>
  <c r="AC25" i="24"/>
  <c r="AC57" i="24"/>
  <c r="AN21" i="24"/>
  <c r="AN37" i="24"/>
  <c r="AC11" i="24"/>
  <c r="AC43" i="24"/>
  <c r="AE29" i="24"/>
  <c r="AE45" i="24"/>
  <c r="AC15" i="24"/>
  <c r="AC31" i="24"/>
  <c r="AC47" i="24"/>
  <c r="AC63" i="24"/>
  <c r="AP15" i="24"/>
  <c r="AP31" i="24"/>
  <c r="AP43" i="24"/>
  <c r="AP59" i="24"/>
  <c r="AN11" i="24"/>
  <c r="AN59" i="24"/>
  <c r="AN15" i="24"/>
  <c r="AE47" i="24"/>
  <c r="AE63" i="24"/>
  <c r="AC17" i="24"/>
  <c r="AC33" i="24"/>
  <c r="AC49" i="24"/>
  <c r="AP17" i="24"/>
  <c r="AP33" i="24"/>
  <c r="AP45" i="24"/>
  <c r="AN13" i="24"/>
  <c r="AN29" i="24"/>
  <c r="AN45" i="24"/>
  <c r="AD64" i="24"/>
  <c r="AN3" i="24"/>
  <c r="AC3" i="24"/>
  <c r="AE3" i="24"/>
  <c r="R62" i="24" l="1"/>
  <c r="R60" i="24"/>
  <c r="R58" i="24"/>
  <c r="R56" i="24"/>
  <c r="R54" i="24"/>
  <c r="R52" i="24"/>
  <c r="R50" i="24"/>
  <c r="R48" i="24"/>
  <c r="R46" i="24"/>
  <c r="R44" i="24"/>
  <c r="R42" i="24"/>
  <c r="R40" i="24"/>
  <c r="R38" i="24"/>
  <c r="R36" i="24"/>
  <c r="R34" i="24"/>
  <c r="R32" i="24"/>
  <c r="R30" i="24"/>
  <c r="R28" i="24"/>
  <c r="R26" i="24"/>
  <c r="R24" i="24"/>
  <c r="R22" i="24"/>
  <c r="R20" i="24"/>
  <c r="R18" i="24"/>
  <c r="R16" i="24"/>
  <c r="R14" i="24"/>
  <c r="R12" i="24"/>
  <c r="R10" i="24"/>
  <c r="R8" i="24"/>
  <c r="R6" i="24"/>
  <c r="R4" i="24"/>
  <c r="S38" i="24"/>
  <c r="S36" i="24"/>
  <c r="T27" i="24"/>
  <c r="S18" i="24"/>
  <c r="S16" i="24"/>
  <c r="S4" i="24"/>
  <c r="R2" i="24"/>
  <c r="S64" i="24" l="1"/>
  <c r="R63" i="24"/>
  <c r="R31" i="24"/>
  <c r="R43" i="24"/>
  <c r="R59" i="24"/>
  <c r="R39" i="24"/>
  <c r="R23" i="24"/>
  <c r="R55" i="24"/>
  <c r="R7" i="24"/>
  <c r="R57" i="24"/>
  <c r="T11" i="24"/>
  <c r="R25" i="24"/>
  <c r="T35" i="24"/>
  <c r="T47" i="24"/>
  <c r="T59" i="24"/>
  <c r="R11" i="24"/>
  <c r="R27" i="24"/>
  <c r="T45" i="24"/>
  <c r="R29" i="24"/>
  <c r="R15" i="24"/>
  <c r="R47" i="24"/>
  <c r="R9" i="24"/>
  <c r="R45" i="24"/>
  <c r="T61" i="24"/>
  <c r="T3" i="24"/>
  <c r="T17" i="24"/>
  <c r="T29" i="24"/>
  <c r="T39" i="24"/>
  <c r="T53" i="24"/>
  <c r="R17" i="24"/>
  <c r="R33" i="24"/>
  <c r="R49" i="24"/>
  <c r="R41" i="24"/>
  <c r="R3" i="24"/>
  <c r="T15" i="24"/>
  <c r="T51" i="24"/>
  <c r="T5" i="24"/>
  <c r="T19" i="24"/>
  <c r="T41" i="24"/>
  <c r="T63" i="24"/>
  <c r="R19" i="24"/>
  <c r="R35" i="24"/>
  <c r="R51" i="24"/>
  <c r="T9" i="24"/>
  <c r="T23" i="24"/>
  <c r="R13" i="24"/>
  <c r="T21" i="24"/>
  <c r="T31" i="24"/>
  <c r="T55" i="24"/>
  <c r="R5" i="24"/>
  <c r="R21" i="24"/>
  <c r="R37" i="24"/>
  <c r="R53" i="24"/>
  <c r="T13" i="24"/>
  <c r="T25" i="24"/>
  <c r="T37" i="24"/>
  <c r="T49" i="24"/>
  <c r="R61" i="24"/>
  <c r="T7" i="24"/>
  <c r="T33" i="24"/>
  <c r="T43" i="24"/>
  <c r="T57" i="24"/>
  <c r="H56" i="24"/>
  <c r="H54" i="24"/>
  <c r="H52" i="24"/>
  <c r="H42" i="24"/>
  <c r="H38" i="24"/>
  <c r="H34" i="24"/>
  <c r="H28" i="24"/>
  <c r="H24" i="24"/>
  <c r="H12" i="24"/>
  <c r="H60" i="24"/>
  <c r="H58" i="24"/>
  <c r="H50" i="24"/>
  <c r="H48" i="24"/>
  <c r="H46" i="24"/>
  <c r="H44" i="24"/>
  <c r="H62" i="24"/>
  <c r="H40" i="24"/>
  <c r="H36" i="24"/>
  <c r="H32" i="24"/>
  <c r="H30" i="24"/>
  <c r="H26" i="24"/>
  <c r="H22" i="24"/>
  <c r="H20" i="24"/>
  <c r="H18" i="24"/>
  <c r="H16" i="24"/>
  <c r="H14" i="24"/>
  <c r="H10" i="24"/>
  <c r="H8" i="24"/>
  <c r="H6" i="24"/>
  <c r="H4" i="24"/>
  <c r="H2" i="24"/>
  <c r="G4" i="24"/>
  <c r="G62" i="24"/>
  <c r="G60" i="24"/>
  <c r="G58" i="24"/>
  <c r="G56" i="24"/>
  <c r="G54" i="24"/>
  <c r="G52" i="24"/>
  <c r="G50" i="24"/>
  <c r="G48" i="24"/>
  <c r="G46" i="24"/>
  <c r="G44" i="24"/>
  <c r="G42" i="24"/>
  <c r="G40" i="24"/>
  <c r="G38" i="24"/>
  <c r="G36" i="24"/>
  <c r="G34" i="24"/>
  <c r="G32" i="24"/>
  <c r="G30" i="24"/>
  <c r="G28" i="24"/>
  <c r="G26" i="24"/>
  <c r="G24" i="24"/>
  <c r="G22" i="24"/>
  <c r="G20" i="24"/>
  <c r="G18" i="24"/>
  <c r="G16" i="24"/>
  <c r="G14" i="24"/>
  <c r="G12" i="24"/>
  <c r="G10" i="24"/>
  <c r="G8" i="24"/>
  <c r="G6" i="24"/>
  <c r="G2" i="24"/>
  <c r="I3" i="24" l="1"/>
  <c r="H64" i="24"/>
  <c r="G63" i="24" l="1"/>
  <c r="G61" i="24"/>
  <c r="G59" i="24"/>
  <c r="G57" i="24"/>
  <c r="G55" i="24"/>
  <c r="G53" i="24"/>
  <c r="G51" i="24"/>
  <c r="G49" i="24"/>
  <c r="G47" i="24"/>
  <c r="G45" i="24"/>
  <c r="G43" i="24"/>
  <c r="G41" i="24"/>
  <c r="G39" i="24"/>
  <c r="G37" i="24"/>
  <c r="G35" i="24"/>
  <c r="G33" i="24"/>
  <c r="I63" i="24"/>
  <c r="I61" i="24"/>
  <c r="G31" i="24"/>
  <c r="I59" i="24"/>
  <c r="I57" i="24"/>
  <c r="G29" i="24"/>
  <c r="I55" i="24"/>
  <c r="I53" i="24"/>
  <c r="G27" i="24"/>
  <c r="I51" i="24"/>
  <c r="I49" i="24"/>
  <c r="G25" i="24"/>
  <c r="I47" i="24"/>
  <c r="I45" i="24"/>
  <c r="G23" i="24"/>
  <c r="I43" i="24"/>
  <c r="I41" i="24"/>
  <c r="G21" i="24"/>
  <c r="I39" i="24"/>
  <c r="I37" i="24"/>
  <c r="G19" i="24"/>
  <c r="I35" i="24"/>
  <c r="I33" i="24"/>
  <c r="G17" i="24"/>
  <c r="I31" i="24"/>
  <c r="I29" i="24"/>
  <c r="G15" i="24"/>
  <c r="I27" i="24"/>
  <c r="I25" i="24"/>
  <c r="G13" i="24"/>
  <c r="I23" i="24"/>
  <c r="I21" i="24"/>
  <c r="G11" i="24"/>
  <c r="I19" i="24"/>
  <c r="I17" i="24"/>
  <c r="G9" i="24"/>
  <c r="I15" i="24"/>
  <c r="I13" i="24"/>
  <c r="G7" i="24"/>
  <c r="I11" i="24"/>
  <c r="I9" i="24"/>
  <c r="G5" i="24"/>
  <c r="I7" i="24"/>
  <c r="I5" i="24"/>
  <c r="G3" i="24"/>
  <c r="J42" i="23"/>
  <c r="J36" i="23"/>
  <c r="J40" i="23" l="1"/>
  <c r="J34" i="23"/>
  <c r="U39" i="20"/>
  <c r="U33" i="20"/>
  <c r="U27" i="20"/>
  <c r="U21" i="20"/>
  <c r="U15" i="20"/>
  <c r="U9" i="20"/>
  <c r="U3" i="20"/>
  <c r="J12" i="20" l="1"/>
  <c r="U2" i="16"/>
  <c r="I2" i="16"/>
  <c r="J4" i="23" l="1"/>
  <c r="J6" i="23"/>
  <c r="J8" i="23"/>
  <c r="J12" i="23"/>
  <c r="J16" i="23"/>
  <c r="J18" i="23"/>
  <c r="J20" i="23"/>
  <c r="J22" i="23"/>
  <c r="J24" i="23"/>
  <c r="J28" i="23"/>
  <c r="J32" i="23"/>
  <c r="K35" i="23"/>
  <c r="K37" i="23"/>
  <c r="J38" i="23"/>
  <c r="J44" i="23"/>
  <c r="J48" i="23"/>
  <c r="J50" i="23"/>
  <c r="J54" i="23"/>
  <c r="J56" i="23"/>
  <c r="J60" i="23"/>
  <c r="I63" i="23"/>
  <c r="I61" i="23"/>
  <c r="I59" i="23"/>
  <c r="I57" i="23"/>
  <c r="I55" i="23"/>
  <c r="I53" i="23"/>
  <c r="I51" i="23"/>
  <c r="I49" i="23"/>
  <c r="I47" i="23"/>
  <c r="I45" i="23"/>
  <c r="I43" i="23"/>
  <c r="K41" i="23"/>
  <c r="I41" i="23"/>
  <c r="I39" i="23"/>
  <c r="I37" i="23"/>
  <c r="I35" i="23"/>
  <c r="I33" i="23"/>
  <c r="I31" i="23"/>
  <c r="I29" i="23"/>
  <c r="I27" i="23"/>
  <c r="I25" i="23"/>
  <c r="I23" i="23"/>
  <c r="I21" i="23"/>
  <c r="I19" i="23"/>
  <c r="I17" i="23"/>
  <c r="I15" i="23"/>
  <c r="K13" i="23"/>
  <c r="I13" i="23"/>
  <c r="I11" i="23"/>
  <c r="I9" i="23"/>
  <c r="I7" i="23"/>
  <c r="I5" i="23"/>
  <c r="K45" i="23" l="1"/>
  <c r="K21" i="23"/>
  <c r="K49" i="23"/>
  <c r="K39" i="23"/>
  <c r="K19" i="23"/>
  <c r="K61" i="23"/>
  <c r="K51" i="23"/>
  <c r="K57" i="23"/>
  <c r="K55" i="23"/>
  <c r="K29" i="23"/>
  <c r="K5" i="23"/>
  <c r="K3" i="23"/>
  <c r="J52" i="23"/>
  <c r="K33" i="23"/>
  <c r="J62" i="23"/>
  <c r="J58" i="23"/>
  <c r="K23" i="23"/>
  <c r="K43" i="23"/>
  <c r="J26" i="23"/>
  <c r="K7" i="23"/>
  <c r="J10" i="23"/>
  <c r="K17" i="23"/>
  <c r="J30" i="23"/>
  <c r="K25" i="23"/>
  <c r="J46" i="23"/>
  <c r="K9" i="23"/>
  <c r="J14" i="23"/>
  <c r="I3" i="23"/>
  <c r="K31" i="23" l="1"/>
  <c r="K63" i="23"/>
  <c r="K47" i="23"/>
  <c r="K11" i="23"/>
  <c r="K53" i="23"/>
  <c r="K59" i="23"/>
  <c r="K15" i="23"/>
  <c r="K27" i="23"/>
  <c r="J64" i="23"/>
  <c r="I62" i="16" l="1"/>
  <c r="BE12" i="16"/>
  <c r="J56" i="20"/>
  <c r="J54" i="20"/>
  <c r="J52" i="20"/>
  <c r="J50" i="20"/>
  <c r="J48" i="20"/>
  <c r="J46" i="20"/>
  <c r="J42" i="20"/>
  <c r="J40" i="20"/>
  <c r="J38" i="20"/>
  <c r="J36" i="20"/>
  <c r="J34" i="20"/>
  <c r="J32" i="20"/>
  <c r="J30" i="20"/>
  <c r="J28" i="20"/>
  <c r="J26" i="20"/>
  <c r="J24" i="20"/>
  <c r="K63" i="20"/>
  <c r="I63" i="20"/>
  <c r="K61" i="20"/>
  <c r="I61" i="20"/>
  <c r="K59" i="20"/>
  <c r="I59" i="20"/>
  <c r="I57" i="20"/>
  <c r="I55" i="20"/>
  <c r="I53" i="20"/>
  <c r="I51" i="20"/>
  <c r="I49" i="20"/>
  <c r="I47" i="20"/>
  <c r="I45" i="20"/>
  <c r="I43" i="20"/>
  <c r="I41" i="20"/>
  <c r="I39" i="20"/>
  <c r="I37" i="20"/>
  <c r="I35" i="20"/>
  <c r="I33" i="20"/>
  <c r="I31" i="20"/>
  <c r="I29" i="20"/>
  <c r="I27" i="20"/>
  <c r="I25" i="20"/>
  <c r="H63" i="21"/>
  <c r="H61" i="21"/>
  <c r="H59" i="21"/>
  <c r="H57" i="21"/>
  <c r="H53" i="21"/>
  <c r="H51" i="21"/>
  <c r="H49" i="21"/>
  <c r="H47" i="21"/>
  <c r="H45" i="21"/>
  <c r="H43" i="21"/>
  <c r="H37" i="21"/>
  <c r="H35" i="21"/>
  <c r="H33" i="21"/>
  <c r="H31" i="21"/>
  <c r="H27" i="21"/>
  <c r="H21" i="21"/>
  <c r="H19" i="21"/>
  <c r="H17" i="21"/>
  <c r="H15" i="21"/>
  <c r="H13" i="21"/>
  <c r="H9" i="21"/>
  <c r="H7" i="21"/>
  <c r="H5" i="21"/>
  <c r="H23" i="21"/>
  <c r="H25" i="21"/>
  <c r="H29" i="21"/>
  <c r="H39" i="21"/>
  <c r="H41" i="21"/>
  <c r="H55" i="21"/>
  <c r="I62" i="21"/>
  <c r="I60" i="21"/>
  <c r="I58" i="21"/>
  <c r="I56" i="21"/>
  <c r="I54" i="21"/>
  <c r="I52" i="21"/>
  <c r="I50" i="21"/>
  <c r="I48" i="21"/>
  <c r="I46" i="21"/>
  <c r="I44" i="21"/>
  <c r="I42" i="21"/>
  <c r="I40" i="21"/>
  <c r="I38" i="21"/>
  <c r="I36" i="21"/>
  <c r="I34" i="21"/>
  <c r="I32" i="21"/>
  <c r="I30" i="21"/>
  <c r="I28" i="21"/>
  <c r="I26" i="21"/>
  <c r="I24" i="21"/>
  <c r="I22" i="21"/>
  <c r="I20" i="21"/>
  <c r="I16" i="21"/>
  <c r="I14" i="21"/>
  <c r="I12" i="21"/>
  <c r="I10" i="21"/>
  <c r="I8" i="21"/>
  <c r="I6" i="21"/>
  <c r="I4" i="21"/>
  <c r="I2" i="21"/>
  <c r="J11" i="21" l="1"/>
  <c r="J7" i="21"/>
  <c r="J39" i="21"/>
  <c r="J9" i="21"/>
  <c r="J57" i="21"/>
  <c r="J27" i="21"/>
  <c r="J43" i="21"/>
  <c r="J59" i="21"/>
  <c r="J21" i="21"/>
  <c r="J37" i="21"/>
  <c r="J29" i="21"/>
  <c r="J45" i="21"/>
  <c r="J15" i="21"/>
  <c r="J31" i="21"/>
  <c r="J47" i="21"/>
  <c r="J63" i="21"/>
  <c r="J17" i="21"/>
  <c r="J33" i="21"/>
  <c r="J49" i="21"/>
  <c r="J5" i="21"/>
  <c r="J53" i="21"/>
  <c r="J23" i="21"/>
  <c r="J55" i="21"/>
  <c r="J25" i="21"/>
  <c r="J41" i="21"/>
  <c r="J13" i="21"/>
  <c r="J61" i="21"/>
  <c r="J3" i="21"/>
  <c r="J19" i="21"/>
  <c r="J35" i="21"/>
  <c r="J51" i="21"/>
  <c r="H3" i="21"/>
  <c r="K43" i="20"/>
  <c r="K29" i="20"/>
  <c r="K39" i="20"/>
  <c r="K33" i="20"/>
  <c r="K35" i="20"/>
  <c r="K25" i="20"/>
  <c r="K41" i="20"/>
  <c r="K31" i="20"/>
  <c r="K37" i="20"/>
  <c r="K27" i="20"/>
  <c r="K45" i="20"/>
  <c r="K57" i="20"/>
  <c r="K55" i="20"/>
  <c r="K53" i="20"/>
  <c r="K51" i="20"/>
  <c r="K47" i="20"/>
  <c r="K49" i="20"/>
  <c r="J20" i="20"/>
  <c r="J22" i="20"/>
  <c r="J18" i="20" l="1"/>
  <c r="K23" i="20"/>
  <c r="K21" i="20"/>
  <c r="V8" i="20"/>
  <c r="AS9" i="20"/>
  <c r="AT8" i="20"/>
  <c r="AU9" i="20" s="1"/>
  <c r="BE8" i="20"/>
  <c r="BE9" i="20" s="1"/>
  <c r="BF8" i="20"/>
  <c r="BG9" i="20" s="1"/>
  <c r="U11" i="20"/>
  <c r="V10" i="20"/>
  <c r="AS11" i="20"/>
  <c r="AT10" i="20"/>
  <c r="AU11" i="20" s="1"/>
  <c r="BE10" i="20"/>
  <c r="BE11" i="20" s="1"/>
  <c r="BF10" i="20"/>
  <c r="BG11" i="20" s="1"/>
  <c r="U13" i="20"/>
  <c r="W13" i="20"/>
  <c r="AS13" i="20"/>
  <c r="AU13" i="20"/>
  <c r="BE13" i="20"/>
  <c r="BG13" i="20"/>
  <c r="V14" i="20"/>
  <c r="AS15" i="20"/>
  <c r="AT14" i="20"/>
  <c r="AU15" i="20" s="1"/>
  <c r="BE14" i="20"/>
  <c r="BE15" i="20" s="1"/>
  <c r="BF14" i="20"/>
  <c r="BG15" i="20" s="1"/>
  <c r="U17" i="20"/>
  <c r="V16" i="20"/>
  <c r="AS17" i="20"/>
  <c r="AT16" i="20"/>
  <c r="AU17" i="20" s="1"/>
  <c r="BE16" i="20"/>
  <c r="BE17" i="20" s="1"/>
  <c r="BF16" i="20"/>
  <c r="BG17" i="20" s="1"/>
  <c r="U19" i="20"/>
  <c r="W19" i="20"/>
  <c r="AS19" i="20"/>
  <c r="AU19" i="20"/>
  <c r="BE19" i="20"/>
  <c r="BG19" i="20"/>
  <c r="V20" i="20"/>
  <c r="AS21" i="20"/>
  <c r="AT20" i="20"/>
  <c r="AU21" i="20" s="1"/>
  <c r="BE20" i="20"/>
  <c r="BE21" i="20" s="1"/>
  <c r="BF20" i="20"/>
  <c r="BG21" i="20" s="1"/>
  <c r="U23" i="20"/>
  <c r="V22" i="20"/>
  <c r="AS23" i="20"/>
  <c r="AT22" i="20"/>
  <c r="AU23" i="20" s="1"/>
  <c r="BE22" i="20"/>
  <c r="BE23" i="20" s="1"/>
  <c r="BF22" i="20"/>
  <c r="BG23" i="20" s="1"/>
  <c r="U25" i="20"/>
  <c r="W25" i="20"/>
  <c r="AS25" i="20"/>
  <c r="AU25" i="20"/>
  <c r="BE25" i="20"/>
  <c r="BG25" i="20"/>
  <c r="V26" i="20"/>
  <c r="AS27" i="20"/>
  <c r="AT26" i="20"/>
  <c r="AU27" i="20" s="1"/>
  <c r="BE26" i="20"/>
  <c r="BE27" i="20" s="1"/>
  <c r="BF26" i="20"/>
  <c r="BG27" i="20" s="1"/>
  <c r="U29" i="20"/>
  <c r="V28" i="20"/>
  <c r="AS29" i="20"/>
  <c r="AT28" i="20"/>
  <c r="AU29" i="20" s="1"/>
  <c r="BE28" i="20"/>
  <c r="BE29" i="20" s="1"/>
  <c r="BF28" i="20"/>
  <c r="BG29" i="20" s="1"/>
  <c r="U31" i="20"/>
  <c r="AS31" i="20"/>
  <c r="AU31" i="20"/>
  <c r="BE31" i="20"/>
  <c r="BG31" i="20"/>
  <c r="V32" i="20"/>
  <c r="W33" i="20" s="1"/>
  <c r="AS33" i="20"/>
  <c r="AT32" i="20"/>
  <c r="AU33" i="20" s="1"/>
  <c r="BE32" i="20"/>
  <c r="BE33" i="20" s="1"/>
  <c r="BF32" i="20"/>
  <c r="BG33" i="20" s="1"/>
  <c r="U35" i="20"/>
  <c r="V34" i="20"/>
  <c r="AS35" i="20"/>
  <c r="AT34" i="20"/>
  <c r="AU35" i="20" s="1"/>
  <c r="BE34" i="20"/>
  <c r="BE35" i="20" s="1"/>
  <c r="BF34" i="20"/>
  <c r="BG35" i="20" s="1"/>
  <c r="U37" i="20"/>
  <c r="AS37" i="20"/>
  <c r="AU37" i="20"/>
  <c r="BE37" i="20"/>
  <c r="BG37" i="20"/>
  <c r="V38" i="20"/>
  <c r="W39" i="20" s="1"/>
  <c r="AS39" i="20"/>
  <c r="AT38" i="20"/>
  <c r="AU39" i="20" s="1"/>
  <c r="BE38" i="20"/>
  <c r="BE39" i="20" s="1"/>
  <c r="BF38" i="20"/>
  <c r="BG39" i="20" s="1"/>
  <c r="U41" i="20"/>
  <c r="V40" i="20"/>
  <c r="AS41" i="20"/>
  <c r="AT40" i="20"/>
  <c r="AU41" i="20" s="1"/>
  <c r="BE40" i="20"/>
  <c r="BE41" i="20" s="1"/>
  <c r="BF40" i="20"/>
  <c r="BG41" i="20" s="1"/>
  <c r="V43" i="20"/>
  <c r="AT43" i="20"/>
  <c r="BE43" i="20"/>
  <c r="BF43" i="20"/>
  <c r="V44" i="20"/>
  <c r="AT44" i="20"/>
  <c r="BE44" i="20"/>
  <c r="BF44" i="20"/>
  <c r="V46" i="20"/>
  <c r="AT46" i="20"/>
  <c r="BE46" i="20"/>
  <c r="BF46" i="20"/>
  <c r="V47" i="20"/>
  <c r="AT47" i="20"/>
  <c r="BE47" i="20"/>
  <c r="BF47" i="20"/>
  <c r="V49" i="20"/>
  <c r="AT49" i="20"/>
  <c r="BE49" i="20"/>
  <c r="BF49" i="20"/>
  <c r="V50" i="20"/>
  <c r="AT50" i="20"/>
  <c r="BE50" i="20"/>
  <c r="BF50" i="20"/>
  <c r="V52" i="20"/>
  <c r="AT52" i="20"/>
  <c r="BE52" i="20"/>
  <c r="BF52" i="20"/>
  <c r="BG7" i="20"/>
  <c r="BE7" i="20"/>
  <c r="AU7" i="20"/>
  <c r="AS7" i="20"/>
  <c r="W7" i="20"/>
  <c r="U7" i="20"/>
  <c r="BF4" i="20"/>
  <c r="BG5" i="20" s="1"/>
  <c r="BE4" i="20"/>
  <c r="BE5" i="20" s="1"/>
  <c r="AT4" i="20"/>
  <c r="AU5" i="20" s="1"/>
  <c r="AS5" i="20"/>
  <c r="V4" i="20"/>
  <c r="U5" i="20"/>
  <c r="BF2" i="20"/>
  <c r="BG3" i="20" s="1"/>
  <c r="BE2" i="20"/>
  <c r="BE3" i="20" s="1"/>
  <c r="AT2" i="20"/>
  <c r="AU3" i="20" s="1"/>
  <c r="AS3" i="20"/>
  <c r="AH2" i="20"/>
  <c r="V2" i="20"/>
  <c r="BD39" i="16"/>
  <c r="BD13" i="16"/>
  <c r="BE62" i="16"/>
  <c r="BE60" i="16"/>
  <c r="BE58" i="16"/>
  <c r="BE56" i="16"/>
  <c r="BE54" i="16"/>
  <c r="BE52" i="16"/>
  <c r="BE50" i="16"/>
  <c r="BE48" i="16"/>
  <c r="BE46" i="16"/>
  <c r="BE44" i="16"/>
  <c r="BE42" i="16"/>
  <c r="BE40" i="16"/>
  <c r="BE38" i="16"/>
  <c r="BE36" i="16"/>
  <c r="BE34" i="16"/>
  <c r="BE32" i="16"/>
  <c r="BE30" i="16"/>
  <c r="BE28" i="16"/>
  <c r="BE26" i="16"/>
  <c r="BE24" i="16"/>
  <c r="BE22" i="16"/>
  <c r="BE20" i="16"/>
  <c r="BE18" i="16"/>
  <c r="BE16" i="16"/>
  <c r="BE14" i="16"/>
  <c r="BF13" i="16"/>
  <c r="BE10" i="16"/>
  <c r="BE8" i="16"/>
  <c r="BE6" i="16"/>
  <c r="BE4" i="16"/>
  <c r="BE2" i="16"/>
  <c r="AR59" i="16"/>
  <c r="AR57" i="16"/>
  <c r="AS62" i="16"/>
  <c r="AS60" i="16"/>
  <c r="AS58" i="16"/>
  <c r="AS56" i="16"/>
  <c r="AS54" i="16"/>
  <c r="AS52" i="16"/>
  <c r="AS50" i="16"/>
  <c r="AS48" i="16"/>
  <c r="AS46" i="16"/>
  <c r="AS44" i="16"/>
  <c r="AS42" i="16"/>
  <c r="AS40" i="16"/>
  <c r="AS38" i="16"/>
  <c r="AS36" i="16"/>
  <c r="AS34" i="16"/>
  <c r="AS32" i="16"/>
  <c r="AS30" i="16"/>
  <c r="AS28" i="16"/>
  <c r="AS26" i="16"/>
  <c r="AS24" i="16"/>
  <c r="AS22" i="16"/>
  <c r="AS20" i="16"/>
  <c r="AS18" i="16"/>
  <c r="AS16" i="16"/>
  <c r="AS14" i="16"/>
  <c r="AS12" i="16"/>
  <c r="AS10" i="16"/>
  <c r="AS8" i="16"/>
  <c r="AS6" i="16"/>
  <c r="AS4" i="16"/>
  <c r="AG62" i="16"/>
  <c r="AG60" i="16"/>
  <c r="AG58" i="16"/>
  <c r="AG56" i="16"/>
  <c r="AG54" i="16"/>
  <c r="AG52" i="16"/>
  <c r="AG50" i="16"/>
  <c r="AG48" i="16"/>
  <c r="AG46" i="16"/>
  <c r="AG44" i="16"/>
  <c r="AG42" i="16"/>
  <c r="AG40" i="16"/>
  <c r="AG38" i="16"/>
  <c r="AG36" i="16"/>
  <c r="AG34" i="16"/>
  <c r="AG32" i="16"/>
  <c r="AG30" i="16"/>
  <c r="AG28" i="16"/>
  <c r="AG26" i="16"/>
  <c r="AG24" i="16"/>
  <c r="AG22" i="16"/>
  <c r="AG20" i="16"/>
  <c r="AG18" i="16"/>
  <c r="AG16" i="16"/>
  <c r="AG14" i="16"/>
  <c r="AG12" i="16"/>
  <c r="AG10" i="16"/>
  <c r="AG8" i="16"/>
  <c r="AG6" i="16"/>
  <c r="AG4" i="16"/>
  <c r="U62" i="16"/>
  <c r="U60" i="16"/>
  <c r="U58" i="16"/>
  <c r="U56" i="16"/>
  <c r="U54" i="16"/>
  <c r="U52" i="16"/>
  <c r="U50" i="16"/>
  <c r="U48" i="16"/>
  <c r="U46" i="16"/>
  <c r="U44" i="16"/>
  <c r="U42" i="16"/>
  <c r="U40" i="16"/>
  <c r="U38" i="16"/>
  <c r="U36" i="16"/>
  <c r="U34" i="16"/>
  <c r="U32" i="16"/>
  <c r="U30" i="16"/>
  <c r="U28" i="16"/>
  <c r="U26" i="16"/>
  <c r="U24" i="16"/>
  <c r="U22" i="16"/>
  <c r="U20" i="16"/>
  <c r="U18" i="16"/>
  <c r="U16" i="16"/>
  <c r="U14" i="16"/>
  <c r="U12" i="16"/>
  <c r="U10" i="16"/>
  <c r="U8" i="16"/>
  <c r="U6" i="16"/>
  <c r="U4" i="16"/>
  <c r="AI3" i="20" l="1"/>
  <c r="BD19" i="16"/>
  <c r="BD51" i="16"/>
  <c r="BD21" i="16"/>
  <c r="BF21" i="16"/>
  <c r="H21" i="16"/>
  <c r="K15" i="20"/>
  <c r="W23" i="20"/>
  <c r="W21" i="20"/>
  <c r="W29" i="20"/>
  <c r="W27" i="20"/>
  <c r="W17" i="20"/>
  <c r="W11" i="20"/>
  <c r="W9" i="20"/>
  <c r="W15" i="20"/>
  <c r="W5" i="20"/>
  <c r="W3" i="20"/>
  <c r="W41" i="20"/>
  <c r="W37" i="20"/>
  <c r="W35" i="20"/>
  <c r="W31" i="20"/>
  <c r="K17" i="20"/>
  <c r="BD35" i="16"/>
  <c r="BD43" i="16"/>
  <c r="BD27" i="16"/>
  <c r="AR9" i="16"/>
  <c r="BD59" i="16"/>
  <c r="AR25" i="16"/>
  <c r="AR41" i="16"/>
  <c r="V21" i="16"/>
  <c r="V53" i="16"/>
  <c r="AT41" i="16"/>
  <c r="AR49" i="16"/>
  <c r="BF3" i="16"/>
  <c r="BF19" i="16"/>
  <c r="BF47" i="16"/>
  <c r="BD9" i="16"/>
  <c r="BD25" i="16"/>
  <c r="BD41" i="16"/>
  <c r="BD57" i="16"/>
  <c r="V7" i="16"/>
  <c r="V23" i="16"/>
  <c r="V39" i="16"/>
  <c r="V55" i="16"/>
  <c r="T7" i="16"/>
  <c r="AH11" i="16"/>
  <c r="AH27" i="16"/>
  <c r="AH43" i="16"/>
  <c r="AH59" i="16"/>
  <c r="AF11" i="16"/>
  <c r="AF27" i="16"/>
  <c r="AT13" i="16"/>
  <c r="AT27" i="16"/>
  <c r="AT43" i="16"/>
  <c r="AT57" i="16"/>
  <c r="AR3" i="16"/>
  <c r="AR19" i="16"/>
  <c r="AR35" i="16"/>
  <c r="AR51" i="16"/>
  <c r="BF5" i="16"/>
  <c r="BF35" i="16"/>
  <c r="BF63" i="16"/>
  <c r="BD11" i="16"/>
  <c r="T21" i="16"/>
  <c r="AT25" i="16"/>
  <c r="AT15" i="16"/>
  <c r="AR37" i="16"/>
  <c r="BF7" i="16"/>
  <c r="BF37" i="16"/>
  <c r="V11" i="16"/>
  <c r="V27" i="16"/>
  <c r="V43" i="16"/>
  <c r="V59" i="16"/>
  <c r="T27" i="16"/>
  <c r="AH15" i="16"/>
  <c r="AH31" i="16"/>
  <c r="AH47" i="16"/>
  <c r="AH63" i="16"/>
  <c r="AF47" i="16"/>
  <c r="AF63" i="16"/>
  <c r="AT17" i="16"/>
  <c r="AT31" i="16"/>
  <c r="AT47" i="16"/>
  <c r="AT59" i="16"/>
  <c r="AR23" i="16"/>
  <c r="BF9" i="16"/>
  <c r="BF25" i="16"/>
  <c r="BF39" i="16"/>
  <c r="BF53" i="16"/>
  <c r="BD31" i="16"/>
  <c r="V5" i="16"/>
  <c r="V37" i="16"/>
  <c r="AT11" i="16"/>
  <c r="AH13" i="16"/>
  <c r="AH29" i="16"/>
  <c r="AH45" i="16"/>
  <c r="AH61" i="16"/>
  <c r="AR5" i="16"/>
  <c r="BD29" i="16"/>
  <c r="V13" i="16"/>
  <c r="V45" i="16"/>
  <c r="V61" i="16"/>
  <c r="T13" i="16"/>
  <c r="T29" i="16"/>
  <c r="T61" i="16"/>
  <c r="AH17" i="16"/>
  <c r="AH33" i="16"/>
  <c r="AH49" i="16"/>
  <c r="AH3" i="16"/>
  <c r="AF17" i="16"/>
  <c r="AF33" i="16"/>
  <c r="AF49" i="16"/>
  <c r="AT3" i="16"/>
  <c r="AT19" i="16"/>
  <c r="AT33" i="16"/>
  <c r="AT49" i="16"/>
  <c r="AT61" i="16"/>
  <c r="BF11" i="16"/>
  <c r="BF41" i="16"/>
  <c r="BF55" i="16"/>
  <c r="T5" i="16"/>
  <c r="BF61" i="16"/>
  <c r="AT29" i="16"/>
  <c r="AR53" i="16"/>
  <c r="BF23" i="16"/>
  <c r="BF51" i="16"/>
  <c r="V15" i="16"/>
  <c r="V47" i="16"/>
  <c r="V63" i="16"/>
  <c r="T15" i="16"/>
  <c r="AH19" i="16"/>
  <c r="AH35" i="16"/>
  <c r="AH51" i="16"/>
  <c r="AF3" i="16"/>
  <c r="AF19" i="16"/>
  <c r="AF35" i="16"/>
  <c r="AF51" i="16"/>
  <c r="AT5" i="16"/>
  <c r="AT21" i="16"/>
  <c r="AT35" i="16"/>
  <c r="AT51" i="16"/>
  <c r="AT63" i="16"/>
  <c r="AR11" i="16"/>
  <c r="AR27" i="16"/>
  <c r="AR43" i="16"/>
  <c r="BF27" i="16"/>
  <c r="BF57" i="16"/>
  <c r="T53" i="16"/>
  <c r="AH25" i="16"/>
  <c r="AH41" i="16"/>
  <c r="AR17" i="16"/>
  <c r="V9" i="16"/>
  <c r="V25" i="16"/>
  <c r="V57" i="16"/>
  <c r="AR21" i="16"/>
  <c r="BD45" i="16"/>
  <c r="V17" i="16"/>
  <c r="V33" i="16"/>
  <c r="V49" i="16"/>
  <c r="V3" i="16"/>
  <c r="T17" i="16"/>
  <c r="T33" i="16"/>
  <c r="T49" i="16"/>
  <c r="AH5" i="16"/>
  <c r="AH21" i="16"/>
  <c r="AH37" i="16"/>
  <c r="AH53" i="16"/>
  <c r="AT7" i="16"/>
  <c r="AT23" i="16"/>
  <c r="AT37" i="16"/>
  <c r="AT53" i="16"/>
  <c r="AR13" i="16"/>
  <c r="AR29" i="16"/>
  <c r="AR45" i="16"/>
  <c r="AR61" i="16"/>
  <c r="BF15" i="16"/>
  <c r="BF29" i="16"/>
  <c r="BF43" i="16"/>
  <c r="BD5" i="16"/>
  <c r="BD37" i="16"/>
  <c r="BD53" i="16"/>
  <c r="T37" i="16"/>
  <c r="AH9" i="16"/>
  <c r="AH57" i="16"/>
  <c r="AR33" i="16"/>
  <c r="AT45" i="16"/>
  <c r="V19" i="16"/>
  <c r="V35" i="16"/>
  <c r="V51" i="16"/>
  <c r="T3" i="16"/>
  <c r="T19" i="16"/>
  <c r="AH7" i="16"/>
  <c r="AH23" i="16"/>
  <c r="AH39" i="16"/>
  <c r="AH55" i="16"/>
  <c r="AT9" i="16"/>
  <c r="AT39" i="16"/>
  <c r="AT55" i="16"/>
  <c r="AR15" i="16"/>
  <c r="BF17" i="16"/>
  <c r="BF31" i="16"/>
  <c r="BF45" i="16"/>
  <c r="BF59" i="16"/>
  <c r="BD7" i="16"/>
  <c r="BD23" i="16"/>
  <c r="BD55" i="16"/>
  <c r="K13" i="20"/>
  <c r="K11" i="20"/>
  <c r="K19" i="20"/>
  <c r="K3" i="20"/>
  <c r="I13" i="20"/>
  <c r="K5" i="20"/>
  <c r="K9" i="20"/>
  <c r="K7" i="20"/>
  <c r="I7" i="20"/>
  <c r="I15" i="20"/>
  <c r="I19" i="20"/>
  <c r="I23" i="20"/>
  <c r="I11" i="20"/>
  <c r="I9" i="20"/>
  <c r="I17" i="20"/>
  <c r="I5" i="20"/>
  <c r="I21" i="20"/>
  <c r="I3" i="20"/>
  <c r="BD15" i="16"/>
  <c r="BD47" i="16"/>
  <c r="AR63" i="16"/>
  <c r="AR47" i="16"/>
  <c r="BF33" i="16"/>
  <c r="BD61" i="16"/>
  <c r="AR31" i="16"/>
  <c r="BD63" i="16"/>
  <c r="BD17" i="16"/>
  <c r="BD49" i="16"/>
  <c r="BD33" i="16"/>
  <c r="BF49" i="16"/>
  <c r="BD3" i="16"/>
  <c r="AR39" i="16"/>
  <c r="AR7" i="16"/>
  <c r="AR55" i="16"/>
  <c r="AF21" i="16"/>
  <c r="AF53" i="16"/>
  <c r="AF5" i="16"/>
  <c r="AF37" i="16"/>
  <c r="T51" i="16"/>
  <c r="T35" i="16"/>
  <c r="AF23" i="16"/>
  <c r="T23" i="16"/>
  <c r="AF29" i="16"/>
  <c r="T39" i="16"/>
  <c r="T55" i="16"/>
  <c r="AF61" i="16"/>
  <c r="AF43" i="16"/>
  <c r="AF59" i="16"/>
  <c r="AF9" i="16"/>
  <c r="AF41" i="16"/>
  <c r="T11" i="16"/>
  <c r="AF13" i="16"/>
  <c r="AF55" i="16"/>
  <c r="T43" i="16"/>
  <c r="AF25" i="16"/>
  <c r="AF45" i="16"/>
  <c r="AF57" i="16"/>
  <c r="T9" i="16"/>
  <c r="AF7" i="16"/>
  <c r="AF39" i="16"/>
  <c r="T59" i="16"/>
  <c r="AF31" i="16"/>
  <c r="T25" i="16"/>
  <c r="AF15" i="16"/>
  <c r="T47" i="16"/>
  <c r="T57" i="16"/>
  <c r="T31" i="16"/>
  <c r="T41" i="16"/>
  <c r="V41" i="16"/>
  <c r="T63" i="16"/>
  <c r="T45" i="16"/>
  <c r="V29" i="16"/>
  <c r="V31" i="16"/>
  <c r="I62" i="17" l="1"/>
  <c r="I60" i="17"/>
  <c r="I58" i="17"/>
  <c r="I56" i="17"/>
  <c r="I54" i="17"/>
  <c r="I52" i="17"/>
  <c r="I50" i="17"/>
  <c r="I48" i="17"/>
  <c r="I46" i="17"/>
  <c r="I44" i="17"/>
  <c r="I42" i="17"/>
  <c r="I40" i="17"/>
  <c r="I38" i="17"/>
  <c r="I36" i="17"/>
  <c r="J55" i="17" l="1"/>
  <c r="J59" i="17"/>
  <c r="J45" i="17"/>
  <c r="J61" i="17"/>
  <c r="J39" i="17"/>
  <c r="J41" i="17"/>
  <c r="J57" i="17"/>
  <c r="J47" i="17"/>
  <c r="J63" i="17"/>
  <c r="J51" i="17"/>
  <c r="J53" i="17"/>
  <c r="J43" i="17"/>
  <c r="J49" i="17"/>
  <c r="H41" i="17" l="1"/>
  <c r="H59" i="17"/>
  <c r="H61" i="17"/>
  <c r="H17" i="17"/>
  <c r="H33" i="17"/>
  <c r="H47" i="17"/>
  <c r="H63" i="17"/>
  <c r="H11" i="17"/>
  <c r="H43" i="17"/>
  <c r="H45" i="17"/>
  <c r="H35" i="17"/>
  <c r="H49" i="17"/>
  <c r="H27" i="17"/>
  <c r="H29" i="17"/>
  <c r="H31" i="17"/>
  <c r="H19" i="17"/>
  <c r="H5" i="17"/>
  <c r="H21" i="17"/>
  <c r="H37" i="17"/>
  <c r="H51" i="17"/>
  <c r="H57" i="17"/>
  <c r="H7" i="17"/>
  <c r="H23" i="17"/>
  <c r="H53" i="17"/>
  <c r="H13" i="17"/>
  <c r="H15" i="17"/>
  <c r="H9" i="17"/>
  <c r="H25" i="17"/>
  <c r="H39" i="17"/>
  <c r="H55" i="17"/>
  <c r="E36" i="10" l="1"/>
  <c r="I32" i="17" l="1"/>
  <c r="I34" i="17"/>
  <c r="J37" i="17"/>
  <c r="J35" i="17" l="1"/>
  <c r="J33" i="17"/>
  <c r="I26" i="16" l="1"/>
  <c r="I28" i="16"/>
  <c r="I30" i="16"/>
  <c r="I32" i="16"/>
  <c r="I34" i="16"/>
  <c r="I36" i="16"/>
  <c r="I38" i="16"/>
  <c r="I40" i="16"/>
  <c r="I42" i="16"/>
  <c r="I44" i="16"/>
  <c r="I46" i="16"/>
  <c r="I48" i="16"/>
  <c r="I50" i="16"/>
  <c r="I52" i="16"/>
  <c r="I54" i="16"/>
  <c r="I56" i="16"/>
  <c r="I58" i="16"/>
  <c r="I60" i="16"/>
  <c r="J63" i="16" l="1"/>
  <c r="J61" i="16"/>
  <c r="J59" i="16"/>
  <c r="J57" i="16"/>
  <c r="J55" i="16"/>
  <c r="J53" i="16"/>
  <c r="J51" i="16"/>
  <c r="J49" i="16"/>
  <c r="J47" i="16"/>
  <c r="J45" i="16"/>
  <c r="J43" i="16"/>
  <c r="J41" i="16"/>
  <c r="J39" i="16"/>
  <c r="J37" i="16"/>
  <c r="J35" i="16"/>
  <c r="J33" i="16"/>
  <c r="H43" i="16" l="1"/>
  <c r="H59" i="16"/>
  <c r="H35" i="16"/>
  <c r="H51" i="16"/>
  <c r="H45" i="16"/>
  <c r="H61" i="16"/>
  <c r="H37" i="16"/>
  <c r="H53" i="16"/>
  <c r="H47" i="16"/>
  <c r="H63" i="16"/>
  <c r="H39" i="16"/>
  <c r="H55" i="16"/>
  <c r="H41" i="16"/>
  <c r="H57" i="16"/>
  <c r="H33" i="16"/>
  <c r="H49" i="16"/>
  <c r="P82" i="19" l="1"/>
  <c r="J48" i="10" l="1"/>
  <c r="J47" i="10" s="1"/>
  <c r="J50" i="10"/>
  <c r="J49" i="10" s="1"/>
  <c r="J52" i="10"/>
  <c r="J51" i="10" s="1"/>
  <c r="L7" i="10"/>
  <c r="R96" i="10" s="1"/>
  <c r="S97" i="10" s="1"/>
  <c r="Q98" i="10"/>
  <c r="Q99" i="10" s="1"/>
  <c r="L6" i="10"/>
  <c r="G32" i="10"/>
  <c r="Q96" i="10" s="1"/>
  <c r="Q97" i="10" s="1"/>
  <c r="K7" i="10" l="1"/>
  <c r="M7" i="10" s="1"/>
  <c r="R98" i="10" s="1"/>
  <c r="S99" i="10" s="1"/>
  <c r="T99" i="10" s="1"/>
  <c r="H32" i="10"/>
  <c r="I32" i="10" s="1"/>
  <c r="I31" i="10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E26" i="10"/>
  <c r="E27" i="10"/>
  <c r="E28" i="10"/>
  <c r="E29" i="10"/>
  <c r="E30" i="10"/>
  <c r="E31" i="10"/>
  <c r="E32" i="10"/>
  <c r="E38" i="10" l="1"/>
  <c r="R33" i="9" l="1"/>
  <c r="P33" i="9"/>
  <c r="Q33" i="9"/>
  <c r="Q28" i="9"/>
  <c r="Q27" i="9"/>
  <c r="Q26" i="9"/>
  <c r="Q25" i="9"/>
  <c r="Q22" i="9"/>
  <c r="P21" i="9"/>
  <c r="Q20" i="9"/>
  <c r="Q18" i="9"/>
  <c r="P15" i="9"/>
  <c r="R3" i="9"/>
  <c r="R4" i="9" s="1"/>
  <c r="S3" i="9"/>
  <c r="S2" i="9"/>
  <c r="R2" i="9"/>
  <c r="F2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H52" i="9"/>
  <c r="H51" i="9" s="1"/>
  <c r="H50" i="9"/>
  <c r="H48" i="9"/>
  <c r="H46" i="9"/>
  <c r="H44" i="9"/>
  <c r="H42" i="9"/>
  <c r="H40" i="9"/>
  <c r="H38" i="9"/>
  <c r="H36" i="9"/>
  <c r="H34" i="9"/>
  <c r="H33" i="9"/>
  <c r="H32" i="9"/>
  <c r="F32" i="9"/>
  <c r="G32" i="9" s="1"/>
  <c r="H30" i="9"/>
  <c r="F31" i="9"/>
  <c r="G31" i="9" s="1"/>
  <c r="F30" i="9"/>
  <c r="G30" i="9" s="1"/>
  <c r="H28" i="9"/>
  <c r="H45" i="9"/>
  <c r="H26" i="9"/>
  <c r="F25" i="9"/>
  <c r="G25" i="9" s="1"/>
  <c r="H24" i="9"/>
  <c r="F24" i="9"/>
  <c r="G24" i="9" s="1"/>
  <c r="H22" i="9"/>
  <c r="F23" i="9"/>
  <c r="G23" i="9" s="1"/>
  <c r="F22" i="9"/>
  <c r="G22" i="9" s="1"/>
  <c r="H20" i="9"/>
  <c r="H19" i="9" s="1"/>
  <c r="Q8" i="9" s="1"/>
  <c r="F19" i="9"/>
  <c r="G19" i="9" s="1"/>
  <c r="H18" i="9"/>
  <c r="F17" i="9"/>
  <c r="G17" i="9" s="1"/>
  <c r="H16" i="9"/>
  <c r="F16" i="9"/>
  <c r="G16" i="9" s="1"/>
  <c r="H14" i="9"/>
  <c r="F14" i="9"/>
  <c r="G14" i="9" s="1"/>
  <c r="H23" i="9"/>
  <c r="Q12" i="9" s="1"/>
  <c r="F10" i="9"/>
  <c r="G10" i="9" s="1"/>
  <c r="F9" i="9"/>
  <c r="G9" i="9" s="1"/>
  <c r="F8" i="9"/>
  <c r="G8" i="9" s="1"/>
  <c r="F6" i="9"/>
  <c r="G6" i="9" s="1"/>
  <c r="F4" i="9"/>
  <c r="G4" i="9" s="1"/>
  <c r="G2" i="9"/>
  <c r="E2" i="9"/>
  <c r="F3" i="9" s="1"/>
  <c r="G3" i="9" s="1"/>
  <c r="S4" i="9" l="1"/>
  <c r="R5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S1" i="9"/>
  <c r="F5" i="9"/>
  <c r="G5" i="9" s="1"/>
  <c r="H13" i="9"/>
  <c r="Q5" i="9" s="1"/>
  <c r="H35" i="9"/>
  <c r="F20" i="9"/>
  <c r="G20" i="9" s="1"/>
  <c r="H47" i="9"/>
  <c r="F28" i="9"/>
  <c r="G28" i="9" s="1"/>
  <c r="F18" i="9"/>
  <c r="G18" i="9" s="1"/>
  <c r="H31" i="9"/>
  <c r="F26" i="9"/>
  <c r="G26" i="9" s="1"/>
  <c r="H43" i="9"/>
  <c r="H21" i="9"/>
  <c r="Q11" i="9" s="1"/>
  <c r="F11" i="9"/>
  <c r="G11" i="9" s="1"/>
  <c r="F7" i="9"/>
  <c r="G7" i="9" s="1"/>
  <c r="H17" i="9"/>
  <c r="F21" i="9"/>
  <c r="G21" i="9" s="1"/>
  <c r="H37" i="9"/>
  <c r="H49" i="9"/>
  <c r="F29" i="9"/>
  <c r="G29" i="9" s="1"/>
  <c r="H29" i="9"/>
  <c r="F15" i="9"/>
  <c r="G15" i="9" s="1"/>
  <c r="F13" i="9"/>
  <c r="G13" i="9" s="1"/>
  <c r="H25" i="9"/>
  <c r="Q13" i="9" s="1"/>
  <c r="H41" i="9"/>
  <c r="H15" i="9"/>
  <c r="F27" i="9"/>
  <c r="G27" i="9" s="1"/>
  <c r="H27" i="9"/>
  <c r="Q14" i="9" s="1"/>
  <c r="H39" i="9"/>
  <c r="F12" i="9"/>
  <c r="G12" i="9" s="1"/>
  <c r="R34" i="9" l="1"/>
  <c r="S5" i="9"/>
  <c r="S6" i="9" l="1"/>
  <c r="S7" i="9" l="1"/>
  <c r="S8" i="9" l="1"/>
  <c r="S9" i="9" l="1"/>
  <c r="S10" i="9" l="1"/>
  <c r="S11" i="9" l="1"/>
  <c r="S12" i="9" l="1"/>
  <c r="S13" i="9" l="1"/>
  <c r="S14" i="9" l="1"/>
  <c r="S15" i="9"/>
  <c r="S16" i="9" l="1"/>
  <c r="S17" i="9" l="1"/>
  <c r="S18" i="9" l="1"/>
  <c r="S19" i="9" l="1"/>
  <c r="S20" i="9" l="1"/>
  <c r="S21" i="9" l="1"/>
  <c r="S22" i="9" l="1"/>
  <c r="S23" i="9" l="1"/>
  <c r="S24" i="9" l="1"/>
  <c r="S25" i="9" l="1"/>
  <c r="S26" i="9" l="1"/>
  <c r="S27" i="9" l="1"/>
  <c r="S28" i="9" l="1"/>
  <c r="S29" i="9" l="1"/>
  <c r="S30" i="9" l="1"/>
  <c r="S31" i="9" l="1"/>
  <c r="S32" i="9" l="1"/>
  <c r="P16" i="19" l="1"/>
  <c r="P17" i="19" l="1"/>
  <c r="P8" i="19"/>
  <c r="P9" i="19" s="1"/>
  <c r="P18" i="19"/>
  <c r="P19" i="19" s="1"/>
  <c r="P14" i="19"/>
  <c r="P15" i="19" s="1"/>
  <c r="P10" i="19"/>
  <c r="P11" i="19" s="1"/>
  <c r="P6" i="19"/>
  <c r="P7" i="19" s="1"/>
  <c r="P4" i="19"/>
  <c r="P5" i="19" s="1"/>
  <c r="P2" i="19"/>
  <c r="H3" i="19"/>
  <c r="H4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I32" i="19" s="1"/>
  <c r="H2" i="19"/>
  <c r="I2" i="19" s="1"/>
  <c r="Q2" i="19" s="1"/>
  <c r="J18" i="19"/>
  <c r="J16" i="19"/>
  <c r="J14" i="19"/>
  <c r="G3" i="19"/>
  <c r="G4" i="19"/>
  <c r="Q8" i="19" s="1"/>
  <c r="R9" i="19" s="1"/>
  <c r="G5" i="19"/>
  <c r="G6" i="19"/>
  <c r="Q16" i="19" s="1"/>
  <c r="G2" i="19"/>
  <c r="E2" i="19"/>
  <c r="Q104" i="19"/>
  <c r="R105" i="19" s="1"/>
  <c r="P104" i="19"/>
  <c r="P105" i="19" s="1"/>
  <c r="Q102" i="19"/>
  <c r="R103" i="19" s="1"/>
  <c r="P102" i="19"/>
  <c r="P103" i="19" s="1"/>
  <c r="Q100" i="19"/>
  <c r="R101" i="19" s="1"/>
  <c r="P100" i="19"/>
  <c r="P101" i="19" s="1"/>
  <c r="Q98" i="19"/>
  <c r="P98" i="19"/>
  <c r="P99" i="19" s="1"/>
  <c r="P96" i="19"/>
  <c r="P97" i="19" s="1"/>
  <c r="P94" i="19"/>
  <c r="P95" i="19" s="1"/>
  <c r="P92" i="19"/>
  <c r="P93" i="19" s="1"/>
  <c r="P90" i="19"/>
  <c r="P91" i="19" s="1"/>
  <c r="P88" i="19"/>
  <c r="P89" i="19" s="1"/>
  <c r="P86" i="19"/>
  <c r="P87" i="19" s="1"/>
  <c r="P84" i="19"/>
  <c r="P85" i="19" s="1"/>
  <c r="P83" i="19"/>
  <c r="P80" i="19"/>
  <c r="P81" i="19" s="1"/>
  <c r="P78" i="19"/>
  <c r="P79" i="19" s="1"/>
  <c r="P76" i="19"/>
  <c r="P77" i="19" s="1"/>
  <c r="P74" i="19"/>
  <c r="P75" i="19" s="1"/>
  <c r="P72" i="19"/>
  <c r="P73" i="19" s="1"/>
  <c r="P70" i="19"/>
  <c r="P71" i="19" s="1"/>
  <c r="P68" i="19"/>
  <c r="P69" i="19" s="1"/>
  <c r="P66" i="19"/>
  <c r="P67" i="19" s="1"/>
  <c r="P64" i="19"/>
  <c r="P65" i="19" s="1"/>
  <c r="P62" i="19"/>
  <c r="P63" i="19" s="1"/>
  <c r="P60" i="19"/>
  <c r="P61" i="19" s="1"/>
  <c r="P58" i="19"/>
  <c r="P59" i="19" s="1"/>
  <c r="P56" i="19"/>
  <c r="P57" i="19" s="1"/>
  <c r="P54" i="19"/>
  <c r="P55" i="19" s="1"/>
  <c r="J52" i="19"/>
  <c r="J51" i="19" s="1"/>
  <c r="P52" i="19"/>
  <c r="P53" i="19" s="1"/>
  <c r="J50" i="19"/>
  <c r="P50" i="19"/>
  <c r="P51" i="19" s="1"/>
  <c r="J48" i="19"/>
  <c r="P48" i="19"/>
  <c r="P49" i="19" s="1"/>
  <c r="J46" i="19"/>
  <c r="P46" i="19"/>
  <c r="P47" i="19" s="1"/>
  <c r="J44" i="19"/>
  <c r="J43" i="19" s="1"/>
  <c r="Q84" i="19" s="1"/>
  <c r="R85" i="19" s="1"/>
  <c r="P44" i="19"/>
  <c r="P45" i="19" s="1"/>
  <c r="J42" i="19"/>
  <c r="P42" i="19"/>
  <c r="P43" i="19" s="1"/>
  <c r="J40" i="19"/>
  <c r="P40" i="19"/>
  <c r="P41" i="19" s="1"/>
  <c r="J38" i="19"/>
  <c r="P38" i="19"/>
  <c r="P39" i="19" s="1"/>
  <c r="J36" i="19"/>
  <c r="P36" i="19"/>
  <c r="P37" i="19" s="1"/>
  <c r="J34" i="19"/>
  <c r="P34" i="19"/>
  <c r="P35" i="19" s="1"/>
  <c r="J32" i="19"/>
  <c r="E32" i="19"/>
  <c r="I31" i="19"/>
  <c r="E31" i="19"/>
  <c r="P32" i="19"/>
  <c r="P33" i="19" s="1"/>
  <c r="J30" i="19"/>
  <c r="E30" i="19"/>
  <c r="E29" i="19"/>
  <c r="I30" i="19" s="1"/>
  <c r="P30" i="19"/>
  <c r="P31" i="19" s="1"/>
  <c r="J28" i="19"/>
  <c r="E28" i="19"/>
  <c r="E27" i="19"/>
  <c r="P28" i="19"/>
  <c r="P29" i="19" s="1"/>
  <c r="J26" i="19"/>
  <c r="E26" i="19"/>
  <c r="P27" i="19"/>
  <c r="E25" i="19"/>
  <c r="P26" i="19"/>
  <c r="J24" i="19"/>
  <c r="E24" i="19"/>
  <c r="E23" i="19"/>
  <c r="I23" i="19"/>
  <c r="Q74" i="19" s="1"/>
  <c r="P24" i="19"/>
  <c r="P25" i="19" s="1"/>
  <c r="J22" i="19"/>
  <c r="E22" i="19"/>
  <c r="E21" i="19"/>
  <c r="I22" i="19" s="1"/>
  <c r="Q70" i="19" s="1"/>
  <c r="P22" i="19"/>
  <c r="P23" i="19" s="1"/>
  <c r="J20" i="19"/>
  <c r="J19" i="19" s="1"/>
  <c r="Q24" i="19" s="1"/>
  <c r="E20" i="19"/>
  <c r="E19" i="19"/>
  <c r="P20" i="19"/>
  <c r="P21" i="19" s="1"/>
  <c r="E18" i="19"/>
  <c r="E17" i="19"/>
  <c r="E16" i="19"/>
  <c r="E15" i="19"/>
  <c r="E14" i="19"/>
  <c r="E13" i="19"/>
  <c r="J27" i="19" s="1"/>
  <c r="Q44" i="19" s="1"/>
  <c r="E12" i="19"/>
  <c r="E11" i="19"/>
  <c r="P12" i="19"/>
  <c r="P13" i="19" s="1"/>
  <c r="E10" i="19"/>
  <c r="E9" i="19"/>
  <c r="E8" i="19"/>
  <c r="E7" i="19"/>
  <c r="E6" i="19"/>
  <c r="H7" i="19" s="1"/>
  <c r="E5" i="19"/>
  <c r="H6" i="19" s="1"/>
  <c r="E4" i="19"/>
  <c r="J13" i="19" s="1"/>
  <c r="E3" i="19"/>
  <c r="Z2" i="19"/>
  <c r="M2" i="19"/>
  <c r="H5" i="19" l="1"/>
  <c r="J15" i="19"/>
  <c r="J17" i="19"/>
  <c r="I11" i="19"/>
  <c r="R31" i="19" s="1"/>
  <c r="Q30" i="19" s="1"/>
  <c r="P3" i="19"/>
  <c r="I16" i="19"/>
  <c r="Q50" i="19" s="1"/>
  <c r="R51" i="19" s="1"/>
  <c r="I17" i="19"/>
  <c r="Q52" i="19" s="1"/>
  <c r="R53" i="19" s="1"/>
  <c r="I24" i="19"/>
  <c r="Q76" i="19" s="1"/>
  <c r="R77" i="19" s="1"/>
  <c r="I8" i="19"/>
  <c r="Q22" i="19" s="1"/>
  <c r="R23" i="19" s="1"/>
  <c r="I12" i="19"/>
  <c r="Q34" i="19" s="1"/>
  <c r="R35" i="19" s="1"/>
  <c r="I4" i="19"/>
  <c r="Q6" i="19" s="1"/>
  <c r="I3" i="19"/>
  <c r="Q4" i="19" s="1"/>
  <c r="X4" i="19" s="1"/>
  <c r="I9" i="19"/>
  <c r="Q26" i="19" s="1"/>
  <c r="R27" i="19" s="1"/>
  <c r="I10" i="19"/>
  <c r="Q28" i="19" s="1"/>
  <c r="R29" i="19" s="1"/>
  <c r="R3" i="19"/>
  <c r="I21" i="19"/>
  <c r="Q66" i="19" s="1"/>
  <c r="J37" i="19"/>
  <c r="Q68" i="19" s="1"/>
  <c r="R69" i="19" s="1"/>
  <c r="R25" i="19"/>
  <c r="I5" i="19"/>
  <c r="Q10" i="19" s="1"/>
  <c r="Q12" i="19"/>
  <c r="R13" i="19" s="1"/>
  <c r="R45" i="19"/>
  <c r="J31" i="19"/>
  <c r="Q56" i="19" s="1"/>
  <c r="R57" i="19" s="1"/>
  <c r="I18" i="19"/>
  <c r="Q54" i="19" s="1"/>
  <c r="J45" i="19"/>
  <c r="Q88" i="19" s="1"/>
  <c r="R89" i="19" s="1"/>
  <c r="I27" i="19"/>
  <c r="Q86" i="19" s="1"/>
  <c r="Q20" i="19"/>
  <c r="R21" i="19" s="1"/>
  <c r="I7" i="19"/>
  <c r="Q18" i="19" s="1"/>
  <c r="R19" i="19" s="1"/>
  <c r="J23" i="19"/>
  <c r="Q36" i="19" s="1"/>
  <c r="R37" i="19" s="1"/>
  <c r="I28" i="19"/>
  <c r="Q90" i="19" s="1"/>
  <c r="R91" i="19" s="1"/>
  <c r="J47" i="19"/>
  <c r="Q92" i="19" s="1"/>
  <c r="R93" i="19" s="1"/>
  <c r="I15" i="19"/>
  <c r="Q46" i="19" s="1"/>
  <c r="R47" i="19" s="1"/>
  <c r="J29" i="19"/>
  <c r="Q48" i="19" s="1"/>
  <c r="R17" i="19"/>
  <c r="I6" i="19"/>
  <c r="I25" i="19"/>
  <c r="Q78" i="19" s="1"/>
  <c r="J41" i="19"/>
  <c r="Q80" i="19" s="1"/>
  <c r="R81" i="19" s="1"/>
  <c r="I29" i="19"/>
  <c r="J49" i="19"/>
  <c r="Q96" i="19" s="1"/>
  <c r="I19" i="19"/>
  <c r="J33" i="19"/>
  <c r="Q60" i="19" s="1"/>
  <c r="I13" i="19"/>
  <c r="Q38" i="19" s="1"/>
  <c r="R39" i="19" s="1"/>
  <c r="J25" i="19"/>
  <c r="I20" i="19"/>
  <c r="J35" i="19"/>
  <c r="Q64" i="19" s="1"/>
  <c r="R65" i="19" s="1"/>
  <c r="I14" i="19"/>
  <c r="Q42" i="19" s="1"/>
  <c r="R43" i="19" s="1"/>
  <c r="I26" i="19"/>
  <c r="Y27" i="19" s="1"/>
  <c r="Z3" i="19"/>
  <c r="AA3" i="19" s="1"/>
  <c r="J39" i="19"/>
  <c r="Q72" i="19" s="1"/>
  <c r="R73" i="19" s="1"/>
  <c r="J21" i="19"/>
  <c r="S9" i="19" l="1"/>
  <c r="Y5" i="19" s="1"/>
  <c r="Q14" i="19"/>
  <c r="R5" i="19"/>
  <c r="R7" i="19"/>
  <c r="S91" i="19"/>
  <c r="S35" i="19"/>
  <c r="S67" i="19"/>
  <c r="R67" i="19"/>
  <c r="S87" i="19"/>
  <c r="R87" i="19"/>
  <c r="R33" i="19"/>
  <c r="Q32" i="19"/>
  <c r="R55" i="19"/>
  <c r="S55" i="19"/>
  <c r="S79" i="19"/>
  <c r="R79" i="19"/>
  <c r="R97" i="19"/>
  <c r="Q82" i="19"/>
  <c r="R83" i="19" s="1"/>
  <c r="Q94" i="19"/>
  <c r="R95" i="19" s="1"/>
  <c r="R11" i="19"/>
  <c r="R41" i="19"/>
  <c r="Q40" i="19"/>
  <c r="R49" i="19"/>
  <c r="Z4" i="19"/>
  <c r="R61" i="19"/>
  <c r="R15" i="19" l="1"/>
  <c r="S17" i="19"/>
  <c r="X7" i="19" s="1"/>
  <c r="Y34" i="19"/>
  <c r="X34" i="19"/>
  <c r="Z5" i="19"/>
  <c r="AA4" i="19"/>
  <c r="Z35" i="19" l="1"/>
  <c r="Z34" i="19"/>
  <c r="Z6" i="19"/>
  <c r="AA5" i="19"/>
  <c r="Z7" i="19" l="1"/>
  <c r="AA6" i="19"/>
  <c r="Z8" i="19" l="1"/>
  <c r="AA7" i="19"/>
  <c r="Z9" i="19" l="1"/>
  <c r="AA8" i="19"/>
  <c r="AA9" i="19" l="1"/>
  <c r="Z10" i="19"/>
  <c r="Z11" i="19" l="1"/>
  <c r="AA10" i="19"/>
  <c r="Z12" i="19" l="1"/>
  <c r="AA11" i="19"/>
  <c r="Z13" i="19" l="1"/>
  <c r="AA12" i="19"/>
  <c r="Z14" i="19" l="1"/>
  <c r="AA13" i="19"/>
  <c r="Z15" i="19" l="1"/>
  <c r="AA14" i="19"/>
  <c r="AA15" i="19" l="1"/>
  <c r="Z16" i="19"/>
  <c r="Z17" i="19" l="1"/>
  <c r="AA16" i="19"/>
  <c r="Z18" i="19" l="1"/>
  <c r="AA17" i="19"/>
  <c r="Z19" i="19" l="1"/>
  <c r="AA18" i="19"/>
  <c r="Z20" i="19" l="1"/>
  <c r="AA19" i="19"/>
  <c r="Z21" i="19" l="1"/>
  <c r="AA20" i="19"/>
  <c r="AA21" i="19" l="1"/>
  <c r="Z22" i="19"/>
  <c r="Z23" i="19" l="1"/>
  <c r="AA22" i="19"/>
  <c r="Z24" i="19" l="1"/>
  <c r="AA23" i="19"/>
  <c r="AA24" i="19" l="1"/>
  <c r="Z25" i="19"/>
  <c r="Z26" i="19" l="1"/>
  <c r="AA25" i="19"/>
  <c r="AA26" i="19" l="1"/>
  <c r="Z27" i="19"/>
  <c r="AA27" i="19" l="1"/>
  <c r="Z28" i="19"/>
  <c r="Z29" i="19" l="1"/>
  <c r="AA28" i="19"/>
  <c r="Z30" i="19" l="1"/>
  <c r="AA29" i="19"/>
  <c r="Z31" i="19" l="1"/>
  <c r="AA30" i="19"/>
  <c r="Z32" i="19" l="1"/>
  <c r="AA31" i="19"/>
  <c r="AA32" i="19" l="1"/>
  <c r="Z33" i="19"/>
  <c r="AA33" i="19" s="1"/>
  <c r="AA20" i="10" l="1"/>
  <c r="R68" i="10"/>
  <c r="S69" i="10" s="1"/>
  <c r="Q94" i="10"/>
  <c r="Q95" i="10" s="1"/>
  <c r="Q70" i="10"/>
  <c r="Q71" i="10" s="1"/>
  <c r="Q62" i="10"/>
  <c r="Q63" i="10" s="1"/>
  <c r="R90" i="10"/>
  <c r="S91" i="10" s="1"/>
  <c r="Q90" i="10"/>
  <c r="Q91" i="10" s="1"/>
  <c r="S87" i="10"/>
  <c r="R86" i="10" s="1"/>
  <c r="Q86" i="10"/>
  <c r="Q87" i="10" s="1"/>
  <c r="Q82" i="10"/>
  <c r="Q83" i="10" s="1"/>
  <c r="Q78" i="10"/>
  <c r="Q79" i="10" s="1"/>
  <c r="Q74" i="10"/>
  <c r="Q75" i="10" s="1"/>
  <c r="Q66" i="10"/>
  <c r="Q67" i="10" s="1"/>
  <c r="E21" i="10"/>
  <c r="H22" i="10" s="1"/>
  <c r="I22" i="10" s="1"/>
  <c r="R80" i="10" s="1"/>
  <c r="S81" i="10" s="1"/>
  <c r="E22" i="10"/>
  <c r="H23" i="10" s="1"/>
  <c r="I23" i="10" s="1"/>
  <c r="R84" i="10" s="1"/>
  <c r="S85" i="10" s="1"/>
  <c r="E23" i="10"/>
  <c r="H24" i="10" s="1"/>
  <c r="I24" i="10" s="1"/>
  <c r="R88" i="10" s="1"/>
  <c r="S89" i="10" s="1"/>
  <c r="E24" i="10"/>
  <c r="H25" i="10" s="1"/>
  <c r="E25" i="10"/>
  <c r="Z24" i="10" l="1"/>
  <c r="Z25" i="10"/>
  <c r="I25" i="10"/>
  <c r="R92" i="10" s="1"/>
  <c r="Q92" i="10"/>
  <c r="Q88" i="10"/>
  <c r="Q89" i="10" s="1"/>
  <c r="Q84" i="10"/>
  <c r="Q85" i="10" s="1"/>
  <c r="Q80" i="10"/>
  <c r="Q81" i="10" s="1"/>
  <c r="Q93" i="10" l="1"/>
  <c r="S93" i="10"/>
  <c r="E4" i="10"/>
  <c r="G4" i="10"/>
  <c r="K4" i="10" s="1"/>
  <c r="L4" i="10"/>
  <c r="J46" i="10"/>
  <c r="J45" i="10" s="1"/>
  <c r="J44" i="10"/>
  <c r="J43" i="10" s="1"/>
  <c r="J42" i="10"/>
  <c r="J41" i="10" s="1"/>
  <c r="R94" i="10" s="1"/>
  <c r="S95" i="10" s="1"/>
  <c r="T95" i="10" s="1"/>
  <c r="AA26" i="10" s="1"/>
  <c r="J40" i="10"/>
  <c r="J39" i="10" s="1"/>
  <c r="R82" i="10" s="1"/>
  <c r="S83" i="10" s="1"/>
  <c r="T83" i="10" s="1"/>
  <c r="Z23" i="10" s="1"/>
  <c r="J38" i="10"/>
  <c r="J36" i="10"/>
  <c r="J34" i="10"/>
  <c r="J32" i="10"/>
  <c r="M4" i="10" l="1"/>
  <c r="Q38" i="10" l="1"/>
  <c r="Q39" i="10" s="1"/>
  <c r="Q10" i="10"/>
  <c r="L5" i="10"/>
  <c r="G19" i="10" l="1"/>
  <c r="G11" i="10"/>
  <c r="Q36" i="10" s="1"/>
  <c r="K6" i="10" l="1"/>
  <c r="Q68" i="10"/>
  <c r="Q69" i="10" s="1"/>
  <c r="Q8" i="10"/>
  <c r="Q11" i="10"/>
  <c r="M6" i="10" l="1"/>
  <c r="R70" i="10" s="1"/>
  <c r="S71" i="10" s="1"/>
  <c r="T71" i="10" s="1"/>
  <c r="K5" i="10"/>
  <c r="H2" i="10"/>
  <c r="E17" i="10"/>
  <c r="J31" i="10" s="1"/>
  <c r="R62" i="10" s="1"/>
  <c r="S63" i="10" s="1"/>
  <c r="E18" i="10"/>
  <c r="H19" i="10" s="1"/>
  <c r="E19" i="10"/>
  <c r="E20" i="10"/>
  <c r="I14" i="17"/>
  <c r="I18" i="17"/>
  <c r="I22" i="17"/>
  <c r="I26" i="17"/>
  <c r="I28" i="17"/>
  <c r="I30" i="17"/>
  <c r="I22" i="16"/>
  <c r="I18" i="16"/>
  <c r="J3" i="16"/>
  <c r="H3" i="16"/>
  <c r="J31" i="16"/>
  <c r="J29" i="16"/>
  <c r="J27" i="16"/>
  <c r="I14" i="16"/>
  <c r="I12" i="16"/>
  <c r="I10" i="16"/>
  <c r="I8" i="16"/>
  <c r="I6" i="16"/>
  <c r="I4" i="16"/>
  <c r="J23" i="17" l="1"/>
  <c r="J9" i="17"/>
  <c r="J19" i="17"/>
  <c r="J25" i="17"/>
  <c r="H3" i="17"/>
  <c r="J27" i="17"/>
  <c r="J29" i="17"/>
  <c r="J31" i="17"/>
  <c r="H17" i="16"/>
  <c r="H19" i="16"/>
  <c r="I24" i="16"/>
  <c r="H5" i="16"/>
  <c r="H7" i="16"/>
  <c r="H23" i="16"/>
  <c r="H9" i="16"/>
  <c r="H25" i="16"/>
  <c r="J19" i="16"/>
  <c r="H11" i="16"/>
  <c r="H27" i="16"/>
  <c r="H13" i="16"/>
  <c r="H29" i="16"/>
  <c r="J9" i="16"/>
  <c r="J23" i="16"/>
  <c r="H15" i="16"/>
  <c r="H31" i="16"/>
  <c r="I19" i="10"/>
  <c r="R64" i="10" s="1"/>
  <c r="Q64" i="10"/>
  <c r="Q65" i="10" s="1"/>
  <c r="H21" i="10"/>
  <c r="J37" i="10"/>
  <c r="R78" i="10" s="1"/>
  <c r="S79" i="10" s="1"/>
  <c r="H20" i="10"/>
  <c r="Q72" i="10" s="1"/>
  <c r="Q73" i="10" s="1"/>
  <c r="J35" i="10"/>
  <c r="R74" i="10" s="1"/>
  <c r="S75" i="10" s="1"/>
  <c r="J33" i="10"/>
  <c r="R66" i="10" s="1"/>
  <c r="S67" i="10" s="1"/>
  <c r="H18" i="10"/>
  <c r="S37" i="10"/>
  <c r="R36" i="10" s="1"/>
  <c r="M5" i="10"/>
  <c r="S39" i="10" s="1"/>
  <c r="S9" i="10"/>
  <c r="S11" i="10"/>
  <c r="R10" i="10" s="1"/>
  <c r="Q37" i="10"/>
  <c r="Q9" i="10"/>
  <c r="I20" i="10"/>
  <c r="R72" i="10" s="1"/>
  <c r="J7" i="17"/>
  <c r="J3" i="17"/>
  <c r="I20" i="16"/>
  <c r="J17" i="17"/>
  <c r="J11" i="17"/>
  <c r="J15" i="17"/>
  <c r="J5" i="17"/>
  <c r="J13" i="17"/>
  <c r="I20" i="17"/>
  <c r="J11" i="16"/>
  <c r="J13" i="16"/>
  <c r="J5" i="16"/>
  <c r="J15" i="16"/>
  <c r="J7" i="16"/>
  <c r="J17" i="16"/>
  <c r="J21" i="16" l="1"/>
  <c r="J25" i="16"/>
  <c r="J21" i="17"/>
  <c r="S73" i="10"/>
  <c r="T75" i="10"/>
  <c r="Z21" i="10" s="1"/>
  <c r="S65" i="10"/>
  <c r="T67" i="10"/>
  <c r="Z20" i="10" s="1"/>
  <c r="I21" i="10"/>
  <c r="R76" i="10" s="1"/>
  <c r="Q76" i="10"/>
  <c r="Q77" i="10" s="1"/>
  <c r="I18" i="10"/>
  <c r="Q60" i="10"/>
  <c r="Q61" i="10" s="1"/>
  <c r="T39" i="10"/>
  <c r="AA12" i="10" s="1"/>
  <c r="R38" i="10"/>
  <c r="R8" i="10"/>
  <c r="T11" i="10"/>
  <c r="AA5" i="10" s="1"/>
  <c r="AA34" i="10" s="1"/>
  <c r="S77" i="10" l="1"/>
  <c r="T79" i="10"/>
  <c r="Z22" i="10" s="1"/>
  <c r="R60" i="10"/>
  <c r="S61" i="10" l="1"/>
  <c r="T63" i="10"/>
  <c r="Z19" i="10" s="1"/>
  <c r="Q54" i="10" l="1"/>
  <c r="Q50" i="10"/>
  <c r="Q46" i="10"/>
  <c r="Q42" i="10"/>
  <c r="Q34" i="10"/>
  <c r="Q26" i="10"/>
  <c r="Q22" i="10"/>
  <c r="Q18" i="10"/>
  <c r="Q14" i="10"/>
  <c r="Q15" i="10" l="1"/>
  <c r="Q27" i="10"/>
  <c r="Q19" i="10"/>
  <c r="Q35" i="10"/>
  <c r="Q23" i="10"/>
  <c r="Q43" i="10"/>
  <c r="Q55" i="10"/>
  <c r="Q47" i="10"/>
  <c r="Q51" i="10"/>
  <c r="E2" i="10"/>
  <c r="J30" i="10" l="1"/>
  <c r="J28" i="10"/>
  <c r="J26" i="10"/>
  <c r="J24" i="10"/>
  <c r="E12" i="10"/>
  <c r="E13" i="10"/>
  <c r="E14" i="10"/>
  <c r="E15" i="10"/>
  <c r="E16" i="10"/>
  <c r="H17" i="10" l="1"/>
  <c r="Q58" i="10" s="1"/>
  <c r="I17" i="10" l="1"/>
  <c r="R58" i="10" s="1"/>
  <c r="Q59" i="10"/>
  <c r="H13" i="10"/>
  <c r="Q44" i="10" s="1"/>
  <c r="H15" i="10"/>
  <c r="Q52" i="10" s="1"/>
  <c r="H16" i="10"/>
  <c r="Q56" i="10" s="1"/>
  <c r="H14" i="10"/>
  <c r="J25" i="10"/>
  <c r="S47" i="10" s="1"/>
  <c r="R46" i="10" s="1"/>
  <c r="J27" i="10"/>
  <c r="R50" i="10" s="1"/>
  <c r="J29" i="10"/>
  <c r="R54" i="10" s="1"/>
  <c r="I15" i="10" l="1"/>
  <c r="R52" i="10" s="1"/>
  <c r="Z18" i="10"/>
  <c r="S59" i="10"/>
  <c r="I13" i="10"/>
  <c r="R44" i="10" s="1"/>
  <c r="T47" i="10" s="1"/>
  <c r="Z14" i="10" s="1"/>
  <c r="I14" i="10"/>
  <c r="R48" i="10" s="1"/>
  <c r="S49" i="10" s="1"/>
  <c r="Q48" i="10"/>
  <c r="Q49" i="10" s="1"/>
  <c r="I16" i="10"/>
  <c r="R56" i="10" s="1"/>
  <c r="Z17" i="10" s="1"/>
  <c r="Q45" i="10"/>
  <c r="S53" i="10"/>
  <c r="S51" i="10"/>
  <c r="S55" i="10"/>
  <c r="Q53" i="10"/>
  <c r="T51" i="10"/>
  <c r="Z15" i="10" s="1"/>
  <c r="T55" i="10"/>
  <c r="Z16" i="10" s="1"/>
  <c r="J22" i="10"/>
  <c r="J20" i="10"/>
  <c r="J18" i="10"/>
  <c r="J16" i="10"/>
  <c r="J14" i="10"/>
  <c r="E11" i="10"/>
  <c r="E10" i="10"/>
  <c r="E9" i="10"/>
  <c r="E8" i="10"/>
  <c r="E7" i="10"/>
  <c r="E6" i="10"/>
  <c r="E5" i="10"/>
  <c r="E3" i="10"/>
  <c r="N2" i="10"/>
  <c r="Q2" i="10" s="1"/>
  <c r="I2" i="10"/>
  <c r="R2" i="10" s="1"/>
  <c r="S57" i="10" l="1"/>
  <c r="S45" i="10"/>
  <c r="Q57" i="10"/>
  <c r="H3" i="10"/>
  <c r="Q4" i="10" s="1"/>
  <c r="Z3" i="10"/>
  <c r="S3" i="10"/>
  <c r="H4" i="10"/>
  <c r="I4" i="10" s="1"/>
  <c r="I3" i="10" l="1"/>
  <c r="R4" i="10" s="1"/>
  <c r="Z4" i="10" s="1"/>
  <c r="Q3" i="10"/>
  <c r="Q5" i="10"/>
  <c r="H6" i="10"/>
  <c r="Q16" i="10" s="1"/>
  <c r="H11" i="10"/>
  <c r="Q32" i="10" s="1"/>
  <c r="H5" i="10"/>
  <c r="Q12" i="10" s="1"/>
  <c r="Q6" i="10"/>
  <c r="H10" i="10"/>
  <c r="J17" i="10"/>
  <c r="R22" i="10" s="1"/>
  <c r="H7" i="10"/>
  <c r="Q20" i="10" s="1"/>
  <c r="H9" i="10"/>
  <c r="J19" i="10"/>
  <c r="S27" i="10" s="1"/>
  <c r="H8" i="10"/>
  <c r="Q24" i="10" s="1"/>
  <c r="J23" i="10"/>
  <c r="R42" i="10" s="1"/>
  <c r="H12" i="10"/>
  <c r="Q40" i="10" s="1"/>
  <c r="J13" i="10"/>
  <c r="R14" i="10" s="1"/>
  <c r="J21" i="10"/>
  <c r="R34" i="10" s="1"/>
  <c r="U38" i="10" s="1"/>
  <c r="J15" i="10"/>
  <c r="R18" i="10" s="1"/>
  <c r="AB3" i="10"/>
  <c r="AB4" i="10" l="1"/>
  <c r="AC4" i="10" s="1"/>
  <c r="I11" i="10"/>
  <c r="S33" i="10" s="1"/>
  <c r="R32" i="10" s="1"/>
  <c r="T35" i="10" s="1"/>
  <c r="S5" i="10"/>
  <c r="S7" i="10"/>
  <c r="R6" i="10" s="1"/>
  <c r="R26" i="10"/>
  <c r="I10" i="10"/>
  <c r="R30" i="10" s="1"/>
  <c r="Z11" i="10" s="1"/>
  <c r="Q30" i="10"/>
  <c r="Q31" i="10" s="1"/>
  <c r="I9" i="10"/>
  <c r="R28" i="10" s="1"/>
  <c r="S29" i="10" s="1"/>
  <c r="Q28" i="10"/>
  <c r="I6" i="10"/>
  <c r="R16" i="10" s="1"/>
  <c r="Q17" i="10"/>
  <c r="I7" i="10"/>
  <c r="R20" i="10" s="1"/>
  <c r="S43" i="10"/>
  <c r="Q25" i="10"/>
  <c r="Q41" i="10"/>
  <c r="S19" i="10"/>
  <c r="I8" i="10"/>
  <c r="R24" i="10" s="1"/>
  <c r="Q33" i="10"/>
  <c r="Q21" i="10"/>
  <c r="S15" i="10"/>
  <c r="S23" i="10"/>
  <c r="S35" i="10"/>
  <c r="I5" i="10"/>
  <c r="R12" i="10" s="1"/>
  <c r="I12" i="10"/>
  <c r="R40" i="10" s="1"/>
  <c r="AC3" i="10"/>
  <c r="S31" i="10" l="1"/>
  <c r="T19" i="10"/>
  <c r="Z7" i="10" s="1"/>
  <c r="Z10" i="10"/>
  <c r="S17" i="10"/>
  <c r="Z12" i="10"/>
  <c r="Q29" i="10"/>
  <c r="S21" i="10"/>
  <c r="T23" i="10"/>
  <c r="Z8" i="10" s="1"/>
  <c r="T43" i="10"/>
  <c r="Z13" i="10" s="1"/>
  <c r="Z5" i="10"/>
  <c r="S13" i="10"/>
  <c r="Q7" i="10"/>
  <c r="S25" i="10"/>
  <c r="T27" i="10"/>
  <c r="Z9" i="10" s="1"/>
  <c r="Q13" i="10"/>
  <c r="T15" i="10"/>
  <c r="Z6" i="10" s="1"/>
  <c r="S41" i="10"/>
  <c r="AB5" i="10" l="1"/>
  <c r="Z34" i="10"/>
  <c r="AC5" i="10"/>
  <c r="AB6" i="10"/>
  <c r="AB34" i="10" l="1"/>
  <c r="AB35" i="10"/>
  <c r="AB7" i="10"/>
  <c r="AC6" i="10"/>
  <c r="AC7" i="10" l="1"/>
  <c r="AB8" i="10"/>
  <c r="AB9" i="10" l="1"/>
  <c r="AC8" i="10"/>
  <c r="AB10" i="10" l="1"/>
  <c r="AC9" i="10"/>
  <c r="AC10" i="10" l="1"/>
  <c r="AB11" i="10"/>
  <c r="AB12" i="10" l="1"/>
  <c r="AC11" i="10"/>
  <c r="AC12" i="10" l="1"/>
  <c r="AB13" i="10"/>
  <c r="AB14" i="10" l="1"/>
  <c r="AC13" i="10"/>
  <c r="AB15" i="10" l="1"/>
  <c r="AC14" i="10"/>
  <c r="AB16" i="10" l="1"/>
  <c r="AC15" i="10"/>
  <c r="AB17" i="10" l="1"/>
  <c r="AC16" i="10"/>
  <c r="AC17" i="10" l="1"/>
  <c r="AB18" i="10"/>
  <c r="AB19" i="10" l="1"/>
  <c r="AC18" i="10"/>
  <c r="AB20" i="10" l="1"/>
  <c r="AC19" i="10"/>
  <c r="AB21" i="10" l="1"/>
  <c r="AC20" i="10"/>
  <c r="AB22" i="10" l="1"/>
  <c r="AC21" i="10"/>
  <c r="AB23" i="10" l="1"/>
  <c r="AC22" i="10"/>
  <c r="AB24" i="10" l="1"/>
  <c r="AC23" i="10"/>
  <c r="AB25" i="10" l="1"/>
  <c r="AC24" i="10"/>
  <c r="AB26" i="10" l="1"/>
  <c r="AC25" i="10"/>
  <c r="AB27" i="10" l="1"/>
  <c r="AC26" i="10"/>
  <c r="AB28" i="10" l="1"/>
  <c r="AC27" i="10"/>
  <c r="AB29" i="10" l="1"/>
  <c r="AC28" i="10"/>
  <c r="AB30" i="10" l="1"/>
  <c r="AC29" i="10"/>
  <c r="AB31" i="10" l="1"/>
  <c r="AC30" i="10"/>
  <c r="AB32" i="10" l="1"/>
  <c r="AC31" i="10"/>
  <c r="AB33" i="10" l="1"/>
  <c r="AC33" i="10" s="1"/>
  <c r="AC32" i="10"/>
</calcChain>
</file>

<file path=xl/sharedStrings.xml><?xml version="1.0" encoding="utf-8"?>
<sst xmlns="http://schemas.openxmlformats.org/spreadsheetml/2006/main" count="3275" uniqueCount="162">
  <si>
    <t>Fecha</t>
  </si>
  <si>
    <t>T/C</t>
  </si>
  <si>
    <t>Partner D-LOCAL LLP PEN</t>
  </si>
  <si>
    <t>S.Final CLP</t>
  </si>
  <si>
    <t>S.Diario CLP</t>
  </si>
  <si>
    <t>D</t>
  </si>
  <si>
    <t>H</t>
  </si>
  <si>
    <t>Comprobante</t>
  </si>
  <si>
    <t>Glosa</t>
  </si>
  <si>
    <t>Documento</t>
  </si>
  <si>
    <t>Debe</t>
  </si>
  <si>
    <t>Haber</t>
  </si>
  <si>
    <t>Saldo</t>
  </si>
  <si>
    <t>Cuenta</t>
  </si>
  <si>
    <t>Saldo Inicial al 01/01/2023</t>
  </si>
  <si>
    <t>Subtotal</t>
  </si>
  <si>
    <t>Saldo del periodo</t>
  </si>
  <si>
    <t>Saldo Final al 01/01/2023</t>
  </si>
  <si>
    <t>Operaciones Transitorias</t>
  </si>
  <si>
    <t>S. Inicial USD</t>
  </si>
  <si>
    <t>S.Final USD</t>
  </si>
  <si>
    <t>S.Diario USD</t>
  </si>
  <si>
    <t>Partner PayCash</t>
  </si>
  <si>
    <t>S. Inicial MXN</t>
  </si>
  <si>
    <t>S.Final MXN</t>
  </si>
  <si>
    <t>Ajuste por Tipo de Cambio</t>
  </si>
  <si>
    <t>Transbank x Cobrar</t>
  </si>
  <si>
    <t xml:space="preserve">S.Diario </t>
  </si>
  <si>
    <t>Rescate USD</t>
  </si>
  <si>
    <t>S.Diario Sin rescate MXN</t>
  </si>
  <si>
    <t>Rescate MXN</t>
  </si>
  <si>
    <t>Mov en Tránsito Otros Partner</t>
  </si>
  <si>
    <t>Rescate</t>
  </si>
  <si>
    <t>me faltaro este ajuste T/C</t>
  </si>
  <si>
    <t>Partner FacilitaPay</t>
  </si>
  <si>
    <t>Mov en Tránsito Facilita Pay</t>
  </si>
  <si>
    <t>RESCATE USD</t>
  </si>
  <si>
    <t>RESCATE CLP</t>
  </si>
  <si>
    <t>CLP</t>
  </si>
  <si>
    <t>Partner</t>
  </si>
  <si>
    <t>libro mayor</t>
  </si>
  <si>
    <t>31-01 OK</t>
  </si>
  <si>
    <t>29-02-2023</t>
  </si>
  <si>
    <t>30-02-2023</t>
  </si>
  <si>
    <t>31-02-2023</t>
  </si>
  <si>
    <t>Banco Estado</t>
  </si>
  <si>
    <t>Banco BCI CLP 10701648</t>
  </si>
  <si>
    <t xml:space="preserve">Recaudacion por Clientes Banco BCI </t>
  </si>
  <si>
    <t>Recaudacion por Operaciones Rechazadas</t>
  </si>
  <si>
    <t>Recaudacion por Otros Banco BCI Adm</t>
  </si>
  <si>
    <t>Fondeo BICE  CLP</t>
  </si>
  <si>
    <t>Banco Bice CLP 1359827</t>
  </si>
  <si>
    <t xml:space="preserve">Pago de Operaciones Locales CLP </t>
  </si>
  <si>
    <t>TBK</t>
  </si>
  <si>
    <t>KHIPU</t>
  </si>
  <si>
    <t>Banco BCI CLP 10701656</t>
  </si>
  <si>
    <t>GLOSA ENCABEZADO</t>
  </si>
  <si>
    <t>Banco BCI CLP 10708553</t>
  </si>
  <si>
    <t xml:space="preserve">Pago Otros Bancos Global66 </t>
  </si>
  <si>
    <t>Banco Bice USD</t>
  </si>
  <si>
    <t>TC</t>
  </si>
  <si>
    <t>Banco Community Federal Savings Bank 1126</t>
  </si>
  <si>
    <t>Liquidación de Corresponsal</t>
  </si>
  <si>
    <t>Vector USD</t>
  </si>
  <si>
    <t>Banco JP Morgan USD</t>
  </si>
  <si>
    <t>VECTOR USD</t>
  </si>
  <si>
    <t>JP MORGAN</t>
  </si>
  <si>
    <t>CFSB 1126</t>
  </si>
  <si>
    <t>CFSB 0809</t>
  </si>
  <si>
    <t>Banco Community Federal Savings Bank 0809</t>
  </si>
  <si>
    <t>-</t>
  </si>
  <si>
    <t>Banco Internacional (Cuenta de Orden)</t>
  </si>
  <si>
    <t>FECHA</t>
  </si>
  <si>
    <t>SALDOS</t>
  </si>
  <si>
    <t>Banco Estado recaudacion cliente</t>
  </si>
  <si>
    <t>Banco Estado pago otros bancos g66</t>
  </si>
  <si>
    <t>Pago Otros Bancos Global66 bco. bci 656</t>
  </si>
  <si>
    <t>*Fondeo a bco bci 656</t>
  </si>
  <si>
    <t>Recaudación por Transbank</t>
  </si>
  <si>
    <t>Recaudación por Khipu</t>
  </si>
  <si>
    <t>BICE COMPRA DOLARES</t>
  </si>
  <si>
    <t>TC BICE COMPRA DOLARES</t>
  </si>
  <si>
    <t>DOLARES</t>
  </si>
  <si>
    <t>BICE FONDEO DOLARES NIUM</t>
  </si>
  <si>
    <t>FONDEO NIUM</t>
  </si>
  <si>
    <t>TC BICE FONDEO DOLARES nium</t>
  </si>
  <si>
    <t>BICE FONDEO DOLARES NIUM PESOS</t>
  </si>
  <si>
    <t>Mov. En Transito NIUM</t>
  </si>
  <si>
    <t>FONDEO FACILITA</t>
  </si>
  <si>
    <t xml:space="preserve">Mov en Tránsito Facilita Pay	</t>
  </si>
  <si>
    <t>TC BICE FONDEO DOLARES facilita</t>
  </si>
  <si>
    <t>BICE FONDEO DOLARES facilita PESOS</t>
  </si>
  <si>
    <t>BICE FONDEO DOLARESFacilita</t>
  </si>
  <si>
    <t>FONDEO COLOMBIA</t>
  </si>
  <si>
    <t>BICE FONDEO DOLARES Colombia</t>
  </si>
  <si>
    <t>TC BICE FONDEO DOLARES Colombia</t>
  </si>
  <si>
    <t>BICE FONDEO DOLARES Colombia PESOS</t>
  </si>
  <si>
    <t>Cuentas por Cobrar G81 Colombia SEDPE (Operativa Chile)</t>
  </si>
  <si>
    <t>BICE rescate dlocal</t>
  </si>
  <si>
    <t>TC BICE rescate dlocal</t>
  </si>
  <si>
    <t>BICE rescate dlocal PESOS</t>
  </si>
  <si>
    <t>RESCATE DLOCAL</t>
  </si>
  <si>
    <t>Mov en Tránsito Dlocal</t>
  </si>
  <si>
    <t>BICE USD</t>
  </si>
  <si>
    <t>Banco Community Federal Savings Bank 0497</t>
  </si>
  <si>
    <t>Bco. Inter</t>
  </si>
  <si>
    <t>Banco Internacional USD</t>
  </si>
  <si>
    <t>CSFB 2475</t>
  </si>
  <si>
    <t>Mov en Tránsito NIUM</t>
  </si>
  <si>
    <t>CFSB 2475</t>
  </si>
  <si>
    <t>Banco Community Federal Savings Bank 2475</t>
  </si>
  <si>
    <t>CFSB 1557</t>
  </si>
  <si>
    <t>Banco Community Federal Savings Bank 1557</t>
  </si>
  <si>
    <t>Fondeo NIUM</t>
  </si>
  <si>
    <t>AJUSTE TC BANCO BICE</t>
  </si>
  <si>
    <t>Recaudación 553</t>
  </si>
  <si>
    <t>Banco Estado pago bice</t>
  </si>
  <si>
    <t>Banco BICE</t>
  </si>
  <si>
    <t>CARGA WALLET</t>
  </si>
  <si>
    <t>Carga wallets</t>
  </si>
  <si>
    <t>Wallet Tesoreria CLP</t>
  </si>
  <si>
    <t>INTER. CTA ORDEN COMPRA USD</t>
  </si>
  <si>
    <t>TC INTER. CTA COMPRA DOLARES</t>
  </si>
  <si>
    <t>INTER. CTA ORDEN FONDEO CFSB</t>
  </si>
  <si>
    <t>TC INTER. CTA FONDEO CFSB</t>
  </si>
  <si>
    <t>Compra USD INTER. CTA ORDEN</t>
  </si>
  <si>
    <t>FONDEO CFSB CTA ORDEN</t>
  </si>
  <si>
    <t>INTER. CTA ORDEN FONDEO JP COLOMBIA</t>
  </si>
  <si>
    <t>TC INTER. CTA FONDEO JP COLOMBIA</t>
  </si>
  <si>
    <t xml:space="preserve">Cuentas por Cobrar G81 Colombia SEDPE (Operativa Chile)	</t>
  </si>
  <si>
    <t>INTER. CTA ORDEN FONDEO FACILITA</t>
  </si>
  <si>
    <t>Banco BICE Cta. Liquidacion GC</t>
  </si>
  <si>
    <t>Fondeo Compra USD MBI</t>
  </si>
  <si>
    <t>TC COMPRA USD MBI</t>
  </si>
  <si>
    <t xml:space="preserve">Recaudacion por Compra USD MBI  </t>
  </si>
  <si>
    <t>Recaudacion por Compra USD MBI   CLP</t>
  </si>
  <si>
    <t>MBI FONDEO DOLARES NIUM</t>
  </si>
  <si>
    <t>TC MBI FONDEO DOLARES NIUM</t>
  </si>
  <si>
    <t>MBI FONDEO DOLARES NIUM CLP</t>
  </si>
  <si>
    <t>MBI CLP</t>
  </si>
  <si>
    <t>MBI USD</t>
  </si>
  <si>
    <t>MBI FONDEO DOLARES Colombia</t>
  </si>
  <si>
    <t>TC MBI FONDEO DOLARES Colombia</t>
  </si>
  <si>
    <t>MBI FONDEO DOLARES Colombia CLP</t>
  </si>
  <si>
    <t>Banco BCI CLP 10702656</t>
  </si>
  <si>
    <t>Banco BCI CLP 10702648</t>
  </si>
  <si>
    <t>MBI FONDEO DOLARES Multibank</t>
  </si>
  <si>
    <t>TC MBI FONDEO DOLARES Multibank</t>
  </si>
  <si>
    <t>MBI FONDEO DOLARES Multibank CLP</t>
  </si>
  <si>
    <t>MBI FONDEO DOLARES bice</t>
  </si>
  <si>
    <t>TC MBI FONDEO DOLARES bice</t>
  </si>
  <si>
    <t>MBI FONDEO DOLARES bice CLP</t>
  </si>
  <si>
    <t>MBI FONDEO DOLARES Facilita</t>
  </si>
  <si>
    <t>TC MBI FONDEO DOLARES Facilita</t>
  </si>
  <si>
    <t>MBI FONDEO DOLARES Facilita CLP</t>
  </si>
  <si>
    <t>31-04-2024</t>
  </si>
  <si>
    <t>BICE FONDEO DOLARES OZ Cambio</t>
  </si>
  <si>
    <t>TC BICE FONDEO DOLARES OZ Cambio</t>
  </si>
  <si>
    <t>BICE FONDEO DOLARES MBI</t>
  </si>
  <si>
    <t>TC BICE FONDEO DOLARES MBI</t>
  </si>
  <si>
    <t>MOV. EN TRÁNSITO OZ CAMBIOS</t>
  </si>
  <si>
    <t>31/06/2024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</si>
</sst>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??_ ;_ @_ "/>
    <numFmt numFmtId="166" formatCode="_ * #,##0.00_ ;_ * \-#,##0.00_ ;_ * &quot;-&quot;_ ;_ @_ "/>
    <numFmt numFmtId="167" formatCode="_ * #,##0.0_ ;_ * \-#,##0.0_ ;_ 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C9FF"/>
        <bgColor indexed="64"/>
      </patternFill>
    </fill>
    <fill>
      <patternFill patternType="solid">
        <fgColor rgb="FFE6D4F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9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1" applyFont="1"/>
    <xf numFmtId="0" fontId="0" fillId="0" borderId="3" xfId="0" applyBorder="1"/>
    <xf numFmtId="1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1" xfId="0" applyBorder="1"/>
    <xf numFmtId="164" fontId="0" fillId="0" borderId="1" xfId="0" applyNumberFormat="1" applyBorder="1"/>
    <xf numFmtId="0" fontId="0" fillId="0" borderId="8" xfId="0" applyBorder="1"/>
    <xf numFmtId="1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0" fontId="0" fillId="0" borderId="6" xfId="0" applyBorder="1"/>
    <xf numFmtId="0" fontId="0" fillId="0" borderId="5" xfId="0" applyBorder="1"/>
    <xf numFmtId="2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3" fillId="0" borderId="0" xfId="0" applyNumberFormat="1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164" fontId="5" fillId="0" borderId="0" xfId="1" applyFont="1"/>
    <xf numFmtId="165" fontId="0" fillId="0" borderId="0" xfId="0" applyNumberFormat="1"/>
    <xf numFmtId="164" fontId="0" fillId="0" borderId="2" xfId="1" applyFont="1" applyBorder="1"/>
    <xf numFmtId="14" fontId="0" fillId="0" borderId="4" xfId="1" applyNumberFormat="1" applyFont="1" applyBorder="1"/>
    <xf numFmtId="2" fontId="0" fillId="0" borderId="8" xfId="0" applyNumberFormat="1" applyBorder="1"/>
    <xf numFmtId="2" fontId="0" fillId="0" borderId="7" xfId="0" applyNumberFormat="1" applyBorder="1"/>
    <xf numFmtId="164" fontId="0" fillId="0" borderId="2" xfId="0" applyNumberFormat="1" applyBorder="1"/>
    <xf numFmtId="14" fontId="0" fillId="0" borderId="4" xfId="0" applyNumberFormat="1" applyBorder="1"/>
    <xf numFmtId="14" fontId="0" fillId="0" borderId="6" xfId="1" applyNumberFormat="1" applyFont="1" applyBorder="1"/>
    <xf numFmtId="14" fontId="0" fillId="0" borderId="4" xfId="1" applyNumberFormat="1" applyFont="1" applyFill="1" applyBorder="1"/>
    <xf numFmtId="14" fontId="0" fillId="0" borderId="0" xfId="1" applyNumberFormat="1" applyFont="1" applyBorder="1"/>
    <xf numFmtId="14" fontId="0" fillId="0" borderId="0" xfId="1" applyNumberFormat="1" applyFont="1" applyFill="1" applyBorder="1"/>
    <xf numFmtId="14" fontId="0" fillId="0" borderId="7" xfId="0" applyNumberFormat="1" applyBorder="1"/>
    <xf numFmtId="3" fontId="0" fillId="0" borderId="0" xfId="0" applyNumberFormat="1"/>
    <xf numFmtId="0" fontId="0" fillId="0" borderId="0" xfId="0" applyAlignment="1">
      <alignment horizontal="right"/>
    </xf>
    <xf numFmtId="14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0" xfId="0" applyFill="1"/>
    <xf numFmtId="164" fontId="0" fillId="2" borderId="0" xfId="0" applyNumberFormat="1" applyFill="1"/>
    <xf numFmtId="164" fontId="0" fillId="2" borderId="6" xfId="0" applyNumberForma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8" fillId="0" borderId="0" xfId="1" applyFont="1"/>
    <xf numFmtId="14" fontId="8" fillId="0" borderId="0" xfId="0" applyNumberFormat="1" applyFont="1"/>
    <xf numFmtId="164" fontId="7" fillId="0" borderId="0" xfId="0" applyNumberFormat="1" applyFont="1"/>
    <xf numFmtId="164" fontId="7" fillId="0" borderId="0" xfId="1" applyFont="1"/>
    <xf numFmtId="166" fontId="0" fillId="0" borderId="0" xfId="1" applyNumberFormat="1" applyFont="1"/>
    <xf numFmtId="166" fontId="0" fillId="0" borderId="0" xfId="0" applyNumberFormat="1"/>
    <xf numFmtId="166" fontId="0" fillId="0" borderId="2" xfId="1" applyNumberFormat="1" applyFont="1" applyBorder="1"/>
    <xf numFmtId="166" fontId="0" fillId="0" borderId="2" xfId="0" applyNumberFormat="1" applyBorder="1"/>
    <xf numFmtId="166" fontId="3" fillId="0" borderId="0" xfId="1" applyNumberFormat="1" applyFont="1"/>
    <xf numFmtId="166" fontId="5" fillId="0" borderId="0" xfId="1" applyNumberFormat="1" applyFont="1"/>
    <xf numFmtId="166" fontId="5" fillId="0" borderId="0" xfId="0" applyNumberFormat="1" applyFont="1"/>
    <xf numFmtId="0" fontId="4" fillId="3" borderId="0" xfId="0" applyFont="1" applyFill="1"/>
    <xf numFmtId="164" fontId="4" fillId="3" borderId="0" xfId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0" fontId="4" fillId="4" borderId="0" xfId="0" applyFont="1" applyFill="1" applyAlignment="1">
      <alignment horizontal="center"/>
    </xf>
    <xf numFmtId="0" fontId="0" fillId="2" borderId="7" xfId="0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8" xfId="0" applyNumberFormat="1" applyFill="1" applyBorder="1"/>
    <xf numFmtId="0" fontId="0" fillId="0" borderId="0" xfId="0" applyAlignment="1">
      <alignment horizontal="left"/>
    </xf>
    <xf numFmtId="4" fontId="0" fillId="0" borderId="0" xfId="0" applyNumberFormat="1"/>
    <xf numFmtId="166" fontId="4" fillId="0" borderId="0" xfId="0" applyNumberFormat="1" applyFont="1"/>
    <xf numFmtId="0" fontId="4" fillId="0" borderId="0" xfId="0" applyFont="1"/>
    <xf numFmtId="164" fontId="4" fillId="0" borderId="2" xfId="1" applyFont="1" applyBorder="1"/>
    <xf numFmtId="14" fontId="4" fillId="0" borderId="4" xfId="1" applyNumberFormat="1" applyFont="1" applyBorder="1"/>
    <xf numFmtId="2" fontId="4" fillId="0" borderId="7" xfId="0" applyNumberFormat="1" applyFont="1" applyBorder="1"/>
    <xf numFmtId="2" fontId="4" fillId="0" borderId="8" xfId="0" applyNumberFormat="1" applyFont="1" applyBorder="1"/>
    <xf numFmtId="164" fontId="4" fillId="0" borderId="2" xfId="0" applyNumberFormat="1" applyFont="1" applyBorder="1"/>
    <xf numFmtId="0" fontId="4" fillId="0" borderId="8" xfId="0" applyFont="1" applyBorder="1"/>
    <xf numFmtId="0" fontId="4" fillId="0" borderId="7" xfId="0" applyFont="1" applyBorder="1"/>
    <xf numFmtId="14" fontId="4" fillId="0" borderId="4" xfId="0" applyNumberFormat="1" applyFont="1" applyBorder="1"/>
    <xf numFmtId="2" fontId="4" fillId="0" borderId="14" xfId="0" applyNumberFormat="1" applyFont="1" applyBorder="1"/>
    <xf numFmtId="164" fontId="4" fillId="0" borderId="13" xfId="0" applyNumberFormat="1" applyFont="1" applyBorder="1"/>
    <xf numFmtId="0" fontId="4" fillId="0" borderId="14" xfId="0" applyFont="1" applyBorder="1"/>
    <xf numFmtId="164" fontId="4" fillId="0" borderId="13" xfId="0" quotePrefix="1" applyNumberFormat="1" applyFont="1" applyBorder="1"/>
    <xf numFmtId="2" fontId="4" fillId="0" borderId="14" xfId="0" quotePrefix="1" applyNumberFormat="1" applyFont="1" applyBorder="1"/>
    <xf numFmtId="164" fontId="0" fillId="0" borderId="12" xfId="0" applyNumberFormat="1" applyBorder="1"/>
    <xf numFmtId="3" fontId="0" fillId="0" borderId="12" xfId="0" applyNumberFormat="1" applyBorder="1"/>
    <xf numFmtId="0" fontId="0" fillId="0" borderId="12" xfId="0" applyBorder="1"/>
    <xf numFmtId="0" fontId="0" fillId="0" borderId="3" xfId="0" applyBorder="1" applyAlignment="1">
      <alignment horizontal="center"/>
    </xf>
    <xf numFmtId="166" fontId="0" fillId="0" borderId="12" xfId="0" applyNumberFormat="1" applyBorder="1"/>
    <xf numFmtId="164" fontId="4" fillId="0" borderId="0" xfId="1" applyFont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3" fontId="0" fillId="0" borderId="14" xfId="0" applyNumberFormat="1" applyBorder="1"/>
    <xf numFmtId="166" fontId="0" fillId="0" borderId="15" xfId="0" applyNumberFormat="1" applyBorder="1"/>
    <xf numFmtId="0" fontId="0" fillId="0" borderId="15" xfId="0" applyBorder="1"/>
    <xf numFmtId="3" fontId="0" fillId="0" borderId="15" xfId="0" applyNumberFormat="1" applyBorder="1"/>
    <xf numFmtId="0" fontId="0" fillId="0" borderId="18" xfId="0" applyBorder="1"/>
    <xf numFmtId="166" fontId="0" fillId="0" borderId="19" xfId="0" applyNumberFormat="1" applyBorder="1"/>
    <xf numFmtId="164" fontId="4" fillId="5" borderId="0" xfId="0" applyNumberFormat="1" applyFont="1" applyFill="1"/>
    <xf numFmtId="164" fontId="4" fillId="0" borderId="0" xfId="1" applyFont="1" applyFill="1"/>
    <xf numFmtId="14" fontId="4" fillId="3" borderId="12" xfId="0" applyNumberFormat="1" applyFont="1" applyFill="1" applyBorder="1"/>
    <xf numFmtId="166" fontId="0" fillId="0" borderId="20" xfId="0" applyNumberFormat="1" applyBorder="1"/>
    <xf numFmtId="164" fontId="0" fillId="0" borderId="19" xfId="0" applyNumberFormat="1" applyBorder="1"/>
    <xf numFmtId="3" fontId="0" fillId="0" borderId="19" xfId="0" applyNumberFormat="1" applyBorder="1"/>
    <xf numFmtId="0" fontId="0" fillId="0" borderId="19" xfId="0" applyBorder="1"/>
    <xf numFmtId="167" fontId="4" fillId="0" borderId="0" xfId="0" applyNumberFormat="1" applyFont="1"/>
    <xf numFmtId="164" fontId="0" fillId="0" borderId="12" xfId="1" applyFont="1" applyBorder="1"/>
    <xf numFmtId="164" fontId="0" fillId="0" borderId="12" xfId="1" applyFont="1" applyFill="1" applyBorder="1"/>
    <xf numFmtId="164" fontId="0" fillId="0" borderId="14" xfId="1" applyFon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E6D4F8"/>
      <color rgb="FFF1C9FF"/>
      <color rgb="FFE9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81C4-0B72-4AAB-BA83-726CA4D03EFB}">
  <dimension ref="A1:S52"/>
  <sheetViews>
    <sheetView showGridLines="0" workbookViewId="0">
      <selection activeCell="J1" sqref="J1"/>
    </sheetView>
  </sheetViews>
  <sheetFormatPr baseColWidth="10" defaultRowHeight="15" x14ac:dyDescent="0.25"/>
  <cols>
    <col min="1" max="4" width="11.5703125" bestFit="1" customWidth="1"/>
    <col min="5" max="5" width="13.5703125" bestFit="1" customWidth="1"/>
    <col min="7" max="7" width="13" bestFit="1" customWidth="1"/>
    <col min="8" max="8" width="12" bestFit="1" customWidth="1"/>
    <col min="12" max="12" width="11.5703125" bestFit="1" customWidth="1"/>
    <col min="16" max="16" width="12.42578125" bestFit="1" customWidth="1"/>
    <col min="17" max="17" width="13.140625" bestFit="1" customWidth="1"/>
    <col min="18" max="18" width="13.5703125" bestFit="1" customWidth="1"/>
  </cols>
  <sheetData>
    <row r="1" spans="1:19" x14ac:dyDescent="0.25">
      <c r="A1" s="4" t="s">
        <v>0</v>
      </c>
      <c r="B1" s="4" t="s">
        <v>19</v>
      </c>
      <c r="C1" s="4" t="s">
        <v>20</v>
      </c>
      <c r="D1" s="4" t="s">
        <v>1</v>
      </c>
      <c r="E1" s="4" t="s">
        <v>3</v>
      </c>
      <c r="F1" s="4" t="s">
        <v>21</v>
      </c>
      <c r="G1" s="4" t="s">
        <v>4</v>
      </c>
      <c r="H1" s="4"/>
      <c r="L1" s="6" t="s">
        <v>13</v>
      </c>
      <c r="M1" s="6">
        <v>110272</v>
      </c>
      <c r="N1" s="6" t="s">
        <v>2</v>
      </c>
      <c r="O1" s="6" t="s">
        <v>14</v>
      </c>
      <c r="P1" s="7"/>
      <c r="Q1" s="7"/>
      <c r="R1" s="63">
        <v>2.95</v>
      </c>
      <c r="S1" s="30">
        <f>+R1-E2</f>
        <v>3.7000000000002586E-3</v>
      </c>
    </row>
    <row r="2" spans="1:19" x14ac:dyDescent="0.25">
      <c r="A2" s="1">
        <v>44927</v>
      </c>
      <c r="B2" s="59">
        <v>0.61</v>
      </c>
      <c r="C2" s="59">
        <v>0.61</v>
      </c>
      <c r="D2">
        <v>4.83</v>
      </c>
      <c r="E2" s="60">
        <f>C2*D2</f>
        <v>2.9462999999999999</v>
      </c>
      <c r="F2" s="26">
        <f>C2-B2</f>
        <v>0</v>
      </c>
      <c r="G2" s="26">
        <f>F2*D2</f>
        <v>0</v>
      </c>
      <c r="L2" s="25">
        <v>44927</v>
      </c>
      <c r="M2" s="27"/>
      <c r="N2" s="27"/>
      <c r="O2" s="27"/>
      <c r="P2" s="65"/>
      <c r="Q2" s="64"/>
      <c r="R2" s="64">
        <f>+R1+P2-Q2</f>
        <v>2.95</v>
      </c>
      <c r="S2" s="30">
        <f>+R2-E2</f>
        <v>3.7000000000002586E-3</v>
      </c>
    </row>
    <row r="3" spans="1:19" x14ac:dyDescent="0.25">
      <c r="A3" s="1">
        <v>44928</v>
      </c>
      <c r="B3" s="60">
        <v>0.61</v>
      </c>
      <c r="C3" s="59">
        <v>0.61</v>
      </c>
      <c r="D3">
        <v>4.83</v>
      </c>
      <c r="E3" s="60">
        <f t="shared" ref="E3:E32" si="0">C3*D3</f>
        <v>2.9462999999999999</v>
      </c>
      <c r="F3" s="26">
        <f t="shared" ref="F3:F32" si="1">C3-B3</f>
        <v>0</v>
      </c>
      <c r="G3" s="26">
        <f t="shared" ref="G3:G32" si="2">F3*D3</f>
        <v>0</v>
      </c>
      <c r="L3" s="25">
        <v>44928</v>
      </c>
      <c r="M3" s="27"/>
      <c r="N3" s="27"/>
      <c r="O3" s="27"/>
      <c r="P3" s="65"/>
      <c r="Q3" s="64"/>
      <c r="R3" s="64">
        <f t="shared" ref="R3:R32" si="3">+R2+P3-Q3</f>
        <v>2.95</v>
      </c>
      <c r="S3" s="30">
        <f t="shared" ref="S3:S32" si="4">+R3-E3</f>
        <v>3.7000000000002586E-3</v>
      </c>
    </row>
    <row r="4" spans="1:19" x14ac:dyDescent="0.25">
      <c r="A4" s="1">
        <v>44929</v>
      </c>
      <c r="B4" s="60">
        <v>0.61</v>
      </c>
      <c r="C4" s="59">
        <v>0.61</v>
      </c>
      <c r="D4">
        <v>4.83</v>
      </c>
      <c r="E4" s="60">
        <f t="shared" si="0"/>
        <v>2.9462999999999999</v>
      </c>
      <c r="F4" s="26">
        <f t="shared" si="1"/>
        <v>0</v>
      </c>
      <c r="G4" s="26">
        <f t="shared" si="2"/>
        <v>0</v>
      </c>
      <c r="L4" s="25">
        <v>44929</v>
      </c>
      <c r="M4" s="27"/>
      <c r="N4" s="27"/>
      <c r="O4" s="27"/>
      <c r="P4" s="65"/>
      <c r="R4" s="64">
        <f t="shared" si="3"/>
        <v>2.95</v>
      </c>
      <c r="S4" s="30">
        <f>+R4-E4</f>
        <v>3.7000000000002586E-3</v>
      </c>
    </row>
    <row r="5" spans="1:19" x14ac:dyDescent="0.25">
      <c r="A5" s="1">
        <v>44930</v>
      </c>
      <c r="B5" s="60">
        <v>0.61</v>
      </c>
      <c r="C5" s="59">
        <v>0.61</v>
      </c>
      <c r="D5">
        <v>4.78</v>
      </c>
      <c r="E5" s="60">
        <f t="shared" si="0"/>
        <v>2.9157999999999999</v>
      </c>
      <c r="F5" s="26">
        <f t="shared" si="1"/>
        <v>0</v>
      </c>
      <c r="G5" s="26">
        <f t="shared" si="2"/>
        <v>0</v>
      </c>
      <c r="L5" s="25">
        <v>44930</v>
      </c>
      <c r="M5" s="27"/>
      <c r="N5" s="27"/>
      <c r="O5" s="27"/>
      <c r="P5" s="64"/>
      <c r="Q5" s="64">
        <f>+H13*-1</f>
        <v>3.0499999999999892E-2</v>
      </c>
      <c r="R5" s="64">
        <f t="shared" si="3"/>
        <v>2.9195000000000002</v>
      </c>
      <c r="S5" s="30">
        <f t="shared" si="4"/>
        <v>3.7000000000002586E-3</v>
      </c>
    </row>
    <row r="6" spans="1:19" x14ac:dyDescent="0.25">
      <c r="A6" s="1">
        <v>44931</v>
      </c>
      <c r="B6" s="60">
        <v>0.61</v>
      </c>
      <c r="C6" s="59">
        <v>0.61</v>
      </c>
      <c r="D6">
        <v>4.79</v>
      </c>
      <c r="E6" s="60">
        <f t="shared" si="0"/>
        <v>2.9218999999999999</v>
      </c>
      <c r="F6" s="26">
        <f t="shared" si="1"/>
        <v>0</v>
      </c>
      <c r="G6" s="26">
        <f t="shared" si="2"/>
        <v>0</v>
      </c>
      <c r="L6" s="25">
        <v>44931</v>
      </c>
      <c r="M6" s="27"/>
      <c r="N6" s="27"/>
      <c r="O6" s="27"/>
      <c r="P6" s="65"/>
      <c r="Q6" s="64"/>
      <c r="R6" s="64">
        <f t="shared" si="3"/>
        <v>2.9195000000000002</v>
      </c>
      <c r="S6" s="30">
        <f t="shared" si="4"/>
        <v>-2.3999999999997357E-3</v>
      </c>
    </row>
    <row r="7" spans="1:19" x14ac:dyDescent="0.25">
      <c r="A7" s="1">
        <v>44932</v>
      </c>
      <c r="B7" s="60">
        <v>0.61</v>
      </c>
      <c r="C7" s="59">
        <v>0.61</v>
      </c>
      <c r="D7">
        <v>4.79</v>
      </c>
      <c r="E7" s="60">
        <f t="shared" si="0"/>
        <v>2.9218999999999999</v>
      </c>
      <c r="F7" s="26">
        <f t="shared" si="1"/>
        <v>0</v>
      </c>
      <c r="G7" s="26">
        <f t="shared" si="2"/>
        <v>0</v>
      </c>
      <c r="L7" s="25">
        <v>44932</v>
      </c>
      <c r="M7" s="27"/>
      <c r="N7" s="27"/>
      <c r="O7" s="27"/>
      <c r="P7" s="65"/>
      <c r="Q7" s="65"/>
      <c r="R7" s="64">
        <f t="shared" si="3"/>
        <v>2.9195000000000002</v>
      </c>
      <c r="S7" s="30">
        <f t="shared" si="4"/>
        <v>-2.3999999999997357E-3</v>
      </c>
    </row>
    <row r="8" spans="1:19" x14ac:dyDescent="0.25">
      <c r="A8" s="1">
        <v>44933</v>
      </c>
      <c r="B8" s="60">
        <v>0.61</v>
      </c>
      <c r="C8" s="59">
        <v>0.61</v>
      </c>
      <c r="D8">
        <v>4.72</v>
      </c>
      <c r="E8" s="60">
        <f t="shared" si="0"/>
        <v>2.8792</v>
      </c>
      <c r="F8" s="26">
        <f t="shared" si="1"/>
        <v>0</v>
      </c>
      <c r="G8" s="26">
        <f t="shared" si="2"/>
        <v>0</v>
      </c>
      <c r="L8" s="25">
        <v>44933</v>
      </c>
      <c r="M8" s="27"/>
      <c r="N8" s="27"/>
      <c r="O8" s="27"/>
      <c r="P8" s="65"/>
      <c r="Q8" s="65">
        <f>+H19*-1</f>
        <v>4.2700000000000175E-2</v>
      </c>
      <c r="R8" s="64">
        <f t="shared" si="3"/>
        <v>2.8768000000000002</v>
      </c>
      <c r="S8" s="30">
        <f t="shared" si="4"/>
        <v>-2.3999999999997357E-3</v>
      </c>
    </row>
    <row r="9" spans="1:19" x14ac:dyDescent="0.25">
      <c r="A9" s="1">
        <v>44934</v>
      </c>
      <c r="B9" s="60">
        <v>0.61</v>
      </c>
      <c r="C9" s="59">
        <v>0.61</v>
      </c>
      <c r="D9">
        <v>4.72</v>
      </c>
      <c r="E9" s="60">
        <f t="shared" si="0"/>
        <v>2.8792</v>
      </c>
      <c r="F9" s="26">
        <f t="shared" si="1"/>
        <v>0</v>
      </c>
      <c r="G9" s="26">
        <f t="shared" si="2"/>
        <v>0</v>
      </c>
      <c r="L9" s="25">
        <v>44934</v>
      </c>
      <c r="M9" s="27"/>
      <c r="N9" s="27"/>
      <c r="O9" s="27"/>
      <c r="P9" s="65"/>
      <c r="Q9" s="65"/>
      <c r="R9" s="64">
        <f t="shared" si="3"/>
        <v>2.8768000000000002</v>
      </c>
      <c r="S9" s="30">
        <f t="shared" si="4"/>
        <v>-2.3999999999997357E-3</v>
      </c>
    </row>
    <row r="10" spans="1:19" x14ac:dyDescent="0.25">
      <c r="A10" s="1">
        <v>44935</v>
      </c>
      <c r="B10" s="60">
        <v>0.61</v>
      </c>
      <c r="C10" s="59">
        <v>0.61</v>
      </c>
      <c r="D10">
        <v>4.72</v>
      </c>
      <c r="E10" s="60">
        <f t="shared" si="0"/>
        <v>2.8792</v>
      </c>
      <c r="F10" s="26">
        <f t="shared" si="1"/>
        <v>0</v>
      </c>
      <c r="G10" s="26">
        <f t="shared" si="2"/>
        <v>0</v>
      </c>
      <c r="L10" s="25">
        <v>44935</v>
      </c>
      <c r="M10" s="27"/>
      <c r="N10" s="27"/>
      <c r="O10" s="27"/>
      <c r="P10" s="65"/>
      <c r="Q10" s="65"/>
      <c r="R10" s="64">
        <f t="shared" si="3"/>
        <v>2.8768000000000002</v>
      </c>
      <c r="S10" s="30">
        <f t="shared" si="4"/>
        <v>-2.3999999999997357E-3</v>
      </c>
    </row>
    <row r="11" spans="1:19" x14ac:dyDescent="0.25">
      <c r="A11" s="1">
        <v>44936</v>
      </c>
      <c r="B11" s="60">
        <v>0.61</v>
      </c>
      <c r="C11" s="59">
        <v>0.61</v>
      </c>
      <c r="D11">
        <v>4.6500000000000004</v>
      </c>
      <c r="E11" s="60">
        <f t="shared" si="0"/>
        <v>2.8365</v>
      </c>
      <c r="F11" s="26">
        <f t="shared" si="1"/>
        <v>0</v>
      </c>
      <c r="G11" s="26">
        <f t="shared" si="2"/>
        <v>0</v>
      </c>
      <c r="L11" s="25">
        <v>44936</v>
      </c>
      <c r="M11" s="27"/>
      <c r="N11" s="27"/>
      <c r="O11" s="27"/>
      <c r="P11" s="65"/>
      <c r="Q11" s="65">
        <f>H21*-1</f>
        <v>4.2699999999999634E-2</v>
      </c>
      <c r="R11" s="64">
        <f t="shared" si="3"/>
        <v>2.8341000000000007</v>
      </c>
      <c r="S11" s="30">
        <f t="shared" si="4"/>
        <v>-2.3999999999992916E-3</v>
      </c>
    </row>
    <row r="12" spans="1:19" x14ac:dyDescent="0.25">
      <c r="A12" s="1">
        <v>44937</v>
      </c>
      <c r="B12" s="60">
        <v>0.61</v>
      </c>
      <c r="C12" s="59">
        <v>0.61</v>
      </c>
      <c r="D12">
        <v>4.62</v>
      </c>
      <c r="E12" s="60">
        <f t="shared" si="0"/>
        <v>2.8182</v>
      </c>
      <c r="F12" s="26">
        <f t="shared" si="1"/>
        <v>0</v>
      </c>
      <c r="G12" s="26">
        <f t="shared" si="2"/>
        <v>0</v>
      </c>
      <c r="L12" s="25">
        <v>44937</v>
      </c>
      <c r="P12" s="60"/>
      <c r="Q12" s="65">
        <f>H23*-1</f>
        <v>1.8300000000000153E-2</v>
      </c>
      <c r="R12" s="64">
        <f t="shared" si="3"/>
        <v>2.8158000000000007</v>
      </c>
      <c r="S12" s="30">
        <f t="shared" si="4"/>
        <v>-2.3999999999992916E-3</v>
      </c>
    </row>
    <row r="13" spans="1:19" x14ac:dyDescent="0.25">
      <c r="A13" s="1">
        <v>44938</v>
      </c>
      <c r="B13" s="60">
        <v>0.61</v>
      </c>
      <c r="C13" s="59">
        <v>0.61</v>
      </c>
      <c r="D13">
        <v>4.57</v>
      </c>
      <c r="E13" s="60">
        <f t="shared" si="0"/>
        <v>2.7877000000000001</v>
      </c>
      <c r="F13" s="26">
        <f t="shared" si="1"/>
        <v>0</v>
      </c>
      <c r="G13" s="26">
        <f t="shared" si="2"/>
        <v>0</v>
      </c>
      <c r="H13" s="61">
        <f>B5*H14</f>
        <v>-3.0499999999999892E-2</v>
      </c>
      <c r="I13" s="32">
        <v>44930</v>
      </c>
      <c r="L13" s="25">
        <v>44938</v>
      </c>
      <c r="P13" s="60"/>
      <c r="Q13" s="60">
        <f>H25*-1</f>
        <v>3.0499999999999892E-2</v>
      </c>
      <c r="R13" s="64">
        <f t="shared" si="3"/>
        <v>2.7853000000000008</v>
      </c>
      <c r="S13" s="30">
        <f t="shared" si="4"/>
        <v>-2.3999999999992916E-3</v>
      </c>
    </row>
    <row r="14" spans="1:19" x14ac:dyDescent="0.25">
      <c r="A14" s="1">
        <v>44939</v>
      </c>
      <c r="B14" s="60">
        <v>0.61</v>
      </c>
      <c r="C14" s="59">
        <v>0.61</v>
      </c>
      <c r="D14">
        <v>4.54</v>
      </c>
      <c r="E14" s="60">
        <f t="shared" si="0"/>
        <v>2.7694000000000001</v>
      </c>
      <c r="F14" s="26">
        <f t="shared" si="1"/>
        <v>0</v>
      </c>
      <c r="G14" s="26">
        <f t="shared" si="2"/>
        <v>0</v>
      </c>
      <c r="H14" s="34">
        <f>+D5-D4</f>
        <v>-4.9999999999999822E-2</v>
      </c>
      <c r="I14" s="33"/>
      <c r="L14" s="25">
        <v>44939</v>
      </c>
      <c r="P14" s="60"/>
      <c r="Q14" s="60">
        <f>H27*-1</f>
        <v>1.8300000000000153E-2</v>
      </c>
      <c r="R14" s="64">
        <f t="shared" si="3"/>
        <v>2.7670000000000008</v>
      </c>
      <c r="S14" s="30">
        <f t="shared" si="4"/>
        <v>-2.3999999999992916E-3</v>
      </c>
    </row>
    <row r="15" spans="1:19" x14ac:dyDescent="0.25">
      <c r="A15" s="1">
        <v>44940</v>
      </c>
      <c r="B15" s="60">
        <v>0.61</v>
      </c>
      <c r="C15" s="59">
        <v>0.61</v>
      </c>
      <c r="D15">
        <v>4.55</v>
      </c>
      <c r="E15" s="60">
        <f t="shared" si="0"/>
        <v>2.7754999999999996</v>
      </c>
      <c r="F15" s="26">
        <f t="shared" si="1"/>
        <v>0</v>
      </c>
      <c r="G15" s="26">
        <f t="shared" si="2"/>
        <v>0</v>
      </c>
      <c r="H15" s="62">
        <f>B6*H16</f>
        <v>6.0999999999998694E-3</v>
      </c>
      <c r="I15" s="32">
        <v>44931</v>
      </c>
      <c r="L15" s="25">
        <v>44940</v>
      </c>
      <c r="P15" s="60">
        <f>H29</f>
        <v>6.0999999999998694E-3</v>
      </c>
      <c r="Q15" s="60"/>
      <c r="R15" s="64">
        <f t="shared" si="3"/>
        <v>2.7731000000000008</v>
      </c>
      <c r="S15" s="30">
        <f t="shared" si="4"/>
        <v>-2.3999999999988475E-3</v>
      </c>
    </row>
    <row r="16" spans="1:19" x14ac:dyDescent="0.25">
      <c r="A16" s="1">
        <v>44941</v>
      </c>
      <c r="B16" s="60">
        <v>0.61</v>
      </c>
      <c r="C16" s="59">
        <v>0.61</v>
      </c>
      <c r="D16">
        <v>4.55</v>
      </c>
      <c r="E16" s="60">
        <f t="shared" si="0"/>
        <v>2.7754999999999996</v>
      </c>
      <c r="F16" s="26">
        <f t="shared" si="1"/>
        <v>0</v>
      </c>
      <c r="G16" s="26">
        <f t="shared" si="2"/>
        <v>0</v>
      </c>
      <c r="H16" s="34">
        <f>+D6-D5</f>
        <v>9.9999999999997868E-3</v>
      </c>
      <c r="I16" s="33"/>
      <c r="L16" s="25">
        <v>44941</v>
      </c>
      <c r="P16" s="60"/>
      <c r="Q16" s="60"/>
      <c r="R16" s="64">
        <f t="shared" si="3"/>
        <v>2.7731000000000008</v>
      </c>
      <c r="S16" s="30">
        <f t="shared" si="4"/>
        <v>-2.3999999999988475E-3</v>
      </c>
    </row>
    <row r="17" spans="1:19" x14ac:dyDescent="0.25">
      <c r="A17" s="1">
        <v>44942</v>
      </c>
      <c r="B17" s="60">
        <v>0.61</v>
      </c>
      <c r="C17" s="59">
        <v>0.61</v>
      </c>
      <c r="D17">
        <v>4.55</v>
      </c>
      <c r="E17" s="60">
        <f t="shared" si="0"/>
        <v>2.7754999999999996</v>
      </c>
      <c r="F17" s="26">
        <f t="shared" si="1"/>
        <v>0</v>
      </c>
      <c r="G17" s="26">
        <f t="shared" si="2"/>
        <v>0</v>
      </c>
      <c r="H17" s="62">
        <f>B7*H18</f>
        <v>0</v>
      </c>
      <c r="I17" s="32">
        <v>44932</v>
      </c>
      <c r="L17" s="25">
        <v>44942</v>
      </c>
      <c r="P17" s="60"/>
      <c r="Q17" s="60"/>
      <c r="R17" s="64">
        <f t="shared" si="3"/>
        <v>2.7731000000000008</v>
      </c>
      <c r="S17" s="30">
        <f t="shared" si="4"/>
        <v>-2.3999999999988475E-3</v>
      </c>
    </row>
    <row r="18" spans="1:19" x14ac:dyDescent="0.25">
      <c r="A18" s="1">
        <v>44943</v>
      </c>
      <c r="B18" s="60">
        <v>0.61</v>
      </c>
      <c r="C18" s="59">
        <v>0.61</v>
      </c>
      <c r="D18">
        <v>4.51</v>
      </c>
      <c r="E18" s="60">
        <f t="shared" si="0"/>
        <v>2.7510999999999997</v>
      </c>
      <c r="F18" s="26">
        <f t="shared" si="1"/>
        <v>0</v>
      </c>
      <c r="G18" s="26">
        <f t="shared" si="2"/>
        <v>0</v>
      </c>
      <c r="H18" s="34">
        <f>+D7-D6</f>
        <v>0</v>
      </c>
      <c r="I18" s="33"/>
      <c r="L18" s="25">
        <v>44943</v>
      </c>
      <c r="P18" s="60"/>
      <c r="Q18" s="60">
        <f>H31*-1</f>
        <v>2.4400000000000022E-2</v>
      </c>
      <c r="R18" s="64">
        <f t="shared" si="3"/>
        <v>2.7487000000000008</v>
      </c>
      <c r="S18" s="30">
        <f t="shared" si="4"/>
        <v>-2.3999999999988475E-3</v>
      </c>
    </row>
    <row r="19" spans="1:19" x14ac:dyDescent="0.25">
      <c r="A19" s="1">
        <v>44944</v>
      </c>
      <c r="B19" s="60">
        <v>0.61</v>
      </c>
      <c r="C19" s="59">
        <v>0.61</v>
      </c>
      <c r="D19">
        <v>4.5</v>
      </c>
      <c r="E19" s="60">
        <f t="shared" si="0"/>
        <v>2.7450000000000001</v>
      </c>
      <c r="F19" s="26">
        <f t="shared" si="1"/>
        <v>0</v>
      </c>
      <c r="G19" s="26">
        <f t="shared" si="2"/>
        <v>0</v>
      </c>
      <c r="H19" s="62">
        <f>H20*B8</f>
        <v>-4.2700000000000175E-2</v>
      </c>
      <c r="I19" s="32">
        <v>44933</v>
      </c>
      <c r="L19" s="25">
        <v>44944</v>
      </c>
      <c r="P19" s="60"/>
      <c r="Q19" s="60"/>
      <c r="R19" s="64">
        <f t="shared" si="3"/>
        <v>2.7487000000000008</v>
      </c>
      <c r="S19" s="30">
        <f t="shared" si="4"/>
        <v>3.7000000000007027E-3</v>
      </c>
    </row>
    <row r="20" spans="1:19" x14ac:dyDescent="0.25">
      <c r="A20" s="1">
        <v>44945</v>
      </c>
      <c r="B20" s="60">
        <v>0.61</v>
      </c>
      <c r="C20" s="59">
        <v>0.61</v>
      </c>
      <c r="D20">
        <v>4.4400000000000004</v>
      </c>
      <c r="E20" s="60">
        <f t="shared" si="0"/>
        <v>2.7084000000000001</v>
      </c>
      <c r="F20" s="26">
        <f t="shared" si="1"/>
        <v>0</v>
      </c>
      <c r="G20" s="26">
        <f t="shared" si="2"/>
        <v>0</v>
      </c>
      <c r="H20" s="11">
        <f>+D8-D7</f>
        <v>-7.0000000000000284E-2</v>
      </c>
      <c r="I20" s="14"/>
      <c r="L20" s="25">
        <v>44945</v>
      </c>
      <c r="P20" s="60"/>
      <c r="Q20" s="60">
        <f>H35*-1</f>
        <v>3.6599999999999758E-2</v>
      </c>
      <c r="R20" s="64">
        <f t="shared" si="3"/>
        <v>2.7121000000000008</v>
      </c>
      <c r="S20" s="30">
        <f t="shared" si="4"/>
        <v>3.7000000000007027E-3</v>
      </c>
    </row>
    <row r="21" spans="1:19" x14ac:dyDescent="0.25">
      <c r="A21" s="1">
        <v>44946</v>
      </c>
      <c r="B21" s="60">
        <v>0.61</v>
      </c>
      <c r="C21" s="59">
        <v>0.61</v>
      </c>
      <c r="D21">
        <v>4.53</v>
      </c>
      <c r="E21" s="60">
        <f t="shared" si="0"/>
        <v>2.7633000000000001</v>
      </c>
      <c r="F21" s="26">
        <f t="shared" si="1"/>
        <v>0</v>
      </c>
      <c r="G21" s="26">
        <f t="shared" si="2"/>
        <v>0</v>
      </c>
      <c r="H21" s="62">
        <f>B11*H22</f>
        <v>-4.2699999999999634E-2</v>
      </c>
      <c r="I21" s="38">
        <v>44936</v>
      </c>
      <c r="L21" s="25">
        <v>44946</v>
      </c>
      <c r="P21" s="60">
        <f>H37</f>
        <v>5.4899999999999914E-2</v>
      </c>
      <c r="Q21" s="60"/>
      <c r="R21" s="64">
        <f t="shared" si="3"/>
        <v>2.7670000000000008</v>
      </c>
      <c r="S21" s="30">
        <f t="shared" si="4"/>
        <v>3.7000000000007027E-3</v>
      </c>
    </row>
    <row r="22" spans="1:19" x14ac:dyDescent="0.25">
      <c r="A22" s="1">
        <v>44947</v>
      </c>
      <c r="B22" s="60">
        <v>0.61</v>
      </c>
      <c r="C22" s="59">
        <v>0.61</v>
      </c>
      <c r="D22">
        <v>4.4800000000000004</v>
      </c>
      <c r="E22" s="60">
        <f t="shared" si="0"/>
        <v>2.7328000000000001</v>
      </c>
      <c r="F22" s="26">
        <f t="shared" si="1"/>
        <v>0</v>
      </c>
      <c r="G22" s="26">
        <f t="shared" si="2"/>
        <v>0</v>
      </c>
      <c r="H22" s="11">
        <f>+D11-D10</f>
        <v>-6.9999999999999396E-2</v>
      </c>
      <c r="I22" s="14"/>
      <c r="L22" s="25">
        <v>44947</v>
      </c>
      <c r="P22" s="60"/>
      <c r="Q22" s="60">
        <f>H39*-1</f>
        <v>3.0499999999999892E-2</v>
      </c>
      <c r="R22" s="64">
        <f t="shared" si="3"/>
        <v>2.7365000000000008</v>
      </c>
      <c r="S22" s="30">
        <f t="shared" si="4"/>
        <v>3.7000000000007027E-3</v>
      </c>
    </row>
    <row r="23" spans="1:19" x14ac:dyDescent="0.25">
      <c r="A23" s="1">
        <v>44948</v>
      </c>
      <c r="B23" s="60">
        <v>0.61</v>
      </c>
      <c r="C23" s="59">
        <v>0.61</v>
      </c>
      <c r="D23">
        <v>4.4800000000000004</v>
      </c>
      <c r="E23" s="60">
        <f t="shared" si="0"/>
        <v>2.7328000000000001</v>
      </c>
      <c r="F23" s="26">
        <f t="shared" si="1"/>
        <v>0</v>
      </c>
      <c r="G23" s="26">
        <f t="shared" si="2"/>
        <v>0</v>
      </c>
      <c r="H23" s="62">
        <f>H24*B12</f>
        <v>-1.8300000000000153E-2</v>
      </c>
      <c r="I23" s="32">
        <v>44937</v>
      </c>
      <c r="L23" s="25">
        <v>44948</v>
      </c>
      <c r="P23" s="60"/>
      <c r="Q23" s="60"/>
      <c r="R23" s="64">
        <f t="shared" si="3"/>
        <v>2.7365000000000008</v>
      </c>
      <c r="S23" s="30">
        <f t="shared" si="4"/>
        <v>3.7000000000007027E-3</v>
      </c>
    </row>
    <row r="24" spans="1:19" x14ac:dyDescent="0.25">
      <c r="A24" s="1">
        <v>44949</v>
      </c>
      <c r="B24" s="60">
        <v>0.61</v>
      </c>
      <c r="C24" s="59">
        <v>0.61</v>
      </c>
      <c r="D24">
        <v>4.4800000000000004</v>
      </c>
      <c r="E24" s="60">
        <f t="shared" si="0"/>
        <v>2.7328000000000001</v>
      </c>
      <c r="F24" s="26">
        <f t="shared" si="1"/>
        <v>0</v>
      </c>
      <c r="G24" s="26">
        <f t="shared" si="2"/>
        <v>0</v>
      </c>
      <c r="H24" s="11">
        <f>+D12-D11</f>
        <v>-3.0000000000000249E-2</v>
      </c>
      <c r="I24" s="14"/>
      <c r="L24" s="25">
        <v>44949</v>
      </c>
      <c r="P24" s="60"/>
      <c r="Q24" s="60"/>
      <c r="R24" s="64">
        <f t="shared" si="3"/>
        <v>2.7365000000000008</v>
      </c>
      <c r="S24" s="30">
        <f t="shared" si="4"/>
        <v>3.7000000000007027E-3</v>
      </c>
    </row>
    <row r="25" spans="1:19" x14ac:dyDescent="0.25">
      <c r="A25" s="1">
        <v>44950</v>
      </c>
      <c r="B25" s="60">
        <v>0.61</v>
      </c>
      <c r="C25" s="59">
        <v>0.61</v>
      </c>
      <c r="D25">
        <v>4.42</v>
      </c>
      <c r="E25" s="60">
        <f t="shared" si="0"/>
        <v>2.6961999999999997</v>
      </c>
      <c r="F25" s="26">
        <f t="shared" si="1"/>
        <v>0</v>
      </c>
      <c r="G25" s="26">
        <f t="shared" si="2"/>
        <v>0</v>
      </c>
      <c r="H25" s="62">
        <f>B13*H26</f>
        <v>-3.0499999999999892E-2</v>
      </c>
      <c r="I25" s="32">
        <v>44938</v>
      </c>
      <c r="L25" s="25">
        <v>44950</v>
      </c>
      <c r="P25" s="60"/>
      <c r="Q25" s="60">
        <f>H41*-1</f>
        <v>3.6600000000000306E-2</v>
      </c>
      <c r="R25" s="64">
        <f t="shared" si="3"/>
        <v>2.6999000000000004</v>
      </c>
      <c r="S25" s="30">
        <f t="shared" si="4"/>
        <v>3.7000000000007027E-3</v>
      </c>
    </row>
    <row r="26" spans="1:19" x14ac:dyDescent="0.25">
      <c r="A26" s="1">
        <v>44951</v>
      </c>
      <c r="B26" s="60">
        <v>0.61</v>
      </c>
      <c r="C26" s="59">
        <v>0.61</v>
      </c>
      <c r="D26">
        <v>4.3600000000000003</v>
      </c>
      <c r="E26" s="60">
        <f t="shared" si="0"/>
        <v>2.6596000000000002</v>
      </c>
      <c r="F26" s="26">
        <f t="shared" si="1"/>
        <v>0</v>
      </c>
      <c r="G26" s="26">
        <f t="shared" si="2"/>
        <v>0</v>
      </c>
      <c r="H26" s="11">
        <f>+D13-D12</f>
        <v>-4.9999999999999822E-2</v>
      </c>
      <c r="I26" s="14"/>
      <c r="L26" s="25">
        <v>44951</v>
      </c>
      <c r="P26" s="60"/>
      <c r="Q26" s="60">
        <f>H43*-1</f>
        <v>3.6599999999999758E-2</v>
      </c>
      <c r="R26" s="64">
        <f t="shared" si="3"/>
        <v>2.6633000000000004</v>
      </c>
      <c r="S26" s="30">
        <f t="shared" si="4"/>
        <v>3.7000000000002586E-3</v>
      </c>
    </row>
    <row r="27" spans="1:19" x14ac:dyDescent="0.25">
      <c r="A27" s="1">
        <v>44952</v>
      </c>
      <c r="B27" s="60">
        <v>0.61</v>
      </c>
      <c r="C27" s="59">
        <v>0.61</v>
      </c>
      <c r="D27">
        <v>4.34</v>
      </c>
      <c r="E27" s="60">
        <f t="shared" si="0"/>
        <v>2.6473999999999998</v>
      </c>
      <c r="F27" s="26">
        <f t="shared" si="1"/>
        <v>0</v>
      </c>
      <c r="G27" s="26">
        <f t="shared" si="2"/>
        <v>0</v>
      </c>
      <c r="H27" s="62">
        <f>B14*H28</f>
        <v>-1.8300000000000153E-2</v>
      </c>
      <c r="I27" s="32">
        <v>44939</v>
      </c>
      <c r="L27" s="25">
        <v>44952</v>
      </c>
      <c r="P27" s="60"/>
      <c r="Q27" s="60">
        <f>H45*-1</f>
        <v>1.2200000000000282E-2</v>
      </c>
      <c r="R27" s="64">
        <f t="shared" si="3"/>
        <v>2.6511</v>
      </c>
      <c r="S27" s="30">
        <f t="shared" si="4"/>
        <v>3.7000000000002586E-3</v>
      </c>
    </row>
    <row r="28" spans="1:19" x14ac:dyDescent="0.25">
      <c r="A28" s="1">
        <v>44953</v>
      </c>
      <c r="B28" s="60">
        <v>0.61</v>
      </c>
      <c r="C28" s="59">
        <v>0.61</v>
      </c>
      <c r="D28">
        <v>4.33</v>
      </c>
      <c r="E28" s="60">
        <f t="shared" si="0"/>
        <v>2.6413000000000002</v>
      </c>
      <c r="F28" s="26">
        <f t="shared" si="1"/>
        <v>0</v>
      </c>
      <c r="G28" s="26">
        <f t="shared" si="2"/>
        <v>0</v>
      </c>
      <c r="H28" s="11">
        <f>+D14-D13</f>
        <v>-3.0000000000000249E-2</v>
      </c>
      <c r="I28" s="14"/>
      <c r="L28" s="25">
        <v>44953</v>
      </c>
      <c r="P28" s="60"/>
      <c r="Q28" s="60">
        <f>H47*-1</f>
        <v>6.0999999999998694E-3</v>
      </c>
      <c r="R28" s="64">
        <f t="shared" si="3"/>
        <v>2.645</v>
      </c>
      <c r="S28" s="30">
        <f t="shared" si="4"/>
        <v>3.6999999999998145E-3</v>
      </c>
    </row>
    <row r="29" spans="1:19" x14ac:dyDescent="0.25">
      <c r="A29" s="1">
        <v>44954</v>
      </c>
      <c r="B29" s="60">
        <v>0.61</v>
      </c>
      <c r="C29" s="59">
        <v>0.61</v>
      </c>
      <c r="D29">
        <v>4.33</v>
      </c>
      <c r="E29" s="60">
        <f t="shared" si="0"/>
        <v>2.6413000000000002</v>
      </c>
      <c r="F29" s="26">
        <f t="shared" si="1"/>
        <v>0</v>
      </c>
      <c r="G29" s="26">
        <f t="shared" si="2"/>
        <v>0</v>
      </c>
      <c r="H29" s="62">
        <f>B15*H30</f>
        <v>6.0999999999998694E-3</v>
      </c>
      <c r="I29" s="32">
        <v>44940</v>
      </c>
      <c r="L29" s="25">
        <v>44954</v>
      </c>
      <c r="P29" s="60"/>
      <c r="Q29" s="60"/>
      <c r="R29" s="64">
        <f t="shared" si="3"/>
        <v>2.645</v>
      </c>
      <c r="S29" s="30">
        <f t="shared" si="4"/>
        <v>3.6999999999998145E-3</v>
      </c>
    </row>
    <row r="30" spans="1:19" x14ac:dyDescent="0.25">
      <c r="A30" s="1">
        <v>44955</v>
      </c>
      <c r="B30" s="60">
        <v>0.61</v>
      </c>
      <c r="C30" s="59">
        <v>0.61</v>
      </c>
      <c r="D30">
        <v>4.33</v>
      </c>
      <c r="E30" s="60">
        <f t="shared" si="0"/>
        <v>2.6413000000000002</v>
      </c>
      <c r="F30" s="26">
        <f t="shared" si="1"/>
        <v>0</v>
      </c>
      <c r="G30" s="26">
        <f t="shared" si="2"/>
        <v>0</v>
      </c>
      <c r="H30" s="11">
        <f>+D15-D14</f>
        <v>9.9999999999997868E-3</v>
      </c>
      <c r="I30" s="14"/>
      <c r="L30" s="25">
        <v>44955</v>
      </c>
      <c r="P30" s="60"/>
      <c r="Q30" s="60"/>
      <c r="R30" s="64">
        <f t="shared" si="3"/>
        <v>2.645</v>
      </c>
      <c r="S30" s="30">
        <f t="shared" si="4"/>
        <v>3.6999999999998145E-3</v>
      </c>
    </row>
    <row r="31" spans="1:19" x14ac:dyDescent="0.25">
      <c r="A31" s="1">
        <v>44956</v>
      </c>
      <c r="B31" s="60">
        <v>0.61</v>
      </c>
      <c r="C31" s="60">
        <v>0.61</v>
      </c>
      <c r="D31">
        <v>4.33</v>
      </c>
      <c r="E31" s="60">
        <f t="shared" si="0"/>
        <v>2.6413000000000002</v>
      </c>
      <c r="F31" s="26">
        <f t="shared" si="1"/>
        <v>0</v>
      </c>
      <c r="G31" s="26">
        <f t="shared" si="2"/>
        <v>0</v>
      </c>
      <c r="H31" s="62">
        <f>B18*H32</f>
        <v>-2.4400000000000022E-2</v>
      </c>
      <c r="I31" s="36">
        <v>44943</v>
      </c>
      <c r="L31" s="25">
        <v>44956</v>
      </c>
      <c r="P31" s="60"/>
      <c r="Q31" s="60"/>
      <c r="R31" s="64">
        <f t="shared" si="3"/>
        <v>2.645</v>
      </c>
      <c r="S31" s="30">
        <f t="shared" si="4"/>
        <v>3.6999999999998145E-3</v>
      </c>
    </row>
    <row r="32" spans="1:19" x14ac:dyDescent="0.25">
      <c r="A32" s="1">
        <v>44957</v>
      </c>
      <c r="B32" s="60">
        <v>0.61</v>
      </c>
      <c r="C32" s="60">
        <v>0.61</v>
      </c>
      <c r="D32">
        <v>4.34</v>
      </c>
      <c r="E32" s="60">
        <f t="shared" si="0"/>
        <v>2.6473999999999998</v>
      </c>
      <c r="F32" s="26">
        <f t="shared" si="1"/>
        <v>0</v>
      </c>
      <c r="G32" s="26">
        <f t="shared" si="2"/>
        <v>0</v>
      </c>
      <c r="H32" s="11">
        <f>+D18-D17</f>
        <v>-4.0000000000000036E-2</v>
      </c>
      <c r="I32" s="14"/>
      <c r="L32" s="25">
        <v>44957</v>
      </c>
      <c r="P32" s="60"/>
      <c r="Q32" s="60"/>
      <c r="R32" s="64">
        <f t="shared" si="3"/>
        <v>2.645</v>
      </c>
      <c r="S32" s="30">
        <f t="shared" si="4"/>
        <v>-2.3999999999997357E-3</v>
      </c>
    </row>
    <row r="33" spans="8:19" x14ac:dyDescent="0.25">
      <c r="H33" s="62">
        <f>B19*H34</f>
        <v>-6.0999999999998694E-3</v>
      </c>
      <c r="I33" s="36">
        <v>44944</v>
      </c>
      <c r="L33" s="6" t="s">
        <v>15</v>
      </c>
      <c r="M33" s="6">
        <v>110272</v>
      </c>
      <c r="N33" s="6" t="s">
        <v>2</v>
      </c>
      <c r="O33" s="6" t="s">
        <v>16</v>
      </c>
      <c r="P33" s="63">
        <f>SUM(P2:P32)</f>
        <v>6.0999999999999784E-2</v>
      </c>
      <c r="Q33" s="63">
        <f>SUM(Q2:Q32)</f>
        <v>0.36599999999999977</v>
      </c>
      <c r="R33" s="63">
        <f>R1+P33-Q33</f>
        <v>2.6450000000000005</v>
      </c>
      <c r="S33" s="60"/>
    </row>
    <row r="34" spans="8:19" x14ac:dyDescent="0.25">
      <c r="H34" s="11">
        <f>+D19-D18</f>
        <v>-9.9999999999997868E-3</v>
      </c>
      <c r="I34" s="14"/>
      <c r="L34" s="6"/>
      <c r="M34" s="6"/>
      <c r="N34" s="6"/>
      <c r="O34" s="6" t="s">
        <v>17</v>
      </c>
      <c r="P34" s="63"/>
      <c r="Q34" s="63"/>
      <c r="R34" s="63">
        <f>+R1+P33-Q33</f>
        <v>2.6450000000000005</v>
      </c>
      <c r="S34" s="60"/>
    </row>
    <row r="35" spans="8:19" x14ac:dyDescent="0.25">
      <c r="H35" s="62">
        <f>B20*H36</f>
        <v>-3.6599999999999758E-2</v>
      </c>
      <c r="I35" s="36">
        <v>44945</v>
      </c>
      <c r="P35" s="60"/>
      <c r="Q35" s="60"/>
      <c r="R35" s="60"/>
      <c r="S35" s="60"/>
    </row>
    <row r="36" spans="8:19" x14ac:dyDescent="0.25">
      <c r="H36" s="11">
        <f>+D20-D19</f>
        <v>-5.9999999999999609E-2</v>
      </c>
      <c r="I36" s="14"/>
    </row>
    <row r="37" spans="8:19" x14ac:dyDescent="0.25">
      <c r="H37" s="62">
        <f>B21*H38</f>
        <v>5.4899999999999914E-2</v>
      </c>
      <c r="I37" s="36">
        <v>44946</v>
      </c>
    </row>
    <row r="38" spans="8:19" x14ac:dyDescent="0.25">
      <c r="H38" s="34">
        <f>+D21-D20</f>
        <v>8.9999999999999858E-2</v>
      </c>
      <c r="I38" s="14"/>
    </row>
    <row r="39" spans="8:19" x14ac:dyDescent="0.25">
      <c r="H39" s="62">
        <f>B22*H40</f>
        <v>-3.0499999999999892E-2</v>
      </c>
      <c r="I39" s="36">
        <v>44947</v>
      </c>
    </row>
    <row r="40" spans="8:19" x14ac:dyDescent="0.25">
      <c r="H40" s="11">
        <f>+D22-D21</f>
        <v>-4.9999999999999822E-2</v>
      </c>
      <c r="I40" s="14"/>
    </row>
    <row r="41" spans="8:19" x14ac:dyDescent="0.25">
      <c r="H41" s="62">
        <f>B25*H42</f>
        <v>-3.6600000000000306E-2</v>
      </c>
      <c r="I41" s="36">
        <v>44950</v>
      </c>
    </row>
    <row r="42" spans="8:19" x14ac:dyDescent="0.25">
      <c r="H42" s="11">
        <f>+D25-D24</f>
        <v>-6.0000000000000497E-2</v>
      </c>
      <c r="I42" s="14"/>
    </row>
    <row r="43" spans="8:19" x14ac:dyDescent="0.25">
      <c r="H43" s="62">
        <f>B26*H44</f>
        <v>-3.6599999999999758E-2</v>
      </c>
      <c r="I43" s="36">
        <v>44951</v>
      </c>
    </row>
    <row r="44" spans="8:19" x14ac:dyDescent="0.25">
      <c r="H44" s="34">
        <f>+D26-D25</f>
        <v>-5.9999999999999609E-2</v>
      </c>
      <c r="I44" s="14"/>
    </row>
    <row r="45" spans="8:19" x14ac:dyDescent="0.25">
      <c r="H45" s="62">
        <f>B27*H46</f>
        <v>-1.2200000000000282E-2</v>
      </c>
      <c r="I45" s="36">
        <v>44952</v>
      </c>
    </row>
    <row r="46" spans="8:19" x14ac:dyDescent="0.25">
      <c r="H46" s="34">
        <f>+D27-D26</f>
        <v>-2.0000000000000462E-2</v>
      </c>
      <c r="I46" s="14"/>
    </row>
    <row r="47" spans="8:19" x14ac:dyDescent="0.25">
      <c r="H47" s="62">
        <f>B28*H48</f>
        <v>-6.0999999999998694E-3</v>
      </c>
      <c r="I47" s="36">
        <v>44953</v>
      </c>
    </row>
    <row r="48" spans="8:19" x14ac:dyDescent="0.25">
      <c r="H48" s="34">
        <f>+D28-D27</f>
        <v>-9.9999999999997868E-3</v>
      </c>
      <c r="I48" s="14"/>
    </row>
    <row r="49" spans="8:9" x14ac:dyDescent="0.25">
      <c r="H49" s="62">
        <f>B29*H50</f>
        <v>0</v>
      </c>
      <c r="I49" s="36">
        <v>44954</v>
      </c>
    </row>
    <row r="50" spans="8:9" x14ac:dyDescent="0.25">
      <c r="H50" s="34">
        <f>+D29-D28</f>
        <v>0</v>
      </c>
      <c r="I50" s="14"/>
    </row>
    <row r="51" spans="8:9" x14ac:dyDescent="0.25">
      <c r="H51" s="62">
        <f>B32*H52</f>
        <v>6.0999999999998694E-3</v>
      </c>
      <c r="I51" s="36">
        <v>44957</v>
      </c>
    </row>
    <row r="52" spans="8:9" x14ac:dyDescent="0.25">
      <c r="H52" s="34">
        <f>+D32-D31</f>
        <v>9.9999999999997868E-3</v>
      </c>
      <c r="I52" s="1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4D2F-2F5F-4971-AFD4-A923072AF59D}">
  <dimension ref="A1:BE63"/>
  <sheetViews>
    <sheetView showGridLines="0" workbookViewId="0">
      <selection activeCell="AZ19" sqref="AZ19"/>
    </sheetView>
  </sheetViews>
  <sheetFormatPr baseColWidth="10" defaultRowHeight="15" outlineLevelCol="1" x14ac:dyDescent="0.25"/>
  <cols>
    <col min="1" max="1" width="11.5703125" customWidth="1" outlineLevel="1"/>
    <col min="2" max="2" width="14.5703125" bestFit="1" customWidth="1" outlineLevel="1"/>
    <col min="3" max="3" width="12" customWidth="1" outlineLevel="1"/>
    <col min="4" max="5" width="11.42578125" outlineLevel="1"/>
    <col min="6" max="6" width="7" bestFit="1" customWidth="1" outlineLevel="1"/>
    <col min="7" max="7" width="23.140625" customWidth="1" outlineLevel="1"/>
    <col min="8" max="8" width="54" customWidth="1" outlineLevel="1"/>
    <col min="9" max="10" width="13.5703125" customWidth="1" outlineLevel="1"/>
    <col min="14" max="14" width="11.140625" bestFit="1" customWidth="1"/>
    <col min="15" max="15" width="14.5703125" bestFit="1" customWidth="1" outlineLevel="1"/>
    <col min="16" max="17" width="12" customWidth="1" outlineLevel="1"/>
    <col min="18" max="18" width="13.5703125" bestFit="1" customWidth="1" outlineLevel="1"/>
    <col min="19" max="21" width="11.42578125" outlineLevel="1"/>
    <col min="22" max="22" width="23.140625" customWidth="1" outlineLevel="1"/>
    <col min="23" max="23" width="53.7109375" bestFit="1" customWidth="1" outlineLevel="1"/>
    <col min="24" max="25" width="13.5703125" customWidth="1" outlineLevel="1"/>
    <col min="30" max="30" width="11.5703125" customWidth="1" outlineLevel="1"/>
    <col min="31" max="31" width="13.5703125" customWidth="1" outlineLevel="1"/>
    <col min="32" max="33" width="12" customWidth="1" outlineLevel="1"/>
    <col min="34" max="34" width="13.5703125" customWidth="1" outlineLevel="1"/>
    <col min="35" max="36" width="11.42578125" outlineLevel="1"/>
    <col min="37" max="37" width="7" bestFit="1" customWidth="1" outlineLevel="1"/>
    <col min="38" max="38" width="23.140625" customWidth="1" outlineLevel="1"/>
    <col min="39" max="39" width="61.42578125" customWidth="1" outlineLevel="1"/>
    <col min="40" max="41" width="13.5703125" customWidth="1" outlineLevel="1"/>
    <col min="46" max="46" width="11.5703125" customWidth="1" outlineLevel="1"/>
    <col min="47" max="47" width="13.5703125" customWidth="1" outlineLevel="1"/>
    <col min="48" max="49" width="12" customWidth="1" outlineLevel="1"/>
    <col min="50" max="50" width="16.85546875" bestFit="1" customWidth="1" outlineLevel="1"/>
    <col min="51" max="53" width="11.42578125" outlineLevel="1"/>
    <col min="54" max="54" width="25.5703125" bestFit="1" customWidth="1" outlineLevel="1"/>
    <col min="55" max="55" width="61.42578125" bestFit="1" customWidth="1" outlineLevel="1"/>
    <col min="56" max="57" width="13.5703125" customWidth="1" outlineLevel="1"/>
  </cols>
  <sheetData>
    <row r="1" spans="1:57" x14ac:dyDescent="0.25">
      <c r="A1" s="4" t="s">
        <v>0</v>
      </c>
      <c r="B1" s="4" t="s">
        <v>27</v>
      </c>
      <c r="C1" s="75" t="s">
        <v>50</v>
      </c>
      <c r="E1" s="22" t="s">
        <v>0</v>
      </c>
      <c r="F1" s="23"/>
      <c r="G1" s="23"/>
      <c r="H1" s="23"/>
      <c r="I1" s="23" t="s">
        <v>5</v>
      </c>
      <c r="J1" s="24" t="s">
        <v>6</v>
      </c>
      <c r="N1" s="4" t="s">
        <v>0</v>
      </c>
      <c r="O1" s="4"/>
      <c r="P1" s="75"/>
      <c r="T1" s="22" t="s">
        <v>0</v>
      </c>
      <c r="U1" s="23"/>
      <c r="V1" s="23"/>
      <c r="W1" s="23" t="s">
        <v>56</v>
      </c>
      <c r="X1" s="23" t="s">
        <v>5</v>
      </c>
      <c r="Y1" s="24" t="s">
        <v>6</v>
      </c>
      <c r="AD1" s="4" t="s">
        <v>0</v>
      </c>
      <c r="AE1" s="4"/>
      <c r="AF1" s="75"/>
      <c r="AH1" t="s">
        <v>84</v>
      </c>
      <c r="AJ1" s="22" t="s">
        <v>0</v>
      </c>
      <c r="AK1" s="23"/>
      <c r="AL1" s="23"/>
      <c r="AM1" s="23" t="s">
        <v>56</v>
      </c>
      <c r="AN1" s="23" t="s">
        <v>5</v>
      </c>
      <c r="AO1" s="24" t="s">
        <v>6</v>
      </c>
      <c r="AT1" s="4" t="s">
        <v>0</v>
      </c>
      <c r="AU1" s="4"/>
      <c r="AV1" s="75"/>
      <c r="AX1" t="s">
        <v>93</v>
      </c>
      <c r="AZ1" s="22" t="s">
        <v>0</v>
      </c>
      <c r="BA1" s="23"/>
      <c r="BB1" s="23"/>
      <c r="BC1" s="23" t="s">
        <v>56</v>
      </c>
      <c r="BD1" s="23" t="s">
        <v>5</v>
      </c>
      <c r="BE1" s="24" t="s">
        <v>6</v>
      </c>
    </row>
    <row r="2" spans="1:57" x14ac:dyDescent="0.25">
      <c r="A2" s="1">
        <v>45413</v>
      </c>
      <c r="B2" s="26" t="e">
        <f>HLOOKUP(A2,Hoja2!$R$2:$AV$61,60,FALSE)</f>
        <v>#N/A</v>
      </c>
      <c r="C2" s="3"/>
      <c r="E2" s="9">
        <v>45413</v>
      </c>
      <c r="F2">
        <v>110295</v>
      </c>
      <c r="G2" t="s">
        <v>139</v>
      </c>
      <c r="H2" t="str">
        <f>"CPA Traspaso de Fondos Bco. BCI 648 a MBI "</f>
        <v xml:space="preserve">CPA Traspaso de Fondos Bco. BCI 648 a MBI </v>
      </c>
      <c r="I2" s="3" t="e">
        <f>+B2</f>
        <v>#N/A</v>
      </c>
      <c r="J2" s="10"/>
      <c r="N2" s="1">
        <v>45413</v>
      </c>
      <c r="O2" s="26" t="e">
        <f>HLOOKUP(N2,Hoja2!$R$2:$AV$65,64,FALSE)</f>
        <v>#N/A</v>
      </c>
      <c r="P2" s="77" t="e">
        <f>HLOOKUP(N2,Hoja2!$R$2:$AV$63,62,FALSE)</f>
        <v>#N/A</v>
      </c>
      <c r="Q2" s="26" t="e">
        <f>HLOOKUP(N2,Hoja2!$R$2:$AV$64,63,FALSE)</f>
        <v>#N/A</v>
      </c>
      <c r="R2" s="26"/>
      <c r="T2" s="9">
        <v>45413</v>
      </c>
      <c r="U2">
        <v>110296</v>
      </c>
      <c r="V2" t="s">
        <v>140</v>
      </c>
      <c r="W2" t="e">
        <f>"CPA Compra Divisas " &amp;Q2&amp;" T/C "&amp;P2&amp;".- "&amp;TEXT($T2,"dd-mm-AAA")</f>
        <v>#N/A</v>
      </c>
      <c r="X2" s="3" t="e">
        <f>+O2</f>
        <v>#N/A</v>
      </c>
      <c r="Y2" s="10"/>
      <c r="AD2" s="1">
        <v>45413</v>
      </c>
      <c r="AE2" s="26" t="e">
        <f>HLOOKUP(AD2,Hoja2!$R$2:$AV$66,65,FALSE)</f>
        <v>#N/A</v>
      </c>
      <c r="AF2" s="77" t="e">
        <f>HLOOKUP(AD2,Hoja2!$R$2:$AV$67,66,FALSE)</f>
        <v>#N/A</v>
      </c>
      <c r="AG2" s="26" t="e">
        <f>HLOOKUP(AD2,Hoja2!$R$2:$AV$68,67,FALSE)</f>
        <v>#N/A</v>
      </c>
      <c r="AH2" s="97" t="e">
        <f>HLOOKUP(AD2,Hoja2!$R$2:$AV$69,68,FALSE)</f>
        <v>#N/A</v>
      </c>
      <c r="AJ2" s="9">
        <v>45413</v>
      </c>
      <c r="AK2">
        <v>110275</v>
      </c>
      <c r="AL2" t="s">
        <v>87</v>
      </c>
      <c r="AM2" t="e">
        <f>"CPA Fondeo MBI USD a NIUM " &amp;AG2&amp;" USD T/C "&amp;AF2</f>
        <v>#N/A</v>
      </c>
      <c r="AN2" s="3" t="e">
        <f>+AH2</f>
        <v>#N/A</v>
      </c>
      <c r="AO2" s="10"/>
      <c r="AT2" s="1">
        <v>45413</v>
      </c>
      <c r="AU2" s="26" t="e">
        <f>HLOOKUP(AT2,Hoja2!$R$2:$AV$70,69,FALSE)</f>
        <v>#N/A</v>
      </c>
      <c r="AV2" s="77" t="e">
        <f>HLOOKUP(AT2,Hoja2!$R$2:$AV$71,70,FALSE)</f>
        <v>#N/A</v>
      </c>
      <c r="AW2" s="26" t="e">
        <f>HLOOKUP(AT2,Hoja2!$R$2:$AV$72,71,FALSE)</f>
        <v>#N/A</v>
      </c>
      <c r="AX2" s="97" t="e">
        <f>HLOOKUP(AT2,Hoja2!$R$2:$AV$73,72,FALSE)</f>
        <v>#N/A</v>
      </c>
      <c r="AZ2" s="9">
        <v>45413</v>
      </c>
      <c r="BA2">
        <v>110820</v>
      </c>
      <c r="BB2" t="s">
        <v>97</v>
      </c>
      <c r="BC2" t="e">
        <f>"CPA Fondeo MBI USD a JPM COL "&amp;AW2&amp;" USD T/C "&amp;AV2&amp;""</f>
        <v>#N/A</v>
      </c>
      <c r="BD2" s="3" t="e">
        <f>+AX2</f>
        <v>#N/A</v>
      </c>
      <c r="BE2" s="10"/>
    </row>
    <row r="3" spans="1:57" x14ac:dyDescent="0.25">
      <c r="A3" s="1">
        <v>45414</v>
      </c>
      <c r="B3" s="26" t="e">
        <f>HLOOKUP(A3,Hoja2!$R$2:$AV$61,60,FALSE)</f>
        <v>#N/A</v>
      </c>
      <c r="E3" s="11"/>
      <c r="F3" s="12">
        <v>110208</v>
      </c>
      <c r="G3" s="12" t="s">
        <v>46</v>
      </c>
      <c r="H3" s="12" t="str">
        <f>H2</f>
        <v xml:space="preserve">CPA Traspaso de Fondos Bco. BCI 648 a MBI </v>
      </c>
      <c r="I3" s="13"/>
      <c r="J3" s="18" t="e">
        <f>I2</f>
        <v>#N/A</v>
      </c>
      <c r="N3" s="1">
        <v>45414</v>
      </c>
      <c r="O3" s="26" t="e">
        <f>HLOOKUP(N3,Hoja2!$R$2:$AV$65,64,FALSE)</f>
        <v>#N/A</v>
      </c>
      <c r="P3" s="77" t="e">
        <f>HLOOKUP(N3,Hoja2!$R$2:$AV$63,62,FALSE)</f>
        <v>#N/A</v>
      </c>
      <c r="Q3" s="26" t="e">
        <f>HLOOKUP(N3,Hoja2!$R$2:$AV$64,63,FALSE)</f>
        <v>#N/A</v>
      </c>
      <c r="R3" s="26"/>
      <c r="T3" s="11"/>
      <c r="U3" s="12">
        <v>110295</v>
      </c>
      <c r="V3" s="12" t="s">
        <v>139</v>
      </c>
      <c r="W3" s="12" t="e">
        <f>+W2</f>
        <v>#N/A</v>
      </c>
      <c r="X3" s="13"/>
      <c r="Y3" s="18" t="e">
        <f>+X2</f>
        <v>#N/A</v>
      </c>
      <c r="AD3" s="1">
        <v>45414</v>
      </c>
      <c r="AE3" s="26" t="e">
        <f>HLOOKUP(AD3,Hoja2!$R$2:$AV$66,65,FALSE)</f>
        <v>#N/A</v>
      </c>
      <c r="AF3" s="77" t="e">
        <f>HLOOKUP(AD3,Hoja2!$R$2:$AV$67,66,FALSE)</f>
        <v>#N/A</v>
      </c>
      <c r="AG3" s="26" t="e">
        <f>HLOOKUP(AD3,Hoja2!$R$2:$AV$68,67,FALSE)</f>
        <v>#N/A</v>
      </c>
      <c r="AH3" s="97" t="e">
        <f>HLOOKUP(AD3,Hoja2!$R$2:$AV$69,68,FALSE)</f>
        <v>#N/A</v>
      </c>
      <c r="AJ3" s="11"/>
      <c r="AK3" s="12">
        <v>110296</v>
      </c>
      <c r="AL3" s="12" t="s">
        <v>140</v>
      </c>
      <c r="AM3" s="12" t="e">
        <f>+AM2</f>
        <v>#N/A</v>
      </c>
      <c r="AN3" s="13"/>
      <c r="AO3" s="18" t="e">
        <f>+AN2</f>
        <v>#N/A</v>
      </c>
      <c r="AT3" s="1">
        <v>45414</v>
      </c>
      <c r="AU3" s="26" t="e">
        <f>HLOOKUP(AT3,Hoja2!$R$2:$AV$70,69,FALSE)</f>
        <v>#N/A</v>
      </c>
      <c r="AV3" s="77" t="e">
        <f>HLOOKUP(AT3,Hoja2!$R$2:$AV$71,70,FALSE)</f>
        <v>#N/A</v>
      </c>
      <c r="AW3" s="26" t="e">
        <f>HLOOKUP(AT3,Hoja2!$R$2:$AV$72,71,FALSE)</f>
        <v>#N/A</v>
      </c>
      <c r="AX3" s="97" t="e">
        <f>HLOOKUP(AT3,Hoja2!$R$2:$AV$73,72,FALSE)</f>
        <v>#N/A</v>
      </c>
      <c r="AZ3" s="11"/>
      <c r="BA3" s="12">
        <v>110296</v>
      </c>
      <c r="BB3" s="12" t="s">
        <v>140</v>
      </c>
      <c r="BC3" s="12" t="e">
        <f>+BC2</f>
        <v>#N/A</v>
      </c>
      <c r="BD3" s="13"/>
      <c r="BE3" s="18" t="e">
        <f>+BD2</f>
        <v>#N/A</v>
      </c>
    </row>
    <row r="4" spans="1:57" x14ac:dyDescent="0.25">
      <c r="A4" s="1">
        <v>45415</v>
      </c>
      <c r="B4" s="26" t="e">
        <f>HLOOKUP(A4,Hoja2!$R$2:$AV$61,60,FALSE)</f>
        <v>#N/A</v>
      </c>
      <c r="E4" s="15">
        <v>45414</v>
      </c>
      <c r="F4" s="8">
        <v>110295</v>
      </c>
      <c r="G4" s="8" t="s">
        <v>139</v>
      </c>
      <c r="H4" s="8" t="str">
        <f t="shared" ref="H4" si="0">"CPA Traspaso de Fondos Bco. BCI 648 a MBI "</f>
        <v xml:space="preserve">CPA Traspaso de Fondos Bco. BCI 648 a MBI </v>
      </c>
      <c r="I4" s="16" t="e">
        <f>+B3</f>
        <v>#N/A</v>
      </c>
      <c r="J4" s="17"/>
      <c r="N4" s="1">
        <v>45415</v>
      </c>
      <c r="O4" s="26" t="e">
        <f>HLOOKUP(N4,Hoja2!$R$2:$AV$65,64,FALSE)</f>
        <v>#N/A</v>
      </c>
      <c r="P4" s="77" t="e">
        <f>HLOOKUP(N4,Hoja2!$R$2:$AV$63,62,FALSE)</f>
        <v>#N/A</v>
      </c>
      <c r="Q4" s="26" t="e">
        <f>HLOOKUP(N4,Hoja2!$R$2:$AV$64,63,FALSE)</f>
        <v>#N/A</v>
      </c>
      <c r="R4" s="26"/>
      <c r="T4" s="15">
        <v>45414</v>
      </c>
      <c r="U4">
        <v>110296</v>
      </c>
      <c r="V4" t="s">
        <v>140</v>
      </c>
      <c r="W4" t="e">
        <f>"CPA Compra Divisas " &amp;Q3&amp;" T/C "&amp;P3&amp;".- "&amp;TEXT($T4,"dd-mm-AAA")</f>
        <v>#N/A</v>
      </c>
      <c r="X4" s="3" t="e">
        <f>+O3</f>
        <v>#N/A</v>
      </c>
      <c r="Y4" s="10"/>
      <c r="AD4" s="1">
        <v>45415</v>
      </c>
      <c r="AE4" s="26" t="e">
        <f>HLOOKUP(AD4,Hoja2!$R$2:$AV$66,65,FALSE)</f>
        <v>#N/A</v>
      </c>
      <c r="AF4" s="77" t="e">
        <f>HLOOKUP(AD4,Hoja2!$R$2:$AV$67,66,FALSE)</f>
        <v>#N/A</v>
      </c>
      <c r="AG4" s="26" t="e">
        <f>HLOOKUP(AD4,Hoja2!$R$2:$AV$68,67,FALSE)</f>
        <v>#N/A</v>
      </c>
      <c r="AH4" s="97" t="e">
        <f>HLOOKUP(AD4,Hoja2!$R$2:$AV$69,68,FALSE)</f>
        <v>#N/A</v>
      </c>
      <c r="AJ4" s="15">
        <v>45414</v>
      </c>
      <c r="AK4" s="8">
        <v>110275</v>
      </c>
      <c r="AL4" t="s">
        <v>87</v>
      </c>
      <c r="AM4" t="e">
        <f>"CPA Fondeo MBI USD a NIUM " &amp;AG3&amp;" USD T/C "&amp;AF3</f>
        <v>#N/A</v>
      </c>
      <c r="AN4" s="3" t="e">
        <f>+AH3</f>
        <v>#N/A</v>
      </c>
      <c r="AO4" s="10"/>
      <c r="AT4" s="1">
        <v>45415</v>
      </c>
      <c r="AU4" s="26" t="e">
        <f>HLOOKUP(AT4,Hoja2!$R$2:$AV$70,69,FALSE)</f>
        <v>#N/A</v>
      </c>
      <c r="AV4" s="77" t="e">
        <f>HLOOKUP(AT4,Hoja2!$R$2:$AV$71,70,FALSE)</f>
        <v>#N/A</v>
      </c>
      <c r="AW4" s="26" t="e">
        <f>HLOOKUP(AT4,Hoja2!$R$2:$AV$72,71,FALSE)</f>
        <v>#N/A</v>
      </c>
      <c r="AX4" s="97" t="e">
        <f>HLOOKUP(AT4,Hoja2!$R$2:$AV$73,72,FALSE)</f>
        <v>#N/A</v>
      </c>
      <c r="AZ4" s="15">
        <v>45414</v>
      </c>
      <c r="BA4">
        <v>110820</v>
      </c>
      <c r="BB4" t="s">
        <v>97</v>
      </c>
      <c r="BC4" t="e">
        <f>"CPA Fondeo MBI USD a JPM COL "&amp;AW3&amp;" USD T/C "&amp;AV3&amp;""</f>
        <v>#N/A</v>
      </c>
      <c r="BD4" s="3" t="e">
        <f>+AX3</f>
        <v>#N/A</v>
      </c>
      <c r="BE4" s="10"/>
    </row>
    <row r="5" spans="1:57" x14ac:dyDescent="0.25">
      <c r="A5" s="1">
        <v>45416</v>
      </c>
      <c r="B5" s="26" t="e">
        <f>HLOOKUP(A5,Hoja2!$R$2:$AV$61,60,FALSE)</f>
        <v>#N/A</v>
      </c>
      <c r="E5" s="11"/>
      <c r="F5" s="12">
        <v>110208</v>
      </c>
      <c r="G5" s="12" t="s">
        <v>46</v>
      </c>
      <c r="H5" s="12" t="str">
        <f t="shared" ref="H5" si="1">H4</f>
        <v xml:space="preserve">CPA Traspaso de Fondos Bco. BCI 648 a MBI </v>
      </c>
      <c r="I5" s="13"/>
      <c r="J5" s="18" t="e">
        <f>I4</f>
        <v>#N/A</v>
      </c>
      <c r="N5" s="1">
        <v>45416</v>
      </c>
      <c r="O5" s="26" t="e">
        <f>HLOOKUP(N5,Hoja2!$R$2:$AV$65,64,FALSE)</f>
        <v>#N/A</v>
      </c>
      <c r="P5" s="77" t="e">
        <f>HLOOKUP(N5,Hoja2!$R$2:$AV$63,62,FALSE)</f>
        <v>#N/A</v>
      </c>
      <c r="Q5" s="26" t="e">
        <f>HLOOKUP(N5,Hoja2!$R$2:$AV$64,63,FALSE)</f>
        <v>#N/A</v>
      </c>
      <c r="R5" s="26"/>
      <c r="T5" s="11"/>
      <c r="U5" s="12">
        <v>110295</v>
      </c>
      <c r="V5" s="12" t="s">
        <v>139</v>
      </c>
      <c r="W5" s="12" t="e">
        <f>+W4</f>
        <v>#N/A</v>
      </c>
      <c r="X5" s="13"/>
      <c r="Y5" s="18" t="e">
        <f t="shared" ref="Y5" si="2">+X4</f>
        <v>#N/A</v>
      </c>
      <c r="AD5" s="1">
        <v>45416</v>
      </c>
      <c r="AE5" s="26" t="e">
        <f>HLOOKUP(AD5,Hoja2!$R$2:$AV$66,65,FALSE)</f>
        <v>#N/A</v>
      </c>
      <c r="AF5" s="77" t="e">
        <f>HLOOKUP(AD5,Hoja2!$R$2:$AV$67,66,FALSE)</f>
        <v>#N/A</v>
      </c>
      <c r="AG5" s="26" t="e">
        <f>HLOOKUP(AD5,Hoja2!$R$2:$AV$68,67,FALSE)</f>
        <v>#N/A</v>
      </c>
      <c r="AH5" s="97" t="e">
        <f>HLOOKUP(AD5,Hoja2!$R$2:$AV$69,68,FALSE)</f>
        <v>#N/A</v>
      </c>
      <c r="AJ5" s="11"/>
      <c r="AK5" s="12">
        <v>110296</v>
      </c>
      <c r="AL5" s="12" t="s">
        <v>140</v>
      </c>
      <c r="AM5" s="12" t="e">
        <f>+AM4</f>
        <v>#N/A</v>
      </c>
      <c r="AN5" s="13"/>
      <c r="AO5" s="18" t="e">
        <f t="shared" ref="AO5" si="3">+AN4</f>
        <v>#N/A</v>
      </c>
      <c r="AT5" s="1">
        <v>45416</v>
      </c>
      <c r="AU5" s="26" t="e">
        <f>HLOOKUP(AT5,Hoja2!$R$2:$AV$70,69,FALSE)</f>
        <v>#N/A</v>
      </c>
      <c r="AV5" s="77" t="e">
        <f>HLOOKUP(AT5,Hoja2!$R$2:$AV$71,70,FALSE)</f>
        <v>#N/A</v>
      </c>
      <c r="AW5" s="26" t="e">
        <f>HLOOKUP(AT5,Hoja2!$R$2:$AV$72,71,FALSE)</f>
        <v>#N/A</v>
      </c>
      <c r="AX5" s="97" t="e">
        <f>HLOOKUP(AT5,Hoja2!$R$2:$AV$73,72,FALSE)</f>
        <v>#N/A</v>
      </c>
      <c r="AZ5" s="11"/>
      <c r="BA5" s="12">
        <v>110296</v>
      </c>
      <c r="BB5" s="12" t="s">
        <v>140</v>
      </c>
      <c r="BC5" s="12" t="e">
        <f>+BC4</f>
        <v>#N/A</v>
      </c>
      <c r="BD5" s="13"/>
      <c r="BE5" s="18" t="e">
        <f t="shared" ref="BE5" si="4">+BD4</f>
        <v>#N/A</v>
      </c>
    </row>
    <row r="6" spans="1:57" x14ac:dyDescent="0.25">
      <c r="A6" s="1">
        <v>45417</v>
      </c>
      <c r="B6" s="26" t="e">
        <f>HLOOKUP(A6,Hoja2!$R$2:$AV$61,60,FALSE)</f>
        <v>#N/A</v>
      </c>
      <c r="E6" s="15">
        <v>45415</v>
      </c>
      <c r="F6" s="8">
        <v>110295</v>
      </c>
      <c r="G6" s="8" t="s">
        <v>139</v>
      </c>
      <c r="H6" s="8" t="str">
        <f t="shared" ref="H6" si="5">"CPA Traspaso de Fondos Bco. BCI 648 a MBI "</f>
        <v xml:space="preserve">CPA Traspaso de Fondos Bco. BCI 648 a MBI </v>
      </c>
      <c r="I6" s="16" t="e">
        <f>+B4</f>
        <v>#N/A</v>
      </c>
      <c r="J6" s="17"/>
      <c r="N6" s="1">
        <v>45417</v>
      </c>
      <c r="O6" s="26" t="e">
        <f>HLOOKUP(N6,Hoja2!$R$2:$AV$65,64,FALSE)</f>
        <v>#N/A</v>
      </c>
      <c r="P6" s="77" t="e">
        <f>HLOOKUP(N6,Hoja2!$R$2:$AV$63,62,FALSE)</f>
        <v>#N/A</v>
      </c>
      <c r="Q6" s="26" t="e">
        <f>HLOOKUP(N6,Hoja2!$R$2:$AV$64,63,FALSE)</f>
        <v>#N/A</v>
      </c>
      <c r="R6" s="26"/>
      <c r="T6" s="15">
        <v>45415</v>
      </c>
      <c r="U6">
        <v>110296</v>
      </c>
      <c r="V6" t="s">
        <v>140</v>
      </c>
      <c r="W6" t="e">
        <f>"CPA Compra Divisas " &amp;Q4&amp;" T/C "&amp;P4&amp;".- "&amp;TEXT($T6,"dd-mm-AAA")</f>
        <v>#N/A</v>
      </c>
      <c r="X6" s="3" t="e">
        <f>+O4</f>
        <v>#N/A</v>
      </c>
      <c r="Y6" s="10"/>
      <c r="AD6" s="1">
        <v>45417</v>
      </c>
      <c r="AE6" s="26" t="e">
        <f>HLOOKUP(AD6,Hoja2!$R$2:$AV$66,65,FALSE)</f>
        <v>#N/A</v>
      </c>
      <c r="AF6" s="77" t="e">
        <f>HLOOKUP(AD6,Hoja2!$R$2:$AV$67,66,FALSE)</f>
        <v>#N/A</v>
      </c>
      <c r="AG6" s="26" t="e">
        <f>HLOOKUP(AD6,Hoja2!$R$2:$AV$68,67,FALSE)</f>
        <v>#N/A</v>
      </c>
      <c r="AH6" s="97" t="e">
        <f>HLOOKUP(AD6,Hoja2!$R$2:$AV$69,68,FALSE)</f>
        <v>#N/A</v>
      </c>
      <c r="AJ6" s="15">
        <v>45415</v>
      </c>
      <c r="AK6" s="8">
        <v>110275</v>
      </c>
      <c r="AL6" t="s">
        <v>87</v>
      </c>
      <c r="AM6" t="e">
        <f>"CPA Fondeo MBI USD a NIUM " &amp;AG4&amp;" USD T/C "&amp;AF4</f>
        <v>#N/A</v>
      </c>
      <c r="AN6" s="3" t="e">
        <f>+AH4</f>
        <v>#N/A</v>
      </c>
      <c r="AO6" s="10"/>
      <c r="AT6" s="1">
        <v>45417</v>
      </c>
      <c r="AU6" s="26" t="e">
        <f>HLOOKUP(AT6,Hoja2!$R$2:$AV$70,69,FALSE)</f>
        <v>#N/A</v>
      </c>
      <c r="AV6" s="77" t="e">
        <f>HLOOKUP(AT6,Hoja2!$R$2:$AV$71,70,FALSE)</f>
        <v>#N/A</v>
      </c>
      <c r="AW6" s="26" t="e">
        <f>HLOOKUP(AT6,Hoja2!$R$2:$AV$72,71,FALSE)</f>
        <v>#N/A</v>
      </c>
      <c r="AX6" s="97" t="e">
        <f>HLOOKUP(AT6,Hoja2!$R$2:$AV$73,72,FALSE)</f>
        <v>#N/A</v>
      </c>
      <c r="AZ6" s="15">
        <v>45415</v>
      </c>
      <c r="BA6">
        <v>110820</v>
      </c>
      <c r="BB6" t="s">
        <v>97</v>
      </c>
      <c r="BC6" t="e">
        <f>"CPA Fondeo MBI USD a JPM COL "&amp;AW4&amp;" USD T/C "&amp;AV4&amp;""</f>
        <v>#N/A</v>
      </c>
      <c r="BD6" s="3" t="e">
        <f>+AX4</f>
        <v>#N/A</v>
      </c>
      <c r="BE6" s="10"/>
    </row>
    <row r="7" spans="1:57" x14ac:dyDescent="0.25">
      <c r="A7" s="1">
        <v>45418</v>
      </c>
      <c r="B7" s="26" t="e">
        <f>HLOOKUP(A7,Hoja2!$R$2:$AV$61,60,FALSE)</f>
        <v>#N/A</v>
      </c>
      <c r="E7" s="11"/>
      <c r="F7" s="12">
        <v>110208</v>
      </c>
      <c r="G7" s="12" t="s">
        <v>46</v>
      </c>
      <c r="H7" s="12" t="str">
        <f t="shared" ref="H7" si="6">H6</f>
        <v xml:space="preserve">CPA Traspaso de Fondos Bco. BCI 648 a MBI </v>
      </c>
      <c r="I7" s="13"/>
      <c r="J7" s="18" t="e">
        <f>I6</f>
        <v>#N/A</v>
      </c>
      <c r="N7" s="1">
        <v>45418</v>
      </c>
      <c r="O7" s="26" t="e">
        <f>HLOOKUP(N7,Hoja2!$R$2:$AV$65,64,FALSE)</f>
        <v>#N/A</v>
      </c>
      <c r="P7" s="77" t="e">
        <f>HLOOKUP(N7,Hoja2!$R$2:$AV$63,62,FALSE)</f>
        <v>#N/A</v>
      </c>
      <c r="Q7" s="26" t="e">
        <f>HLOOKUP(N7,Hoja2!$R$2:$AV$64,63,FALSE)</f>
        <v>#N/A</v>
      </c>
      <c r="R7" s="26"/>
      <c r="T7" s="11"/>
      <c r="U7" s="12">
        <v>110295</v>
      </c>
      <c r="V7" s="12" t="s">
        <v>139</v>
      </c>
      <c r="W7" s="12" t="e">
        <f>+W6</f>
        <v>#N/A</v>
      </c>
      <c r="X7" s="13"/>
      <c r="Y7" s="18" t="e">
        <f t="shared" ref="Y7" si="7">+X6</f>
        <v>#N/A</v>
      </c>
      <c r="AD7" s="1">
        <v>45418</v>
      </c>
      <c r="AE7" s="26" t="e">
        <f>HLOOKUP(AD7,Hoja2!$R$2:$AV$66,65,FALSE)</f>
        <v>#N/A</v>
      </c>
      <c r="AF7" s="77" t="e">
        <f>HLOOKUP(AD7,Hoja2!$R$2:$AV$67,66,FALSE)</f>
        <v>#N/A</v>
      </c>
      <c r="AG7" s="26" t="e">
        <f>HLOOKUP(AD7,Hoja2!$R$2:$AV$68,67,FALSE)</f>
        <v>#N/A</v>
      </c>
      <c r="AH7" s="97" t="e">
        <f>HLOOKUP(AD7,Hoja2!$R$2:$AV$69,68,FALSE)</f>
        <v>#N/A</v>
      </c>
      <c r="AJ7" s="11"/>
      <c r="AK7" s="12">
        <v>110296</v>
      </c>
      <c r="AL7" s="12" t="s">
        <v>140</v>
      </c>
      <c r="AM7" s="12" t="e">
        <f>+AM6</f>
        <v>#N/A</v>
      </c>
      <c r="AN7" s="13"/>
      <c r="AO7" s="18" t="e">
        <f t="shared" ref="AO7:AO63" si="8">+AN6</f>
        <v>#N/A</v>
      </c>
      <c r="AT7" s="1">
        <v>45418</v>
      </c>
      <c r="AU7" s="26" t="e">
        <f>HLOOKUP(AT7,Hoja2!$R$2:$AV$70,69,FALSE)</f>
        <v>#N/A</v>
      </c>
      <c r="AV7" s="77" t="e">
        <f>HLOOKUP(AT7,Hoja2!$R$2:$AV$71,70,FALSE)</f>
        <v>#N/A</v>
      </c>
      <c r="AW7" s="26" t="e">
        <f>HLOOKUP(AT7,Hoja2!$R$2:$AV$72,71,FALSE)</f>
        <v>#N/A</v>
      </c>
      <c r="AX7" s="97" t="e">
        <f>HLOOKUP(AT7,Hoja2!$R$2:$AV$73,72,FALSE)</f>
        <v>#N/A</v>
      </c>
      <c r="AZ7" s="11"/>
      <c r="BA7" s="12">
        <v>110296</v>
      </c>
      <c r="BB7" s="12" t="s">
        <v>140</v>
      </c>
      <c r="BC7" s="12" t="e">
        <f>+BC6</f>
        <v>#N/A</v>
      </c>
      <c r="BD7" s="13"/>
      <c r="BE7" s="18" t="e">
        <f t="shared" ref="BE7:BE63" si="9">+BD6</f>
        <v>#N/A</v>
      </c>
    </row>
    <row r="8" spans="1:57" x14ac:dyDescent="0.25">
      <c r="A8" s="1">
        <v>45419</v>
      </c>
      <c r="B8" s="26" t="e">
        <f>HLOOKUP(A8,Hoja2!$R$2:$AV$61,60,FALSE)</f>
        <v>#N/A</v>
      </c>
      <c r="E8" s="15">
        <v>45416</v>
      </c>
      <c r="F8" s="8">
        <v>110295</v>
      </c>
      <c r="G8" s="8" t="s">
        <v>139</v>
      </c>
      <c r="H8" s="8" t="str">
        <f t="shared" ref="H8" si="10">"CPA Traspaso de Fondos Bco. BCI 648 a MBI "</f>
        <v xml:space="preserve">CPA Traspaso de Fondos Bco. BCI 648 a MBI </v>
      </c>
      <c r="I8" s="16" t="e">
        <f>+B5</f>
        <v>#N/A</v>
      </c>
      <c r="J8" s="17"/>
      <c r="N8" s="1">
        <v>45419</v>
      </c>
      <c r="O8" s="26" t="e">
        <f>HLOOKUP(N8,Hoja2!$R$2:$AV$65,64,FALSE)</f>
        <v>#N/A</v>
      </c>
      <c r="P8" s="77" t="e">
        <f>HLOOKUP(N8,Hoja2!$R$2:$AV$63,62,FALSE)</f>
        <v>#N/A</v>
      </c>
      <c r="Q8" s="26" t="e">
        <f>HLOOKUP(N8,Hoja2!$R$2:$AV$64,63,FALSE)</f>
        <v>#N/A</v>
      </c>
      <c r="R8" s="26"/>
      <c r="T8" s="15">
        <v>45416</v>
      </c>
      <c r="U8">
        <v>110296</v>
      </c>
      <c r="V8" t="s">
        <v>140</v>
      </c>
      <c r="W8" t="e">
        <f>"CPA Compra Divisas " &amp;Q5&amp;" T/C "&amp;P5&amp;".- "&amp;TEXT($T8,"dd-mm-AAA")</f>
        <v>#N/A</v>
      </c>
      <c r="X8" s="3" t="e">
        <f>+O5</f>
        <v>#N/A</v>
      </c>
      <c r="Y8" s="10"/>
      <c r="AD8" s="1">
        <v>45419</v>
      </c>
      <c r="AE8" s="26" t="e">
        <f>HLOOKUP(AD8,Hoja2!$R$2:$AV$66,65,FALSE)</f>
        <v>#N/A</v>
      </c>
      <c r="AF8" s="77" t="e">
        <f>HLOOKUP(AD8,Hoja2!$R$2:$AV$67,66,FALSE)</f>
        <v>#N/A</v>
      </c>
      <c r="AG8" s="26" t="e">
        <f>HLOOKUP(AD8,Hoja2!$R$2:$AV$68,67,FALSE)</f>
        <v>#N/A</v>
      </c>
      <c r="AH8" s="97" t="e">
        <f>HLOOKUP(AD8,Hoja2!$R$2:$AV$69,68,FALSE)</f>
        <v>#N/A</v>
      </c>
      <c r="AJ8" s="15">
        <v>45416</v>
      </c>
      <c r="AK8" s="8">
        <v>110275</v>
      </c>
      <c r="AL8" t="s">
        <v>87</v>
      </c>
      <c r="AM8" t="e">
        <f>"CPA Fondeo MBI USD a NIUM " &amp;AG5&amp;" USD T/C "&amp;AF5</f>
        <v>#N/A</v>
      </c>
      <c r="AN8" s="3" t="e">
        <f>+AH5</f>
        <v>#N/A</v>
      </c>
      <c r="AO8" s="10"/>
      <c r="AT8" s="1">
        <v>45419</v>
      </c>
      <c r="AU8" s="26" t="e">
        <f>HLOOKUP(AT8,Hoja2!$R$2:$AV$70,69,FALSE)</f>
        <v>#N/A</v>
      </c>
      <c r="AV8" s="77" t="e">
        <f>HLOOKUP(AT8,Hoja2!$R$2:$AV$71,70,FALSE)</f>
        <v>#N/A</v>
      </c>
      <c r="AW8" s="26" t="e">
        <f>HLOOKUP(AT8,Hoja2!$R$2:$AV$72,71,FALSE)</f>
        <v>#N/A</v>
      </c>
      <c r="AX8" s="97" t="e">
        <f>HLOOKUP(AT8,Hoja2!$R$2:$AV$73,72,FALSE)</f>
        <v>#N/A</v>
      </c>
      <c r="AZ8" s="15">
        <v>45416</v>
      </c>
      <c r="BA8">
        <v>110820</v>
      </c>
      <c r="BB8" t="s">
        <v>97</v>
      </c>
      <c r="BC8" t="e">
        <f>"CPA Fondeo MBI USD a JPM COL "&amp;AW5&amp;" USD T/C "&amp;AV5&amp;""</f>
        <v>#N/A</v>
      </c>
      <c r="BD8" s="3" t="e">
        <f>+AX5</f>
        <v>#N/A</v>
      </c>
      <c r="BE8" s="10"/>
    </row>
    <row r="9" spans="1:57" x14ac:dyDescent="0.25">
      <c r="A9" s="1">
        <v>45420</v>
      </c>
      <c r="B9" s="26" t="e">
        <f>HLOOKUP(A9,Hoja2!$R$2:$AV$61,60,FALSE)</f>
        <v>#N/A</v>
      </c>
      <c r="E9" s="20"/>
      <c r="F9">
        <v>110208</v>
      </c>
      <c r="G9" t="s">
        <v>46</v>
      </c>
      <c r="H9" t="str">
        <f t="shared" ref="H9" si="11">H8</f>
        <v xml:space="preserve">CPA Traspaso de Fondos Bco. BCI 648 a MBI </v>
      </c>
      <c r="J9" s="10" t="e">
        <f>I8</f>
        <v>#N/A</v>
      </c>
      <c r="N9" s="1">
        <v>45420</v>
      </c>
      <c r="O9" s="26" t="e">
        <f>HLOOKUP(N9,Hoja2!$R$2:$AV$65,64,FALSE)</f>
        <v>#N/A</v>
      </c>
      <c r="P9" s="77" t="e">
        <f>HLOOKUP(N9,Hoja2!$R$2:$AV$63,62,FALSE)</f>
        <v>#N/A</v>
      </c>
      <c r="Q9" s="26" t="e">
        <f>HLOOKUP(N9,Hoja2!$R$2:$AV$64,63,FALSE)</f>
        <v>#N/A</v>
      </c>
      <c r="R9" s="26"/>
      <c r="T9" s="20"/>
      <c r="U9" s="12">
        <v>110295</v>
      </c>
      <c r="V9" s="12" t="s">
        <v>139</v>
      </c>
      <c r="W9" s="12" t="e">
        <f>+W8</f>
        <v>#N/A</v>
      </c>
      <c r="X9" s="13"/>
      <c r="Y9" s="18" t="e">
        <f t="shared" ref="Y9" si="12">+X8</f>
        <v>#N/A</v>
      </c>
      <c r="AD9" s="1">
        <v>45420</v>
      </c>
      <c r="AE9" s="26" t="e">
        <f>HLOOKUP(AD9,Hoja2!$R$2:$AV$66,65,FALSE)</f>
        <v>#N/A</v>
      </c>
      <c r="AF9" s="77" t="e">
        <f>HLOOKUP(AD9,Hoja2!$R$2:$AV$67,66,FALSE)</f>
        <v>#N/A</v>
      </c>
      <c r="AG9" s="26" t="e">
        <f>HLOOKUP(AD9,Hoja2!$R$2:$AV$68,67,FALSE)</f>
        <v>#N/A</v>
      </c>
      <c r="AH9" s="97" t="e">
        <f>HLOOKUP(AD9,Hoja2!$R$2:$AV$69,68,FALSE)</f>
        <v>#N/A</v>
      </c>
      <c r="AJ9" s="20"/>
      <c r="AK9">
        <v>110296</v>
      </c>
      <c r="AL9" s="12" t="s">
        <v>140</v>
      </c>
      <c r="AM9" s="12" t="e">
        <f>+AM8</f>
        <v>#N/A</v>
      </c>
      <c r="AN9" s="13"/>
      <c r="AO9" s="18" t="e">
        <f t="shared" si="8"/>
        <v>#N/A</v>
      </c>
      <c r="AT9" s="1">
        <v>45420</v>
      </c>
      <c r="AU9" s="26" t="e">
        <f>HLOOKUP(AT9,Hoja2!$R$2:$AV$70,69,FALSE)</f>
        <v>#N/A</v>
      </c>
      <c r="AV9" s="77" t="e">
        <f>HLOOKUP(AT9,Hoja2!$R$2:$AV$71,70,FALSE)</f>
        <v>#N/A</v>
      </c>
      <c r="AW9" s="26" t="e">
        <f>HLOOKUP(AT9,Hoja2!$R$2:$AV$72,71,FALSE)</f>
        <v>#N/A</v>
      </c>
      <c r="AX9" s="97" t="e">
        <f>HLOOKUP(AT9,Hoja2!$R$2:$AV$73,72,FALSE)</f>
        <v>#N/A</v>
      </c>
      <c r="AZ9" s="20"/>
      <c r="BA9" s="12">
        <v>110296</v>
      </c>
      <c r="BB9" s="12" t="s">
        <v>140</v>
      </c>
      <c r="BC9" s="12" t="e">
        <f>+BC8</f>
        <v>#N/A</v>
      </c>
      <c r="BD9" s="13"/>
      <c r="BE9" s="18" t="e">
        <f t="shared" si="9"/>
        <v>#N/A</v>
      </c>
    </row>
    <row r="10" spans="1:57" x14ac:dyDescent="0.25">
      <c r="A10" s="1">
        <v>45421</v>
      </c>
      <c r="B10" s="26" t="e">
        <f>HLOOKUP(A10,Hoja2!$R$2:$AV$61,60,FALSE)</f>
        <v>#N/A</v>
      </c>
      <c r="E10" s="15">
        <v>45417</v>
      </c>
      <c r="F10" s="8">
        <v>110295</v>
      </c>
      <c r="G10" s="8" t="s">
        <v>139</v>
      </c>
      <c r="H10" s="8" t="str">
        <f t="shared" ref="H10" si="13">"CPA Traspaso de Fondos Bco. BCI 648 a MBI "</f>
        <v xml:space="preserve">CPA Traspaso de Fondos Bco. BCI 648 a MBI </v>
      </c>
      <c r="I10" s="16" t="e">
        <f>+B6</f>
        <v>#N/A</v>
      </c>
      <c r="J10" s="17"/>
      <c r="N10" s="1">
        <v>45421</v>
      </c>
      <c r="O10" s="26" t="e">
        <f>HLOOKUP(N10,Hoja2!$R$2:$AV$65,64,FALSE)</f>
        <v>#N/A</v>
      </c>
      <c r="P10" s="77" t="e">
        <f>HLOOKUP(N10,Hoja2!$R$2:$AV$63,62,FALSE)</f>
        <v>#N/A</v>
      </c>
      <c r="Q10" s="26" t="e">
        <f>HLOOKUP(N10,Hoja2!$R$2:$AV$64,63,FALSE)</f>
        <v>#N/A</v>
      </c>
      <c r="R10" s="26"/>
      <c r="T10" s="15">
        <v>45417</v>
      </c>
      <c r="U10">
        <v>110296</v>
      </c>
      <c r="V10" t="s">
        <v>140</v>
      </c>
      <c r="W10" t="e">
        <f>"CPA Compra Divisas " &amp;Q6&amp;" T/C "&amp;P6&amp;".- "&amp;TEXT($T10,"dd-mm-AAA")</f>
        <v>#N/A</v>
      </c>
      <c r="X10" s="3" t="e">
        <f>+O6</f>
        <v>#N/A</v>
      </c>
      <c r="Y10" s="10"/>
      <c r="AD10" s="1">
        <v>45421</v>
      </c>
      <c r="AE10" s="26" t="e">
        <f>HLOOKUP(AD10,Hoja2!$R$2:$AV$66,65,FALSE)</f>
        <v>#N/A</v>
      </c>
      <c r="AF10" s="77" t="e">
        <f>HLOOKUP(AD10,Hoja2!$R$2:$AV$67,66,FALSE)</f>
        <v>#N/A</v>
      </c>
      <c r="AG10" s="26" t="e">
        <f>HLOOKUP(AD10,Hoja2!$R$2:$AV$68,67,FALSE)</f>
        <v>#N/A</v>
      </c>
      <c r="AH10" s="97" t="e">
        <f>HLOOKUP(AD10,Hoja2!$R$2:$AV$69,68,FALSE)</f>
        <v>#N/A</v>
      </c>
      <c r="AJ10" s="15">
        <v>45417</v>
      </c>
      <c r="AK10" s="8">
        <v>110275</v>
      </c>
      <c r="AL10" t="s">
        <v>87</v>
      </c>
      <c r="AM10" t="e">
        <f>"CPA Fondeo MBI USD a NIUM " &amp;AG6&amp;" USD T/C "&amp;AF6</f>
        <v>#N/A</v>
      </c>
      <c r="AN10" s="3" t="e">
        <f>+AH6</f>
        <v>#N/A</v>
      </c>
      <c r="AO10" s="10"/>
      <c r="AT10" s="1">
        <v>45421</v>
      </c>
      <c r="AU10" s="26" t="e">
        <f>HLOOKUP(AT10,Hoja2!$R$2:$AV$70,69,FALSE)</f>
        <v>#N/A</v>
      </c>
      <c r="AV10" s="77" t="e">
        <f>HLOOKUP(AT10,Hoja2!$R$2:$AV$71,70,FALSE)</f>
        <v>#N/A</v>
      </c>
      <c r="AW10" s="26" t="e">
        <f>HLOOKUP(AT10,Hoja2!$R$2:$AV$72,71,FALSE)</f>
        <v>#N/A</v>
      </c>
      <c r="AX10" s="97" t="e">
        <f>HLOOKUP(AT10,Hoja2!$R$2:$AV$73,72,FALSE)</f>
        <v>#N/A</v>
      </c>
      <c r="AZ10" s="15">
        <v>45417</v>
      </c>
      <c r="BA10">
        <v>110820</v>
      </c>
      <c r="BB10" t="s">
        <v>97</v>
      </c>
      <c r="BC10" t="e">
        <f>"CPA Fondeo MBI USD a JPM COL "&amp;AW6&amp;" USD T/C "&amp;AV6&amp;""</f>
        <v>#N/A</v>
      </c>
      <c r="BD10" s="3" t="e">
        <f>+AX6</f>
        <v>#N/A</v>
      </c>
      <c r="BE10" s="10"/>
    </row>
    <row r="11" spans="1:57" x14ac:dyDescent="0.25">
      <c r="A11" s="1">
        <v>45422</v>
      </c>
      <c r="B11" s="26" t="e">
        <f>HLOOKUP(A11,Hoja2!$R$2:$AV$61,60,FALSE)</f>
        <v>#N/A</v>
      </c>
      <c r="E11" s="20"/>
      <c r="F11">
        <v>110208</v>
      </c>
      <c r="G11" t="s">
        <v>46</v>
      </c>
      <c r="H11" t="str">
        <f t="shared" ref="H11" si="14">H10</f>
        <v xml:space="preserve">CPA Traspaso de Fondos Bco. BCI 648 a MBI </v>
      </c>
      <c r="J11" s="10" t="e">
        <f>I10</f>
        <v>#N/A</v>
      </c>
      <c r="N11" s="1">
        <v>45422</v>
      </c>
      <c r="O11" s="26" t="e">
        <f>HLOOKUP(N11,Hoja2!$R$2:$AV$65,64,FALSE)</f>
        <v>#N/A</v>
      </c>
      <c r="P11" s="77" t="e">
        <f>HLOOKUP(N11,Hoja2!$R$2:$AV$63,62,FALSE)</f>
        <v>#N/A</v>
      </c>
      <c r="Q11" s="26" t="e">
        <f>HLOOKUP(N11,Hoja2!$R$2:$AV$64,63,FALSE)</f>
        <v>#N/A</v>
      </c>
      <c r="R11" s="26"/>
      <c r="T11" s="20"/>
      <c r="U11" s="12">
        <v>110295</v>
      </c>
      <c r="V11" s="12" t="s">
        <v>139</v>
      </c>
      <c r="W11" s="12" t="e">
        <f>+W10</f>
        <v>#N/A</v>
      </c>
      <c r="X11" s="13"/>
      <c r="Y11" s="18" t="e">
        <f t="shared" ref="Y11" si="15">+X10</f>
        <v>#N/A</v>
      </c>
      <c r="AD11" s="1">
        <v>45422</v>
      </c>
      <c r="AE11" s="26" t="e">
        <f>HLOOKUP(AD11,Hoja2!$R$2:$AV$66,65,FALSE)</f>
        <v>#N/A</v>
      </c>
      <c r="AF11" s="77" t="e">
        <f>HLOOKUP(AD11,Hoja2!$R$2:$AV$67,66,FALSE)</f>
        <v>#N/A</v>
      </c>
      <c r="AG11" s="26" t="e">
        <f>HLOOKUP(AD11,Hoja2!$R$2:$AV$68,67,FALSE)</f>
        <v>#N/A</v>
      </c>
      <c r="AH11" s="97" t="e">
        <f>HLOOKUP(AD11,Hoja2!$R$2:$AV$69,68,FALSE)</f>
        <v>#N/A</v>
      </c>
      <c r="AJ11" s="20"/>
      <c r="AK11">
        <v>110296</v>
      </c>
      <c r="AL11" s="12" t="s">
        <v>140</v>
      </c>
      <c r="AM11" s="12" t="e">
        <f>+AM10</f>
        <v>#N/A</v>
      </c>
      <c r="AN11" s="13"/>
      <c r="AO11" s="18" t="e">
        <f t="shared" si="8"/>
        <v>#N/A</v>
      </c>
      <c r="AT11" s="1">
        <v>45422</v>
      </c>
      <c r="AU11" s="26" t="e">
        <f>HLOOKUP(AT11,Hoja2!$R$2:$AV$70,69,FALSE)</f>
        <v>#N/A</v>
      </c>
      <c r="AV11" s="77" t="e">
        <f>HLOOKUP(AT11,Hoja2!$R$2:$AV$71,70,FALSE)</f>
        <v>#N/A</v>
      </c>
      <c r="AW11" s="26" t="e">
        <f>HLOOKUP(AT11,Hoja2!$R$2:$AV$72,71,FALSE)</f>
        <v>#N/A</v>
      </c>
      <c r="AX11" s="97" t="e">
        <f>HLOOKUP(AT11,Hoja2!$R$2:$AV$73,72,FALSE)</f>
        <v>#N/A</v>
      </c>
      <c r="AZ11" s="20"/>
      <c r="BA11" s="12">
        <v>110296</v>
      </c>
      <c r="BB11" s="12" t="s">
        <v>140</v>
      </c>
      <c r="BC11" s="12" t="e">
        <f>+BC10</f>
        <v>#N/A</v>
      </c>
      <c r="BD11" s="13"/>
      <c r="BE11" s="18" t="e">
        <f t="shared" si="9"/>
        <v>#N/A</v>
      </c>
    </row>
    <row r="12" spans="1:57" x14ac:dyDescent="0.25">
      <c r="A12" s="1">
        <v>45423</v>
      </c>
      <c r="B12" s="26" t="e">
        <f>HLOOKUP(A12,Hoja2!$R$2:$AV$61,60,FALSE)</f>
        <v>#N/A</v>
      </c>
      <c r="D12" s="19"/>
      <c r="E12" s="15">
        <v>45418</v>
      </c>
      <c r="F12" s="8">
        <v>110295</v>
      </c>
      <c r="G12" s="8" t="s">
        <v>139</v>
      </c>
      <c r="H12" s="8" t="str">
        <f t="shared" ref="H12" si="16">"CPA Traspaso de Fondos Bco. BCI 648 a MBI "</f>
        <v xml:space="preserve">CPA Traspaso de Fondos Bco. BCI 648 a MBI </v>
      </c>
      <c r="I12" s="16" t="e">
        <f>+B7</f>
        <v>#N/A</v>
      </c>
      <c r="J12" s="17"/>
      <c r="N12" s="1">
        <v>45423</v>
      </c>
      <c r="O12" s="26" t="e">
        <f>HLOOKUP(N12,Hoja2!$R$2:$AV$65,64,FALSE)</f>
        <v>#N/A</v>
      </c>
      <c r="P12" s="77" t="e">
        <f>HLOOKUP(N12,Hoja2!$R$2:$AV$63,62,FALSE)</f>
        <v>#N/A</v>
      </c>
      <c r="Q12" s="26" t="e">
        <f>HLOOKUP(N12,Hoja2!$R$2:$AV$64,63,FALSE)</f>
        <v>#N/A</v>
      </c>
      <c r="R12" s="26"/>
      <c r="T12" s="15">
        <v>45418</v>
      </c>
      <c r="U12">
        <v>110296</v>
      </c>
      <c r="V12" t="s">
        <v>140</v>
      </c>
      <c r="W12" t="e">
        <f>"CPA Compra Divisas " &amp;Q7&amp;" T/C "&amp;P7&amp;".- "&amp;TEXT($T12,"dd-mm-AAA")</f>
        <v>#N/A</v>
      </c>
      <c r="X12" s="3" t="e">
        <f>+O7</f>
        <v>#N/A</v>
      </c>
      <c r="Y12" s="10"/>
      <c r="AD12" s="1">
        <v>45423</v>
      </c>
      <c r="AE12" s="26" t="e">
        <f>HLOOKUP(AD12,Hoja2!$R$2:$AV$66,65,FALSE)</f>
        <v>#N/A</v>
      </c>
      <c r="AF12" s="77" t="e">
        <f>HLOOKUP(AD12,Hoja2!$R$2:$AV$67,66,FALSE)</f>
        <v>#N/A</v>
      </c>
      <c r="AG12" s="26" t="e">
        <f>HLOOKUP(AD12,Hoja2!$R$2:$AV$68,67,FALSE)</f>
        <v>#N/A</v>
      </c>
      <c r="AH12" s="97" t="e">
        <f>HLOOKUP(AD12,Hoja2!$R$2:$AV$69,68,FALSE)</f>
        <v>#N/A</v>
      </c>
      <c r="AJ12" s="15">
        <v>45418</v>
      </c>
      <c r="AK12" s="8">
        <v>110275</v>
      </c>
      <c r="AL12" t="s">
        <v>87</v>
      </c>
      <c r="AM12" t="e">
        <f>"CPA Fondeo MBI USD a NIUM " &amp;AG7&amp;" USD T/C "&amp;AF7</f>
        <v>#N/A</v>
      </c>
      <c r="AN12" s="3" t="e">
        <f>+AH7</f>
        <v>#N/A</v>
      </c>
      <c r="AO12" s="10"/>
      <c r="AT12" s="1">
        <v>45423</v>
      </c>
      <c r="AU12" s="26" t="e">
        <f>HLOOKUP(AT12,Hoja2!$R$2:$AV$70,69,FALSE)</f>
        <v>#N/A</v>
      </c>
      <c r="AV12" s="77" t="e">
        <f>HLOOKUP(AT12,Hoja2!$R$2:$AV$71,70,FALSE)</f>
        <v>#N/A</v>
      </c>
      <c r="AW12" s="26" t="e">
        <f>HLOOKUP(AT12,Hoja2!$R$2:$AV$72,71,FALSE)</f>
        <v>#N/A</v>
      </c>
      <c r="AX12" s="97" t="e">
        <f>HLOOKUP(AT12,Hoja2!$R$2:$AV$73,72,FALSE)</f>
        <v>#N/A</v>
      </c>
      <c r="AZ12" s="15">
        <v>45418</v>
      </c>
      <c r="BA12">
        <v>110820</v>
      </c>
      <c r="BB12" t="s">
        <v>97</v>
      </c>
      <c r="BC12" t="e">
        <f>"CPA Fondeo MBI USD a JPM COL "&amp;AW7&amp;" USD T/C "&amp;AV7&amp;""</f>
        <v>#N/A</v>
      </c>
      <c r="BD12" s="3" t="e">
        <f>+AX7</f>
        <v>#N/A</v>
      </c>
      <c r="BE12" s="10"/>
    </row>
    <row r="13" spans="1:57" x14ac:dyDescent="0.25">
      <c r="A13" s="1">
        <v>45424</v>
      </c>
      <c r="B13" s="26" t="e">
        <f>HLOOKUP(A13,Hoja2!$R$2:$AV$61,60,FALSE)</f>
        <v>#N/A</v>
      </c>
      <c r="D13" s="39"/>
      <c r="E13" s="20"/>
      <c r="F13">
        <v>110208</v>
      </c>
      <c r="G13" t="s">
        <v>46</v>
      </c>
      <c r="H13" t="str">
        <f t="shared" ref="H13" si="17">H12</f>
        <v xml:space="preserve">CPA Traspaso de Fondos Bco. BCI 648 a MBI </v>
      </c>
      <c r="I13" s="3"/>
      <c r="J13" s="10" t="e">
        <f>I12</f>
        <v>#N/A</v>
      </c>
      <c r="N13" s="1">
        <v>45424</v>
      </c>
      <c r="O13" s="26" t="e">
        <f>HLOOKUP(N13,Hoja2!$R$2:$AV$65,64,FALSE)</f>
        <v>#N/A</v>
      </c>
      <c r="P13" s="77" t="e">
        <f>HLOOKUP(N13,Hoja2!$R$2:$AV$63,62,FALSE)</f>
        <v>#N/A</v>
      </c>
      <c r="Q13" s="26" t="e">
        <f>HLOOKUP(N13,Hoja2!$R$2:$AV$64,63,FALSE)</f>
        <v>#N/A</v>
      </c>
      <c r="R13" s="26"/>
      <c r="S13" s="39"/>
      <c r="T13" s="20"/>
      <c r="U13" s="12">
        <v>110295</v>
      </c>
      <c r="V13" s="12" t="s">
        <v>139</v>
      </c>
      <c r="W13" s="12" t="e">
        <f>+W12</f>
        <v>#N/A</v>
      </c>
      <c r="X13" s="13"/>
      <c r="Y13" s="18" t="e">
        <f t="shared" ref="Y13" si="18">+X12</f>
        <v>#N/A</v>
      </c>
      <c r="AD13" s="1">
        <v>45424</v>
      </c>
      <c r="AE13" s="26" t="e">
        <f>HLOOKUP(AD13,Hoja2!$R$2:$AV$66,65,FALSE)</f>
        <v>#N/A</v>
      </c>
      <c r="AF13" s="77" t="e">
        <f>HLOOKUP(AD13,Hoja2!$R$2:$AV$67,66,FALSE)</f>
        <v>#N/A</v>
      </c>
      <c r="AG13" s="26" t="e">
        <f>HLOOKUP(AD13,Hoja2!$R$2:$AV$68,67,FALSE)</f>
        <v>#N/A</v>
      </c>
      <c r="AH13" s="97" t="e">
        <f>HLOOKUP(AD13,Hoja2!$R$2:$AV$69,68,FALSE)</f>
        <v>#N/A</v>
      </c>
      <c r="AI13" s="39"/>
      <c r="AJ13" s="20"/>
      <c r="AK13">
        <v>110296</v>
      </c>
      <c r="AL13" s="12" t="s">
        <v>140</v>
      </c>
      <c r="AM13" s="12" t="e">
        <f>+AM12</f>
        <v>#N/A</v>
      </c>
      <c r="AN13" s="13"/>
      <c r="AO13" s="18" t="e">
        <f t="shared" si="8"/>
        <v>#N/A</v>
      </c>
      <c r="AT13" s="1">
        <v>45424</v>
      </c>
      <c r="AU13" s="26" t="e">
        <f>HLOOKUP(AT13,Hoja2!$R$2:$AV$70,69,FALSE)</f>
        <v>#N/A</v>
      </c>
      <c r="AV13" s="77" t="e">
        <f>HLOOKUP(AT13,Hoja2!$R$2:$AV$71,70,FALSE)</f>
        <v>#N/A</v>
      </c>
      <c r="AW13" s="26" t="e">
        <f>HLOOKUP(AT13,Hoja2!$R$2:$AV$72,71,FALSE)</f>
        <v>#N/A</v>
      </c>
      <c r="AX13" s="97" t="e">
        <f>HLOOKUP(AT13,Hoja2!$R$2:$AV$73,72,FALSE)</f>
        <v>#N/A</v>
      </c>
      <c r="AY13" s="39"/>
      <c r="AZ13" s="20"/>
      <c r="BA13" s="12">
        <v>110296</v>
      </c>
      <c r="BB13" s="12" t="s">
        <v>140</v>
      </c>
      <c r="BC13" s="12" t="e">
        <f>+BC12</f>
        <v>#N/A</v>
      </c>
      <c r="BD13" s="13"/>
      <c r="BE13" s="18" t="e">
        <f t="shared" si="9"/>
        <v>#N/A</v>
      </c>
    </row>
    <row r="14" spans="1:57" x14ac:dyDescent="0.25">
      <c r="A14" s="1">
        <v>45425</v>
      </c>
      <c r="B14" s="26" t="e">
        <f>HLOOKUP(A14,Hoja2!$R$2:$AV$61,60,FALSE)</f>
        <v>#N/A</v>
      </c>
      <c r="D14" s="21"/>
      <c r="E14" s="15">
        <v>45419</v>
      </c>
      <c r="F14" s="8">
        <v>110295</v>
      </c>
      <c r="G14" s="8" t="s">
        <v>139</v>
      </c>
      <c r="H14" s="8" t="str">
        <f t="shared" ref="H14" si="19">"CPA Traspaso de Fondos Bco. BCI 648 a MBI "</f>
        <v xml:space="preserve">CPA Traspaso de Fondos Bco. BCI 648 a MBI </v>
      </c>
      <c r="I14" s="16" t="e">
        <f>+B8</f>
        <v>#N/A</v>
      </c>
      <c r="J14" s="17"/>
      <c r="N14" s="1">
        <v>45425</v>
      </c>
      <c r="O14" s="26" t="e">
        <f>HLOOKUP(N14,Hoja2!$R$2:$AV$65,64,FALSE)</f>
        <v>#N/A</v>
      </c>
      <c r="P14" s="77" t="e">
        <f>HLOOKUP(N14,Hoja2!$R$2:$AV$63,62,FALSE)</f>
        <v>#N/A</v>
      </c>
      <c r="Q14" s="26" t="e">
        <f>HLOOKUP(N14,Hoja2!$R$2:$AV$64,63,FALSE)</f>
        <v>#N/A</v>
      </c>
      <c r="R14" s="26"/>
      <c r="S14" s="21"/>
      <c r="T14" s="15">
        <v>45419</v>
      </c>
      <c r="U14">
        <v>110296</v>
      </c>
      <c r="V14" t="s">
        <v>140</v>
      </c>
      <c r="W14" t="e">
        <f>"CPA Compra Divisas " &amp;Q8&amp;" T/C "&amp;P8&amp;".- "&amp;TEXT($T14,"dd-mm-AAA")</f>
        <v>#N/A</v>
      </c>
      <c r="X14" s="3" t="e">
        <f>+O8</f>
        <v>#N/A</v>
      </c>
      <c r="Y14" s="10"/>
      <c r="AD14" s="1">
        <v>45425</v>
      </c>
      <c r="AE14" s="26" t="e">
        <f>HLOOKUP(AD14,Hoja2!$R$2:$AV$66,65,FALSE)</f>
        <v>#N/A</v>
      </c>
      <c r="AF14" s="77" t="e">
        <f>HLOOKUP(AD14,Hoja2!$R$2:$AV$67,66,FALSE)</f>
        <v>#N/A</v>
      </c>
      <c r="AG14" s="26" t="e">
        <f>HLOOKUP(AD14,Hoja2!$R$2:$AV$68,67,FALSE)</f>
        <v>#N/A</v>
      </c>
      <c r="AH14" s="97" t="e">
        <f>HLOOKUP(AD14,Hoja2!$R$2:$AV$69,68,FALSE)</f>
        <v>#N/A</v>
      </c>
      <c r="AI14" s="21"/>
      <c r="AJ14" s="15">
        <v>45419</v>
      </c>
      <c r="AK14" s="8">
        <v>110275</v>
      </c>
      <c r="AL14" t="s">
        <v>87</v>
      </c>
      <c r="AM14" t="e">
        <f>"CPA Fondeo MBI USD a NIUM " &amp;AG8&amp;" USD T/C "&amp;AF8</f>
        <v>#N/A</v>
      </c>
      <c r="AN14" s="3" t="e">
        <f>+AH8</f>
        <v>#N/A</v>
      </c>
      <c r="AO14" s="10"/>
      <c r="AT14" s="1">
        <v>45425</v>
      </c>
      <c r="AU14" s="26" t="e">
        <f>HLOOKUP(AT14,Hoja2!$R$2:$AV$70,69,FALSE)</f>
        <v>#N/A</v>
      </c>
      <c r="AV14" s="77" t="e">
        <f>HLOOKUP(AT14,Hoja2!$R$2:$AV$71,70,FALSE)</f>
        <v>#N/A</v>
      </c>
      <c r="AW14" s="26" t="e">
        <f>HLOOKUP(AT14,Hoja2!$R$2:$AV$72,71,FALSE)</f>
        <v>#N/A</v>
      </c>
      <c r="AX14" s="97" t="e">
        <f>HLOOKUP(AT14,Hoja2!$R$2:$AV$73,72,FALSE)</f>
        <v>#N/A</v>
      </c>
      <c r="AY14" s="21"/>
      <c r="AZ14" s="15">
        <v>45419</v>
      </c>
      <c r="BA14">
        <v>110820</v>
      </c>
      <c r="BB14" t="s">
        <v>97</v>
      </c>
      <c r="BC14" t="e">
        <f>"CPA Fondeo MBI USD a JPM COL "&amp;AW8&amp;" USD T/C "&amp;AV8&amp;""</f>
        <v>#N/A</v>
      </c>
      <c r="BD14" s="3" t="e">
        <f>+AX8</f>
        <v>#N/A</v>
      </c>
      <c r="BE14" s="10"/>
    </row>
    <row r="15" spans="1:57" x14ac:dyDescent="0.25">
      <c r="A15" s="1">
        <v>45426</v>
      </c>
      <c r="B15" s="26" t="e">
        <f>HLOOKUP(A15,Hoja2!$R$2:$AV$61,60,FALSE)</f>
        <v>#N/A</v>
      </c>
      <c r="D15" s="40"/>
      <c r="E15" s="20"/>
      <c r="F15">
        <v>110208</v>
      </c>
      <c r="G15" t="s">
        <v>46</v>
      </c>
      <c r="H15" t="str">
        <f t="shared" ref="H15" si="20">H14</f>
        <v xml:space="preserve">CPA Traspaso de Fondos Bco. BCI 648 a MBI </v>
      </c>
      <c r="I15" s="3"/>
      <c r="J15" s="10" t="e">
        <f>I14</f>
        <v>#N/A</v>
      </c>
      <c r="N15" s="1">
        <v>45426</v>
      </c>
      <c r="O15" s="26" t="e">
        <f>HLOOKUP(N15,Hoja2!$R$2:$AV$65,64,FALSE)</f>
        <v>#N/A</v>
      </c>
      <c r="P15" s="77" t="e">
        <f>HLOOKUP(N15,Hoja2!$R$2:$AV$63,62,FALSE)</f>
        <v>#N/A</v>
      </c>
      <c r="Q15" s="26" t="e">
        <f>HLOOKUP(N15,Hoja2!$R$2:$AV$64,63,FALSE)</f>
        <v>#N/A</v>
      </c>
      <c r="R15" s="26"/>
      <c r="S15" s="40"/>
      <c r="T15" s="20"/>
      <c r="U15" s="12">
        <v>110295</v>
      </c>
      <c r="V15" s="12" t="s">
        <v>139</v>
      </c>
      <c r="W15" s="12" t="e">
        <f>+W14</f>
        <v>#N/A</v>
      </c>
      <c r="X15" s="13"/>
      <c r="Y15" s="18" t="e">
        <f t="shared" ref="Y15" si="21">+X14</f>
        <v>#N/A</v>
      </c>
      <c r="AD15" s="1">
        <v>45426</v>
      </c>
      <c r="AE15" s="26" t="e">
        <f>HLOOKUP(AD15,Hoja2!$R$2:$AV$66,65,FALSE)</f>
        <v>#N/A</v>
      </c>
      <c r="AF15" s="77" t="e">
        <f>HLOOKUP(AD15,Hoja2!$R$2:$AV$67,66,FALSE)</f>
        <v>#N/A</v>
      </c>
      <c r="AG15" s="26" t="e">
        <f>HLOOKUP(AD15,Hoja2!$R$2:$AV$68,67,FALSE)</f>
        <v>#N/A</v>
      </c>
      <c r="AH15" s="97" t="e">
        <f>HLOOKUP(AD15,Hoja2!$R$2:$AV$69,68,FALSE)</f>
        <v>#N/A</v>
      </c>
      <c r="AI15" s="40"/>
      <c r="AJ15" s="20"/>
      <c r="AK15">
        <v>110296</v>
      </c>
      <c r="AL15" s="12" t="s">
        <v>140</v>
      </c>
      <c r="AM15" s="12" t="e">
        <f>+AM14</f>
        <v>#N/A</v>
      </c>
      <c r="AN15" s="13"/>
      <c r="AO15" s="18" t="e">
        <f t="shared" si="8"/>
        <v>#N/A</v>
      </c>
      <c r="AT15" s="1">
        <v>45426</v>
      </c>
      <c r="AU15" s="26" t="e">
        <f>HLOOKUP(AT15,Hoja2!$R$2:$AV$70,69,FALSE)</f>
        <v>#N/A</v>
      </c>
      <c r="AV15" s="77" t="e">
        <f>HLOOKUP(AT15,Hoja2!$R$2:$AV$71,70,FALSE)</f>
        <v>#N/A</v>
      </c>
      <c r="AW15" s="26" t="e">
        <f>HLOOKUP(AT15,Hoja2!$R$2:$AV$72,71,FALSE)</f>
        <v>#N/A</v>
      </c>
      <c r="AX15" s="97" t="e">
        <f>HLOOKUP(AT15,Hoja2!$R$2:$AV$73,72,FALSE)</f>
        <v>#N/A</v>
      </c>
      <c r="AY15" s="40"/>
      <c r="AZ15" s="20"/>
      <c r="BA15" s="12">
        <v>110296</v>
      </c>
      <c r="BB15" s="12" t="s">
        <v>140</v>
      </c>
      <c r="BC15" s="12" t="e">
        <f>+BC14</f>
        <v>#N/A</v>
      </c>
      <c r="BD15" s="13"/>
      <c r="BE15" s="18" t="e">
        <f t="shared" si="9"/>
        <v>#N/A</v>
      </c>
    </row>
    <row r="16" spans="1:57" x14ac:dyDescent="0.25">
      <c r="A16" s="1">
        <v>45427</v>
      </c>
      <c r="B16" s="26" t="e">
        <f>HLOOKUP(A16,Hoja2!$R$2:$AV$61,60,FALSE)</f>
        <v>#N/A</v>
      </c>
      <c r="D16" s="21"/>
      <c r="E16" s="15">
        <v>45420</v>
      </c>
      <c r="F16" s="8">
        <v>110295</v>
      </c>
      <c r="G16" s="8" t="s">
        <v>139</v>
      </c>
      <c r="H16" s="8" t="str">
        <f t="shared" ref="H16" si="22">"CPA Traspaso de Fondos Bco. BCI 648 a MBI "</f>
        <v xml:space="preserve">CPA Traspaso de Fondos Bco. BCI 648 a MBI </v>
      </c>
      <c r="I16" s="16" t="e">
        <f>+B9</f>
        <v>#N/A</v>
      </c>
      <c r="J16" s="17"/>
      <c r="N16" s="1">
        <v>45427</v>
      </c>
      <c r="O16" s="26" t="e">
        <f>HLOOKUP(N16,Hoja2!$R$2:$AV$65,64,FALSE)</f>
        <v>#N/A</v>
      </c>
      <c r="P16" s="77" t="e">
        <f>HLOOKUP(N16,Hoja2!$R$2:$AV$63,62,FALSE)</f>
        <v>#N/A</v>
      </c>
      <c r="Q16" s="26" t="e">
        <f>HLOOKUP(N16,Hoja2!$R$2:$AV$64,63,FALSE)</f>
        <v>#N/A</v>
      </c>
      <c r="R16" s="26"/>
      <c r="S16" s="21"/>
      <c r="T16" s="15">
        <v>45420</v>
      </c>
      <c r="U16">
        <v>110296</v>
      </c>
      <c r="V16" t="s">
        <v>140</v>
      </c>
      <c r="W16" t="e">
        <f>"CPA Compra Divisas " &amp;Q9&amp;" T/C "&amp;P9&amp;".- "&amp;TEXT($T16,"dd-mm-AAA")</f>
        <v>#N/A</v>
      </c>
      <c r="X16" s="3" t="e">
        <f>+O9</f>
        <v>#N/A</v>
      </c>
      <c r="Y16" s="10"/>
      <c r="AD16" s="1">
        <v>45427</v>
      </c>
      <c r="AE16" s="26" t="e">
        <f>HLOOKUP(AD16,Hoja2!$R$2:$AV$66,65,FALSE)</f>
        <v>#N/A</v>
      </c>
      <c r="AF16" s="77" t="e">
        <f>HLOOKUP(AD16,Hoja2!$R$2:$AV$67,66,FALSE)</f>
        <v>#N/A</v>
      </c>
      <c r="AG16" s="26" t="e">
        <f>HLOOKUP(AD16,Hoja2!$R$2:$AV$68,67,FALSE)</f>
        <v>#N/A</v>
      </c>
      <c r="AH16" s="97" t="e">
        <f>HLOOKUP(AD16,Hoja2!$R$2:$AV$69,68,FALSE)</f>
        <v>#N/A</v>
      </c>
      <c r="AI16" s="21"/>
      <c r="AJ16" s="15">
        <v>45420</v>
      </c>
      <c r="AK16" s="8">
        <v>110275</v>
      </c>
      <c r="AL16" t="s">
        <v>87</v>
      </c>
      <c r="AM16" t="e">
        <f>"CPA Fondeo MBI USD a NIUM " &amp;AG9&amp;" USD T/C "&amp;AF9</f>
        <v>#N/A</v>
      </c>
      <c r="AN16" s="3" t="e">
        <f>+AH9</f>
        <v>#N/A</v>
      </c>
      <c r="AO16" s="10"/>
      <c r="AT16" s="1">
        <v>45427</v>
      </c>
      <c r="AU16" s="26" t="e">
        <f>HLOOKUP(AT16,Hoja2!$R$2:$AV$70,69,FALSE)</f>
        <v>#N/A</v>
      </c>
      <c r="AV16" s="77" t="e">
        <f>HLOOKUP(AT16,Hoja2!$R$2:$AV$71,70,FALSE)</f>
        <v>#N/A</v>
      </c>
      <c r="AW16" s="26" t="e">
        <f>HLOOKUP(AT16,Hoja2!$R$2:$AV$72,71,FALSE)</f>
        <v>#N/A</v>
      </c>
      <c r="AX16" s="97" t="e">
        <f>HLOOKUP(AT16,Hoja2!$R$2:$AV$73,72,FALSE)</f>
        <v>#N/A</v>
      </c>
      <c r="AY16" s="21"/>
      <c r="AZ16" s="15">
        <v>45420</v>
      </c>
      <c r="BA16">
        <v>110820</v>
      </c>
      <c r="BB16" t="s">
        <v>97</v>
      </c>
      <c r="BC16" t="e">
        <f>"CPA Fondeo MBI USD a JPM COL "&amp;AW9&amp;" USD T/C "&amp;AV9&amp;""</f>
        <v>#N/A</v>
      </c>
      <c r="BD16" s="3" t="e">
        <f>+AX9</f>
        <v>#N/A</v>
      </c>
      <c r="BE16" s="10"/>
    </row>
    <row r="17" spans="1:57" x14ac:dyDescent="0.25">
      <c r="A17" s="1">
        <v>45428</v>
      </c>
      <c r="B17" s="26" t="e">
        <f>HLOOKUP(A17,Hoja2!$R$2:$AV$61,60,FALSE)</f>
        <v>#N/A</v>
      </c>
      <c r="D17" s="21"/>
      <c r="E17" s="11"/>
      <c r="F17" s="12">
        <v>110208</v>
      </c>
      <c r="G17" s="12" t="s">
        <v>46</v>
      </c>
      <c r="H17" s="12" t="str">
        <f t="shared" ref="H17" si="23">H16</f>
        <v xml:space="preserve">CPA Traspaso de Fondos Bco. BCI 648 a MBI </v>
      </c>
      <c r="I17" s="13"/>
      <c r="J17" s="18" t="e">
        <f>I16</f>
        <v>#N/A</v>
      </c>
      <c r="N17" s="1">
        <v>45428</v>
      </c>
      <c r="O17" s="26" t="e">
        <f>HLOOKUP(N17,Hoja2!$R$2:$AV$65,64,FALSE)</f>
        <v>#N/A</v>
      </c>
      <c r="P17" s="77" t="e">
        <f>HLOOKUP(N17,Hoja2!$R$2:$AV$63,62,FALSE)</f>
        <v>#N/A</v>
      </c>
      <c r="Q17" s="26" t="e">
        <f>HLOOKUP(N17,Hoja2!$R$2:$AV$64,63,FALSE)</f>
        <v>#N/A</v>
      </c>
      <c r="R17" s="26"/>
      <c r="S17" s="21"/>
      <c r="T17" s="11"/>
      <c r="U17" s="12">
        <v>110295</v>
      </c>
      <c r="V17" s="12" t="s">
        <v>139</v>
      </c>
      <c r="W17" s="12" t="e">
        <f>+W16</f>
        <v>#N/A</v>
      </c>
      <c r="X17" s="13"/>
      <c r="Y17" s="18" t="e">
        <f t="shared" ref="Y17" si="24">+X16</f>
        <v>#N/A</v>
      </c>
      <c r="AD17" s="1">
        <v>45428</v>
      </c>
      <c r="AE17" s="26" t="e">
        <f>HLOOKUP(AD17,Hoja2!$R$2:$AV$66,65,FALSE)</f>
        <v>#N/A</v>
      </c>
      <c r="AF17" s="77" t="e">
        <f>HLOOKUP(AD17,Hoja2!$R$2:$AV$67,66,FALSE)</f>
        <v>#N/A</v>
      </c>
      <c r="AG17" s="26" t="e">
        <f>HLOOKUP(AD17,Hoja2!$R$2:$AV$68,67,FALSE)</f>
        <v>#N/A</v>
      </c>
      <c r="AH17" s="97" t="e">
        <f>HLOOKUP(AD17,Hoja2!$R$2:$AV$69,68,FALSE)</f>
        <v>#N/A</v>
      </c>
      <c r="AI17" s="21"/>
      <c r="AJ17" s="11"/>
      <c r="AK17" s="12">
        <v>110296</v>
      </c>
      <c r="AL17" s="12" t="s">
        <v>140</v>
      </c>
      <c r="AM17" s="12" t="e">
        <f>+AM16</f>
        <v>#N/A</v>
      </c>
      <c r="AN17" s="13"/>
      <c r="AO17" s="18" t="e">
        <f t="shared" si="8"/>
        <v>#N/A</v>
      </c>
      <c r="AT17" s="1">
        <v>45428</v>
      </c>
      <c r="AU17" s="26" t="e">
        <f>HLOOKUP(AT17,Hoja2!$R$2:$AV$70,69,FALSE)</f>
        <v>#N/A</v>
      </c>
      <c r="AV17" s="77" t="e">
        <f>HLOOKUP(AT17,Hoja2!$R$2:$AV$71,70,FALSE)</f>
        <v>#N/A</v>
      </c>
      <c r="AW17" s="26" t="e">
        <f>HLOOKUP(AT17,Hoja2!$R$2:$AV$72,71,FALSE)</f>
        <v>#N/A</v>
      </c>
      <c r="AX17" s="97" t="e">
        <f>HLOOKUP(AT17,Hoja2!$R$2:$AV$73,72,FALSE)</f>
        <v>#N/A</v>
      </c>
      <c r="AY17" s="21"/>
      <c r="AZ17" s="11"/>
      <c r="BA17" s="12">
        <v>110296</v>
      </c>
      <c r="BB17" s="12" t="s">
        <v>140</v>
      </c>
      <c r="BC17" s="12" t="e">
        <f>+BC16</f>
        <v>#N/A</v>
      </c>
      <c r="BD17" s="13"/>
      <c r="BE17" s="18" t="e">
        <f t="shared" si="9"/>
        <v>#N/A</v>
      </c>
    </row>
    <row r="18" spans="1:57" x14ac:dyDescent="0.25">
      <c r="A18" s="1">
        <v>45429</v>
      </c>
      <c r="B18" s="26" t="e">
        <f>HLOOKUP(A18,Hoja2!$R$2:$AV$61,60,FALSE)</f>
        <v>#N/A</v>
      </c>
      <c r="D18" s="21"/>
      <c r="E18" s="15">
        <v>45421</v>
      </c>
      <c r="F18" s="8">
        <v>110295</v>
      </c>
      <c r="G18" s="8" t="s">
        <v>139</v>
      </c>
      <c r="H18" s="8" t="str">
        <f t="shared" ref="H18" si="25">"CPA Traspaso de Fondos Bco. BCI 648 a MBI "</f>
        <v xml:space="preserve">CPA Traspaso de Fondos Bco. BCI 648 a MBI </v>
      </c>
      <c r="I18" s="16" t="e">
        <f>+B10</f>
        <v>#N/A</v>
      </c>
      <c r="J18" s="17"/>
      <c r="N18" s="1">
        <v>45429</v>
      </c>
      <c r="O18" s="26" t="e">
        <f>HLOOKUP(N18,Hoja2!$R$2:$AV$65,64,FALSE)</f>
        <v>#N/A</v>
      </c>
      <c r="P18" s="77" t="e">
        <f>HLOOKUP(N18,Hoja2!$R$2:$AV$63,62,FALSE)</f>
        <v>#N/A</v>
      </c>
      <c r="Q18" s="26" t="e">
        <f>HLOOKUP(N18,Hoja2!$R$2:$AV$64,63,FALSE)</f>
        <v>#N/A</v>
      </c>
      <c r="R18" s="26"/>
      <c r="S18" s="21"/>
      <c r="T18" s="15">
        <v>45421</v>
      </c>
      <c r="U18">
        <v>110296</v>
      </c>
      <c r="V18" t="s">
        <v>140</v>
      </c>
      <c r="W18" t="e">
        <f>"CPA Compra Divisas " &amp;Q10&amp;" T/C "&amp;P10&amp;".- "&amp;TEXT($T18,"dd-mm-AAA")</f>
        <v>#N/A</v>
      </c>
      <c r="X18" s="3" t="e">
        <f>+O10</f>
        <v>#N/A</v>
      </c>
      <c r="Y18" s="10"/>
      <c r="AD18" s="1">
        <v>45429</v>
      </c>
      <c r="AE18" s="26" t="e">
        <f>HLOOKUP(AD18,Hoja2!$R$2:$AV$66,65,FALSE)</f>
        <v>#N/A</v>
      </c>
      <c r="AF18" s="77" t="e">
        <f>HLOOKUP(AD18,Hoja2!$R$2:$AV$67,66,FALSE)</f>
        <v>#N/A</v>
      </c>
      <c r="AG18" s="26" t="e">
        <f>HLOOKUP(AD18,Hoja2!$R$2:$AV$68,67,FALSE)</f>
        <v>#N/A</v>
      </c>
      <c r="AH18" s="97" t="e">
        <f>HLOOKUP(AD18,Hoja2!$R$2:$AV$69,68,FALSE)</f>
        <v>#N/A</v>
      </c>
      <c r="AI18" s="21"/>
      <c r="AJ18" s="15">
        <v>45421</v>
      </c>
      <c r="AK18" s="8">
        <v>110275</v>
      </c>
      <c r="AL18" t="s">
        <v>87</v>
      </c>
      <c r="AM18" t="e">
        <f>"CPA Fondeo MBI USD a NIUM " &amp;AG10&amp;" USD T/C "&amp;AF10</f>
        <v>#N/A</v>
      </c>
      <c r="AN18" s="3" t="e">
        <f>+AH10</f>
        <v>#N/A</v>
      </c>
      <c r="AO18" s="10"/>
      <c r="AT18" s="1">
        <v>45429</v>
      </c>
      <c r="AU18" s="26" t="e">
        <f>HLOOKUP(AT18,Hoja2!$R$2:$AV$70,69,FALSE)</f>
        <v>#N/A</v>
      </c>
      <c r="AV18" s="77" t="e">
        <f>HLOOKUP(AT18,Hoja2!$R$2:$AV$71,70,FALSE)</f>
        <v>#N/A</v>
      </c>
      <c r="AW18" s="26" t="e">
        <f>HLOOKUP(AT18,Hoja2!$R$2:$AV$72,71,FALSE)</f>
        <v>#N/A</v>
      </c>
      <c r="AX18" s="97" t="e">
        <f>HLOOKUP(AT18,Hoja2!$R$2:$AV$73,72,FALSE)</f>
        <v>#N/A</v>
      </c>
      <c r="AY18" s="21"/>
      <c r="AZ18" s="15">
        <v>45421</v>
      </c>
      <c r="BA18">
        <v>110820</v>
      </c>
      <c r="BB18" t="s">
        <v>97</v>
      </c>
      <c r="BC18" t="e">
        <f>"CPA Fondeo MBI USD a JPM COL "&amp;AW10&amp;" USD T/C "&amp;AV10&amp;""</f>
        <v>#N/A</v>
      </c>
      <c r="BD18" s="3" t="e">
        <f>+AX10</f>
        <v>#N/A</v>
      </c>
      <c r="BE18" s="10"/>
    </row>
    <row r="19" spans="1:57" x14ac:dyDescent="0.25">
      <c r="A19" s="1">
        <v>45430</v>
      </c>
      <c r="B19" s="26" t="e">
        <f>HLOOKUP(A19,Hoja2!$R$2:$AV$61,60,FALSE)</f>
        <v>#N/A</v>
      </c>
      <c r="D19" s="21"/>
      <c r="E19" s="11"/>
      <c r="F19" s="12">
        <v>110208</v>
      </c>
      <c r="G19" s="12" t="s">
        <v>46</v>
      </c>
      <c r="H19" s="12" t="str">
        <f t="shared" ref="H19" si="26">H18</f>
        <v xml:space="preserve">CPA Traspaso de Fondos Bco. BCI 648 a MBI </v>
      </c>
      <c r="I19" s="13"/>
      <c r="J19" s="18" t="e">
        <f>I18</f>
        <v>#N/A</v>
      </c>
      <c r="N19" s="1">
        <v>45430</v>
      </c>
      <c r="O19" s="26" t="e">
        <f>HLOOKUP(N19,Hoja2!$R$2:$AV$65,64,FALSE)</f>
        <v>#N/A</v>
      </c>
      <c r="P19" s="77" t="e">
        <f>HLOOKUP(N19,Hoja2!$R$2:$AV$63,62,FALSE)</f>
        <v>#N/A</v>
      </c>
      <c r="Q19" s="26" t="e">
        <f>HLOOKUP(N19,Hoja2!$R$2:$AV$64,63,FALSE)</f>
        <v>#N/A</v>
      </c>
      <c r="R19" s="26"/>
      <c r="S19" s="21"/>
      <c r="T19" s="11"/>
      <c r="U19" s="12">
        <v>110295</v>
      </c>
      <c r="V19" s="12" t="s">
        <v>139</v>
      </c>
      <c r="W19" s="12" t="e">
        <f>+W18</f>
        <v>#N/A</v>
      </c>
      <c r="X19" s="13"/>
      <c r="Y19" s="18" t="e">
        <f t="shared" ref="Y19" si="27">+X18</f>
        <v>#N/A</v>
      </c>
      <c r="AD19" s="1">
        <v>45430</v>
      </c>
      <c r="AE19" s="26" t="e">
        <f>HLOOKUP(AD19,Hoja2!$R$2:$AV$66,65,FALSE)</f>
        <v>#N/A</v>
      </c>
      <c r="AF19" s="77" t="e">
        <f>HLOOKUP(AD19,Hoja2!$R$2:$AV$67,66,FALSE)</f>
        <v>#N/A</v>
      </c>
      <c r="AG19" s="26" t="e">
        <f>HLOOKUP(AD19,Hoja2!$R$2:$AV$68,67,FALSE)</f>
        <v>#N/A</v>
      </c>
      <c r="AH19" s="97" t="e">
        <f>HLOOKUP(AD19,Hoja2!$R$2:$AV$69,68,FALSE)</f>
        <v>#N/A</v>
      </c>
      <c r="AI19" s="21"/>
      <c r="AJ19" s="11"/>
      <c r="AK19" s="12">
        <v>110296</v>
      </c>
      <c r="AL19" s="12" t="s">
        <v>140</v>
      </c>
      <c r="AM19" s="12" t="e">
        <f>+AM18</f>
        <v>#N/A</v>
      </c>
      <c r="AN19" s="13"/>
      <c r="AO19" s="18" t="e">
        <f t="shared" si="8"/>
        <v>#N/A</v>
      </c>
      <c r="AT19" s="1">
        <v>45430</v>
      </c>
      <c r="AU19" s="26" t="e">
        <f>HLOOKUP(AT19,Hoja2!$R$2:$AV$70,69,FALSE)</f>
        <v>#N/A</v>
      </c>
      <c r="AV19" s="77" t="e">
        <f>HLOOKUP(AT19,Hoja2!$R$2:$AV$71,70,FALSE)</f>
        <v>#N/A</v>
      </c>
      <c r="AW19" s="26" t="e">
        <f>HLOOKUP(AT19,Hoja2!$R$2:$AV$72,71,FALSE)</f>
        <v>#N/A</v>
      </c>
      <c r="AX19" s="97" t="e">
        <f>HLOOKUP(AT19,Hoja2!$R$2:$AV$73,72,FALSE)</f>
        <v>#N/A</v>
      </c>
      <c r="AY19" s="21"/>
      <c r="AZ19" s="11"/>
      <c r="BA19" s="12">
        <v>110296</v>
      </c>
      <c r="BB19" s="12" t="s">
        <v>140</v>
      </c>
      <c r="BC19" s="12" t="e">
        <f>+BC18</f>
        <v>#N/A</v>
      </c>
      <c r="BD19" s="13"/>
      <c r="BE19" s="18" t="e">
        <f t="shared" si="9"/>
        <v>#N/A</v>
      </c>
    </row>
    <row r="20" spans="1:57" x14ac:dyDescent="0.25">
      <c r="A20" s="1">
        <v>45431</v>
      </c>
      <c r="B20" s="26" t="e">
        <f>HLOOKUP(A20,Hoja2!$R$2:$AV$61,60,FALSE)</f>
        <v>#N/A</v>
      </c>
      <c r="D20" s="21"/>
      <c r="E20" s="15">
        <v>45422</v>
      </c>
      <c r="F20" s="8">
        <v>110295</v>
      </c>
      <c r="G20" s="8" t="s">
        <v>139</v>
      </c>
      <c r="H20" s="8" t="str">
        <f t="shared" ref="H20" si="28">"CPA Traspaso de Fondos Bco. BCI 648 a MBI "</f>
        <v xml:space="preserve">CPA Traspaso de Fondos Bco. BCI 648 a MBI </v>
      </c>
      <c r="I20" s="16" t="e">
        <f>+B11</f>
        <v>#N/A</v>
      </c>
      <c r="J20" s="17"/>
      <c r="N20" s="1">
        <v>45431</v>
      </c>
      <c r="O20" s="26" t="e">
        <f>HLOOKUP(N20,Hoja2!$R$2:$AV$65,64,FALSE)</f>
        <v>#N/A</v>
      </c>
      <c r="P20" s="77" t="e">
        <f>HLOOKUP(N20,Hoja2!$R$2:$AV$63,62,FALSE)</f>
        <v>#N/A</v>
      </c>
      <c r="Q20" s="26" t="e">
        <f>HLOOKUP(N20,Hoja2!$R$2:$AV$64,63,FALSE)</f>
        <v>#N/A</v>
      </c>
      <c r="R20" s="26"/>
      <c r="S20" s="21"/>
      <c r="T20" s="15">
        <v>45422</v>
      </c>
      <c r="U20">
        <v>110296</v>
      </c>
      <c r="V20" t="s">
        <v>140</v>
      </c>
      <c r="W20" t="e">
        <f>"CPA Compra Divisas " &amp;Q11&amp;" T/C "&amp;P11&amp;".- "&amp;TEXT($T20,"dd-mm-AAA")</f>
        <v>#N/A</v>
      </c>
      <c r="X20" s="3" t="e">
        <f>+O11</f>
        <v>#N/A</v>
      </c>
      <c r="Y20" s="10"/>
      <c r="AD20" s="1">
        <v>45431</v>
      </c>
      <c r="AE20" s="26" t="e">
        <f>HLOOKUP(AD20,Hoja2!$R$2:$AV$66,65,FALSE)</f>
        <v>#N/A</v>
      </c>
      <c r="AF20" s="77" t="e">
        <f>HLOOKUP(AD20,Hoja2!$R$2:$AV$67,66,FALSE)</f>
        <v>#N/A</v>
      </c>
      <c r="AG20" s="26" t="e">
        <f>HLOOKUP(AD20,Hoja2!$R$2:$AV$68,67,FALSE)</f>
        <v>#N/A</v>
      </c>
      <c r="AH20" s="97" t="e">
        <f>HLOOKUP(AD20,Hoja2!$R$2:$AV$69,68,FALSE)</f>
        <v>#N/A</v>
      </c>
      <c r="AI20" s="21"/>
      <c r="AJ20" s="15">
        <v>45422</v>
      </c>
      <c r="AK20" s="8">
        <v>110275</v>
      </c>
      <c r="AL20" t="s">
        <v>87</v>
      </c>
      <c r="AM20" t="e">
        <f>"CPA Fondeo MBI USD a NIUM " &amp;AG11&amp;" USD T/C "&amp;AF11</f>
        <v>#N/A</v>
      </c>
      <c r="AN20" s="3" t="e">
        <f>+AH11</f>
        <v>#N/A</v>
      </c>
      <c r="AO20" s="10"/>
      <c r="AT20" s="1">
        <v>45431</v>
      </c>
      <c r="AU20" s="26" t="e">
        <f>HLOOKUP(AT20,Hoja2!$R$2:$AV$70,69,FALSE)</f>
        <v>#N/A</v>
      </c>
      <c r="AV20" s="77" t="e">
        <f>HLOOKUP(AT20,Hoja2!$R$2:$AV$71,70,FALSE)</f>
        <v>#N/A</v>
      </c>
      <c r="AW20" s="26" t="e">
        <f>HLOOKUP(AT20,Hoja2!$R$2:$AV$72,71,FALSE)</f>
        <v>#N/A</v>
      </c>
      <c r="AX20" s="97" t="e">
        <f>HLOOKUP(AT20,Hoja2!$R$2:$AV$73,72,FALSE)</f>
        <v>#N/A</v>
      </c>
      <c r="AY20" s="21"/>
      <c r="AZ20" s="15">
        <v>45422</v>
      </c>
      <c r="BA20">
        <v>110820</v>
      </c>
      <c r="BB20" t="s">
        <v>97</v>
      </c>
      <c r="BC20" t="e">
        <f>"CPA Fondeo MBI USD a JPM COL "&amp;AW11&amp;" USD T/C "&amp;AV11&amp;""</f>
        <v>#N/A</v>
      </c>
      <c r="BD20" s="3" t="e">
        <f>+AX11</f>
        <v>#N/A</v>
      </c>
      <c r="BE20" s="10"/>
    </row>
    <row r="21" spans="1:57" x14ac:dyDescent="0.25">
      <c r="A21" s="1">
        <v>45432</v>
      </c>
      <c r="B21" s="26" t="e">
        <f>HLOOKUP(A21,Hoja2!$R$2:$AV$61,60,FALSE)</f>
        <v>#N/A</v>
      </c>
      <c r="D21" s="21"/>
      <c r="E21" s="9"/>
      <c r="F21">
        <v>110208</v>
      </c>
      <c r="G21" t="s">
        <v>46</v>
      </c>
      <c r="H21" t="str">
        <f t="shared" ref="H21" si="29">H20</f>
        <v xml:space="preserve">CPA Traspaso de Fondos Bco. BCI 648 a MBI </v>
      </c>
      <c r="I21" s="3"/>
      <c r="J21" s="10" t="e">
        <f>I20</f>
        <v>#N/A</v>
      </c>
      <c r="N21" s="1">
        <v>45432</v>
      </c>
      <c r="O21" s="26" t="e">
        <f>HLOOKUP(N21,Hoja2!$R$2:$AV$65,64,FALSE)</f>
        <v>#N/A</v>
      </c>
      <c r="P21" s="77" t="e">
        <f>HLOOKUP(N21,Hoja2!$R$2:$AV$63,62,FALSE)</f>
        <v>#N/A</v>
      </c>
      <c r="Q21" s="26" t="e">
        <f>HLOOKUP(N21,Hoja2!$R$2:$AV$64,63,FALSE)</f>
        <v>#N/A</v>
      </c>
      <c r="R21" s="26"/>
      <c r="S21" s="21"/>
      <c r="T21" s="9"/>
      <c r="U21" s="12">
        <v>110295</v>
      </c>
      <c r="V21" s="12" t="s">
        <v>139</v>
      </c>
      <c r="W21" s="12" t="e">
        <f>+W20</f>
        <v>#N/A</v>
      </c>
      <c r="X21" s="13"/>
      <c r="Y21" s="18" t="e">
        <f t="shared" ref="Y21" si="30">+X20</f>
        <v>#N/A</v>
      </c>
      <c r="AD21" s="1">
        <v>45432</v>
      </c>
      <c r="AE21" s="26" t="e">
        <f>HLOOKUP(AD21,Hoja2!$R$2:$AV$66,65,FALSE)</f>
        <v>#N/A</v>
      </c>
      <c r="AF21" s="77" t="e">
        <f>HLOOKUP(AD21,Hoja2!$R$2:$AV$67,66,FALSE)</f>
        <v>#N/A</v>
      </c>
      <c r="AG21" s="26" t="e">
        <f>HLOOKUP(AD21,Hoja2!$R$2:$AV$68,67,FALSE)</f>
        <v>#N/A</v>
      </c>
      <c r="AH21" s="97" t="e">
        <f>HLOOKUP(AD21,Hoja2!$R$2:$AV$69,68,FALSE)</f>
        <v>#N/A</v>
      </c>
      <c r="AI21" s="21"/>
      <c r="AJ21" s="9"/>
      <c r="AK21">
        <v>110296</v>
      </c>
      <c r="AL21" s="12" t="s">
        <v>140</v>
      </c>
      <c r="AM21" s="12" t="e">
        <f>+AM20</f>
        <v>#N/A</v>
      </c>
      <c r="AN21" s="13"/>
      <c r="AO21" s="18" t="e">
        <f t="shared" si="8"/>
        <v>#N/A</v>
      </c>
      <c r="AT21" s="1">
        <v>45432</v>
      </c>
      <c r="AU21" s="26" t="e">
        <f>HLOOKUP(AT21,Hoja2!$R$2:$AV$70,69,FALSE)</f>
        <v>#N/A</v>
      </c>
      <c r="AV21" s="77" t="e">
        <f>HLOOKUP(AT21,Hoja2!$R$2:$AV$71,70,FALSE)</f>
        <v>#N/A</v>
      </c>
      <c r="AW21" s="26" t="e">
        <f>HLOOKUP(AT21,Hoja2!$R$2:$AV$72,71,FALSE)</f>
        <v>#N/A</v>
      </c>
      <c r="AX21" s="97" t="e">
        <f>HLOOKUP(AT21,Hoja2!$R$2:$AV$73,72,FALSE)</f>
        <v>#N/A</v>
      </c>
      <c r="AY21" s="21"/>
      <c r="AZ21" s="9"/>
      <c r="BA21" s="12">
        <v>110296</v>
      </c>
      <c r="BB21" s="12" t="s">
        <v>140</v>
      </c>
      <c r="BC21" s="12" t="e">
        <f>+BC20</f>
        <v>#N/A</v>
      </c>
      <c r="BD21" s="13"/>
      <c r="BE21" s="18" t="e">
        <f t="shared" si="9"/>
        <v>#N/A</v>
      </c>
    </row>
    <row r="22" spans="1:57" x14ac:dyDescent="0.25">
      <c r="A22" s="1">
        <v>45433</v>
      </c>
      <c r="B22" s="26" t="e">
        <f>HLOOKUP(A22,Hoja2!$R$2:$AV$61,60,FALSE)</f>
        <v>#N/A</v>
      </c>
      <c r="D22" s="21"/>
      <c r="E22" s="15">
        <v>45423</v>
      </c>
      <c r="F22" s="8">
        <v>110295</v>
      </c>
      <c r="G22" s="8" t="s">
        <v>139</v>
      </c>
      <c r="H22" s="8" t="str">
        <f t="shared" ref="H22" si="31">"CPA Traspaso de Fondos Bco. BCI 648 a MBI "</f>
        <v xml:space="preserve">CPA Traspaso de Fondos Bco. BCI 648 a MBI </v>
      </c>
      <c r="I22" s="16" t="e">
        <f>+B12</f>
        <v>#N/A</v>
      </c>
      <c r="J22" s="17"/>
      <c r="N22" s="1">
        <v>45433</v>
      </c>
      <c r="O22" s="26" t="e">
        <f>HLOOKUP(N22,Hoja2!$R$2:$AV$65,64,FALSE)</f>
        <v>#N/A</v>
      </c>
      <c r="P22" s="77" t="e">
        <f>HLOOKUP(N22,Hoja2!$R$2:$AV$63,62,FALSE)</f>
        <v>#N/A</v>
      </c>
      <c r="Q22" s="26" t="e">
        <f>HLOOKUP(N22,Hoja2!$R$2:$AV$64,63,FALSE)</f>
        <v>#N/A</v>
      </c>
      <c r="R22" s="26"/>
      <c r="S22" s="21"/>
      <c r="T22" s="15">
        <v>45423</v>
      </c>
      <c r="U22">
        <v>110296</v>
      </c>
      <c r="V22" t="s">
        <v>140</v>
      </c>
      <c r="W22" t="e">
        <f>"CPA Compra Divisas " &amp;Q12&amp;" T/C "&amp;P12&amp;".- "&amp;TEXT($T22,"dd-mm-AAA")</f>
        <v>#N/A</v>
      </c>
      <c r="X22" s="3" t="e">
        <f>+O12</f>
        <v>#N/A</v>
      </c>
      <c r="Y22" s="10"/>
      <c r="AD22" s="1">
        <v>45433</v>
      </c>
      <c r="AE22" s="26" t="e">
        <f>HLOOKUP(AD22,Hoja2!$R$2:$AV$66,65,FALSE)</f>
        <v>#N/A</v>
      </c>
      <c r="AF22" s="77" t="e">
        <f>HLOOKUP(AD22,Hoja2!$R$2:$AV$67,66,FALSE)</f>
        <v>#N/A</v>
      </c>
      <c r="AG22" s="26" t="e">
        <f>HLOOKUP(AD22,Hoja2!$R$2:$AV$68,67,FALSE)</f>
        <v>#N/A</v>
      </c>
      <c r="AH22" s="97" t="e">
        <f>HLOOKUP(AD22,Hoja2!$R$2:$AV$69,68,FALSE)</f>
        <v>#N/A</v>
      </c>
      <c r="AI22" s="21"/>
      <c r="AJ22" s="15">
        <v>45423</v>
      </c>
      <c r="AK22" s="8">
        <v>110275</v>
      </c>
      <c r="AL22" t="s">
        <v>87</v>
      </c>
      <c r="AM22" t="e">
        <f>"CPA Fondeo MBI USD a NIUM " &amp;AG12&amp;" USD T/C "&amp;AF12</f>
        <v>#N/A</v>
      </c>
      <c r="AN22" s="3" t="e">
        <f>+AH12</f>
        <v>#N/A</v>
      </c>
      <c r="AO22" s="10"/>
      <c r="AT22" s="1">
        <v>45433</v>
      </c>
      <c r="AU22" s="26" t="e">
        <f>HLOOKUP(AT22,Hoja2!$R$2:$AV$70,69,FALSE)</f>
        <v>#N/A</v>
      </c>
      <c r="AV22" s="77" t="e">
        <f>HLOOKUP(AT22,Hoja2!$R$2:$AV$71,70,FALSE)</f>
        <v>#N/A</v>
      </c>
      <c r="AW22" s="26" t="e">
        <f>HLOOKUP(AT22,Hoja2!$R$2:$AV$72,71,FALSE)</f>
        <v>#N/A</v>
      </c>
      <c r="AX22" s="97" t="e">
        <f>HLOOKUP(AT22,Hoja2!$R$2:$AV$73,72,FALSE)</f>
        <v>#N/A</v>
      </c>
      <c r="AY22" s="21"/>
      <c r="AZ22" s="15">
        <v>45423</v>
      </c>
      <c r="BA22">
        <v>110820</v>
      </c>
      <c r="BB22" t="s">
        <v>97</v>
      </c>
      <c r="BC22" t="e">
        <f>"CPA Fondeo MBI USD a JPM COL "&amp;AW12&amp;" USD T/C "&amp;AV12&amp;""</f>
        <v>#N/A</v>
      </c>
      <c r="BD22" s="3" t="e">
        <f>+AX12</f>
        <v>#N/A</v>
      </c>
      <c r="BE22" s="10"/>
    </row>
    <row r="23" spans="1:57" x14ac:dyDescent="0.25">
      <c r="A23" s="1">
        <v>45434</v>
      </c>
      <c r="B23" s="26" t="e">
        <f>HLOOKUP(A23,Hoja2!$R$2:$AV$61,60,FALSE)</f>
        <v>#N/A</v>
      </c>
      <c r="D23" s="21"/>
      <c r="E23" s="9"/>
      <c r="F23">
        <v>110208</v>
      </c>
      <c r="G23" t="s">
        <v>46</v>
      </c>
      <c r="H23" t="str">
        <f t="shared" ref="H23" si="32">H22</f>
        <v xml:space="preserve">CPA Traspaso de Fondos Bco. BCI 648 a MBI </v>
      </c>
      <c r="I23" s="3"/>
      <c r="J23" s="10" t="e">
        <f>I22</f>
        <v>#N/A</v>
      </c>
      <c r="N23" s="1">
        <v>45434</v>
      </c>
      <c r="O23" s="26" t="e">
        <f>HLOOKUP(N23,Hoja2!$R$2:$AV$65,64,FALSE)</f>
        <v>#N/A</v>
      </c>
      <c r="P23" s="77" t="e">
        <f>HLOOKUP(N23,Hoja2!$R$2:$AV$63,62,FALSE)</f>
        <v>#N/A</v>
      </c>
      <c r="Q23" s="26" t="e">
        <f>HLOOKUP(N23,Hoja2!$R$2:$AV$64,63,FALSE)</f>
        <v>#N/A</v>
      </c>
      <c r="R23" s="26"/>
      <c r="S23" s="21"/>
      <c r="T23" s="9"/>
      <c r="U23" s="12">
        <v>110295</v>
      </c>
      <c r="V23" s="12" t="s">
        <v>139</v>
      </c>
      <c r="W23" s="12" t="e">
        <f>+W22</f>
        <v>#N/A</v>
      </c>
      <c r="X23" s="13"/>
      <c r="Y23" s="18" t="e">
        <f t="shared" ref="Y23" si="33">+X22</f>
        <v>#N/A</v>
      </c>
      <c r="AD23" s="1">
        <v>45434</v>
      </c>
      <c r="AE23" s="26" t="e">
        <f>HLOOKUP(AD23,Hoja2!$R$2:$AV$66,65,FALSE)</f>
        <v>#N/A</v>
      </c>
      <c r="AF23" s="77" t="e">
        <f>HLOOKUP(AD23,Hoja2!$R$2:$AV$67,66,FALSE)</f>
        <v>#N/A</v>
      </c>
      <c r="AG23" s="26" t="e">
        <f>HLOOKUP(AD23,Hoja2!$R$2:$AV$68,67,FALSE)</f>
        <v>#N/A</v>
      </c>
      <c r="AH23" s="97" t="e">
        <f>HLOOKUP(AD23,Hoja2!$R$2:$AV$69,68,FALSE)</f>
        <v>#N/A</v>
      </c>
      <c r="AI23" s="21"/>
      <c r="AJ23" s="9"/>
      <c r="AK23">
        <v>110296</v>
      </c>
      <c r="AL23" s="12" t="s">
        <v>140</v>
      </c>
      <c r="AM23" s="12" t="e">
        <f>+AM22</f>
        <v>#N/A</v>
      </c>
      <c r="AN23" s="13"/>
      <c r="AO23" s="18" t="e">
        <f t="shared" si="8"/>
        <v>#N/A</v>
      </c>
      <c r="AT23" s="1">
        <v>45434</v>
      </c>
      <c r="AU23" s="26" t="e">
        <f>HLOOKUP(AT23,Hoja2!$R$2:$AV$70,69,FALSE)</f>
        <v>#N/A</v>
      </c>
      <c r="AV23" s="77" t="e">
        <f>HLOOKUP(AT23,Hoja2!$R$2:$AV$71,70,FALSE)</f>
        <v>#N/A</v>
      </c>
      <c r="AW23" s="26" t="e">
        <f>HLOOKUP(AT23,Hoja2!$R$2:$AV$72,71,FALSE)</f>
        <v>#N/A</v>
      </c>
      <c r="AX23" s="97" t="e">
        <f>HLOOKUP(AT23,Hoja2!$R$2:$AV$73,72,FALSE)</f>
        <v>#N/A</v>
      </c>
      <c r="AY23" s="21"/>
      <c r="AZ23" s="9"/>
      <c r="BA23" s="12">
        <v>110296</v>
      </c>
      <c r="BB23" s="12" t="s">
        <v>140</v>
      </c>
      <c r="BC23" s="12" t="e">
        <f>+BC22</f>
        <v>#N/A</v>
      </c>
      <c r="BD23" s="13"/>
      <c r="BE23" s="18" t="e">
        <f t="shared" si="9"/>
        <v>#N/A</v>
      </c>
    </row>
    <row r="24" spans="1:57" x14ac:dyDescent="0.25">
      <c r="A24" s="1">
        <v>45435</v>
      </c>
      <c r="B24" s="26" t="e">
        <f>HLOOKUP(A24,Hoja2!$R$2:$AV$61,60,FALSE)</f>
        <v>#N/A</v>
      </c>
      <c r="D24" s="21"/>
      <c r="E24" s="15">
        <v>45424</v>
      </c>
      <c r="F24" s="8">
        <v>110295</v>
      </c>
      <c r="G24" s="8" t="s">
        <v>139</v>
      </c>
      <c r="H24" s="8" t="str">
        <f t="shared" ref="H24" si="34">"CPA Traspaso de Fondos Bco. BCI 648 a MBI "</f>
        <v xml:space="preserve">CPA Traspaso de Fondos Bco. BCI 648 a MBI </v>
      </c>
      <c r="I24" s="16" t="e">
        <f>+B13</f>
        <v>#N/A</v>
      </c>
      <c r="J24" s="17"/>
      <c r="N24" s="1">
        <v>45435</v>
      </c>
      <c r="O24" s="26" t="e">
        <f>HLOOKUP(N24,Hoja2!$R$2:$AV$65,64,FALSE)</f>
        <v>#N/A</v>
      </c>
      <c r="P24" s="77" t="e">
        <f>HLOOKUP(N24,Hoja2!$R$2:$AV$63,62,FALSE)</f>
        <v>#N/A</v>
      </c>
      <c r="Q24" s="26" t="e">
        <f>HLOOKUP(N24,Hoja2!$R$2:$AV$64,63,FALSE)</f>
        <v>#N/A</v>
      </c>
      <c r="R24" s="26"/>
      <c r="S24" s="21"/>
      <c r="T24" s="15">
        <v>45424</v>
      </c>
      <c r="U24">
        <v>110296</v>
      </c>
      <c r="V24" t="s">
        <v>140</v>
      </c>
      <c r="W24" t="e">
        <f>"CPA Compra Divisas " &amp;Q13&amp;" T/C "&amp;P13&amp;".- "&amp;TEXT($T24,"dd-mm-AAA")</f>
        <v>#N/A</v>
      </c>
      <c r="X24" s="3" t="e">
        <f>+O13</f>
        <v>#N/A</v>
      </c>
      <c r="Y24" s="10"/>
      <c r="AD24" s="1">
        <v>45435</v>
      </c>
      <c r="AE24" s="26" t="e">
        <f>HLOOKUP(AD24,Hoja2!$R$2:$AV$66,65,FALSE)</f>
        <v>#N/A</v>
      </c>
      <c r="AF24" s="77" t="e">
        <f>HLOOKUP(AD24,Hoja2!$R$2:$AV$67,66,FALSE)</f>
        <v>#N/A</v>
      </c>
      <c r="AG24" s="26" t="e">
        <f>HLOOKUP(AD24,Hoja2!$R$2:$AV$68,67,FALSE)</f>
        <v>#N/A</v>
      </c>
      <c r="AH24" s="97" t="e">
        <f>HLOOKUP(AD24,Hoja2!$R$2:$AV$69,68,FALSE)</f>
        <v>#N/A</v>
      </c>
      <c r="AI24" s="21"/>
      <c r="AJ24" s="15">
        <v>45424</v>
      </c>
      <c r="AK24" s="8">
        <v>110275</v>
      </c>
      <c r="AL24" t="s">
        <v>87</v>
      </c>
      <c r="AM24" t="e">
        <f>"CPA Fondeo MBI USD a NIUM " &amp;AG13&amp;" USD T/C "&amp;AF13</f>
        <v>#N/A</v>
      </c>
      <c r="AN24" s="3" t="e">
        <f>+AH13</f>
        <v>#N/A</v>
      </c>
      <c r="AO24" s="10"/>
      <c r="AT24" s="1">
        <v>45435</v>
      </c>
      <c r="AU24" s="26" t="e">
        <f>HLOOKUP(AT24,Hoja2!$R$2:$AV$70,69,FALSE)</f>
        <v>#N/A</v>
      </c>
      <c r="AV24" s="77" t="e">
        <f>HLOOKUP(AT24,Hoja2!$R$2:$AV$71,70,FALSE)</f>
        <v>#N/A</v>
      </c>
      <c r="AW24" s="26" t="e">
        <f>HLOOKUP(AT24,Hoja2!$R$2:$AV$72,71,FALSE)</f>
        <v>#N/A</v>
      </c>
      <c r="AX24" s="97" t="e">
        <f>HLOOKUP(AT24,Hoja2!$R$2:$AV$73,72,FALSE)</f>
        <v>#N/A</v>
      </c>
      <c r="AY24" s="21"/>
      <c r="AZ24" s="15">
        <v>45424</v>
      </c>
      <c r="BA24">
        <v>110820</v>
      </c>
      <c r="BB24" t="s">
        <v>97</v>
      </c>
      <c r="BC24" t="e">
        <f>"CPA Fondeo MBI USD a JPM COL "&amp;AW13&amp;" USD T/C "&amp;AV13&amp;""</f>
        <v>#N/A</v>
      </c>
      <c r="BD24" s="3" t="e">
        <f>+AX13</f>
        <v>#N/A</v>
      </c>
      <c r="BE24" s="10"/>
    </row>
    <row r="25" spans="1:57" x14ac:dyDescent="0.25">
      <c r="A25" s="1">
        <v>45436</v>
      </c>
      <c r="B25" s="26" t="e">
        <f>HLOOKUP(A25,Hoja2!$R$2:$AV$61,60,FALSE)</f>
        <v>#N/A</v>
      </c>
      <c r="D25" s="21"/>
      <c r="E25" s="9"/>
      <c r="F25">
        <v>110208</v>
      </c>
      <c r="G25" t="s">
        <v>46</v>
      </c>
      <c r="H25" t="str">
        <f t="shared" ref="H25" si="35">H24</f>
        <v xml:space="preserve">CPA Traspaso de Fondos Bco. BCI 648 a MBI </v>
      </c>
      <c r="I25" s="3"/>
      <c r="J25" s="10" t="e">
        <f>I24</f>
        <v>#N/A</v>
      </c>
      <c r="N25" s="1">
        <v>45436</v>
      </c>
      <c r="O25" s="26" t="e">
        <f>HLOOKUP(N25,Hoja2!$R$2:$AV$65,64,FALSE)</f>
        <v>#N/A</v>
      </c>
      <c r="P25" s="77" t="e">
        <f>HLOOKUP(N25,Hoja2!$R$2:$AV$63,62,FALSE)</f>
        <v>#N/A</v>
      </c>
      <c r="Q25" s="26" t="e">
        <f>HLOOKUP(N25,Hoja2!$R$2:$AV$64,63,FALSE)</f>
        <v>#N/A</v>
      </c>
      <c r="R25" s="26"/>
      <c r="S25" s="21"/>
      <c r="T25" s="9"/>
      <c r="U25" s="12">
        <v>110295</v>
      </c>
      <c r="V25" s="12" t="s">
        <v>139</v>
      </c>
      <c r="W25" s="12" t="e">
        <f>+W24</f>
        <v>#N/A</v>
      </c>
      <c r="X25" s="13"/>
      <c r="Y25" s="18" t="e">
        <f t="shared" ref="Y25" si="36">+X24</f>
        <v>#N/A</v>
      </c>
      <c r="AD25" s="1">
        <v>45436</v>
      </c>
      <c r="AE25" s="26" t="e">
        <f>HLOOKUP(AD25,Hoja2!$R$2:$AV$66,65,FALSE)</f>
        <v>#N/A</v>
      </c>
      <c r="AF25" s="77" t="e">
        <f>HLOOKUP(AD25,Hoja2!$R$2:$AV$67,66,FALSE)</f>
        <v>#N/A</v>
      </c>
      <c r="AG25" s="26" t="e">
        <f>HLOOKUP(AD25,Hoja2!$R$2:$AV$68,67,FALSE)</f>
        <v>#N/A</v>
      </c>
      <c r="AH25" s="97" t="e">
        <f>HLOOKUP(AD25,Hoja2!$R$2:$AV$69,68,FALSE)</f>
        <v>#N/A</v>
      </c>
      <c r="AI25" s="21"/>
      <c r="AJ25" s="9"/>
      <c r="AK25">
        <v>110296</v>
      </c>
      <c r="AL25" s="12" t="s">
        <v>140</v>
      </c>
      <c r="AM25" s="12" t="e">
        <f>+AM24</f>
        <v>#N/A</v>
      </c>
      <c r="AN25" s="13"/>
      <c r="AO25" s="18" t="e">
        <f t="shared" si="8"/>
        <v>#N/A</v>
      </c>
      <c r="AT25" s="1">
        <v>45436</v>
      </c>
      <c r="AU25" s="26" t="e">
        <f>HLOOKUP(AT25,Hoja2!$R$2:$AV$70,69,FALSE)</f>
        <v>#N/A</v>
      </c>
      <c r="AV25" s="77" t="e">
        <f>HLOOKUP(AT25,Hoja2!$R$2:$AV$71,70,FALSE)</f>
        <v>#N/A</v>
      </c>
      <c r="AW25" s="26" t="e">
        <f>HLOOKUP(AT25,Hoja2!$R$2:$AV$72,71,FALSE)</f>
        <v>#N/A</v>
      </c>
      <c r="AX25" s="97" t="e">
        <f>HLOOKUP(AT25,Hoja2!$R$2:$AV$73,72,FALSE)</f>
        <v>#N/A</v>
      </c>
      <c r="AY25" s="21"/>
      <c r="AZ25" s="9"/>
      <c r="BA25" s="12">
        <v>110296</v>
      </c>
      <c r="BB25" s="12" t="s">
        <v>140</v>
      </c>
      <c r="BC25" s="12" t="e">
        <f>+BC24</f>
        <v>#N/A</v>
      </c>
      <c r="BD25" s="13"/>
      <c r="BE25" s="18" t="e">
        <f t="shared" si="9"/>
        <v>#N/A</v>
      </c>
    </row>
    <row r="26" spans="1:57" x14ac:dyDescent="0.25">
      <c r="A26" s="1">
        <v>45437</v>
      </c>
      <c r="B26" s="26" t="e">
        <f>HLOOKUP(A26,Hoja2!$R$2:$AV$61,60,FALSE)</f>
        <v>#N/A</v>
      </c>
      <c r="D26" s="21"/>
      <c r="E26" s="15">
        <v>45425</v>
      </c>
      <c r="F26" s="8">
        <v>110295</v>
      </c>
      <c r="G26" s="8" t="s">
        <v>139</v>
      </c>
      <c r="H26" s="8" t="str">
        <f t="shared" ref="H26" si="37">"CPA Traspaso de Fondos Bco. BCI 648 a MBI "</f>
        <v xml:space="preserve">CPA Traspaso de Fondos Bco. BCI 648 a MBI </v>
      </c>
      <c r="I26" s="16" t="e">
        <f>+B14</f>
        <v>#N/A</v>
      </c>
      <c r="J26" s="17"/>
      <c r="N26" s="1">
        <v>45437</v>
      </c>
      <c r="O26" s="26" t="e">
        <f>HLOOKUP(N26,Hoja2!$R$2:$AV$65,64,FALSE)</f>
        <v>#N/A</v>
      </c>
      <c r="P26" s="77" t="e">
        <f>HLOOKUP(N26,Hoja2!$R$2:$AV$63,62,FALSE)</f>
        <v>#N/A</v>
      </c>
      <c r="Q26" s="26" t="e">
        <f>HLOOKUP(N26,Hoja2!$R$2:$AV$64,63,FALSE)</f>
        <v>#N/A</v>
      </c>
      <c r="R26" s="26"/>
      <c r="S26" s="21"/>
      <c r="T26" s="15">
        <v>45425</v>
      </c>
      <c r="U26">
        <v>110296</v>
      </c>
      <c r="V26" t="s">
        <v>140</v>
      </c>
      <c r="W26" t="e">
        <f>"CPA Compra Divisas " &amp;Q14&amp;" T/C "&amp;P14&amp;".- "&amp;TEXT($T26,"dd-mm-AAA")</f>
        <v>#N/A</v>
      </c>
      <c r="X26" s="3" t="e">
        <f>+O14</f>
        <v>#N/A</v>
      </c>
      <c r="Y26" s="10"/>
      <c r="AD26" s="1">
        <v>45437</v>
      </c>
      <c r="AE26" s="26" t="e">
        <f>HLOOKUP(AD26,Hoja2!$R$2:$AV$66,65,FALSE)</f>
        <v>#N/A</v>
      </c>
      <c r="AF26" s="77" t="e">
        <f>HLOOKUP(AD26,Hoja2!$R$2:$AV$67,66,FALSE)</f>
        <v>#N/A</v>
      </c>
      <c r="AG26" s="26" t="e">
        <f>HLOOKUP(AD26,Hoja2!$R$2:$AV$68,67,FALSE)</f>
        <v>#N/A</v>
      </c>
      <c r="AH26" s="97" t="e">
        <f>HLOOKUP(AD26,Hoja2!$R$2:$AV$69,68,FALSE)</f>
        <v>#N/A</v>
      </c>
      <c r="AI26" s="21"/>
      <c r="AJ26" s="15">
        <v>45425</v>
      </c>
      <c r="AK26" s="8">
        <v>110275</v>
      </c>
      <c r="AL26" t="s">
        <v>87</v>
      </c>
      <c r="AM26" t="e">
        <f>"CPA Fondeo MBI USD a NIUM " &amp;AG14&amp;" USD T/C "&amp;AF14</f>
        <v>#N/A</v>
      </c>
      <c r="AN26" s="3" t="e">
        <f>+AH14</f>
        <v>#N/A</v>
      </c>
      <c r="AO26" s="10"/>
      <c r="AT26" s="1">
        <v>45437</v>
      </c>
      <c r="AU26" s="26" t="e">
        <f>HLOOKUP(AT26,Hoja2!$R$2:$AV$70,69,FALSE)</f>
        <v>#N/A</v>
      </c>
      <c r="AV26" s="77" t="e">
        <f>HLOOKUP(AT26,Hoja2!$R$2:$AV$71,70,FALSE)</f>
        <v>#N/A</v>
      </c>
      <c r="AW26" s="26" t="e">
        <f>HLOOKUP(AT26,Hoja2!$R$2:$AV$72,71,FALSE)</f>
        <v>#N/A</v>
      </c>
      <c r="AX26" s="97" t="e">
        <f>HLOOKUP(AT26,Hoja2!$R$2:$AV$73,72,FALSE)</f>
        <v>#N/A</v>
      </c>
      <c r="AY26" s="21"/>
      <c r="AZ26" s="15">
        <v>45425</v>
      </c>
      <c r="BA26">
        <v>110820</v>
      </c>
      <c r="BB26" t="s">
        <v>97</v>
      </c>
      <c r="BC26" t="e">
        <f>"CPA Fondeo MBI USD a JPM COL "&amp;AW14&amp;" USD T/C "&amp;AV14&amp;""</f>
        <v>#N/A</v>
      </c>
      <c r="BD26" s="3" t="e">
        <f>+AX14</f>
        <v>#N/A</v>
      </c>
      <c r="BE26" s="10"/>
    </row>
    <row r="27" spans="1:57" x14ac:dyDescent="0.25">
      <c r="A27" s="1">
        <v>45438</v>
      </c>
      <c r="B27" s="26" t="e">
        <f>HLOOKUP(A27,Hoja2!$R$2:$AV$61,60,FALSE)</f>
        <v>#N/A</v>
      </c>
      <c r="D27" s="21"/>
      <c r="E27" s="9"/>
      <c r="F27">
        <v>110208</v>
      </c>
      <c r="G27" t="s">
        <v>46</v>
      </c>
      <c r="H27" t="str">
        <f t="shared" ref="H27" si="38">H26</f>
        <v xml:space="preserve">CPA Traspaso de Fondos Bco. BCI 648 a MBI </v>
      </c>
      <c r="I27" s="3"/>
      <c r="J27" s="10" t="e">
        <f>I26</f>
        <v>#N/A</v>
      </c>
      <c r="N27" s="1">
        <v>45438</v>
      </c>
      <c r="O27" s="26" t="e">
        <f>HLOOKUP(N27,Hoja2!$R$2:$AV$65,64,FALSE)</f>
        <v>#N/A</v>
      </c>
      <c r="P27" s="77" t="e">
        <f>HLOOKUP(N27,Hoja2!$R$2:$AV$63,62,FALSE)</f>
        <v>#N/A</v>
      </c>
      <c r="Q27" s="26" t="e">
        <f>HLOOKUP(N27,Hoja2!$R$2:$AV$64,63,FALSE)</f>
        <v>#N/A</v>
      </c>
      <c r="R27" s="26"/>
      <c r="S27" s="21"/>
      <c r="T27" s="9"/>
      <c r="U27" s="12">
        <v>110295</v>
      </c>
      <c r="V27" s="12" t="s">
        <v>139</v>
      </c>
      <c r="W27" s="12" t="e">
        <f>+W26</f>
        <v>#N/A</v>
      </c>
      <c r="X27" s="13"/>
      <c r="Y27" s="18" t="e">
        <f t="shared" ref="Y27" si="39">+X26</f>
        <v>#N/A</v>
      </c>
      <c r="AD27" s="1">
        <v>45438</v>
      </c>
      <c r="AE27" s="26" t="e">
        <f>HLOOKUP(AD27,Hoja2!$R$2:$AV$66,65,FALSE)</f>
        <v>#N/A</v>
      </c>
      <c r="AF27" s="77" t="e">
        <f>HLOOKUP(AD27,Hoja2!$R$2:$AV$67,66,FALSE)</f>
        <v>#N/A</v>
      </c>
      <c r="AG27" s="26" t="e">
        <f>HLOOKUP(AD27,Hoja2!$R$2:$AV$68,67,FALSE)</f>
        <v>#N/A</v>
      </c>
      <c r="AH27" s="97" t="e">
        <f>HLOOKUP(AD27,Hoja2!$R$2:$AV$69,68,FALSE)</f>
        <v>#N/A</v>
      </c>
      <c r="AI27" s="21"/>
      <c r="AJ27" s="9"/>
      <c r="AK27">
        <v>110296</v>
      </c>
      <c r="AL27" s="12" t="s">
        <v>140</v>
      </c>
      <c r="AM27" s="12" t="e">
        <f>+AM26</f>
        <v>#N/A</v>
      </c>
      <c r="AN27" s="13"/>
      <c r="AO27" s="18" t="e">
        <f t="shared" si="8"/>
        <v>#N/A</v>
      </c>
      <c r="AT27" s="1">
        <v>45438</v>
      </c>
      <c r="AU27" s="26" t="e">
        <f>HLOOKUP(AT27,Hoja2!$R$2:$AV$70,69,FALSE)</f>
        <v>#N/A</v>
      </c>
      <c r="AV27" s="77" t="e">
        <f>HLOOKUP(AT27,Hoja2!$R$2:$AV$71,70,FALSE)</f>
        <v>#N/A</v>
      </c>
      <c r="AW27" s="26" t="e">
        <f>HLOOKUP(AT27,Hoja2!$R$2:$AV$72,71,FALSE)</f>
        <v>#N/A</v>
      </c>
      <c r="AX27" s="97" t="e">
        <f>HLOOKUP(AT27,Hoja2!$R$2:$AV$73,72,FALSE)</f>
        <v>#N/A</v>
      </c>
      <c r="AY27" s="21"/>
      <c r="AZ27" s="9"/>
      <c r="BA27" s="12">
        <v>110296</v>
      </c>
      <c r="BB27" s="12" t="s">
        <v>140</v>
      </c>
      <c r="BC27" s="12" t="e">
        <f>+BC26</f>
        <v>#N/A</v>
      </c>
      <c r="BD27" s="13"/>
      <c r="BE27" s="18" t="e">
        <f t="shared" si="9"/>
        <v>#N/A</v>
      </c>
    </row>
    <row r="28" spans="1:57" x14ac:dyDescent="0.25">
      <c r="A28" s="1">
        <v>45439</v>
      </c>
      <c r="B28" s="26" t="e">
        <f>HLOOKUP(A28,Hoja2!$R$2:$AV$61,60,FALSE)</f>
        <v>#N/A</v>
      </c>
      <c r="E28" s="15">
        <v>45426</v>
      </c>
      <c r="F28" s="8">
        <v>110295</v>
      </c>
      <c r="G28" s="8" t="s">
        <v>139</v>
      </c>
      <c r="H28" s="8" t="str">
        <f t="shared" ref="H28" si="40">"CPA Traspaso de Fondos Bco. BCI 648 a MBI "</f>
        <v xml:space="preserve">CPA Traspaso de Fondos Bco. BCI 648 a MBI </v>
      </c>
      <c r="I28" s="16" t="e">
        <f>+B15</f>
        <v>#N/A</v>
      </c>
      <c r="J28" s="17"/>
      <c r="N28" s="1">
        <v>45439</v>
      </c>
      <c r="O28" s="26" t="e">
        <f>HLOOKUP(N28,Hoja2!$R$2:$AV$65,64,FALSE)</f>
        <v>#N/A</v>
      </c>
      <c r="P28" s="77" t="e">
        <f>HLOOKUP(N28,Hoja2!$R$2:$AV$63,62,FALSE)</f>
        <v>#N/A</v>
      </c>
      <c r="Q28" s="26" t="e">
        <f>HLOOKUP(N28,Hoja2!$R$2:$AV$64,63,FALSE)</f>
        <v>#N/A</v>
      </c>
      <c r="R28" s="26"/>
      <c r="T28" s="15">
        <v>45426</v>
      </c>
      <c r="U28">
        <v>110296</v>
      </c>
      <c r="V28" t="s">
        <v>140</v>
      </c>
      <c r="W28" t="e">
        <f>"CPA Compra Divisas " &amp;Q15&amp;" T/C "&amp;P15&amp;".- "&amp;TEXT($T28,"dd-mm-AAA")</f>
        <v>#N/A</v>
      </c>
      <c r="X28" s="3" t="e">
        <f>+O15</f>
        <v>#N/A</v>
      </c>
      <c r="Y28" s="10"/>
      <c r="AD28" s="1">
        <v>45439</v>
      </c>
      <c r="AE28" s="26" t="e">
        <f>HLOOKUP(AD28,Hoja2!$R$2:$AV$66,65,FALSE)</f>
        <v>#N/A</v>
      </c>
      <c r="AF28" s="77" t="e">
        <f>HLOOKUP(AD28,Hoja2!$R$2:$AV$67,66,FALSE)</f>
        <v>#N/A</v>
      </c>
      <c r="AG28" s="26" t="e">
        <f>HLOOKUP(AD28,Hoja2!$R$2:$AV$68,67,FALSE)</f>
        <v>#N/A</v>
      </c>
      <c r="AH28" s="97" t="e">
        <f>HLOOKUP(AD28,Hoja2!$R$2:$AV$69,68,FALSE)</f>
        <v>#N/A</v>
      </c>
      <c r="AJ28" s="15">
        <v>45426</v>
      </c>
      <c r="AK28" s="8">
        <v>110275</v>
      </c>
      <c r="AL28" t="s">
        <v>87</v>
      </c>
      <c r="AM28" t="e">
        <f>"CPA Fondeo MBI USD a NIUM " &amp;AG15&amp;" USD T/C "&amp;AF15</f>
        <v>#N/A</v>
      </c>
      <c r="AN28" s="3" t="e">
        <f>+AH15</f>
        <v>#N/A</v>
      </c>
      <c r="AO28" s="10"/>
      <c r="AT28" s="1">
        <v>45439</v>
      </c>
      <c r="AU28" s="26" t="e">
        <f>HLOOKUP(AT28,Hoja2!$R$2:$AV$70,69,FALSE)</f>
        <v>#N/A</v>
      </c>
      <c r="AV28" s="77" t="e">
        <f>HLOOKUP(AT28,Hoja2!$R$2:$AV$71,70,FALSE)</f>
        <v>#N/A</v>
      </c>
      <c r="AW28" s="26" t="e">
        <f>HLOOKUP(AT28,Hoja2!$R$2:$AV$72,71,FALSE)</f>
        <v>#N/A</v>
      </c>
      <c r="AX28" s="97" t="e">
        <f>HLOOKUP(AT28,Hoja2!$R$2:$AV$73,72,FALSE)</f>
        <v>#N/A</v>
      </c>
      <c r="AZ28" s="15">
        <v>45426</v>
      </c>
      <c r="BA28">
        <v>110820</v>
      </c>
      <c r="BB28" t="s">
        <v>97</v>
      </c>
      <c r="BC28" t="e">
        <f>"CPA Fondeo MBI USD a JPM COL "&amp;AW15&amp;" USD T/C "&amp;AV15&amp;""</f>
        <v>#N/A</v>
      </c>
      <c r="BD28" s="3" t="e">
        <f>+AX15</f>
        <v>#N/A</v>
      </c>
      <c r="BE28" s="10"/>
    </row>
    <row r="29" spans="1:57" x14ac:dyDescent="0.25">
      <c r="A29" s="1">
        <v>45440</v>
      </c>
      <c r="B29" s="26" t="e">
        <f>HLOOKUP(A29,Hoja2!$R$2:$AV$61,60,FALSE)</f>
        <v>#N/A</v>
      </c>
      <c r="D29" s="39"/>
      <c r="E29" s="9"/>
      <c r="F29">
        <v>110208</v>
      </c>
      <c r="G29" t="s">
        <v>46</v>
      </c>
      <c r="H29" t="str">
        <f t="shared" ref="H29" si="41">H28</f>
        <v xml:space="preserve">CPA Traspaso de Fondos Bco. BCI 648 a MBI </v>
      </c>
      <c r="I29" s="3"/>
      <c r="J29" s="10" t="e">
        <f>I28</f>
        <v>#N/A</v>
      </c>
      <c r="N29" s="1">
        <v>45440</v>
      </c>
      <c r="O29" s="26" t="e">
        <f>HLOOKUP(N29,Hoja2!$R$2:$AV$65,64,FALSE)</f>
        <v>#N/A</v>
      </c>
      <c r="P29" s="77" t="e">
        <f>HLOOKUP(N29,Hoja2!$R$2:$AV$63,62,FALSE)</f>
        <v>#N/A</v>
      </c>
      <c r="Q29" s="26" t="e">
        <f>HLOOKUP(N29,Hoja2!$R$2:$AV$64,63,FALSE)</f>
        <v>#N/A</v>
      </c>
      <c r="R29" s="26"/>
      <c r="S29" s="39"/>
      <c r="T29" s="9"/>
      <c r="U29" s="12">
        <v>110295</v>
      </c>
      <c r="V29" s="12" t="s">
        <v>139</v>
      </c>
      <c r="W29" s="12" t="e">
        <f>+W28</f>
        <v>#N/A</v>
      </c>
      <c r="X29" s="13"/>
      <c r="Y29" s="18" t="e">
        <f t="shared" ref="Y29" si="42">+X28</f>
        <v>#N/A</v>
      </c>
      <c r="AD29" s="1">
        <v>45440</v>
      </c>
      <c r="AE29" s="26" t="e">
        <f>HLOOKUP(AD29,Hoja2!$R$2:$AV$66,65,FALSE)</f>
        <v>#N/A</v>
      </c>
      <c r="AF29" s="77" t="e">
        <f>HLOOKUP(AD29,Hoja2!$R$2:$AV$67,66,FALSE)</f>
        <v>#N/A</v>
      </c>
      <c r="AG29" s="26" t="e">
        <f>HLOOKUP(AD29,Hoja2!$R$2:$AV$68,67,FALSE)</f>
        <v>#N/A</v>
      </c>
      <c r="AH29" s="97" t="e">
        <f>HLOOKUP(AD29,Hoja2!$R$2:$AV$69,68,FALSE)</f>
        <v>#N/A</v>
      </c>
      <c r="AI29" s="39"/>
      <c r="AJ29" s="9"/>
      <c r="AK29">
        <v>110296</v>
      </c>
      <c r="AL29" s="12" t="s">
        <v>140</v>
      </c>
      <c r="AM29" s="12" t="e">
        <f>+AM28</f>
        <v>#N/A</v>
      </c>
      <c r="AN29" s="13"/>
      <c r="AO29" s="18" t="e">
        <f t="shared" si="8"/>
        <v>#N/A</v>
      </c>
      <c r="AT29" s="1">
        <v>45440</v>
      </c>
      <c r="AU29" s="26" t="e">
        <f>HLOOKUP(AT29,Hoja2!$R$2:$AV$70,69,FALSE)</f>
        <v>#N/A</v>
      </c>
      <c r="AV29" s="77" t="e">
        <f>HLOOKUP(AT29,Hoja2!$R$2:$AV$71,70,FALSE)</f>
        <v>#N/A</v>
      </c>
      <c r="AW29" s="26" t="e">
        <f>HLOOKUP(AT29,Hoja2!$R$2:$AV$72,71,FALSE)</f>
        <v>#N/A</v>
      </c>
      <c r="AX29" s="97" t="e">
        <f>HLOOKUP(AT29,Hoja2!$R$2:$AV$73,72,FALSE)</f>
        <v>#N/A</v>
      </c>
      <c r="AY29" s="39"/>
      <c r="AZ29" s="9"/>
      <c r="BA29" s="12">
        <v>110296</v>
      </c>
      <c r="BB29" s="12" t="s">
        <v>140</v>
      </c>
      <c r="BC29" s="12" t="e">
        <f>+BC28</f>
        <v>#N/A</v>
      </c>
      <c r="BD29" s="13"/>
      <c r="BE29" s="18" t="e">
        <f t="shared" si="9"/>
        <v>#N/A</v>
      </c>
    </row>
    <row r="30" spans="1:57" x14ac:dyDescent="0.25">
      <c r="A30" s="1">
        <v>45441</v>
      </c>
      <c r="B30" s="26" t="e">
        <f>HLOOKUP(A30,Hoja2!$R$2:$AV$61,60,FALSE)</f>
        <v>#N/A</v>
      </c>
      <c r="E30" s="15">
        <v>45427</v>
      </c>
      <c r="F30" s="8">
        <v>110295</v>
      </c>
      <c r="G30" s="8" t="s">
        <v>139</v>
      </c>
      <c r="H30" s="8" t="str">
        <f t="shared" ref="H30" si="43">"CPA Traspaso de Fondos Bco. BCI 648 a MBI "</f>
        <v xml:space="preserve">CPA Traspaso de Fondos Bco. BCI 648 a MBI </v>
      </c>
      <c r="I30" s="16" t="e">
        <f>+B16</f>
        <v>#N/A</v>
      </c>
      <c r="J30" s="17"/>
      <c r="N30" s="1">
        <v>45441</v>
      </c>
      <c r="O30" s="26" t="e">
        <f>HLOOKUP(N30,Hoja2!$R$2:$AV$65,64,FALSE)</f>
        <v>#N/A</v>
      </c>
      <c r="P30" s="77" t="e">
        <f>HLOOKUP(N30,Hoja2!$R$2:$AV$63,62,FALSE)</f>
        <v>#N/A</v>
      </c>
      <c r="Q30" s="26" t="e">
        <f>HLOOKUP(N30,Hoja2!$R$2:$AV$64,63,FALSE)</f>
        <v>#N/A</v>
      </c>
      <c r="R30" s="26"/>
      <c r="T30" s="15">
        <v>45427</v>
      </c>
      <c r="U30">
        <v>110296</v>
      </c>
      <c r="V30" t="s">
        <v>140</v>
      </c>
      <c r="W30" t="e">
        <f>"CPA Compra Divisas " &amp;Q16&amp;" T/C "&amp;P16&amp;".- "&amp;TEXT($T30,"dd-mm-AAA")</f>
        <v>#N/A</v>
      </c>
      <c r="X30" s="3" t="e">
        <f>+O16</f>
        <v>#N/A</v>
      </c>
      <c r="Y30" s="10"/>
      <c r="AD30" s="1">
        <v>45441</v>
      </c>
      <c r="AE30" s="26" t="e">
        <f>HLOOKUP(AD30,Hoja2!$R$2:$AV$66,65,FALSE)</f>
        <v>#N/A</v>
      </c>
      <c r="AF30" s="77" t="e">
        <f>HLOOKUP(AD30,Hoja2!$R$2:$AV$67,66,FALSE)</f>
        <v>#N/A</v>
      </c>
      <c r="AG30" s="26" t="e">
        <f>HLOOKUP(AD30,Hoja2!$R$2:$AV$68,67,FALSE)</f>
        <v>#N/A</v>
      </c>
      <c r="AH30" s="97" t="e">
        <f>HLOOKUP(AD30,Hoja2!$R$2:$AV$69,68,FALSE)</f>
        <v>#N/A</v>
      </c>
      <c r="AJ30" s="15">
        <v>45427</v>
      </c>
      <c r="AK30" s="8">
        <v>110275</v>
      </c>
      <c r="AL30" t="s">
        <v>87</v>
      </c>
      <c r="AM30" t="e">
        <f>"CPA Fondeo MBI USD a NIUM " &amp;AG16&amp;" USD T/C "&amp;AF16</f>
        <v>#N/A</v>
      </c>
      <c r="AN30" s="3" t="e">
        <f>+AH16</f>
        <v>#N/A</v>
      </c>
      <c r="AO30" s="10"/>
      <c r="AT30" s="1">
        <v>45441</v>
      </c>
      <c r="AU30" s="26" t="e">
        <f>HLOOKUP(AT30,Hoja2!$R$2:$AV$70,69,FALSE)</f>
        <v>#N/A</v>
      </c>
      <c r="AV30" s="77" t="e">
        <f>HLOOKUP(AT30,Hoja2!$R$2:$AV$71,70,FALSE)</f>
        <v>#N/A</v>
      </c>
      <c r="AW30" s="26" t="e">
        <f>HLOOKUP(AT30,Hoja2!$R$2:$AV$72,71,FALSE)</f>
        <v>#N/A</v>
      </c>
      <c r="AX30" s="97" t="e">
        <f>HLOOKUP(AT30,Hoja2!$R$2:$AV$73,72,FALSE)</f>
        <v>#N/A</v>
      </c>
      <c r="AZ30" s="15">
        <v>45427</v>
      </c>
      <c r="BA30">
        <v>110820</v>
      </c>
      <c r="BB30" t="s">
        <v>97</v>
      </c>
      <c r="BC30" t="e">
        <f>"CPA Fondeo MBI USD a JPM COL " &amp;AW16&amp;" USD T/C "&amp;AV16</f>
        <v>#N/A</v>
      </c>
      <c r="BD30" s="3" t="e">
        <f>+AX16</f>
        <v>#N/A</v>
      </c>
      <c r="BE30" s="10"/>
    </row>
    <row r="31" spans="1:57" x14ac:dyDescent="0.25">
      <c r="A31" s="1">
        <v>45442</v>
      </c>
      <c r="B31" s="26" t="e">
        <f>HLOOKUP(A31,Hoja2!$R$2:$AV$61,60,FALSE)</f>
        <v>#N/A</v>
      </c>
      <c r="E31" s="11"/>
      <c r="F31" s="12">
        <v>110208</v>
      </c>
      <c r="G31" s="12" t="s">
        <v>46</v>
      </c>
      <c r="H31" s="12" t="str">
        <f t="shared" ref="H31" si="44">H30</f>
        <v xml:space="preserve">CPA Traspaso de Fondos Bco. BCI 648 a MBI </v>
      </c>
      <c r="I31" s="13"/>
      <c r="J31" s="18" t="e">
        <f>I30</f>
        <v>#N/A</v>
      </c>
      <c r="N31" s="1">
        <v>45442</v>
      </c>
      <c r="O31" s="26" t="e">
        <f>HLOOKUP(N31,Hoja2!$R$2:$AV$65,64,FALSE)</f>
        <v>#N/A</v>
      </c>
      <c r="P31" s="77" t="e">
        <f>HLOOKUP(N31,Hoja2!$R$2:$AV$63,62,FALSE)</f>
        <v>#N/A</v>
      </c>
      <c r="Q31" s="26" t="e">
        <f>HLOOKUP(N31,Hoja2!$R$2:$AV$64,63,FALSE)</f>
        <v>#N/A</v>
      </c>
      <c r="R31" s="26"/>
      <c r="T31" s="11"/>
      <c r="U31" s="12">
        <v>110295</v>
      </c>
      <c r="V31" s="12" t="s">
        <v>139</v>
      </c>
      <c r="W31" s="12" t="e">
        <f>+W30</f>
        <v>#N/A</v>
      </c>
      <c r="X31" s="13"/>
      <c r="Y31" s="18" t="e">
        <f t="shared" ref="Y31" si="45">+X30</f>
        <v>#N/A</v>
      </c>
      <c r="AD31" s="1">
        <v>45442</v>
      </c>
      <c r="AE31" s="26" t="e">
        <f>HLOOKUP(AD31,Hoja2!$R$2:$AV$66,65,FALSE)</f>
        <v>#N/A</v>
      </c>
      <c r="AF31" s="77" t="e">
        <f>HLOOKUP(AD31,Hoja2!$R$2:$AV$67,66,FALSE)</f>
        <v>#N/A</v>
      </c>
      <c r="AG31" s="26" t="e">
        <f>HLOOKUP(AD31,Hoja2!$R$2:$AV$68,67,FALSE)</f>
        <v>#N/A</v>
      </c>
      <c r="AH31" s="97" t="e">
        <f>HLOOKUP(AD31,Hoja2!$R$2:$AV$69,68,FALSE)</f>
        <v>#N/A</v>
      </c>
      <c r="AJ31" s="11"/>
      <c r="AK31" s="12">
        <v>110296</v>
      </c>
      <c r="AL31" s="12" t="s">
        <v>140</v>
      </c>
      <c r="AM31" s="12" t="e">
        <f>+AM30</f>
        <v>#N/A</v>
      </c>
      <c r="AN31" s="13"/>
      <c r="AO31" s="18" t="e">
        <f t="shared" si="8"/>
        <v>#N/A</v>
      </c>
      <c r="AT31" s="1">
        <v>45442</v>
      </c>
      <c r="AU31" s="26" t="e">
        <f>HLOOKUP(AT31,Hoja2!$R$2:$AV$70,69,FALSE)</f>
        <v>#N/A</v>
      </c>
      <c r="AV31" s="77" t="e">
        <f>HLOOKUP(AT31,Hoja2!$R$2:$AV$71,70,FALSE)</f>
        <v>#N/A</v>
      </c>
      <c r="AW31" s="26" t="e">
        <f>HLOOKUP(AT31,Hoja2!$R$2:$AV$72,71,FALSE)</f>
        <v>#N/A</v>
      </c>
      <c r="AX31" s="97" t="e">
        <f>HLOOKUP(AT31,Hoja2!$R$2:$AV$73,72,FALSE)</f>
        <v>#N/A</v>
      </c>
      <c r="AZ31" s="11"/>
      <c r="BA31" s="12">
        <v>110296</v>
      </c>
      <c r="BB31" s="12" t="s">
        <v>140</v>
      </c>
      <c r="BC31" s="12" t="e">
        <f>+BC30</f>
        <v>#N/A</v>
      </c>
      <c r="BD31" s="13"/>
      <c r="BE31" s="18" t="e">
        <f t="shared" si="9"/>
        <v>#N/A</v>
      </c>
    </row>
    <row r="32" spans="1:57" x14ac:dyDescent="0.25">
      <c r="A32" s="1">
        <v>45443</v>
      </c>
      <c r="B32" s="26" t="e">
        <f>HLOOKUP(A32,Hoja2!$R$2:$AV$61,60,FALSE)</f>
        <v>#N/A</v>
      </c>
      <c r="E32" s="15">
        <v>45428</v>
      </c>
      <c r="F32" s="8">
        <v>110295</v>
      </c>
      <c r="G32" s="8" t="s">
        <v>139</v>
      </c>
      <c r="H32" s="8" t="str">
        <f t="shared" ref="H32" si="46">"CPA Traspaso de Fondos Bco. BCI 648 a MBI "</f>
        <v xml:space="preserve">CPA Traspaso de Fondos Bco. BCI 648 a MBI </v>
      </c>
      <c r="I32" s="16" t="e">
        <f>+B17</f>
        <v>#N/A</v>
      </c>
      <c r="J32" s="17"/>
      <c r="N32" s="1">
        <v>45443</v>
      </c>
      <c r="O32" s="26" t="e">
        <f>HLOOKUP(N32,Hoja2!$R$2:$AV$65,64,FALSE)</f>
        <v>#N/A</v>
      </c>
      <c r="P32" s="77" t="e">
        <f>HLOOKUP(N32,Hoja2!$R$2:$AV$63,62,FALSE)</f>
        <v>#N/A</v>
      </c>
      <c r="Q32" s="26" t="e">
        <f>HLOOKUP(N32,Hoja2!$R$2:$AV$64,63,FALSE)</f>
        <v>#N/A</v>
      </c>
      <c r="R32" s="26"/>
      <c r="T32" s="15">
        <v>45428</v>
      </c>
      <c r="U32">
        <v>110296</v>
      </c>
      <c r="V32" t="s">
        <v>140</v>
      </c>
      <c r="W32" t="e">
        <f>"CPA Compra Divisas " &amp;Q17&amp;" T/C "&amp;P17&amp;".- "&amp;TEXT($T32,"dd-mm-AAA")</f>
        <v>#N/A</v>
      </c>
      <c r="X32" s="3" t="e">
        <f>+O17</f>
        <v>#N/A</v>
      </c>
      <c r="Y32" s="10"/>
      <c r="AD32" s="1">
        <v>45443</v>
      </c>
      <c r="AE32" s="26" t="e">
        <f>HLOOKUP(AD32,Hoja2!$R$2:$AV$66,65,FALSE)</f>
        <v>#N/A</v>
      </c>
      <c r="AF32" s="77" t="e">
        <f>HLOOKUP(AD32,Hoja2!$R$2:$AV$67,66,FALSE)</f>
        <v>#N/A</v>
      </c>
      <c r="AG32" s="26" t="e">
        <f>HLOOKUP(AD32,Hoja2!$R$2:$AV$68,67,FALSE)</f>
        <v>#N/A</v>
      </c>
      <c r="AH32" s="97" t="e">
        <f>HLOOKUP(AD32,Hoja2!$R$2:$AV$69,68,FALSE)</f>
        <v>#N/A</v>
      </c>
      <c r="AJ32" s="15">
        <v>45428</v>
      </c>
      <c r="AK32" s="8">
        <v>110275</v>
      </c>
      <c r="AL32" t="s">
        <v>87</v>
      </c>
      <c r="AM32" t="e">
        <f>"CPA Fondeo MBI USD a NIUM " &amp;AG17&amp;" USD T/C "&amp;AF17</f>
        <v>#N/A</v>
      </c>
      <c r="AN32" s="3" t="e">
        <f>+AH17</f>
        <v>#N/A</v>
      </c>
      <c r="AO32" s="10"/>
      <c r="AT32" s="1">
        <v>45443</v>
      </c>
      <c r="AU32" s="26" t="e">
        <f>HLOOKUP(AT32,Hoja2!$R$2:$AV$70,69,FALSE)</f>
        <v>#N/A</v>
      </c>
      <c r="AV32" s="77" t="e">
        <f>HLOOKUP(AT32,Hoja2!$R$2:$AV$71,70,FALSE)</f>
        <v>#N/A</v>
      </c>
      <c r="AW32" s="26" t="e">
        <f>HLOOKUP(AT32,Hoja2!$R$2:$AV$72,71,FALSE)</f>
        <v>#N/A</v>
      </c>
      <c r="AX32" s="97" t="e">
        <f>HLOOKUP(AT32,Hoja2!$R$2:$AV$73,72,FALSE)</f>
        <v>#N/A</v>
      </c>
      <c r="AZ32" s="15">
        <v>45428</v>
      </c>
      <c r="BA32">
        <v>110820</v>
      </c>
      <c r="BB32" t="s">
        <v>97</v>
      </c>
      <c r="BC32" t="e">
        <f>"CPA Fondeo MBI USD a JPM COL " &amp;AW17&amp;" USD T/C "&amp;AV17</f>
        <v>#N/A</v>
      </c>
      <c r="BD32" s="3" t="e">
        <f>+AX17</f>
        <v>#N/A</v>
      </c>
      <c r="BE32" s="10"/>
    </row>
    <row r="33" spans="2:57" x14ac:dyDescent="0.25">
      <c r="B33" s="26" t="e">
        <f>SUM(B2:B32)</f>
        <v>#N/A</v>
      </c>
      <c r="E33" s="11"/>
      <c r="F33" s="12">
        <v>110208</v>
      </c>
      <c r="G33" s="12" t="s">
        <v>46</v>
      </c>
      <c r="H33" s="12" t="str">
        <f t="shared" ref="H33" si="47">H32</f>
        <v xml:space="preserve">CPA Traspaso de Fondos Bco. BCI 648 a MBI </v>
      </c>
      <c r="I33" s="13"/>
      <c r="J33" s="18" t="e">
        <f>I32</f>
        <v>#N/A</v>
      </c>
      <c r="O33" s="3" t="e">
        <f>SUM(O2:O32)</f>
        <v>#N/A</v>
      </c>
      <c r="T33" s="11"/>
      <c r="U33" s="12">
        <v>110295</v>
      </c>
      <c r="V33" s="12" t="s">
        <v>139</v>
      </c>
      <c r="W33" s="12" t="e">
        <f>+W32</f>
        <v>#N/A</v>
      </c>
      <c r="X33" s="13"/>
      <c r="Y33" s="18" t="e">
        <f t="shared" ref="Y33" si="48">+X32</f>
        <v>#N/A</v>
      </c>
      <c r="AE33" s="3" t="e">
        <f>SUM(AE2:AE32)</f>
        <v>#N/A</v>
      </c>
      <c r="AH33" s="3" t="e">
        <f>SUM(AH2:AH32)</f>
        <v>#N/A</v>
      </c>
      <c r="AJ33" s="11"/>
      <c r="AK33" s="12">
        <v>110296</v>
      </c>
      <c r="AL33" s="12" t="s">
        <v>140</v>
      </c>
      <c r="AM33" s="12" t="e">
        <f>+AM32</f>
        <v>#N/A</v>
      </c>
      <c r="AN33" s="13"/>
      <c r="AO33" s="18" t="e">
        <f t="shared" si="8"/>
        <v>#N/A</v>
      </c>
      <c r="AU33" s="3" t="e">
        <f>SUM(AU2:AU32)</f>
        <v>#N/A</v>
      </c>
      <c r="AX33" s="3" t="e">
        <f>SUM(AX2:AX32)</f>
        <v>#N/A</v>
      </c>
      <c r="AZ33" s="11"/>
      <c r="BA33" s="12">
        <v>110296</v>
      </c>
      <c r="BB33" s="12" t="s">
        <v>140</v>
      </c>
      <c r="BC33" s="12" t="e">
        <f>+BC32</f>
        <v>#N/A</v>
      </c>
      <c r="BD33" s="13"/>
      <c r="BE33" s="18" t="e">
        <f t="shared" si="9"/>
        <v>#N/A</v>
      </c>
    </row>
    <row r="34" spans="2:57" x14ac:dyDescent="0.25">
      <c r="B34" s="26"/>
      <c r="E34" s="15">
        <v>45429</v>
      </c>
      <c r="F34" s="8">
        <v>110295</v>
      </c>
      <c r="G34" s="8" t="s">
        <v>139</v>
      </c>
      <c r="H34" s="8" t="str">
        <f t="shared" ref="H34" si="49">"CPA Traspaso de Fondos Bco. BCI 648 a MBI "</f>
        <v xml:space="preserve">CPA Traspaso de Fondos Bco. BCI 648 a MBI </v>
      </c>
      <c r="I34" s="16" t="e">
        <f>+B18</f>
        <v>#N/A</v>
      </c>
      <c r="J34" s="17"/>
      <c r="T34" s="15">
        <v>45429</v>
      </c>
      <c r="U34">
        <v>110296</v>
      </c>
      <c r="V34" t="s">
        <v>140</v>
      </c>
      <c r="W34" t="e">
        <f>"CPA Compra Divisas " &amp;Q18&amp;" T/C "&amp;P18&amp;".- "&amp;TEXT($T34,"dd-mm-AAA")</f>
        <v>#N/A</v>
      </c>
      <c r="X34" s="3" t="e">
        <f>+O18</f>
        <v>#N/A</v>
      </c>
      <c r="Y34" s="10"/>
      <c r="AJ34" s="15">
        <v>45429</v>
      </c>
      <c r="AK34" s="8">
        <v>110275</v>
      </c>
      <c r="AL34" t="s">
        <v>87</v>
      </c>
      <c r="AM34" t="e">
        <f>"CPA Fondeo MBI USD a NIUM " &amp;AG18&amp;" USD T/C "&amp;AF18</f>
        <v>#N/A</v>
      </c>
      <c r="AN34" s="3" t="e">
        <f>+AH18</f>
        <v>#N/A</v>
      </c>
      <c r="AO34" s="10"/>
      <c r="AZ34" s="15">
        <v>45429</v>
      </c>
      <c r="BA34">
        <v>110820</v>
      </c>
      <c r="BB34" t="s">
        <v>97</v>
      </c>
      <c r="BC34" t="e">
        <f>"CPA Fondeo MBI USD a JPM COL " &amp;AW18&amp;" USD T/C "&amp;AV18</f>
        <v>#N/A</v>
      </c>
      <c r="BD34" s="3" t="e">
        <f>+AX18</f>
        <v>#N/A</v>
      </c>
      <c r="BE34" s="10"/>
    </row>
    <row r="35" spans="2:57" x14ac:dyDescent="0.25">
      <c r="B35" s="26"/>
      <c r="E35" s="11"/>
      <c r="F35" s="12">
        <v>110208</v>
      </c>
      <c r="G35" s="12" t="s">
        <v>46</v>
      </c>
      <c r="H35" s="12" t="str">
        <f t="shared" ref="H35" si="50">H34</f>
        <v xml:space="preserve">CPA Traspaso de Fondos Bco. BCI 648 a MBI </v>
      </c>
      <c r="I35" s="13"/>
      <c r="J35" s="18" t="e">
        <f>I34</f>
        <v>#N/A</v>
      </c>
      <c r="T35" s="11"/>
      <c r="U35" s="12">
        <v>110295</v>
      </c>
      <c r="V35" s="12" t="s">
        <v>139</v>
      </c>
      <c r="W35" s="12" t="e">
        <f>+W34</f>
        <v>#N/A</v>
      </c>
      <c r="X35" s="13"/>
      <c r="Y35" s="18" t="e">
        <f t="shared" ref="Y35" si="51">+X34</f>
        <v>#N/A</v>
      </c>
      <c r="AJ35" s="11"/>
      <c r="AK35" s="12">
        <v>110296</v>
      </c>
      <c r="AL35" s="12" t="s">
        <v>140</v>
      </c>
      <c r="AM35" s="12" t="e">
        <f>+AM34</f>
        <v>#N/A</v>
      </c>
      <c r="AN35" s="13"/>
      <c r="AO35" s="18" t="e">
        <f t="shared" si="8"/>
        <v>#N/A</v>
      </c>
      <c r="AZ35" s="11"/>
      <c r="BA35" s="12">
        <v>110296</v>
      </c>
      <c r="BB35" s="12" t="s">
        <v>140</v>
      </c>
      <c r="BC35" s="12" t="e">
        <f>+BC34</f>
        <v>#N/A</v>
      </c>
      <c r="BD35" s="13"/>
      <c r="BE35" s="18" t="e">
        <f t="shared" si="9"/>
        <v>#N/A</v>
      </c>
    </row>
    <row r="36" spans="2:57" x14ac:dyDescent="0.25">
      <c r="E36" s="15">
        <v>45430</v>
      </c>
      <c r="F36" s="8">
        <v>110295</v>
      </c>
      <c r="G36" s="8" t="s">
        <v>139</v>
      </c>
      <c r="H36" s="8" t="str">
        <f t="shared" ref="H36" si="52">"CPA Traspaso de Fondos Bco. BCI 648 a MBI "</f>
        <v xml:space="preserve">CPA Traspaso de Fondos Bco. BCI 648 a MBI </v>
      </c>
      <c r="I36" s="16" t="e">
        <f>+B19</f>
        <v>#N/A</v>
      </c>
      <c r="J36" s="17"/>
      <c r="T36" s="15">
        <v>45430</v>
      </c>
      <c r="U36">
        <v>110296</v>
      </c>
      <c r="V36" t="s">
        <v>140</v>
      </c>
      <c r="W36" t="e">
        <f>"CPA Compra Divisas " &amp;Q19&amp;" T/C "&amp;P19&amp;".- "&amp;TEXT($T36,"dd-mm-AAA")</f>
        <v>#N/A</v>
      </c>
      <c r="X36" s="3" t="e">
        <f>+O19</f>
        <v>#N/A</v>
      </c>
      <c r="Y36" s="10"/>
      <c r="AE36" s="2"/>
      <c r="AJ36" s="15">
        <v>45430</v>
      </c>
      <c r="AK36" s="8">
        <v>110275</v>
      </c>
      <c r="AL36" t="s">
        <v>87</v>
      </c>
      <c r="AM36" t="e">
        <f>"CPA Fondeo MBI USD a NIUM " &amp;AG19&amp;" USD T/C "&amp;AF19</f>
        <v>#N/A</v>
      </c>
      <c r="AN36" s="3" t="e">
        <f>+AH19</f>
        <v>#N/A</v>
      </c>
      <c r="AO36" s="10"/>
      <c r="AU36" s="2"/>
      <c r="AZ36" s="15">
        <v>45430</v>
      </c>
      <c r="BA36">
        <v>110820</v>
      </c>
      <c r="BB36" t="s">
        <v>97</v>
      </c>
      <c r="BC36" t="e">
        <f>"CPA Fondeo MBI USD a JPM COL " &amp;AW19&amp;" USD T/C "&amp;AV19</f>
        <v>#N/A</v>
      </c>
      <c r="BD36" s="3" t="e">
        <f>+AX19</f>
        <v>#N/A</v>
      </c>
      <c r="BE36" s="10"/>
    </row>
    <row r="37" spans="2:57" x14ac:dyDescent="0.25">
      <c r="E37" s="11"/>
      <c r="F37" s="12">
        <v>110208</v>
      </c>
      <c r="G37" s="12" t="s">
        <v>46</v>
      </c>
      <c r="H37" s="12" t="str">
        <f t="shared" ref="H37" si="53">H36</f>
        <v xml:space="preserve">CPA Traspaso de Fondos Bco. BCI 648 a MBI </v>
      </c>
      <c r="I37" s="13"/>
      <c r="J37" s="18" t="e">
        <f>I36</f>
        <v>#N/A</v>
      </c>
      <c r="T37" s="11"/>
      <c r="U37" s="12">
        <v>110295</v>
      </c>
      <c r="V37" s="12" t="s">
        <v>139</v>
      </c>
      <c r="W37" s="12" t="e">
        <f>+W36</f>
        <v>#N/A</v>
      </c>
      <c r="X37" s="13"/>
      <c r="Y37" s="18" t="e">
        <f t="shared" ref="Y37" si="54">+X36</f>
        <v>#N/A</v>
      </c>
      <c r="AE37" s="2"/>
      <c r="AJ37" s="11"/>
      <c r="AK37" s="12">
        <v>110296</v>
      </c>
      <c r="AL37" s="12" t="s">
        <v>140</v>
      </c>
      <c r="AM37" s="12" t="e">
        <f>+AM36</f>
        <v>#N/A</v>
      </c>
      <c r="AN37" s="13"/>
      <c r="AO37" s="18" t="e">
        <f t="shared" si="8"/>
        <v>#N/A</v>
      </c>
      <c r="AU37" s="2"/>
      <c r="AZ37" s="11"/>
      <c r="BA37" s="12">
        <v>110296</v>
      </c>
      <c r="BB37" s="12" t="s">
        <v>140</v>
      </c>
      <c r="BC37" s="12" t="e">
        <f>+BC36</f>
        <v>#N/A</v>
      </c>
      <c r="BD37" s="13"/>
      <c r="BE37" s="18" t="e">
        <f t="shared" si="9"/>
        <v>#N/A</v>
      </c>
    </row>
    <row r="38" spans="2:57" x14ac:dyDescent="0.25">
      <c r="E38" s="15">
        <v>45431</v>
      </c>
      <c r="F38" s="8">
        <v>110295</v>
      </c>
      <c r="G38" s="8" t="s">
        <v>139</v>
      </c>
      <c r="H38" s="8" t="str">
        <f t="shared" ref="H38" si="55">"CPA Traspaso de Fondos Bco. BCI 648 a MBI "</f>
        <v xml:space="preserve">CPA Traspaso de Fondos Bco. BCI 648 a MBI </v>
      </c>
      <c r="I38" s="16" t="e">
        <f>+B20</f>
        <v>#N/A</v>
      </c>
      <c r="J38" s="17"/>
      <c r="T38" s="15">
        <v>45431</v>
      </c>
      <c r="U38">
        <v>110296</v>
      </c>
      <c r="V38" t="s">
        <v>140</v>
      </c>
      <c r="W38" t="e">
        <f>"CPA Compra Divisas " &amp;Q20&amp;" T/C "&amp;P20&amp;".- "&amp;TEXT($T38,"dd-mm-AAA")</f>
        <v>#N/A</v>
      </c>
      <c r="X38" s="3" t="e">
        <f>+O20</f>
        <v>#N/A</v>
      </c>
      <c r="Y38" s="10"/>
      <c r="AE38" s="2"/>
      <c r="AJ38" s="15">
        <v>45431</v>
      </c>
      <c r="AK38" s="8">
        <v>110275</v>
      </c>
      <c r="AL38" t="s">
        <v>87</v>
      </c>
      <c r="AM38" t="e">
        <f>"CPA Fondeo MBI USD a NIUM " &amp;AG20&amp;" USD T/C "&amp;AF20</f>
        <v>#N/A</v>
      </c>
      <c r="AN38" s="3" t="e">
        <f>+AH20</f>
        <v>#N/A</v>
      </c>
      <c r="AO38" s="10"/>
      <c r="AU38" s="2"/>
      <c r="AZ38" s="15">
        <v>45431</v>
      </c>
      <c r="BA38">
        <v>110820</v>
      </c>
      <c r="BB38" t="s">
        <v>97</v>
      </c>
      <c r="BC38" t="e">
        <f>"CPA Fondeo MBI USD a JPM COL " &amp;AW20&amp;" USD T/C "&amp;AV20</f>
        <v>#N/A</v>
      </c>
      <c r="BD38" s="3" t="e">
        <f>+AX20</f>
        <v>#N/A</v>
      </c>
      <c r="BE38" s="10"/>
    </row>
    <row r="39" spans="2:57" x14ac:dyDescent="0.25">
      <c r="E39" s="11"/>
      <c r="F39" s="12">
        <v>110208</v>
      </c>
      <c r="G39" s="12" t="s">
        <v>46</v>
      </c>
      <c r="H39" s="12" t="str">
        <f t="shared" ref="H39" si="56">H38</f>
        <v xml:space="preserve">CPA Traspaso de Fondos Bco. BCI 648 a MBI </v>
      </c>
      <c r="I39" s="13"/>
      <c r="J39" s="18" t="e">
        <f>I38</f>
        <v>#N/A</v>
      </c>
      <c r="T39" s="11"/>
      <c r="U39" s="12">
        <v>110295</v>
      </c>
      <c r="V39" s="12" t="s">
        <v>139</v>
      </c>
      <c r="W39" s="12" t="e">
        <f>+W38</f>
        <v>#N/A</v>
      </c>
      <c r="X39" s="13"/>
      <c r="Y39" s="18" t="e">
        <f t="shared" ref="Y39" si="57">+X38</f>
        <v>#N/A</v>
      </c>
      <c r="AE39" s="2"/>
      <c r="AJ39" s="11"/>
      <c r="AK39" s="12">
        <v>110296</v>
      </c>
      <c r="AL39" s="12" t="s">
        <v>140</v>
      </c>
      <c r="AM39" s="12" t="e">
        <f>+AM38</f>
        <v>#N/A</v>
      </c>
      <c r="AN39" s="13"/>
      <c r="AO39" s="18" t="e">
        <f t="shared" si="8"/>
        <v>#N/A</v>
      </c>
      <c r="AU39" s="2"/>
      <c r="AZ39" s="11"/>
      <c r="BA39" s="12">
        <v>110296</v>
      </c>
      <c r="BB39" s="12" t="s">
        <v>140</v>
      </c>
      <c r="BC39" s="12" t="e">
        <f>+BC38</f>
        <v>#N/A</v>
      </c>
      <c r="BD39" s="13"/>
      <c r="BE39" s="18" t="e">
        <f t="shared" si="9"/>
        <v>#N/A</v>
      </c>
    </row>
    <row r="40" spans="2:57" x14ac:dyDescent="0.25">
      <c r="E40" s="15">
        <v>45432</v>
      </c>
      <c r="F40" s="8">
        <v>110295</v>
      </c>
      <c r="G40" s="8" t="s">
        <v>139</v>
      </c>
      <c r="H40" s="8" t="str">
        <f t="shared" ref="H40" si="58">"CPA Traspaso de Fondos Bco. BCI 648 a MBI "</f>
        <v xml:space="preserve">CPA Traspaso de Fondos Bco. BCI 648 a MBI </v>
      </c>
      <c r="I40" s="16" t="e">
        <f>+B21</f>
        <v>#N/A</v>
      </c>
      <c r="J40" s="17"/>
      <c r="T40" s="15">
        <v>45432</v>
      </c>
      <c r="U40">
        <v>110296</v>
      </c>
      <c r="V40" t="s">
        <v>140</v>
      </c>
      <c r="W40" t="e">
        <f>"CPA Compra Divisas " &amp;Q21&amp;" T/C "&amp;P21&amp;".- "&amp;TEXT($T40,"dd-mm-AAA")</f>
        <v>#N/A</v>
      </c>
      <c r="X40" s="3" t="e">
        <f>+O21</f>
        <v>#N/A</v>
      </c>
      <c r="Y40" s="10"/>
      <c r="AE40" s="2"/>
      <c r="AJ40" s="15">
        <v>45432</v>
      </c>
      <c r="AK40" s="8">
        <v>110275</v>
      </c>
      <c r="AL40" t="s">
        <v>87</v>
      </c>
      <c r="AM40" t="e">
        <f>"CPA Fondeo MBI USD a NIUM " &amp;AG21&amp;" USD T/C "&amp;AF21</f>
        <v>#N/A</v>
      </c>
      <c r="AN40" s="3" t="e">
        <f>+AH21</f>
        <v>#N/A</v>
      </c>
      <c r="AO40" s="10"/>
      <c r="AU40" s="2"/>
      <c r="AZ40" s="15">
        <v>45432</v>
      </c>
      <c r="BA40">
        <v>110820</v>
      </c>
      <c r="BB40" t="s">
        <v>97</v>
      </c>
      <c r="BC40" t="e">
        <f>"CPA Fondeo MBI USD a JPM COL " &amp;AW21&amp;" USD T/C "&amp;AV21</f>
        <v>#N/A</v>
      </c>
      <c r="BD40" s="3" t="e">
        <f>+AX21</f>
        <v>#N/A</v>
      </c>
      <c r="BE40" s="10"/>
    </row>
    <row r="41" spans="2:57" x14ac:dyDescent="0.25">
      <c r="E41" s="11"/>
      <c r="F41" s="12">
        <v>110208</v>
      </c>
      <c r="G41" s="12" t="s">
        <v>46</v>
      </c>
      <c r="H41" s="12" t="str">
        <f t="shared" ref="H41" si="59">H40</f>
        <v xml:space="preserve">CPA Traspaso de Fondos Bco. BCI 648 a MBI </v>
      </c>
      <c r="I41" s="13"/>
      <c r="J41" s="18" t="e">
        <f>I40</f>
        <v>#N/A</v>
      </c>
      <c r="N41" s="42"/>
      <c r="T41" s="11"/>
      <c r="U41" s="12">
        <v>110295</v>
      </c>
      <c r="V41" s="12" t="s">
        <v>139</v>
      </c>
      <c r="W41" s="12" t="e">
        <f>+W40</f>
        <v>#N/A</v>
      </c>
      <c r="X41" s="13"/>
      <c r="Y41" s="18" t="e">
        <f t="shared" ref="Y41" si="60">+X40</f>
        <v>#N/A</v>
      </c>
      <c r="AE41" s="2"/>
      <c r="AJ41" s="11"/>
      <c r="AK41" s="12">
        <v>110296</v>
      </c>
      <c r="AL41" s="12" t="s">
        <v>140</v>
      </c>
      <c r="AM41" s="12" t="e">
        <f>+AM40</f>
        <v>#N/A</v>
      </c>
      <c r="AN41" s="13"/>
      <c r="AO41" s="18" t="e">
        <f t="shared" si="8"/>
        <v>#N/A</v>
      </c>
      <c r="AU41" s="2"/>
      <c r="AZ41" s="11"/>
      <c r="BA41" s="12">
        <v>110296</v>
      </c>
      <c r="BB41" s="12" t="s">
        <v>140</v>
      </c>
      <c r="BC41" s="12" t="e">
        <f>+BC40</f>
        <v>#N/A</v>
      </c>
      <c r="BD41" s="13"/>
      <c r="BE41" s="18" t="e">
        <f t="shared" si="9"/>
        <v>#N/A</v>
      </c>
    </row>
    <row r="42" spans="2:57" x14ac:dyDescent="0.25">
      <c r="E42" s="15">
        <v>45433</v>
      </c>
      <c r="F42" s="8">
        <v>110295</v>
      </c>
      <c r="G42" s="8" t="s">
        <v>139</v>
      </c>
      <c r="H42" s="8" t="str">
        <f t="shared" ref="H42" si="61">"CPA Traspaso de Fondos Bco. BCI 648 a MBI "</f>
        <v xml:space="preserve">CPA Traspaso de Fondos Bco. BCI 648 a MBI </v>
      </c>
      <c r="I42" s="16" t="e">
        <f>+B22</f>
        <v>#N/A</v>
      </c>
      <c r="J42" s="17"/>
      <c r="N42" s="42"/>
      <c r="T42" s="15">
        <v>45433</v>
      </c>
      <c r="U42">
        <v>110296</v>
      </c>
      <c r="V42" t="s">
        <v>140</v>
      </c>
      <c r="W42" t="e">
        <f>"CPA Compra Divisas " &amp;Q22&amp;" T/C "&amp;P22&amp;".- "&amp;TEXT($T42,"dd-mm-AAA")</f>
        <v>#N/A</v>
      </c>
      <c r="X42" s="3" t="e">
        <f>+O22</f>
        <v>#N/A</v>
      </c>
      <c r="Y42" s="10"/>
      <c r="AE42" s="2"/>
      <c r="AJ42" s="15">
        <v>45433</v>
      </c>
      <c r="AK42" s="8">
        <v>110275</v>
      </c>
      <c r="AL42" t="s">
        <v>87</v>
      </c>
      <c r="AM42" t="e">
        <f>"CPA Fondeo MBI USD a NIUM " &amp;AG22&amp;" USD T/C "&amp;AF22</f>
        <v>#N/A</v>
      </c>
      <c r="AN42" s="3" t="e">
        <f>+AH22</f>
        <v>#N/A</v>
      </c>
      <c r="AO42" s="10"/>
      <c r="AU42" s="2"/>
      <c r="AZ42" s="15">
        <v>45433</v>
      </c>
      <c r="BA42">
        <v>110820</v>
      </c>
      <c r="BB42" t="s">
        <v>97</v>
      </c>
      <c r="BC42" t="e">
        <f>"CPA Fondeo MBI USD a JPM COL " &amp;AW22&amp;" USD T/C "&amp;AV22</f>
        <v>#N/A</v>
      </c>
      <c r="BD42" s="3" t="e">
        <f>+AX22</f>
        <v>#N/A</v>
      </c>
      <c r="BE42" s="10"/>
    </row>
    <row r="43" spans="2:57" x14ac:dyDescent="0.25">
      <c r="E43" s="11"/>
      <c r="F43" s="12">
        <v>110208</v>
      </c>
      <c r="G43" s="12" t="s">
        <v>46</v>
      </c>
      <c r="H43" s="12" t="str">
        <f t="shared" ref="H43" si="62">H42</f>
        <v xml:space="preserve">CPA Traspaso de Fondos Bco. BCI 648 a MBI </v>
      </c>
      <c r="I43" s="13"/>
      <c r="J43" s="18" t="e">
        <f>I42</f>
        <v>#N/A</v>
      </c>
      <c r="N43" s="42"/>
      <c r="T43" s="11"/>
      <c r="U43" s="12">
        <v>110295</v>
      </c>
      <c r="V43" s="12" t="s">
        <v>139</v>
      </c>
      <c r="W43" s="12" t="e">
        <f>+W42</f>
        <v>#N/A</v>
      </c>
      <c r="X43" s="13"/>
      <c r="Y43" s="18" t="e">
        <f t="shared" ref="Y43" si="63">+X42</f>
        <v>#N/A</v>
      </c>
      <c r="AE43" s="2"/>
      <c r="AJ43" s="11"/>
      <c r="AK43" s="12">
        <v>110296</v>
      </c>
      <c r="AL43" s="12" t="s">
        <v>140</v>
      </c>
      <c r="AM43" s="12" t="e">
        <f>+AM42</f>
        <v>#N/A</v>
      </c>
      <c r="AN43" s="13"/>
      <c r="AO43" s="18" t="e">
        <f t="shared" si="8"/>
        <v>#N/A</v>
      </c>
      <c r="AU43" s="2"/>
      <c r="AZ43" s="11"/>
      <c r="BA43" s="12">
        <v>110296</v>
      </c>
      <c r="BB43" s="12" t="s">
        <v>140</v>
      </c>
      <c r="BC43" s="12" t="e">
        <f>+BC42</f>
        <v>#N/A</v>
      </c>
      <c r="BD43" s="13"/>
      <c r="BE43" s="18" t="e">
        <f t="shared" si="9"/>
        <v>#N/A</v>
      </c>
    </row>
    <row r="44" spans="2:57" x14ac:dyDescent="0.25">
      <c r="E44" s="15">
        <v>45434</v>
      </c>
      <c r="F44" s="8">
        <v>110295</v>
      </c>
      <c r="G44" s="8" t="s">
        <v>139</v>
      </c>
      <c r="H44" s="8" t="str">
        <f t="shared" ref="H44" si="64">"CPA Traspaso de Fondos Bco. BCI 648 a MBI "</f>
        <v xml:space="preserve">CPA Traspaso de Fondos Bco. BCI 648 a MBI </v>
      </c>
      <c r="I44" s="16" t="e">
        <f>+B23</f>
        <v>#N/A</v>
      </c>
      <c r="J44" s="17"/>
      <c r="T44" s="15">
        <v>45434</v>
      </c>
      <c r="U44">
        <v>110296</v>
      </c>
      <c r="V44" t="s">
        <v>140</v>
      </c>
      <c r="W44" t="e">
        <f>"CPA Compra Divisas " &amp;Q23&amp;" T/C "&amp;P23&amp;".- "&amp;TEXT($T44,"dd-mm-AAA")</f>
        <v>#N/A</v>
      </c>
      <c r="X44" s="3" t="e">
        <f>+O23</f>
        <v>#N/A</v>
      </c>
      <c r="Y44" s="10"/>
      <c r="AE44" s="2"/>
      <c r="AJ44" s="15">
        <v>45434</v>
      </c>
      <c r="AK44" s="8">
        <v>110275</v>
      </c>
      <c r="AL44" t="s">
        <v>87</v>
      </c>
      <c r="AM44" t="e">
        <f>"CPA Fondeo MBI USD a NIUM " &amp;AG23&amp;" USD T/C "&amp;AF23</f>
        <v>#N/A</v>
      </c>
      <c r="AN44" s="3" t="e">
        <f>+AH23</f>
        <v>#N/A</v>
      </c>
      <c r="AO44" s="10"/>
      <c r="AU44" s="2"/>
      <c r="AZ44" s="15">
        <v>45434</v>
      </c>
      <c r="BA44">
        <v>110820</v>
      </c>
      <c r="BB44" t="s">
        <v>97</v>
      </c>
      <c r="BC44" t="e">
        <f>"CPA Fondeo MBI USD a JPM COL " &amp;AW23&amp;" USD T/C "&amp;AV23</f>
        <v>#N/A</v>
      </c>
      <c r="BD44" s="3" t="e">
        <f>+AX23</f>
        <v>#N/A</v>
      </c>
      <c r="BE44" s="10"/>
    </row>
    <row r="45" spans="2:57" x14ac:dyDescent="0.25">
      <c r="E45" s="11"/>
      <c r="F45" s="12">
        <v>110208</v>
      </c>
      <c r="G45" s="12" t="s">
        <v>46</v>
      </c>
      <c r="H45" s="12" t="str">
        <f t="shared" ref="H45" si="65">H44</f>
        <v xml:space="preserve">CPA Traspaso de Fondos Bco. BCI 648 a MBI </v>
      </c>
      <c r="I45" s="13"/>
      <c r="J45" s="18" t="e">
        <f>I44</f>
        <v>#N/A</v>
      </c>
      <c r="T45" s="11"/>
      <c r="U45" s="12">
        <v>110295</v>
      </c>
      <c r="V45" s="12" t="s">
        <v>139</v>
      </c>
      <c r="W45" s="12" t="e">
        <f>+W44</f>
        <v>#N/A</v>
      </c>
      <c r="X45" s="13"/>
      <c r="Y45" s="18" t="e">
        <f t="shared" ref="Y45" si="66">+X44</f>
        <v>#N/A</v>
      </c>
      <c r="AE45" s="2"/>
      <c r="AJ45" s="11"/>
      <c r="AK45" s="12">
        <v>110296</v>
      </c>
      <c r="AL45" s="12" t="s">
        <v>140</v>
      </c>
      <c r="AM45" s="12" t="e">
        <f>+AM44</f>
        <v>#N/A</v>
      </c>
      <c r="AN45" s="13"/>
      <c r="AO45" s="18" t="e">
        <f t="shared" si="8"/>
        <v>#N/A</v>
      </c>
      <c r="AU45" s="2"/>
      <c r="AZ45" s="11"/>
      <c r="BA45" s="12">
        <v>110296</v>
      </c>
      <c r="BB45" s="12" t="s">
        <v>140</v>
      </c>
      <c r="BC45" s="12" t="e">
        <f>+BC44</f>
        <v>#N/A</v>
      </c>
      <c r="BD45" s="13"/>
      <c r="BE45" s="18" t="e">
        <f t="shared" si="9"/>
        <v>#N/A</v>
      </c>
    </row>
    <row r="46" spans="2:57" x14ac:dyDescent="0.25">
      <c r="E46" s="15">
        <v>45435</v>
      </c>
      <c r="F46" s="8">
        <v>110295</v>
      </c>
      <c r="G46" s="8" t="s">
        <v>139</v>
      </c>
      <c r="H46" s="8" t="str">
        <f t="shared" ref="H46" si="67">"CPA Traspaso de Fondos Bco. BCI 648 a MBI "</f>
        <v xml:space="preserve">CPA Traspaso de Fondos Bco. BCI 648 a MBI </v>
      </c>
      <c r="I46" s="16" t="e">
        <f>+B24</f>
        <v>#N/A</v>
      </c>
      <c r="J46" s="17"/>
      <c r="T46" s="15">
        <v>45435</v>
      </c>
      <c r="U46">
        <v>110296</v>
      </c>
      <c r="V46" t="s">
        <v>140</v>
      </c>
      <c r="W46" t="e">
        <f>"CPA Compra Divisas " &amp;Q24&amp;" T/C "&amp;P24&amp;".- "&amp;TEXT($T46,"dd-mm-AAA")</f>
        <v>#N/A</v>
      </c>
      <c r="X46" s="3" t="e">
        <f>+O24</f>
        <v>#N/A</v>
      </c>
      <c r="Y46" s="10"/>
      <c r="AE46" s="2"/>
      <c r="AJ46" s="15">
        <v>45435</v>
      </c>
      <c r="AK46" s="8">
        <v>110275</v>
      </c>
      <c r="AL46" t="s">
        <v>87</v>
      </c>
      <c r="AM46" t="e">
        <f>"CPA Fondeo MBI USD a NIUM " &amp;AG24&amp;" USD T/C "&amp;AF24</f>
        <v>#N/A</v>
      </c>
      <c r="AN46" s="3" t="e">
        <f>+AH24</f>
        <v>#N/A</v>
      </c>
      <c r="AO46" s="10"/>
      <c r="AU46" s="2"/>
      <c r="AZ46" s="15">
        <v>45435</v>
      </c>
      <c r="BA46">
        <v>110820</v>
      </c>
      <c r="BB46" t="s">
        <v>97</v>
      </c>
      <c r="BC46" t="e">
        <f>"CPA Fondeo MBI USD a JPM COL " &amp;AW24&amp;" USD T/C "&amp;AV24</f>
        <v>#N/A</v>
      </c>
      <c r="BD46" s="3" t="e">
        <f>+AX24</f>
        <v>#N/A</v>
      </c>
      <c r="BE46" s="10"/>
    </row>
    <row r="47" spans="2:57" x14ac:dyDescent="0.25">
      <c r="E47" s="11"/>
      <c r="F47" s="12">
        <v>110208</v>
      </c>
      <c r="G47" s="12" t="s">
        <v>46</v>
      </c>
      <c r="H47" s="12" t="str">
        <f t="shared" ref="H47" si="68">H46</f>
        <v xml:space="preserve">CPA Traspaso de Fondos Bco. BCI 648 a MBI </v>
      </c>
      <c r="I47" s="13"/>
      <c r="J47" s="18" t="e">
        <f>I46</f>
        <v>#N/A</v>
      </c>
      <c r="T47" s="11"/>
      <c r="U47" s="12">
        <v>110295</v>
      </c>
      <c r="V47" s="12" t="s">
        <v>139</v>
      </c>
      <c r="W47" s="12" t="e">
        <f>+W46</f>
        <v>#N/A</v>
      </c>
      <c r="X47" s="13"/>
      <c r="Y47" s="18" t="e">
        <f t="shared" ref="Y47" si="69">+X46</f>
        <v>#N/A</v>
      </c>
      <c r="AE47" s="2"/>
      <c r="AJ47" s="11"/>
      <c r="AK47" s="12">
        <v>110296</v>
      </c>
      <c r="AL47" s="12" t="s">
        <v>140</v>
      </c>
      <c r="AM47" s="12" t="e">
        <f>+AM46</f>
        <v>#N/A</v>
      </c>
      <c r="AN47" s="13"/>
      <c r="AO47" s="18" t="e">
        <f t="shared" si="8"/>
        <v>#N/A</v>
      </c>
      <c r="AU47" s="2"/>
      <c r="AZ47" s="11"/>
      <c r="BA47" s="12">
        <v>110296</v>
      </c>
      <c r="BB47" s="12" t="s">
        <v>140</v>
      </c>
      <c r="BC47" s="12" t="e">
        <f>+BC46</f>
        <v>#N/A</v>
      </c>
      <c r="BD47" s="13"/>
      <c r="BE47" s="18" t="e">
        <f t="shared" si="9"/>
        <v>#N/A</v>
      </c>
    </row>
    <row r="48" spans="2:57" x14ac:dyDescent="0.25">
      <c r="E48" s="15">
        <v>45436</v>
      </c>
      <c r="F48" s="8">
        <v>110295</v>
      </c>
      <c r="G48" s="8" t="s">
        <v>139</v>
      </c>
      <c r="H48" s="8" t="str">
        <f t="shared" ref="H48" si="70">"CPA Traspaso de Fondos Bco. BCI 648 a MBI "</f>
        <v xml:space="preserve">CPA Traspaso de Fondos Bco. BCI 648 a MBI </v>
      </c>
      <c r="I48" s="16" t="e">
        <f>+B25</f>
        <v>#N/A</v>
      </c>
      <c r="J48" s="17"/>
      <c r="T48" s="15">
        <v>45436</v>
      </c>
      <c r="U48">
        <v>110296</v>
      </c>
      <c r="V48" t="s">
        <v>140</v>
      </c>
      <c r="W48" t="e">
        <f>"CPA Compra Divisas " &amp;Q25&amp;" T/C "&amp;P25&amp;".- "&amp;TEXT($T48,"dd-mm-AAA")</f>
        <v>#N/A</v>
      </c>
      <c r="X48" s="3" t="e">
        <f>+O25</f>
        <v>#N/A</v>
      </c>
      <c r="Y48" s="10"/>
      <c r="AE48" s="2"/>
      <c r="AJ48" s="15">
        <v>45436</v>
      </c>
      <c r="AK48" s="8">
        <v>110275</v>
      </c>
      <c r="AL48" t="s">
        <v>87</v>
      </c>
      <c r="AM48" t="e">
        <f>"CPA Fondeo MBI USD a NIUM " &amp;AG25&amp;" USD T/C "&amp;AF25</f>
        <v>#N/A</v>
      </c>
      <c r="AN48" s="3" t="e">
        <f>+AH25</f>
        <v>#N/A</v>
      </c>
      <c r="AO48" s="10"/>
      <c r="AU48" s="2"/>
      <c r="AZ48" s="15">
        <v>45436</v>
      </c>
      <c r="BA48">
        <v>110820</v>
      </c>
      <c r="BB48" t="s">
        <v>97</v>
      </c>
      <c r="BC48" t="e">
        <f>"CPA Fondeo MBI USD a JPM COL " &amp;AW25&amp;" USD T/C "&amp;AV25</f>
        <v>#N/A</v>
      </c>
      <c r="BD48" s="3" t="e">
        <f>+AX25</f>
        <v>#N/A</v>
      </c>
      <c r="BE48" s="10"/>
    </row>
    <row r="49" spans="5:57" x14ac:dyDescent="0.25">
      <c r="E49" s="11"/>
      <c r="F49" s="12">
        <v>110208</v>
      </c>
      <c r="G49" s="12" t="s">
        <v>46</v>
      </c>
      <c r="H49" s="12" t="str">
        <f t="shared" ref="H49" si="71">H48</f>
        <v xml:space="preserve">CPA Traspaso de Fondos Bco. BCI 648 a MBI </v>
      </c>
      <c r="I49" s="13"/>
      <c r="J49" s="18" t="e">
        <f>I48</f>
        <v>#N/A</v>
      </c>
      <c r="T49" s="11"/>
      <c r="U49" s="12">
        <v>110295</v>
      </c>
      <c r="V49" s="12" t="s">
        <v>139</v>
      </c>
      <c r="W49" s="12" t="e">
        <f>+W48</f>
        <v>#N/A</v>
      </c>
      <c r="X49" s="13"/>
      <c r="Y49" s="18" t="e">
        <f t="shared" ref="Y49" si="72">+X48</f>
        <v>#N/A</v>
      </c>
      <c r="AE49" s="2"/>
      <c r="AJ49" s="11"/>
      <c r="AK49" s="12">
        <v>110296</v>
      </c>
      <c r="AL49" s="12" t="s">
        <v>140</v>
      </c>
      <c r="AM49" s="12" t="e">
        <f>+AM48</f>
        <v>#N/A</v>
      </c>
      <c r="AN49" s="13"/>
      <c r="AO49" s="18" t="e">
        <f t="shared" si="8"/>
        <v>#N/A</v>
      </c>
      <c r="AU49" s="2"/>
      <c r="AZ49" s="11"/>
      <c r="BA49" s="12">
        <v>110296</v>
      </c>
      <c r="BB49" s="12" t="s">
        <v>140</v>
      </c>
      <c r="BC49" s="12" t="e">
        <f>+BC48</f>
        <v>#N/A</v>
      </c>
      <c r="BD49" s="13"/>
      <c r="BE49" s="18" t="e">
        <f t="shared" si="9"/>
        <v>#N/A</v>
      </c>
    </row>
    <row r="50" spans="5:57" x14ac:dyDescent="0.25">
      <c r="E50" s="15">
        <v>45437</v>
      </c>
      <c r="F50" s="8">
        <v>110295</v>
      </c>
      <c r="G50" s="8" t="s">
        <v>139</v>
      </c>
      <c r="H50" s="8" t="str">
        <f t="shared" ref="H50" si="73">"CPA Traspaso de Fondos Bco. BCI 648 a MBI "</f>
        <v xml:space="preserve">CPA Traspaso de Fondos Bco. BCI 648 a MBI </v>
      </c>
      <c r="I50" s="16" t="e">
        <f>+B26</f>
        <v>#N/A</v>
      </c>
      <c r="J50" s="17"/>
      <c r="T50" s="15">
        <v>45437</v>
      </c>
      <c r="U50">
        <v>110296</v>
      </c>
      <c r="V50" t="s">
        <v>140</v>
      </c>
      <c r="W50" t="e">
        <f>"CPA Compra Divisas " &amp;Q26&amp;" T/C "&amp;P26&amp;".- "&amp;TEXT($T50,"dd-mm-AAA")</f>
        <v>#N/A</v>
      </c>
      <c r="X50" s="3" t="e">
        <f>+O26</f>
        <v>#N/A</v>
      </c>
      <c r="Y50" s="10"/>
      <c r="AE50" s="2"/>
      <c r="AJ50" s="15">
        <v>45437</v>
      </c>
      <c r="AK50" s="8">
        <v>110275</v>
      </c>
      <c r="AL50" t="s">
        <v>87</v>
      </c>
      <c r="AM50" t="e">
        <f>"CPA Fondeo MBI USD a NIUM " &amp;AG26&amp;" USD T/C "&amp;AF26</f>
        <v>#N/A</v>
      </c>
      <c r="AN50" s="3" t="e">
        <f>+AH26</f>
        <v>#N/A</v>
      </c>
      <c r="AO50" s="10"/>
      <c r="AU50" s="2"/>
      <c r="AZ50" s="15">
        <v>45437</v>
      </c>
      <c r="BA50">
        <v>110820</v>
      </c>
      <c r="BB50" t="s">
        <v>97</v>
      </c>
      <c r="BC50" t="e">
        <f>"CPA Fondeo MBI USD a JPM COL " &amp;AW26&amp;" USD T/C "&amp;AV26</f>
        <v>#N/A</v>
      </c>
      <c r="BD50" s="3" t="e">
        <f>+AX26</f>
        <v>#N/A</v>
      </c>
      <c r="BE50" s="10"/>
    </row>
    <row r="51" spans="5:57" x14ac:dyDescent="0.25">
      <c r="E51" s="11"/>
      <c r="F51" s="12">
        <v>110208</v>
      </c>
      <c r="G51" s="12" t="s">
        <v>46</v>
      </c>
      <c r="H51" s="12" t="str">
        <f t="shared" ref="H51" si="74">H50</f>
        <v xml:space="preserve">CPA Traspaso de Fondos Bco. BCI 648 a MBI </v>
      </c>
      <c r="I51" s="13"/>
      <c r="J51" s="18" t="e">
        <f>I50</f>
        <v>#N/A</v>
      </c>
      <c r="T51" s="11"/>
      <c r="U51" s="12">
        <v>110295</v>
      </c>
      <c r="V51" s="12" t="s">
        <v>139</v>
      </c>
      <c r="W51" s="12" t="e">
        <f>+W50</f>
        <v>#N/A</v>
      </c>
      <c r="X51" s="13"/>
      <c r="Y51" s="18" t="e">
        <f t="shared" ref="Y51" si="75">+X50</f>
        <v>#N/A</v>
      </c>
      <c r="AE51" s="2"/>
      <c r="AJ51" s="11"/>
      <c r="AK51" s="12">
        <v>110296</v>
      </c>
      <c r="AL51" s="12" t="s">
        <v>140</v>
      </c>
      <c r="AM51" s="12" t="e">
        <f>+AM50</f>
        <v>#N/A</v>
      </c>
      <c r="AN51" s="13"/>
      <c r="AO51" s="18" t="e">
        <f t="shared" si="8"/>
        <v>#N/A</v>
      </c>
      <c r="AU51" s="2"/>
      <c r="AZ51" s="11"/>
      <c r="BA51" s="12">
        <v>110296</v>
      </c>
      <c r="BB51" s="12" t="s">
        <v>140</v>
      </c>
      <c r="BC51" s="12" t="e">
        <f>+BC50</f>
        <v>#N/A</v>
      </c>
      <c r="BD51" s="13"/>
      <c r="BE51" s="18" t="e">
        <f t="shared" si="9"/>
        <v>#N/A</v>
      </c>
    </row>
    <row r="52" spans="5:57" x14ac:dyDescent="0.25">
      <c r="E52" s="15">
        <v>45438</v>
      </c>
      <c r="F52" s="8">
        <v>110295</v>
      </c>
      <c r="G52" s="8" t="s">
        <v>139</v>
      </c>
      <c r="H52" s="8" t="str">
        <f t="shared" ref="H52" si="76">"CPA Traspaso de Fondos Bco. BCI 648 a MBI "</f>
        <v xml:space="preserve">CPA Traspaso de Fondos Bco. BCI 648 a MBI </v>
      </c>
      <c r="I52" s="16" t="e">
        <f>+B27</f>
        <v>#N/A</v>
      </c>
      <c r="J52" s="17"/>
      <c r="T52" s="15">
        <v>45438</v>
      </c>
      <c r="U52">
        <v>110296</v>
      </c>
      <c r="V52" t="s">
        <v>140</v>
      </c>
      <c r="W52" t="e">
        <f>"CPA Compra Divisas " &amp;Q27&amp;" T/C "&amp;P27&amp;".- "&amp;TEXT($T52,"dd-mm-AAA")</f>
        <v>#N/A</v>
      </c>
      <c r="X52" s="3" t="e">
        <f>+O27</f>
        <v>#N/A</v>
      </c>
      <c r="Y52" s="10"/>
      <c r="AE52" s="2"/>
      <c r="AJ52" s="15">
        <v>45438</v>
      </c>
      <c r="AK52" s="8">
        <v>110275</v>
      </c>
      <c r="AL52" t="s">
        <v>87</v>
      </c>
      <c r="AM52" t="e">
        <f>"CPA Fondeo MBI USD a NIUM " &amp;AG27&amp;" USD T/C "&amp;AF27</f>
        <v>#N/A</v>
      </c>
      <c r="AN52" s="3" t="e">
        <f>+AH27</f>
        <v>#N/A</v>
      </c>
      <c r="AO52" s="10"/>
      <c r="AU52" s="2"/>
      <c r="AZ52" s="15">
        <v>45438</v>
      </c>
      <c r="BA52">
        <v>110820</v>
      </c>
      <c r="BB52" t="s">
        <v>97</v>
      </c>
      <c r="BC52" t="e">
        <f>"CPA Fondeo MBI USD a JPM COL " &amp;AW27&amp;" USD T/C "&amp;AV27</f>
        <v>#N/A</v>
      </c>
      <c r="BD52" s="3" t="e">
        <f>+AX27</f>
        <v>#N/A</v>
      </c>
      <c r="BE52" s="10"/>
    </row>
    <row r="53" spans="5:57" x14ac:dyDescent="0.25">
      <c r="E53" s="11"/>
      <c r="F53" s="12">
        <v>110208</v>
      </c>
      <c r="G53" s="12" t="s">
        <v>46</v>
      </c>
      <c r="H53" s="12" t="str">
        <f t="shared" ref="H53" si="77">H52</f>
        <v xml:space="preserve">CPA Traspaso de Fondos Bco. BCI 648 a MBI </v>
      </c>
      <c r="I53" s="13"/>
      <c r="J53" s="18" t="e">
        <f>I52</f>
        <v>#N/A</v>
      </c>
      <c r="T53" s="11"/>
      <c r="U53" s="12">
        <v>110295</v>
      </c>
      <c r="V53" s="12" t="s">
        <v>139</v>
      </c>
      <c r="W53" s="12" t="e">
        <f>+W52</f>
        <v>#N/A</v>
      </c>
      <c r="X53" s="13"/>
      <c r="Y53" s="18" t="e">
        <f t="shared" ref="Y53" si="78">+X52</f>
        <v>#N/A</v>
      </c>
      <c r="AE53" s="2"/>
      <c r="AJ53" s="11"/>
      <c r="AK53" s="12">
        <v>110296</v>
      </c>
      <c r="AL53" s="12" t="s">
        <v>140</v>
      </c>
      <c r="AM53" s="12" t="e">
        <f>+AM52</f>
        <v>#N/A</v>
      </c>
      <c r="AN53" s="13"/>
      <c r="AO53" s="18" t="e">
        <f t="shared" si="8"/>
        <v>#N/A</v>
      </c>
      <c r="AU53" s="2"/>
      <c r="AZ53" s="11"/>
      <c r="BA53" s="12">
        <v>110296</v>
      </c>
      <c r="BB53" s="12" t="s">
        <v>140</v>
      </c>
      <c r="BC53" s="12" t="e">
        <f>+BC52</f>
        <v>#N/A</v>
      </c>
      <c r="BD53" s="13"/>
      <c r="BE53" s="18" t="e">
        <f t="shared" si="9"/>
        <v>#N/A</v>
      </c>
    </row>
    <row r="54" spans="5:57" x14ac:dyDescent="0.25">
      <c r="E54" s="15">
        <v>45439</v>
      </c>
      <c r="F54" s="8">
        <v>110295</v>
      </c>
      <c r="G54" s="8" t="s">
        <v>139</v>
      </c>
      <c r="H54" s="8" t="str">
        <f t="shared" ref="H54" si="79">"CPA Traspaso de Fondos Bco. BCI 648 a MBI "</f>
        <v xml:space="preserve">CPA Traspaso de Fondos Bco. BCI 648 a MBI </v>
      </c>
      <c r="I54" s="16" t="e">
        <f>+B28</f>
        <v>#N/A</v>
      </c>
      <c r="J54" s="17"/>
      <c r="T54" s="15">
        <v>45439</v>
      </c>
      <c r="U54">
        <v>110296</v>
      </c>
      <c r="V54" t="s">
        <v>140</v>
      </c>
      <c r="W54" t="e">
        <f>"CPA Compra Divisas " &amp;Q28&amp;" T/C "&amp;P28&amp;".- "&amp;TEXT($T54,"dd-mm-AAA")</f>
        <v>#N/A</v>
      </c>
      <c r="X54" s="3" t="e">
        <f>+O28</f>
        <v>#N/A</v>
      </c>
      <c r="Y54" s="10"/>
      <c r="AE54" s="2"/>
      <c r="AJ54" s="15">
        <v>45439</v>
      </c>
      <c r="AK54" s="8">
        <v>110275</v>
      </c>
      <c r="AL54" t="s">
        <v>87</v>
      </c>
      <c r="AM54" t="e">
        <f>"CPA Fondeo MBI USD a NIUM " &amp;AG28&amp;" USD T/C "&amp;AF28</f>
        <v>#N/A</v>
      </c>
      <c r="AN54" s="3" t="e">
        <f>+AH28</f>
        <v>#N/A</v>
      </c>
      <c r="AO54" s="10"/>
      <c r="AU54" s="2"/>
      <c r="AZ54" s="15">
        <v>45439</v>
      </c>
      <c r="BA54">
        <v>110820</v>
      </c>
      <c r="BB54" t="s">
        <v>97</v>
      </c>
      <c r="BC54" t="e">
        <f>"CPA Fondeo MBI USD a JPM COL " &amp;AW28&amp;" USD T/C "&amp;AV28</f>
        <v>#N/A</v>
      </c>
      <c r="BD54" s="3" t="e">
        <f>+AX28</f>
        <v>#N/A</v>
      </c>
      <c r="BE54" s="10"/>
    </row>
    <row r="55" spans="5:57" x14ac:dyDescent="0.25">
      <c r="E55" s="11"/>
      <c r="F55" s="12">
        <v>110208</v>
      </c>
      <c r="G55" s="12" t="s">
        <v>46</v>
      </c>
      <c r="H55" s="12" t="str">
        <f t="shared" ref="H55" si="80">H54</f>
        <v xml:space="preserve">CPA Traspaso de Fondos Bco. BCI 648 a MBI </v>
      </c>
      <c r="I55" s="13"/>
      <c r="J55" s="18" t="e">
        <f>I54</f>
        <v>#N/A</v>
      </c>
      <c r="T55" s="11"/>
      <c r="U55" s="12">
        <v>110295</v>
      </c>
      <c r="V55" s="12" t="s">
        <v>139</v>
      </c>
      <c r="W55" s="12" t="e">
        <f>+W54</f>
        <v>#N/A</v>
      </c>
      <c r="X55" s="13"/>
      <c r="Y55" s="18" t="e">
        <f t="shared" ref="Y55" si="81">+X54</f>
        <v>#N/A</v>
      </c>
      <c r="AE55" s="2"/>
      <c r="AJ55" s="11"/>
      <c r="AK55" s="12">
        <v>110296</v>
      </c>
      <c r="AL55" s="12" t="s">
        <v>140</v>
      </c>
      <c r="AM55" s="12" t="e">
        <f>+AM54</f>
        <v>#N/A</v>
      </c>
      <c r="AN55" s="13"/>
      <c r="AO55" s="18" t="e">
        <f t="shared" si="8"/>
        <v>#N/A</v>
      </c>
      <c r="AU55" s="2"/>
      <c r="AZ55" s="11"/>
      <c r="BA55" s="12">
        <v>110296</v>
      </c>
      <c r="BB55" s="12" t="s">
        <v>140</v>
      </c>
      <c r="BC55" s="12" t="e">
        <f>+BC54</f>
        <v>#N/A</v>
      </c>
      <c r="BD55" s="13"/>
      <c r="BE55" s="18" t="e">
        <f t="shared" si="9"/>
        <v>#N/A</v>
      </c>
    </row>
    <row r="56" spans="5:57" x14ac:dyDescent="0.25">
      <c r="E56" s="15">
        <v>45440</v>
      </c>
      <c r="F56" s="8">
        <v>110295</v>
      </c>
      <c r="G56" s="8" t="s">
        <v>139</v>
      </c>
      <c r="H56" s="8" t="str">
        <f t="shared" ref="H56" si="82">"CPA Traspaso de Fondos Bco. BCI 648 a MBI "</f>
        <v xml:space="preserve">CPA Traspaso de Fondos Bco. BCI 648 a MBI </v>
      </c>
      <c r="I56" s="16" t="e">
        <f>+B29</f>
        <v>#N/A</v>
      </c>
      <c r="J56" s="17"/>
      <c r="T56" s="15">
        <v>45440</v>
      </c>
      <c r="U56">
        <v>110296</v>
      </c>
      <c r="V56" t="s">
        <v>140</v>
      </c>
      <c r="W56" t="e">
        <f>"CPA Compra Divisas " &amp;Q29&amp;" T/C "&amp;P29&amp;".- "&amp;TEXT($T56,"dd-mm-AAA")</f>
        <v>#N/A</v>
      </c>
      <c r="X56" s="3" t="e">
        <f>+O29</f>
        <v>#N/A</v>
      </c>
      <c r="Y56" s="10"/>
      <c r="AE56" s="2"/>
      <c r="AJ56" s="15">
        <v>45440</v>
      </c>
      <c r="AK56" s="8">
        <v>110275</v>
      </c>
      <c r="AL56" t="s">
        <v>87</v>
      </c>
      <c r="AM56" t="e">
        <f>"CPA Fondeo MBI USD a NIUM " &amp;AG29&amp;" USD T/C "&amp;AF29</f>
        <v>#N/A</v>
      </c>
      <c r="AN56" s="3" t="e">
        <f>+AH29</f>
        <v>#N/A</v>
      </c>
      <c r="AO56" s="10"/>
      <c r="AU56" s="2"/>
      <c r="AZ56" s="15">
        <v>45440</v>
      </c>
      <c r="BA56">
        <v>110820</v>
      </c>
      <c r="BB56" t="s">
        <v>97</v>
      </c>
      <c r="BC56" t="e">
        <f>"CPA Fondeo MBI USD a JPM COL " &amp;AW29&amp;" USD T/C "&amp;AV29</f>
        <v>#N/A</v>
      </c>
      <c r="BD56" s="3" t="e">
        <f>+AX29</f>
        <v>#N/A</v>
      </c>
      <c r="BE56" s="10"/>
    </row>
    <row r="57" spans="5:57" x14ac:dyDescent="0.25">
      <c r="E57" s="11"/>
      <c r="F57" s="12">
        <v>110208</v>
      </c>
      <c r="G57" s="12" t="s">
        <v>46</v>
      </c>
      <c r="H57" s="12" t="str">
        <f t="shared" ref="H57" si="83">H56</f>
        <v xml:space="preserve">CPA Traspaso de Fondos Bco. BCI 648 a MBI </v>
      </c>
      <c r="I57" s="13"/>
      <c r="J57" s="18" t="e">
        <f>I56</f>
        <v>#N/A</v>
      </c>
      <c r="T57" s="11"/>
      <c r="U57" s="12">
        <v>110295</v>
      </c>
      <c r="V57" s="12" t="s">
        <v>139</v>
      </c>
      <c r="W57" s="12" t="e">
        <f>+W56</f>
        <v>#N/A</v>
      </c>
      <c r="X57" s="13"/>
      <c r="Y57" s="18" t="e">
        <f t="shared" ref="Y57" si="84">+X56</f>
        <v>#N/A</v>
      </c>
      <c r="AE57" s="2"/>
      <c r="AJ57" s="11"/>
      <c r="AK57" s="12">
        <v>110296</v>
      </c>
      <c r="AL57" s="12" t="s">
        <v>140</v>
      </c>
      <c r="AM57" s="12" t="e">
        <f>+AM56</f>
        <v>#N/A</v>
      </c>
      <c r="AN57" s="13"/>
      <c r="AO57" s="18" t="e">
        <f t="shared" si="8"/>
        <v>#N/A</v>
      </c>
      <c r="AU57" s="2"/>
      <c r="AZ57" s="11"/>
      <c r="BA57" s="12">
        <v>110296</v>
      </c>
      <c r="BB57" s="12" t="s">
        <v>140</v>
      </c>
      <c r="BC57" s="12" t="e">
        <f>+BC56</f>
        <v>#N/A</v>
      </c>
      <c r="BD57" s="13"/>
      <c r="BE57" s="18" t="e">
        <f t="shared" si="9"/>
        <v>#N/A</v>
      </c>
    </row>
    <row r="58" spans="5:57" x14ac:dyDescent="0.25">
      <c r="E58" s="15">
        <v>45441</v>
      </c>
      <c r="F58" s="8">
        <v>110295</v>
      </c>
      <c r="G58" s="8" t="s">
        <v>139</v>
      </c>
      <c r="H58" s="8" t="str">
        <f t="shared" ref="H58" si="85">"CPA Traspaso de Fondos Bco. BCI 648 a MBI "</f>
        <v xml:space="preserve">CPA Traspaso de Fondos Bco. BCI 648 a MBI </v>
      </c>
      <c r="I58" s="16" t="e">
        <f>+B30</f>
        <v>#N/A</v>
      </c>
      <c r="J58" s="17"/>
      <c r="T58" s="15">
        <v>45441</v>
      </c>
      <c r="U58">
        <v>110296</v>
      </c>
      <c r="V58" t="s">
        <v>140</v>
      </c>
      <c r="W58" t="e">
        <f>"CPA Compra Divisas " &amp;Q30&amp;" T/C "&amp;P30&amp;".- "&amp;TEXT($T58,"dd-mm-AAA")</f>
        <v>#N/A</v>
      </c>
      <c r="X58" s="3" t="e">
        <f>+O30</f>
        <v>#N/A</v>
      </c>
      <c r="Y58" s="10"/>
      <c r="AJ58" s="15">
        <v>45441</v>
      </c>
      <c r="AK58" s="8">
        <v>110275</v>
      </c>
      <c r="AL58" t="s">
        <v>87</v>
      </c>
      <c r="AM58" t="e">
        <f>"CPA Fondeo MBI USD a NIUM " &amp;AG30&amp;" USD T/C "&amp;AF30</f>
        <v>#N/A</v>
      </c>
      <c r="AN58" s="3" t="e">
        <f>+AH30</f>
        <v>#N/A</v>
      </c>
      <c r="AO58" s="10"/>
      <c r="AZ58" s="15">
        <v>45441</v>
      </c>
      <c r="BA58">
        <v>110820</v>
      </c>
      <c r="BB58" t="s">
        <v>97</v>
      </c>
      <c r="BC58" t="e">
        <f>"CPA Fondeo MBI USD a JPM COL " &amp;AW30&amp;" USD T/C "&amp;AV30</f>
        <v>#N/A</v>
      </c>
      <c r="BD58" s="3" t="e">
        <f>+AX30</f>
        <v>#N/A</v>
      </c>
      <c r="BE58" s="10"/>
    </row>
    <row r="59" spans="5:57" x14ac:dyDescent="0.25">
      <c r="E59" s="11"/>
      <c r="F59" s="12">
        <v>110208</v>
      </c>
      <c r="G59" s="12" t="s">
        <v>46</v>
      </c>
      <c r="H59" s="12" t="str">
        <f t="shared" ref="H59" si="86">H58</f>
        <v xml:space="preserve">CPA Traspaso de Fondos Bco. BCI 648 a MBI </v>
      </c>
      <c r="I59" s="13"/>
      <c r="J59" s="18" t="e">
        <f>I58</f>
        <v>#N/A</v>
      </c>
      <c r="T59" s="11"/>
      <c r="U59" s="12">
        <v>110295</v>
      </c>
      <c r="V59" s="12" t="s">
        <v>139</v>
      </c>
      <c r="W59" s="12" t="e">
        <f>+W58</f>
        <v>#N/A</v>
      </c>
      <c r="X59" s="13"/>
      <c r="Y59" s="18" t="e">
        <f t="shared" ref="Y59" si="87">+X58</f>
        <v>#N/A</v>
      </c>
      <c r="AJ59" s="11"/>
      <c r="AK59" s="12">
        <v>110296</v>
      </c>
      <c r="AL59" s="12" t="s">
        <v>140</v>
      </c>
      <c r="AM59" s="12" t="e">
        <f>+AM58</f>
        <v>#N/A</v>
      </c>
      <c r="AN59" s="13"/>
      <c r="AO59" s="18" t="e">
        <f t="shared" si="8"/>
        <v>#N/A</v>
      </c>
      <c r="AZ59" s="11"/>
      <c r="BA59" s="12">
        <v>110296</v>
      </c>
      <c r="BB59" s="12" t="s">
        <v>140</v>
      </c>
      <c r="BC59" s="12" t="e">
        <f>+BC58</f>
        <v>#N/A</v>
      </c>
      <c r="BD59" s="13"/>
      <c r="BE59" s="18" t="e">
        <f t="shared" si="9"/>
        <v>#N/A</v>
      </c>
    </row>
    <row r="60" spans="5:57" x14ac:dyDescent="0.25">
      <c r="E60" s="15">
        <v>45442</v>
      </c>
      <c r="F60" s="8">
        <v>110295</v>
      </c>
      <c r="G60" s="8" t="s">
        <v>139</v>
      </c>
      <c r="H60" s="8" t="str">
        <f t="shared" ref="H60" si="88">"CPA Traspaso de Fondos Bco. BCI 648 a MBI "</f>
        <v xml:space="preserve">CPA Traspaso de Fondos Bco. BCI 648 a MBI </v>
      </c>
      <c r="I60" s="16" t="e">
        <f>+B31</f>
        <v>#N/A</v>
      </c>
      <c r="J60" s="17"/>
      <c r="T60" s="15">
        <v>45442</v>
      </c>
      <c r="U60">
        <v>110296</v>
      </c>
      <c r="V60" t="s">
        <v>140</v>
      </c>
      <c r="W60" t="e">
        <f>"CPA Compra Divisas " &amp;Q31&amp;" T/C "&amp;P31&amp;".- "&amp;TEXT($T60,"dd-mm-AAA")</f>
        <v>#N/A</v>
      </c>
      <c r="X60" s="3" t="e">
        <f>+O31</f>
        <v>#N/A</v>
      </c>
      <c r="Y60" s="10"/>
      <c r="AJ60" s="15">
        <v>45442</v>
      </c>
      <c r="AK60" s="8">
        <v>110275</v>
      </c>
      <c r="AL60" t="s">
        <v>87</v>
      </c>
      <c r="AM60" t="e">
        <f>"CPA Fondeo MBI USD a NIUM " &amp;AG31&amp;" USD T/C "&amp;AF31</f>
        <v>#N/A</v>
      </c>
      <c r="AN60" s="3" t="e">
        <f>+AH31</f>
        <v>#N/A</v>
      </c>
      <c r="AO60" s="10"/>
      <c r="AZ60" s="15">
        <v>45442</v>
      </c>
      <c r="BA60">
        <v>110820</v>
      </c>
      <c r="BB60" t="s">
        <v>97</v>
      </c>
      <c r="BC60" t="e">
        <f>"CPA Fondeo MBI USD a JPM COL " &amp;AW31&amp;" USD T/C "&amp;AV31</f>
        <v>#N/A</v>
      </c>
      <c r="BD60" s="3" t="e">
        <f>+AX31</f>
        <v>#N/A</v>
      </c>
      <c r="BE60" s="10"/>
    </row>
    <row r="61" spans="5:57" x14ac:dyDescent="0.25">
      <c r="E61" s="11"/>
      <c r="F61" s="12">
        <v>110208</v>
      </c>
      <c r="G61" s="12" t="s">
        <v>46</v>
      </c>
      <c r="H61" s="12" t="str">
        <f t="shared" ref="H61" si="89">H60</f>
        <v xml:space="preserve">CPA Traspaso de Fondos Bco. BCI 648 a MBI </v>
      </c>
      <c r="I61" s="13"/>
      <c r="J61" s="18" t="e">
        <f>I60</f>
        <v>#N/A</v>
      </c>
      <c r="T61" s="11"/>
      <c r="U61" s="12">
        <v>110295</v>
      </c>
      <c r="V61" s="12" t="s">
        <v>139</v>
      </c>
      <c r="W61" s="12" t="e">
        <f>+W60</f>
        <v>#N/A</v>
      </c>
      <c r="X61" s="13"/>
      <c r="Y61" s="18" t="e">
        <f t="shared" ref="Y61" si="90">+X60</f>
        <v>#N/A</v>
      </c>
      <c r="AJ61" s="11"/>
      <c r="AK61" s="12">
        <v>110296</v>
      </c>
      <c r="AL61" s="12" t="s">
        <v>140</v>
      </c>
      <c r="AM61" s="12" t="e">
        <f>+AM60</f>
        <v>#N/A</v>
      </c>
      <c r="AN61" s="13"/>
      <c r="AO61" s="18" t="e">
        <f t="shared" si="8"/>
        <v>#N/A</v>
      </c>
      <c r="AZ61" s="11"/>
      <c r="BA61" s="12">
        <v>110296</v>
      </c>
      <c r="BB61" s="12" t="s">
        <v>140</v>
      </c>
      <c r="BC61" s="12" t="e">
        <f>+BC60</f>
        <v>#N/A</v>
      </c>
      <c r="BD61" s="13"/>
      <c r="BE61" s="18" t="e">
        <f t="shared" si="9"/>
        <v>#N/A</v>
      </c>
    </row>
    <row r="62" spans="5:57" x14ac:dyDescent="0.25">
      <c r="E62" s="15">
        <v>45443</v>
      </c>
      <c r="F62" s="8">
        <v>110295</v>
      </c>
      <c r="G62" s="8" t="s">
        <v>139</v>
      </c>
      <c r="H62" s="8" t="str">
        <f t="shared" ref="H62" si="91">"CPA Traspaso de Fondos Bco. BCI 648 a MBI "</f>
        <v xml:space="preserve">CPA Traspaso de Fondos Bco. BCI 648 a MBI </v>
      </c>
      <c r="I62" s="16" t="e">
        <f>+B32</f>
        <v>#N/A</v>
      </c>
      <c r="J62" s="17"/>
      <c r="T62" s="15">
        <v>45443</v>
      </c>
      <c r="U62">
        <v>110296</v>
      </c>
      <c r="V62" t="s">
        <v>140</v>
      </c>
      <c r="W62" t="e">
        <f>"CPA Compra Divisas " &amp;Q32&amp;" T/C "&amp;P32&amp;".- "&amp;TEXT($T62,"dd-mm-AAA")</f>
        <v>#N/A</v>
      </c>
      <c r="X62" s="3" t="e">
        <f>+O32</f>
        <v>#N/A</v>
      </c>
      <c r="Y62" s="10"/>
      <c r="AJ62" s="15">
        <v>45443</v>
      </c>
      <c r="AK62" s="8">
        <v>110275</v>
      </c>
      <c r="AL62" t="s">
        <v>87</v>
      </c>
      <c r="AM62" t="e">
        <f>"CPA Fondeo MBI USD a NIUM " &amp;AG32&amp;" USD T/C "&amp;AF32</f>
        <v>#N/A</v>
      </c>
      <c r="AN62" s="3" t="e">
        <f>+AH32</f>
        <v>#N/A</v>
      </c>
      <c r="AO62" s="10"/>
      <c r="AZ62" s="15">
        <v>45443</v>
      </c>
      <c r="BA62">
        <v>110820</v>
      </c>
      <c r="BB62" t="s">
        <v>97</v>
      </c>
      <c r="BC62" t="e">
        <f>"CPA Fondeo MBI USD a JPM COL " &amp;AW32&amp;" USD T/C "&amp;AV32</f>
        <v>#N/A</v>
      </c>
      <c r="BD62" s="3" t="e">
        <f>+AX32</f>
        <v>#N/A</v>
      </c>
      <c r="BE62" s="10"/>
    </row>
    <row r="63" spans="5:57" x14ac:dyDescent="0.25">
      <c r="E63" s="11"/>
      <c r="F63" s="12">
        <v>110208</v>
      </c>
      <c r="G63" s="12" t="s">
        <v>46</v>
      </c>
      <c r="H63" s="12" t="str">
        <f t="shared" ref="H63" si="92">H62</f>
        <v xml:space="preserve">CPA Traspaso de Fondos Bco. BCI 648 a MBI </v>
      </c>
      <c r="I63" s="13"/>
      <c r="J63" s="18" t="e">
        <f>I62</f>
        <v>#N/A</v>
      </c>
      <c r="T63" s="11"/>
      <c r="U63" s="12">
        <v>110295</v>
      </c>
      <c r="V63" s="12" t="s">
        <v>139</v>
      </c>
      <c r="W63" s="12" t="e">
        <f>+W62</f>
        <v>#N/A</v>
      </c>
      <c r="X63" s="13"/>
      <c r="Y63" s="18" t="e">
        <f t="shared" ref="Y63" si="93">+X62</f>
        <v>#N/A</v>
      </c>
      <c r="AJ63" s="11"/>
      <c r="AK63" s="12">
        <v>110296</v>
      </c>
      <c r="AL63" s="12" t="s">
        <v>140</v>
      </c>
      <c r="AM63" s="12" t="e">
        <f>+AM62</f>
        <v>#N/A</v>
      </c>
      <c r="AN63" s="13"/>
      <c r="AO63" s="18" t="e">
        <f t="shared" si="8"/>
        <v>#N/A</v>
      </c>
      <c r="AZ63" s="11"/>
      <c r="BA63" s="12">
        <v>110296</v>
      </c>
      <c r="BB63" s="12" t="s">
        <v>140</v>
      </c>
      <c r="BC63" s="12" t="e">
        <f>+BC62</f>
        <v>#N/A</v>
      </c>
      <c r="BD63" s="13"/>
      <c r="BE63" s="18" t="e">
        <f t="shared" si="9"/>
        <v>#N/A</v>
      </c>
    </row>
  </sheetData>
  <autoFilter ref="AZ1:BE63" xr:uid="{89424D2F-2F5F-4971-AFD4-A923072AF59D}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0F14-AB7E-45B3-A644-49DD8ADDDE17}">
  <dimension ref="A1:AK63"/>
  <sheetViews>
    <sheetView showGridLines="0" workbookViewId="0">
      <selection activeCell="AE18" sqref="AE18"/>
    </sheetView>
  </sheetViews>
  <sheetFormatPr baseColWidth="10" defaultRowHeight="15" outlineLevelCol="1" x14ac:dyDescent="0.25"/>
  <cols>
    <col min="1" max="1" width="11.5703125" customWidth="1" outlineLevel="1"/>
    <col min="2" max="2" width="13.5703125" customWidth="1" outlineLevel="1"/>
    <col min="3" max="3" width="6" bestFit="1" customWidth="1" outlineLevel="1"/>
    <col min="4" max="4" width="6.42578125" bestFit="1" customWidth="1" outlineLevel="1"/>
    <col min="5" max="5" width="12" customWidth="1" outlineLevel="1"/>
    <col min="6" max="7" width="11.42578125" outlineLevel="1"/>
    <col min="8" max="8" width="23.28515625" customWidth="1" outlineLevel="1"/>
    <col min="9" max="9" width="41.5703125" bestFit="1" customWidth="1" outlineLevel="1"/>
    <col min="10" max="11" width="13.5703125" customWidth="1" outlineLevel="1"/>
    <col min="14" max="14" width="11.5703125" customWidth="1" outlineLevel="1"/>
    <col min="15" max="15" width="13.5703125" customWidth="1" outlineLevel="1"/>
    <col min="16" max="16" width="6" bestFit="1" customWidth="1" outlineLevel="1"/>
    <col min="17" max="17" width="7.42578125" bestFit="1" customWidth="1" outlineLevel="1"/>
    <col min="18" max="18" width="12" customWidth="1" outlineLevel="1"/>
    <col min="19" max="20" width="11.42578125" outlineLevel="1"/>
    <col min="21" max="21" width="41" bestFit="1" customWidth="1" outlineLevel="1"/>
    <col min="22" max="22" width="50.7109375" bestFit="1" customWidth="1" outlineLevel="1"/>
    <col min="23" max="23" width="12" bestFit="1" customWidth="1" outlineLevel="1"/>
    <col min="24" max="24" width="13.5703125" customWidth="1" outlineLevel="1"/>
    <col min="27" max="27" width="11.5703125" customWidth="1" outlineLevel="1"/>
    <col min="28" max="28" width="13.5703125" customWidth="1" outlineLevel="1"/>
    <col min="29" max="29" width="6" bestFit="1" customWidth="1" outlineLevel="1"/>
    <col min="30" max="30" width="7.42578125" bestFit="1" customWidth="1" outlineLevel="1"/>
    <col min="31" max="31" width="12" customWidth="1" outlineLevel="1"/>
    <col min="32" max="33" width="11.42578125" outlineLevel="1"/>
    <col min="34" max="34" width="29.85546875" customWidth="1" outlineLevel="1"/>
    <col min="35" max="35" width="50.7109375" bestFit="1" customWidth="1" outlineLevel="1"/>
    <col min="36" max="36" width="12" bestFit="1" customWidth="1" outlineLevel="1"/>
    <col min="37" max="37" width="13.5703125" customWidth="1" outlineLevel="1"/>
  </cols>
  <sheetData>
    <row r="1" spans="1:37" x14ac:dyDescent="0.25">
      <c r="A1" s="4" t="s">
        <v>0</v>
      </c>
      <c r="B1" s="4" t="s">
        <v>27</v>
      </c>
      <c r="C1" s="4"/>
      <c r="D1" s="4"/>
      <c r="E1" s="75" t="s">
        <v>125</v>
      </c>
      <c r="F1" s="22" t="s">
        <v>0</v>
      </c>
      <c r="G1" s="23"/>
      <c r="H1" s="23"/>
      <c r="I1" s="23"/>
      <c r="J1" s="23" t="s">
        <v>5</v>
      </c>
      <c r="K1" s="24" t="s">
        <v>6</v>
      </c>
      <c r="N1" s="4" t="s">
        <v>0</v>
      </c>
      <c r="O1" s="4" t="s">
        <v>27</v>
      </c>
      <c r="P1" s="4"/>
      <c r="Q1" s="4"/>
      <c r="R1" s="75" t="s">
        <v>126</v>
      </c>
      <c r="S1" s="22" t="s">
        <v>0</v>
      </c>
      <c r="T1" s="23"/>
      <c r="U1" s="23"/>
      <c r="V1" s="23"/>
      <c r="W1" s="23" t="s">
        <v>5</v>
      </c>
      <c r="X1" s="24" t="s">
        <v>6</v>
      </c>
      <c r="AA1" s="4" t="s">
        <v>0</v>
      </c>
      <c r="AB1" s="4" t="s">
        <v>27</v>
      </c>
      <c r="AC1" s="4"/>
      <c r="AD1" s="4"/>
      <c r="AE1" s="75" t="s">
        <v>126</v>
      </c>
      <c r="AF1" s="22" t="s">
        <v>0</v>
      </c>
      <c r="AG1" s="23"/>
      <c r="AH1" s="23"/>
      <c r="AI1" s="23"/>
      <c r="AJ1" s="23" t="s">
        <v>5</v>
      </c>
      <c r="AK1" s="24" t="s">
        <v>6</v>
      </c>
    </row>
    <row r="2" spans="1:37" x14ac:dyDescent="0.25">
      <c r="A2" s="1">
        <v>45261</v>
      </c>
      <c r="B2" s="26" t="e">
        <f>HLOOKUP(A2,Hoja2!$R$2:$AV$48,47,FALSE)</f>
        <v>#N/A</v>
      </c>
      <c r="C2" s="26" t="e">
        <f>HLOOKUP(A2,Hoja2!$R$2:$AV$47,46,FALSE)</f>
        <v>#N/A</v>
      </c>
      <c r="D2" s="26" t="e">
        <f>HLOOKUP(A2,Hoja2!$R$2:$AV$46,45,FALSE)</f>
        <v>#N/A</v>
      </c>
      <c r="E2" s="3"/>
      <c r="F2" s="15">
        <v>45261</v>
      </c>
      <c r="G2" s="8">
        <v>110279</v>
      </c>
      <c r="H2" s="8" t="s">
        <v>71</v>
      </c>
      <c r="I2" t="e">
        <f>"CPA Compra Divisas Bco. Inter. "&amp;C2&amp;" T/C "&amp;D2</f>
        <v>#N/A</v>
      </c>
      <c r="J2" s="3" t="e">
        <f>+B2</f>
        <v>#N/A</v>
      </c>
      <c r="K2" s="10"/>
      <c r="N2" s="1">
        <v>45261</v>
      </c>
      <c r="O2" s="26" t="e">
        <f>HLOOKUP(N2,Hoja2!$R$2:$AV$52,51,FALSE)</f>
        <v>#N/A</v>
      </c>
      <c r="P2" s="26" t="e">
        <f>HLOOKUP(N2,Hoja2!$R$2:$AV$51,50,FALSE)</f>
        <v>#N/A</v>
      </c>
      <c r="Q2" s="77" t="e">
        <f>HLOOKUP(N2,Hoja2!$R$2:$AV$50,49,FALSE)</f>
        <v>#N/A</v>
      </c>
      <c r="R2" s="3"/>
      <c r="S2" s="15">
        <v>45261</v>
      </c>
      <c r="T2" s="8">
        <v>110285</v>
      </c>
      <c r="U2" s="8" t="s">
        <v>110</v>
      </c>
      <c r="V2" t="e">
        <f>"CPA Fondeo Bco. Inter. USD a CFSB 2475 "&amp;P2&amp;" T/C "&amp;Q2</f>
        <v>#N/A</v>
      </c>
      <c r="W2" s="3" t="e">
        <f>+O2</f>
        <v>#N/A</v>
      </c>
      <c r="X2" s="10"/>
      <c r="AA2" s="1">
        <v>45261</v>
      </c>
      <c r="AB2" s="26" t="e">
        <f>HLOOKUP(AA2,Hoja2!$R$2:$AV$56,55,FALSE)</f>
        <v>#N/A</v>
      </c>
      <c r="AC2" s="26" t="e">
        <f>HLOOKUP(AA2,Hoja2!$R$2:$AV$55,54,FALSE)</f>
        <v>#N/A</v>
      </c>
      <c r="AD2" s="77" t="e">
        <f>HLOOKUP(AA2,Hoja2!$R$2:$AV$54,53,FALSE)</f>
        <v>#N/A</v>
      </c>
      <c r="AE2" s="3"/>
      <c r="AF2" s="15">
        <v>45261</v>
      </c>
      <c r="AG2" s="8">
        <v>110820</v>
      </c>
      <c r="AH2" s="8" t="s">
        <v>129</v>
      </c>
      <c r="AI2" t="e">
        <f>"CPA Fondeo Bco. Inter. USD a JPM COL "&amp;AC2&amp;" T/C "&amp;AD2</f>
        <v>#N/A</v>
      </c>
      <c r="AJ2" s="3" t="e">
        <f>+AB2</f>
        <v>#N/A</v>
      </c>
      <c r="AK2" s="10"/>
    </row>
    <row r="3" spans="1:37" x14ac:dyDescent="0.25">
      <c r="A3" s="1">
        <v>45262</v>
      </c>
      <c r="B3" s="26" t="e">
        <f>HLOOKUP(A3,Hoja2!$R$2:$AV$48,47,FALSE)</f>
        <v>#N/A</v>
      </c>
      <c r="C3" s="26" t="e">
        <f>HLOOKUP(A3,Hoja2!$R$2:$AV$47,46,FALSE)</f>
        <v>#N/A</v>
      </c>
      <c r="D3" s="26" t="e">
        <f>HLOOKUP(A3,Hoja2!$R$2:$AV$46,45,FALSE)</f>
        <v>#N/A</v>
      </c>
      <c r="F3" s="11"/>
      <c r="G3" s="12">
        <v>110208</v>
      </c>
      <c r="H3" s="12" t="s">
        <v>46</v>
      </c>
      <c r="I3" s="12" t="e">
        <f>I2</f>
        <v>#N/A</v>
      </c>
      <c r="J3" s="13"/>
      <c r="K3" s="18" t="e">
        <f>J2</f>
        <v>#N/A</v>
      </c>
      <c r="N3" s="1">
        <v>45262</v>
      </c>
      <c r="O3" s="26" t="e">
        <f>HLOOKUP(N3,Hoja2!$R$2:$AV$52,51,FALSE)</f>
        <v>#N/A</v>
      </c>
      <c r="P3" s="26" t="e">
        <f>HLOOKUP(N3,Hoja2!$R$2:$AV$51,50,FALSE)</f>
        <v>#N/A</v>
      </c>
      <c r="Q3" s="77" t="e">
        <f>HLOOKUP(N3,Hoja2!$R$2:$AV$50,49,FALSE)</f>
        <v>#N/A</v>
      </c>
      <c r="S3" s="11"/>
      <c r="T3" s="12">
        <v>110279</v>
      </c>
      <c r="U3" s="12" t="s">
        <v>71</v>
      </c>
      <c r="V3" s="12" t="e">
        <f>V2</f>
        <v>#N/A</v>
      </c>
      <c r="W3" s="13"/>
      <c r="X3" s="18" t="e">
        <f>W2</f>
        <v>#N/A</v>
      </c>
      <c r="AA3" s="1">
        <v>45262</v>
      </c>
      <c r="AB3" s="26" t="e">
        <f>HLOOKUP(AA3,Hoja2!$R$2:$AV$56,55,FALSE)</f>
        <v>#N/A</v>
      </c>
      <c r="AC3" s="26" t="e">
        <f>HLOOKUP(AA3,Hoja2!$R$2:$AV$55,54,FALSE)</f>
        <v>#N/A</v>
      </c>
      <c r="AD3" s="77" t="e">
        <f>HLOOKUP(AA3,Hoja2!$R$2:$AV$54,53,FALSE)</f>
        <v>#N/A</v>
      </c>
      <c r="AF3" s="11"/>
      <c r="AG3" s="12">
        <v>110279</v>
      </c>
      <c r="AH3" s="12" t="s">
        <v>71</v>
      </c>
      <c r="AI3" s="12" t="e">
        <f>AI2</f>
        <v>#N/A</v>
      </c>
      <c r="AJ3" s="13"/>
      <c r="AK3" s="18" t="e">
        <f>AJ2</f>
        <v>#N/A</v>
      </c>
    </row>
    <row r="4" spans="1:37" x14ac:dyDescent="0.25">
      <c r="A4" s="1">
        <v>45263</v>
      </c>
      <c r="B4" s="26" t="e">
        <f>HLOOKUP(A4,Hoja2!$R$2:$AV$48,47,FALSE)</f>
        <v>#N/A</v>
      </c>
      <c r="C4" s="26" t="e">
        <f>HLOOKUP(A4,Hoja2!$R$2:$AV$47,46,FALSE)</f>
        <v>#N/A</v>
      </c>
      <c r="D4" s="26" t="e">
        <f>HLOOKUP(A4,Hoja2!$R$2:$AV$46,45,FALSE)</f>
        <v>#N/A</v>
      </c>
      <c r="F4" s="15">
        <v>45262</v>
      </c>
      <c r="G4" s="8">
        <v>110279</v>
      </c>
      <c r="H4" s="8" t="s">
        <v>71</v>
      </c>
      <c r="I4" t="e">
        <f>"CPA Compra Divisas Bco. Inter. "&amp;C3&amp;" T/C "&amp;D3</f>
        <v>#N/A</v>
      </c>
      <c r="J4" s="16" t="e">
        <f>+B3</f>
        <v>#N/A</v>
      </c>
      <c r="K4" s="17"/>
      <c r="N4" s="1">
        <v>45263</v>
      </c>
      <c r="O4" s="26" t="e">
        <f>HLOOKUP(N4,Hoja2!$R$2:$AV$52,51,FALSE)</f>
        <v>#N/A</v>
      </c>
      <c r="P4" s="26" t="e">
        <f>HLOOKUP(N4,Hoja2!$R$2:$AV$51,50,FALSE)</f>
        <v>#N/A</v>
      </c>
      <c r="Q4" s="77" t="e">
        <f>HLOOKUP(N4,Hoja2!$R$2:$AV$50,49,FALSE)</f>
        <v>#N/A</v>
      </c>
      <c r="S4" s="15">
        <v>45262</v>
      </c>
      <c r="T4" s="8">
        <v>110285</v>
      </c>
      <c r="U4" s="8" t="s">
        <v>110</v>
      </c>
      <c r="V4" t="e">
        <f>"CPA Fondeo Bco. Inter. USD a CFSB 2475 "&amp;P3&amp;" T/C "&amp;Q3</f>
        <v>#N/A</v>
      </c>
      <c r="W4" s="16" t="e">
        <f>+O3</f>
        <v>#N/A</v>
      </c>
      <c r="X4" s="17"/>
      <c r="AA4" s="1">
        <v>45263</v>
      </c>
      <c r="AB4" s="26" t="e">
        <f>HLOOKUP(AA4,Hoja2!$R$2:$AV$56,55,FALSE)</f>
        <v>#N/A</v>
      </c>
      <c r="AC4" s="26" t="e">
        <f>HLOOKUP(AA4,Hoja2!$R$2:$AV$55,54,FALSE)</f>
        <v>#N/A</v>
      </c>
      <c r="AD4" s="77" t="e">
        <f>HLOOKUP(AA4,Hoja2!$R$2:$AV$54,53,FALSE)</f>
        <v>#N/A</v>
      </c>
      <c r="AF4" s="15">
        <v>45262</v>
      </c>
      <c r="AG4" s="8">
        <v>110820</v>
      </c>
      <c r="AH4" s="8" t="s">
        <v>129</v>
      </c>
      <c r="AI4" t="e">
        <f>"CPA Fondeo Bco. Inter. USD a JPM COL "&amp;AC3&amp;" T/C "&amp;AD3</f>
        <v>#N/A</v>
      </c>
      <c r="AJ4" s="16" t="e">
        <f>+AB3</f>
        <v>#N/A</v>
      </c>
      <c r="AK4" s="17"/>
    </row>
    <row r="5" spans="1:37" x14ac:dyDescent="0.25">
      <c r="A5" s="1">
        <v>45264</v>
      </c>
      <c r="B5" s="26" t="e">
        <f>HLOOKUP(A5,Hoja2!$R$2:$AV$48,47,FALSE)</f>
        <v>#N/A</v>
      </c>
      <c r="C5" s="26" t="e">
        <f>HLOOKUP(A5,Hoja2!$R$2:$AV$47,46,FALSE)</f>
        <v>#N/A</v>
      </c>
      <c r="D5" s="26" t="e">
        <f>HLOOKUP(A5,Hoja2!$R$2:$AV$46,45,FALSE)</f>
        <v>#N/A</v>
      </c>
      <c r="F5" s="11"/>
      <c r="G5" s="12">
        <v>110208</v>
      </c>
      <c r="H5" s="12" t="s">
        <v>46</v>
      </c>
      <c r="I5" s="12" t="e">
        <f t="shared" ref="I5" si="0">I4</f>
        <v>#N/A</v>
      </c>
      <c r="J5" s="13"/>
      <c r="K5" s="18" t="e">
        <f t="shared" ref="K5" si="1">J4</f>
        <v>#N/A</v>
      </c>
      <c r="N5" s="1">
        <v>45264</v>
      </c>
      <c r="O5" s="26" t="e">
        <f>HLOOKUP(N5,Hoja2!$R$2:$AV$52,51,FALSE)</f>
        <v>#N/A</v>
      </c>
      <c r="P5" s="26" t="e">
        <f>HLOOKUP(N5,Hoja2!$R$2:$AV$51,50,FALSE)</f>
        <v>#N/A</v>
      </c>
      <c r="Q5" s="77" t="e">
        <f>HLOOKUP(N5,Hoja2!$R$2:$AV$50,49,FALSE)</f>
        <v>#N/A</v>
      </c>
      <c r="S5" s="11"/>
      <c r="T5" s="12">
        <v>110279</v>
      </c>
      <c r="U5" s="12" t="s">
        <v>71</v>
      </c>
      <c r="V5" s="12" t="e">
        <f t="shared" ref="V5" si="2">V4</f>
        <v>#N/A</v>
      </c>
      <c r="W5" s="13"/>
      <c r="X5" s="18" t="e">
        <f t="shared" ref="X5" si="3">W4</f>
        <v>#N/A</v>
      </c>
      <c r="AA5" s="1">
        <v>45264</v>
      </c>
      <c r="AB5" s="26" t="e">
        <f>HLOOKUP(AA5,Hoja2!$R$2:$AV$56,55,FALSE)</f>
        <v>#N/A</v>
      </c>
      <c r="AC5" s="26" t="e">
        <f>HLOOKUP(AA5,Hoja2!$R$2:$AV$55,54,FALSE)</f>
        <v>#N/A</v>
      </c>
      <c r="AD5" s="77" t="e">
        <f>HLOOKUP(AA5,Hoja2!$R$2:$AV$54,53,FALSE)</f>
        <v>#N/A</v>
      </c>
      <c r="AF5" s="11"/>
      <c r="AG5" s="12">
        <v>110279</v>
      </c>
      <c r="AH5" s="12" t="s">
        <v>71</v>
      </c>
      <c r="AI5" s="12" t="e">
        <f t="shared" ref="AI5" si="4">AI4</f>
        <v>#N/A</v>
      </c>
      <c r="AJ5" s="13"/>
      <c r="AK5" s="18" t="e">
        <f t="shared" ref="AK5" si="5">AJ4</f>
        <v>#N/A</v>
      </c>
    </row>
    <row r="6" spans="1:37" x14ac:dyDescent="0.25">
      <c r="A6" s="1">
        <v>45265</v>
      </c>
      <c r="B6" s="26" t="e">
        <f>HLOOKUP(A6,Hoja2!$R$2:$AV$48,47,FALSE)</f>
        <v>#N/A</v>
      </c>
      <c r="C6" s="26" t="e">
        <f>HLOOKUP(A6,Hoja2!$R$2:$AV$47,46,FALSE)</f>
        <v>#N/A</v>
      </c>
      <c r="D6" s="26" t="e">
        <f>HLOOKUP(A6,Hoja2!$R$2:$AV$46,45,FALSE)</f>
        <v>#N/A</v>
      </c>
      <c r="F6" s="15">
        <v>45263</v>
      </c>
      <c r="G6" s="8">
        <v>110279</v>
      </c>
      <c r="H6" s="8" t="s">
        <v>71</v>
      </c>
      <c r="I6" t="e">
        <f>"CPA Compra Divisas Bco. Inter. " &amp;C4&amp;" T/C "&amp;D4</f>
        <v>#N/A</v>
      </c>
      <c r="J6" s="16" t="e">
        <f>+B4</f>
        <v>#N/A</v>
      </c>
      <c r="K6" s="17"/>
      <c r="N6" s="1">
        <v>45265</v>
      </c>
      <c r="O6" s="26" t="e">
        <f>HLOOKUP(N6,Hoja2!$R$2:$AV$52,51,FALSE)</f>
        <v>#N/A</v>
      </c>
      <c r="P6" s="26" t="e">
        <f>HLOOKUP(N6,Hoja2!$R$2:$AV$51,50,FALSE)</f>
        <v>#N/A</v>
      </c>
      <c r="Q6" s="77" t="e">
        <f>HLOOKUP(N6,Hoja2!$R$2:$AV$50,49,FALSE)</f>
        <v>#N/A</v>
      </c>
      <c r="S6" s="15">
        <v>45263</v>
      </c>
      <c r="T6" s="8">
        <v>110285</v>
      </c>
      <c r="U6" s="8" t="s">
        <v>110</v>
      </c>
      <c r="V6" t="e">
        <f>"CPA Fondeo Bco. Inter. USD a CFSB 2475 " &amp;P4&amp;" T/C "&amp;Q4</f>
        <v>#N/A</v>
      </c>
      <c r="W6" s="16" t="e">
        <f>+O4</f>
        <v>#N/A</v>
      </c>
      <c r="X6" s="17"/>
      <c r="AA6" s="1">
        <v>45265</v>
      </c>
      <c r="AB6" s="26" t="e">
        <f>HLOOKUP(AA6,Hoja2!$R$2:$AV$56,55,FALSE)</f>
        <v>#N/A</v>
      </c>
      <c r="AC6" s="26" t="e">
        <f>HLOOKUP(AA6,Hoja2!$R$2:$AV$55,54,FALSE)</f>
        <v>#N/A</v>
      </c>
      <c r="AD6" s="77" t="e">
        <f>HLOOKUP(AA6,Hoja2!$R$2:$AV$54,53,FALSE)</f>
        <v>#N/A</v>
      </c>
      <c r="AF6" s="15">
        <v>45263</v>
      </c>
      <c r="AG6" s="8">
        <v>110820</v>
      </c>
      <c r="AH6" s="8" t="s">
        <v>129</v>
      </c>
      <c r="AI6" t="e">
        <f>"CPA Fondeo Bco. Inter. USD a JPM COL " &amp;AC4&amp;" T/C "&amp;AD4</f>
        <v>#N/A</v>
      </c>
      <c r="AJ6" s="16" t="e">
        <f>+AB4</f>
        <v>#N/A</v>
      </c>
      <c r="AK6" s="17"/>
    </row>
    <row r="7" spans="1:37" x14ac:dyDescent="0.25">
      <c r="A7" s="1">
        <v>45266</v>
      </c>
      <c r="B7" s="26" t="e">
        <f>HLOOKUP(A7,Hoja2!$R$2:$AV$48,47,FALSE)</f>
        <v>#N/A</v>
      </c>
      <c r="C7" s="26" t="e">
        <f>HLOOKUP(A7,Hoja2!$R$2:$AV$47,46,FALSE)</f>
        <v>#N/A</v>
      </c>
      <c r="D7" s="26" t="e">
        <f>HLOOKUP(A7,Hoja2!$R$2:$AV$46,45,FALSE)</f>
        <v>#N/A</v>
      </c>
      <c r="F7" s="11"/>
      <c r="G7" s="12">
        <v>110208</v>
      </c>
      <c r="H7" s="12" t="s">
        <v>46</v>
      </c>
      <c r="I7" s="12" t="e">
        <f t="shared" ref="I7" si="6">I6</f>
        <v>#N/A</v>
      </c>
      <c r="J7" s="13"/>
      <c r="K7" s="18" t="e">
        <f>J6</f>
        <v>#N/A</v>
      </c>
      <c r="N7" s="1">
        <v>45266</v>
      </c>
      <c r="O7" s="26" t="e">
        <f>HLOOKUP(N7,Hoja2!$R$2:$AV$52,51,FALSE)</f>
        <v>#N/A</v>
      </c>
      <c r="P7" s="26" t="e">
        <f>HLOOKUP(N7,Hoja2!$R$2:$AV$51,50,FALSE)</f>
        <v>#N/A</v>
      </c>
      <c r="Q7" s="77" t="e">
        <f>HLOOKUP(N7,Hoja2!$R$2:$AV$50,49,FALSE)</f>
        <v>#N/A</v>
      </c>
      <c r="S7" s="11"/>
      <c r="T7" s="12">
        <v>110279</v>
      </c>
      <c r="U7" s="12" t="s">
        <v>71</v>
      </c>
      <c r="V7" s="12" t="e">
        <f t="shared" ref="V7" si="7">V6</f>
        <v>#N/A</v>
      </c>
      <c r="W7" s="13"/>
      <c r="X7" s="18" t="e">
        <f>W6</f>
        <v>#N/A</v>
      </c>
      <c r="AA7" s="1">
        <v>45266</v>
      </c>
      <c r="AB7" s="26" t="e">
        <f>HLOOKUP(AA7,Hoja2!$R$2:$AV$56,55,FALSE)</f>
        <v>#N/A</v>
      </c>
      <c r="AC7" s="26" t="e">
        <f>HLOOKUP(AA7,Hoja2!$R$2:$AV$55,54,FALSE)</f>
        <v>#N/A</v>
      </c>
      <c r="AD7" s="77" t="e">
        <f>HLOOKUP(AA7,Hoja2!$R$2:$AV$54,53,FALSE)</f>
        <v>#N/A</v>
      </c>
      <c r="AF7" s="11"/>
      <c r="AG7" s="12">
        <v>110279</v>
      </c>
      <c r="AH7" s="12" t="s">
        <v>71</v>
      </c>
      <c r="AI7" s="12" t="e">
        <f t="shared" ref="AI7" si="8">AI6</f>
        <v>#N/A</v>
      </c>
      <c r="AJ7" s="13"/>
      <c r="AK7" s="18" t="e">
        <f>AJ6</f>
        <v>#N/A</v>
      </c>
    </row>
    <row r="8" spans="1:37" x14ac:dyDescent="0.25">
      <c r="A8" s="1">
        <v>45267</v>
      </c>
      <c r="B8" s="26" t="e">
        <f>HLOOKUP(A8,Hoja2!$R$2:$AV$48,47,FALSE)</f>
        <v>#N/A</v>
      </c>
      <c r="C8" s="26" t="e">
        <f>HLOOKUP(A8,Hoja2!$R$2:$AV$47,46,FALSE)</f>
        <v>#N/A</v>
      </c>
      <c r="D8" s="26" t="e">
        <f>HLOOKUP(A8,Hoja2!$R$2:$AV$46,45,FALSE)</f>
        <v>#N/A</v>
      </c>
      <c r="F8" s="15">
        <v>45264</v>
      </c>
      <c r="G8" s="8">
        <v>110279</v>
      </c>
      <c r="H8" s="8" t="s">
        <v>71</v>
      </c>
      <c r="I8" t="e">
        <f>"CPA Compra Divisas Bco. Inter. " &amp;C5&amp;" T/C "&amp;D5</f>
        <v>#N/A</v>
      </c>
      <c r="J8" s="16" t="e">
        <f>+B5</f>
        <v>#N/A</v>
      </c>
      <c r="K8" s="17"/>
      <c r="N8" s="1">
        <v>45267</v>
      </c>
      <c r="O8" s="26" t="e">
        <f>HLOOKUP(N8,Hoja2!$R$2:$AV$52,51,FALSE)</f>
        <v>#N/A</v>
      </c>
      <c r="P8" s="26" t="e">
        <f>HLOOKUP(N8,Hoja2!$R$2:$AV$51,50,FALSE)</f>
        <v>#N/A</v>
      </c>
      <c r="Q8" s="77" t="e">
        <f>HLOOKUP(N8,Hoja2!$R$2:$AV$50,49,FALSE)</f>
        <v>#N/A</v>
      </c>
      <c r="S8" s="15">
        <v>45264</v>
      </c>
      <c r="T8" s="8">
        <v>110285</v>
      </c>
      <c r="U8" s="8" t="s">
        <v>110</v>
      </c>
      <c r="V8" t="e">
        <f>"CPA Fondeo Bco. Inter. USD a CFSB 2475 " &amp;P5&amp;" T/C "&amp;Q5</f>
        <v>#N/A</v>
      </c>
      <c r="W8" s="16" t="e">
        <f>+O5</f>
        <v>#N/A</v>
      </c>
      <c r="X8" s="17"/>
      <c r="AA8" s="1">
        <v>45267</v>
      </c>
      <c r="AB8" s="26" t="e">
        <f>HLOOKUP(AA8,Hoja2!$R$2:$AV$56,55,FALSE)</f>
        <v>#N/A</v>
      </c>
      <c r="AC8" s="26" t="e">
        <f>HLOOKUP(AA8,Hoja2!$R$2:$AV$55,54,FALSE)</f>
        <v>#N/A</v>
      </c>
      <c r="AD8" s="77" t="e">
        <f>HLOOKUP(AA8,Hoja2!$R$2:$AV$54,53,FALSE)</f>
        <v>#N/A</v>
      </c>
      <c r="AF8" s="15">
        <v>45264</v>
      </c>
      <c r="AG8" s="8">
        <v>110820</v>
      </c>
      <c r="AH8" s="8" t="s">
        <v>129</v>
      </c>
      <c r="AI8" t="e">
        <f>"CPA Fondeo Bco. Inter. USD a JPM COL " &amp;AC5&amp;" T/C "&amp;AD5</f>
        <v>#N/A</v>
      </c>
      <c r="AJ8" s="16" t="e">
        <f>+AB5</f>
        <v>#N/A</v>
      </c>
      <c r="AK8" s="17"/>
    </row>
    <row r="9" spans="1:37" x14ac:dyDescent="0.25">
      <c r="A9" s="1">
        <v>45268</v>
      </c>
      <c r="B9" s="26" t="e">
        <f>HLOOKUP(A9,Hoja2!$R$2:$AV$48,47,FALSE)</f>
        <v>#N/A</v>
      </c>
      <c r="C9" s="26" t="e">
        <f>HLOOKUP(A9,Hoja2!$R$2:$AV$47,46,FALSE)</f>
        <v>#N/A</v>
      </c>
      <c r="D9" s="26" t="e">
        <f>HLOOKUP(A9,Hoja2!$R$2:$AV$46,45,FALSE)</f>
        <v>#N/A</v>
      </c>
      <c r="F9" s="11"/>
      <c r="G9" s="12">
        <v>110208</v>
      </c>
      <c r="H9" s="12" t="s">
        <v>46</v>
      </c>
      <c r="I9" s="12" t="e">
        <f t="shared" ref="I9" si="9">I8</f>
        <v>#N/A</v>
      </c>
      <c r="K9" s="10" t="e">
        <f t="shared" ref="K9" si="10">J8</f>
        <v>#N/A</v>
      </c>
      <c r="N9" s="1">
        <v>45268</v>
      </c>
      <c r="O9" s="26" t="e">
        <f>HLOOKUP(N9,Hoja2!$R$2:$AV$52,51,FALSE)</f>
        <v>#N/A</v>
      </c>
      <c r="P9" s="26" t="e">
        <f>HLOOKUP(N9,Hoja2!$R$2:$AV$51,50,FALSE)</f>
        <v>#N/A</v>
      </c>
      <c r="Q9" s="77" t="e">
        <f>HLOOKUP(N9,Hoja2!$R$2:$AV$50,49,FALSE)</f>
        <v>#N/A</v>
      </c>
      <c r="S9" s="11"/>
      <c r="T9" s="12">
        <v>110279</v>
      </c>
      <c r="U9" s="12" t="s">
        <v>71</v>
      </c>
      <c r="V9" s="12" t="e">
        <f t="shared" ref="V9" si="11">V8</f>
        <v>#N/A</v>
      </c>
      <c r="X9" s="10" t="e">
        <f t="shared" ref="X9" si="12">W8</f>
        <v>#N/A</v>
      </c>
      <c r="AA9" s="1">
        <v>45268</v>
      </c>
      <c r="AB9" s="26" t="e">
        <f>HLOOKUP(AA9,Hoja2!$R$2:$AV$56,55,FALSE)</f>
        <v>#N/A</v>
      </c>
      <c r="AC9" s="26" t="e">
        <f>HLOOKUP(AA9,Hoja2!$R$2:$AV$55,54,FALSE)</f>
        <v>#N/A</v>
      </c>
      <c r="AD9" s="77" t="e">
        <f>HLOOKUP(AA9,Hoja2!$R$2:$AV$54,53,FALSE)</f>
        <v>#N/A</v>
      </c>
      <c r="AF9" s="11"/>
      <c r="AG9" s="12">
        <v>110279</v>
      </c>
      <c r="AH9" s="12" t="s">
        <v>71</v>
      </c>
      <c r="AI9" s="12" t="e">
        <f t="shared" ref="AI9" si="13">AI8</f>
        <v>#N/A</v>
      </c>
      <c r="AK9" s="10" t="e">
        <f t="shared" ref="AK9" si="14">AJ8</f>
        <v>#N/A</v>
      </c>
    </row>
    <row r="10" spans="1:37" x14ac:dyDescent="0.25">
      <c r="A10" s="1">
        <v>45269</v>
      </c>
      <c r="B10" s="26" t="e">
        <f>HLOOKUP(A10,Hoja2!$R$2:$AV$48,47,FALSE)</f>
        <v>#N/A</v>
      </c>
      <c r="C10" s="26" t="e">
        <f>HLOOKUP(A10,Hoja2!$R$2:$AV$47,46,FALSE)</f>
        <v>#N/A</v>
      </c>
      <c r="D10" s="26" t="e">
        <f>HLOOKUP(A10,Hoja2!$R$2:$AV$46,45,FALSE)</f>
        <v>#N/A</v>
      </c>
      <c r="F10" s="15">
        <v>45265</v>
      </c>
      <c r="G10" s="8">
        <v>110279</v>
      </c>
      <c r="H10" s="8" t="s">
        <v>71</v>
      </c>
      <c r="I10" t="e">
        <f>"CPA Compra Divisas Bco. Inter. " &amp;C6&amp;" T/C "&amp;D6</f>
        <v>#N/A</v>
      </c>
      <c r="J10" s="16" t="e">
        <f>+B6</f>
        <v>#N/A</v>
      </c>
      <c r="K10" s="17"/>
      <c r="N10" s="1">
        <v>45269</v>
      </c>
      <c r="O10" s="26" t="e">
        <f>HLOOKUP(N10,Hoja2!$R$2:$AV$52,51,FALSE)</f>
        <v>#N/A</v>
      </c>
      <c r="P10" s="26" t="e">
        <f>HLOOKUP(N10,Hoja2!$R$2:$AV$51,50,FALSE)</f>
        <v>#N/A</v>
      </c>
      <c r="Q10" s="77" t="e">
        <f>HLOOKUP(N10,Hoja2!$R$2:$AV$50,49,FALSE)</f>
        <v>#N/A</v>
      </c>
      <c r="S10" s="15">
        <v>45265</v>
      </c>
      <c r="T10" s="8">
        <v>110285</v>
      </c>
      <c r="U10" s="8" t="s">
        <v>110</v>
      </c>
      <c r="V10" t="e">
        <f>"CPA Fondeo Bco. Inter. USD a CFSB 2475 " &amp;P6&amp;" T/C "&amp;Q6</f>
        <v>#N/A</v>
      </c>
      <c r="W10" s="16" t="e">
        <f>+O6</f>
        <v>#N/A</v>
      </c>
      <c r="X10" s="17"/>
      <c r="AA10" s="1">
        <v>45269</v>
      </c>
      <c r="AB10" s="26" t="e">
        <f>HLOOKUP(AA10,Hoja2!$R$2:$AV$56,55,FALSE)</f>
        <v>#N/A</v>
      </c>
      <c r="AC10" s="26" t="e">
        <f>HLOOKUP(AA10,Hoja2!$R$2:$AV$55,54,FALSE)</f>
        <v>#N/A</v>
      </c>
      <c r="AD10" s="77" t="e">
        <f>HLOOKUP(AA10,Hoja2!$R$2:$AV$54,53,FALSE)</f>
        <v>#N/A</v>
      </c>
      <c r="AF10" s="15">
        <v>45265</v>
      </c>
      <c r="AG10" s="8">
        <v>110820</v>
      </c>
      <c r="AH10" s="8" t="s">
        <v>129</v>
      </c>
      <c r="AI10" t="e">
        <f>"CPA Fondeo Bco. Inter. USD a JPM COL " &amp;AC6&amp;" T/C "&amp;AD6</f>
        <v>#N/A</v>
      </c>
      <c r="AJ10" s="16" t="e">
        <f>+AB6</f>
        <v>#N/A</v>
      </c>
      <c r="AK10" s="17"/>
    </row>
    <row r="11" spans="1:37" x14ac:dyDescent="0.25">
      <c r="A11" s="1">
        <v>45270</v>
      </c>
      <c r="B11" s="26" t="e">
        <f>HLOOKUP(A11,Hoja2!$R$2:$AV$48,47,FALSE)</f>
        <v>#N/A</v>
      </c>
      <c r="C11" s="26" t="e">
        <f>HLOOKUP(A11,Hoja2!$R$2:$AV$47,46,FALSE)</f>
        <v>#N/A</v>
      </c>
      <c r="D11" s="26" t="e">
        <f>HLOOKUP(A11,Hoja2!$R$2:$AV$46,45,FALSE)</f>
        <v>#N/A</v>
      </c>
      <c r="F11" s="11"/>
      <c r="G11" s="12">
        <v>110208</v>
      </c>
      <c r="H11" s="12" t="s">
        <v>46</v>
      </c>
      <c r="I11" s="12" t="e">
        <f t="shared" ref="I11" si="15">I10</f>
        <v>#N/A</v>
      </c>
      <c r="K11" s="10" t="e">
        <f t="shared" ref="K11" si="16">J10</f>
        <v>#N/A</v>
      </c>
      <c r="N11" s="1">
        <v>45270</v>
      </c>
      <c r="O11" s="26" t="e">
        <f>HLOOKUP(N11,Hoja2!$R$2:$AV$52,51,FALSE)</f>
        <v>#N/A</v>
      </c>
      <c r="P11" s="26" t="e">
        <f>HLOOKUP(N11,Hoja2!$R$2:$AV$51,50,FALSE)</f>
        <v>#N/A</v>
      </c>
      <c r="Q11" s="77" t="e">
        <f>HLOOKUP(N11,Hoja2!$R$2:$AV$50,49,FALSE)</f>
        <v>#N/A</v>
      </c>
      <c r="S11" s="11"/>
      <c r="T11" s="12">
        <v>110279</v>
      </c>
      <c r="U11" s="12" t="s">
        <v>71</v>
      </c>
      <c r="V11" s="12" t="e">
        <f t="shared" ref="V11" si="17">V10</f>
        <v>#N/A</v>
      </c>
      <c r="X11" s="10" t="e">
        <f t="shared" ref="X11" si="18">W10</f>
        <v>#N/A</v>
      </c>
      <c r="AA11" s="1">
        <v>45270</v>
      </c>
      <c r="AB11" s="26" t="e">
        <f>HLOOKUP(AA11,Hoja2!$R$2:$AV$56,55,FALSE)</f>
        <v>#N/A</v>
      </c>
      <c r="AC11" s="26" t="e">
        <f>HLOOKUP(AA11,Hoja2!$R$2:$AV$55,54,FALSE)</f>
        <v>#N/A</v>
      </c>
      <c r="AD11" s="77" t="e">
        <f>HLOOKUP(AA11,Hoja2!$R$2:$AV$54,53,FALSE)</f>
        <v>#N/A</v>
      </c>
      <c r="AF11" s="11"/>
      <c r="AG11" s="12">
        <v>110279</v>
      </c>
      <c r="AH11" s="12" t="s">
        <v>71</v>
      </c>
      <c r="AI11" s="12" t="e">
        <f t="shared" ref="AI11" si="19">AI10</f>
        <v>#N/A</v>
      </c>
      <c r="AK11" s="10" t="e">
        <f t="shared" ref="AK11" si="20">AJ10</f>
        <v>#N/A</v>
      </c>
    </row>
    <row r="12" spans="1:37" x14ac:dyDescent="0.25">
      <c r="A12" s="1">
        <v>45271</v>
      </c>
      <c r="B12" s="26" t="e">
        <f>HLOOKUP(A12,Hoja2!$R$2:$AV$48,47,FALSE)</f>
        <v>#N/A</v>
      </c>
      <c r="C12" s="26" t="e">
        <f>HLOOKUP(A12,Hoja2!$R$2:$AV$47,46,FALSE)</f>
        <v>#N/A</v>
      </c>
      <c r="D12" s="26" t="e">
        <f>HLOOKUP(A12,Hoja2!$R$2:$AV$46,45,FALSE)</f>
        <v>#N/A</v>
      </c>
      <c r="F12" s="15">
        <v>45266</v>
      </c>
      <c r="G12" s="8">
        <v>110279</v>
      </c>
      <c r="H12" s="8" t="s">
        <v>71</v>
      </c>
      <c r="I12" t="e">
        <f>"CPA Compra Divisas Bco. Inter. " &amp;C7&amp;" T/C "&amp;D7</f>
        <v>#N/A</v>
      </c>
      <c r="J12" s="16" t="e">
        <f>+B7</f>
        <v>#N/A</v>
      </c>
      <c r="K12" s="17"/>
      <c r="N12" s="1">
        <v>45271</v>
      </c>
      <c r="O12" s="26" t="e">
        <f>HLOOKUP(N12,Hoja2!$R$2:$AV$52,51,FALSE)</f>
        <v>#N/A</v>
      </c>
      <c r="P12" s="26" t="e">
        <f>HLOOKUP(N12,Hoja2!$R$2:$AV$51,50,FALSE)</f>
        <v>#N/A</v>
      </c>
      <c r="Q12" s="77" t="e">
        <f>HLOOKUP(N12,Hoja2!$R$2:$AV$50,49,FALSE)</f>
        <v>#N/A</v>
      </c>
      <c r="S12" s="15">
        <v>45266</v>
      </c>
      <c r="T12" s="8">
        <v>110285</v>
      </c>
      <c r="U12" s="8" t="s">
        <v>110</v>
      </c>
      <c r="V12" t="e">
        <f>"CPA Fondeo Bco. Inter. USD a CFSB 2475 " &amp;P7&amp;" T/C "&amp;Q7</f>
        <v>#N/A</v>
      </c>
      <c r="W12" s="16" t="e">
        <f>+O7</f>
        <v>#N/A</v>
      </c>
      <c r="X12" s="17"/>
      <c r="AA12" s="1">
        <v>45271</v>
      </c>
      <c r="AB12" s="26" t="e">
        <f>HLOOKUP(AA12,Hoja2!$R$2:$AV$56,55,FALSE)</f>
        <v>#N/A</v>
      </c>
      <c r="AC12" s="26" t="e">
        <f>HLOOKUP(AA12,Hoja2!$R$2:$AV$55,54,FALSE)</f>
        <v>#N/A</v>
      </c>
      <c r="AD12" s="77" t="e">
        <f>HLOOKUP(AA12,Hoja2!$R$2:$AV$54,53,FALSE)</f>
        <v>#N/A</v>
      </c>
      <c r="AF12" s="15">
        <v>45266</v>
      </c>
      <c r="AG12" s="8">
        <v>110820</v>
      </c>
      <c r="AH12" s="8" t="s">
        <v>129</v>
      </c>
      <c r="AI12" t="e">
        <f>"CPA Fondeo Bco. Inter. USD a JPM COL " &amp;AC7&amp;" T/C "&amp;AD7</f>
        <v>#N/A</v>
      </c>
      <c r="AJ12" s="16" t="e">
        <f>+AB7</f>
        <v>#N/A</v>
      </c>
      <c r="AK12" s="17"/>
    </row>
    <row r="13" spans="1:37" x14ac:dyDescent="0.25">
      <c r="A13" s="1">
        <v>45272</v>
      </c>
      <c r="B13" s="26" t="e">
        <f>HLOOKUP(A13,Hoja2!$R$2:$AV$48,47,FALSE)</f>
        <v>#N/A</v>
      </c>
      <c r="C13" s="26" t="e">
        <f>HLOOKUP(A13,Hoja2!$R$2:$AV$47,46,FALSE)</f>
        <v>#N/A</v>
      </c>
      <c r="D13" s="26" t="e">
        <f>HLOOKUP(A13,Hoja2!$R$2:$AV$46,45,FALSE)</f>
        <v>#N/A</v>
      </c>
      <c r="F13" s="11"/>
      <c r="G13" s="12">
        <v>110208</v>
      </c>
      <c r="H13" s="12" t="s">
        <v>46</v>
      </c>
      <c r="I13" s="12" t="e">
        <f t="shared" ref="I13" si="21">I12</f>
        <v>#N/A</v>
      </c>
      <c r="J13" s="3"/>
      <c r="K13" s="10" t="e">
        <f>J12</f>
        <v>#N/A</v>
      </c>
      <c r="N13" s="1">
        <v>45272</v>
      </c>
      <c r="O13" s="26" t="e">
        <f>HLOOKUP(N13,Hoja2!$R$2:$AV$52,51,FALSE)</f>
        <v>#N/A</v>
      </c>
      <c r="P13" s="26" t="e">
        <f>HLOOKUP(N13,Hoja2!$R$2:$AV$51,50,FALSE)</f>
        <v>#N/A</v>
      </c>
      <c r="Q13" s="77" t="e">
        <f>HLOOKUP(N13,Hoja2!$R$2:$AV$50,49,FALSE)</f>
        <v>#N/A</v>
      </c>
      <c r="S13" s="11"/>
      <c r="T13" s="12">
        <v>110279</v>
      </c>
      <c r="U13" s="12" t="s">
        <v>71</v>
      </c>
      <c r="V13" s="12" t="e">
        <f t="shared" ref="V13" si="22">V12</f>
        <v>#N/A</v>
      </c>
      <c r="W13" s="3"/>
      <c r="X13" s="10" t="e">
        <f>W12</f>
        <v>#N/A</v>
      </c>
      <c r="AA13" s="1">
        <v>45272</v>
      </c>
      <c r="AB13" s="26" t="e">
        <f>HLOOKUP(AA13,Hoja2!$R$2:$AV$56,55,FALSE)</f>
        <v>#N/A</v>
      </c>
      <c r="AC13" s="26" t="e">
        <f>HLOOKUP(AA13,Hoja2!$R$2:$AV$55,54,FALSE)</f>
        <v>#N/A</v>
      </c>
      <c r="AD13" s="77" t="e">
        <f>HLOOKUP(AA13,Hoja2!$R$2:$AV$54,53,FALSE)</f>
        <v>#N/A</v>
      </c>
      <c r="AF13" s="11"/>
      <c r="AG13" s="12">
        <v>110279</v>
      </c>
      <c r="AH13" s="12" t="s">
        <v>71</v>
      </c>
      <c r="AI13" s="12" t="e">
        <f t="shared" ref="AI13" si="23">AI12</f>
        <v>#N/A</v>
      </c>
      <c r="AJ13" s="3"/>
      <c r="AK13" s="10" t="e">
        <f>AJ12</f>
        <v>#N/A</v>
      </c>
    </row>
    <row r="14" spans="1:37" x14ac:dyDescent="0.25">
      <c r="A14" s="1">
        <v>45273</v>
      </c>
      <c r="B14" s="26" t="e">
        <f>HLOOKUP(A14,Hoja2!$R$2:$AV$48,47,FALSE)</f>
        <v>#N/A</v>
      </c>
      <c r="C14" s="26" t="e">
        <f>HLOOKUP(A14,Hoja2!$R$2:$AV$47,46,FALSE)</f>
        <v>#N/A</v>
      </c>
      <c r="D14" s="26" t="e">
        <f>HLOOKUP(A14,Hoja2!$R$2:$AV$46,45,FALSE)</f>
        <v>#N/A</v>
      </c>
      <c r="F14" s="15">
        <v>45267</v>
      </c>
      <c r="G14" s="8">
        <v>110279</v>
      </c>
      <c r="H14" s="8" t="s">
        <v>71</v>
      </c>
      <c r="I14" t="e">
        <f>"CPA Compra Divisas Bco. Inter. " &amp;C8&amp;" T/C "&amp;D8</f>
        <v>#N/A</v>
      </c>
      <c r="J14" s="16" t="e">
        <f>+B8</f>
        <v>#N/A</v>
      </c>
      <c r="K14" s="17"/>
      <c r="N14" s="1">
        <v>45273</v>
      </c>
      <c r="O14" s="26" t="e">
        <f>HLOOKUP(N14,Hoja2!$R$2:$AV$52,51,FALSE)</f>
        <v>#N/A</v>
      </c>
      <c r="P14" s="26" t="e">
        <f>HLOOKUP(N14,Hoja2!$R$2:$AV$51,50,FALSE)</f>
        <v>#N/A</v>
      </c>
      <c r="Q14" s="77" t="e">
        <f>HLOOKUP(N14,Hoja2!$R$2:$AV$50,49,FALSE)</f>
        <v>#N/A</v>
      </c>
      <c r="S14" s="15">
        <v>45267</v>
      </c>
      <c r="T14" s="8">
        <v>110285</v>
      </c>
      <c r="U14" s="8" t="s">
        <v>110</v>
      </c>
      <c r="V14" t="e">
        <f>"CPA Fondeo Bco. Inter. USD a CFSB 2475 " &amp;P8&amp;" T/C "&amp;Q8</f>
        <v>#N/A</v>
      </c>
      <c r="W14" s="16" t="e">
        <f>+O8</f>
        <v>#N/A</v>
      </c>
      <c r="X14" s="17"/>
      <c r="AA14" s="1">
        <v>45273</v>
      </c>
      <c r="AB14" s="26" t="e">
        <f>HLOOKUP(AA14,Hoja2!$R$2:$AV$56,55,FALSE)</f>
        <v>#N/A</v>
      </c>
      <c r="AC14" s="26" t="e">
        <f>HLOOKUP(AA14,Hoja2!$R$2:$AV$55,54,FALSE)</f>
        <v>#N/A</v>
      </c>
      <c r="AD14" s="77" t="e">
        <f>HLOOKUP(AA14,Hoja2!$R$2:$AV$54,53,FALSE)</f>
        <v>#N/A</v>
      </c>
      <c r="AF14" s="15">
        <v>45267</v>
      </c>
      <c r="AG14" s="8">
        <v>110820</v>
      </c>
      <c r="AH14" s="8" t="s">
        <v>129</v>
      </c>
      <c r="AI14" t="e">
        <f>"CPA Fondeo Bco. Inter. USD a JPM COL " &amp;AC8&amp;" T/C "&amp;AD8</f>
        <v>#N/A</v>
      </c>
      <c r="AJ14" s="16" t="e">
        <f>+AB8</f>
        <v>#N/A</v>
      </c>
      <c r="AK14" s="17"/>
    </row>
    <row r="15" spans="1:37" x14ac:dyDescent="0.25">
      <c r="A15" s="1">
        <v>45274</v>
      </c>
      <c r="B15" s="26" t="e">
        <f>HLOOKUP(A15,Hoja2!$R$2:$AV$48,47,FALSE)</f>
        <v>#N/A</v>
      </c>
      <c r="C15" s="26" t="e">
        <f>HLOOKUP(A15,Hoja2!$R$2:$AV$47,46,FALSE)</f>
        <v>#N/A</v>
      </c>
      <c r="D15" s="26" t="e">
        <f>HLOOKUP(A15,Hoja2!$R$2:$AV$46,45,FALSE)</f>
        <v>#N/A</v>
      </c>
      <c r="F15" s="11"/>
      <c r="G15" s="12">
        <v>110208</v>
      </c>
      <c r="H15" s="12" t="s">
        <v>46</v>
      </c>
      <c r="I15" s="12" t="e">
        <f t="shared" ref="I15" si="24">I14</f>
        <v>#N/A</v>
      </c>
      <c r="J15" s="3"/>
      <c r="K15" s="10" t="e">
        <f t="shared" ref="K15" si="25">J14</f>
        <v>#N/A</v>
      </c>
      <c r="N15" s="1">
        <v>45274</v>
      </c>
      <c r="O15" s="26" t="e">
        <f>HLOOKUP(N15,Hoja2!$R$2:$AV$52,51,FALSE)</f>
        <v>#N/A</v>
      </c>
      <c r="P15" s="26" t="e">
        <f>HLOOKUP(N15,Hoja2!$R$2:$AV$51,50,FALSE)</f>
        <v>#N/A</v>
      </c>
      <c r="Q15" s="77" t="e">
        <f>HLOOKUP(N15,Hoja2!$R$2:$AV$50,49,FALSE)</f>
        <v>#N/A</v>
      </c>
      <c r="S15" s="11"/>
      <c r="T15" s="12">
        <v>110279</v>
      </c>
      <c r="U15" s="12" t="s">
        <v>71</v>
      </c>
      <c r="V15" s="12" t="e">
        <f t="shared" ref="V15" si="26">V14</f>
        <v>#N/A</v>
      </c>
      <c r="W15" s="3"/>
      <c r="X15" s="10" t="e">
        <f t="shared" ref="X15" si="27">W14</f>
        <v>#N/A</v>
      </c>
      <c r="AA15" s="1">
        <v>45274</v>
      </c>
      <c r="AB15" s="26" t="e">
        <f>HLOOKUP(AA15,Hoja2!$R$2:$AV$56,55,FALSE)</f>
        <v>#N/A</v>
      </c>
      <c r="AC15" s="26" t="e">
        <f>HLOOKUP(AA15,Hoja2!$R$2:$AV$55,54,FALSE)</f>
        <v>#N/A</v>
      </c>
      <c r="AD15" s="77" t="e">
        <f>HLOOKUP(AA15,Hoja2!$R$2:$AV$54,53,FALSE)</f>
        <v>#N/A</v>
      </c>
      <c r="AF15" s="11"/>
      <c r="AG15" s="12">
        <v>110279</v>
      </c>
      <c r="AH15" s="12" t="s">
        <v>71</v>
      </c>
      <c r="AI15" s="12" t="e">
        <f t="shared" ref="AI15" si="28">AI14</f>
        <v>#N/A</v>
      </c>
      <c r="AJ15" s="3"/>
      <c r="AK15" s="10" t="e">
        <f t="shared" ref="AK15" si="29">AJ14</f>
        <v>#N/A</v>
      </c>
    </row>
    <row r="16" spans="1:37" x14ac:dyDescent="0.25">
      <c r="A16" s="1">
        <v>45275</v>
      </c>
      <c r="B16" s="26" t="e">
        <f>HLOOKUP(A16,Hoja2!$R$2:$AV$48,47,FALSE)</f>
        <v>#N/A</v>
      </c>
      <c r="C16" s="26" t="e">
        <f>HLOOKUP(A16,Hoja2!$R$2:$AV$47,46,FALSE)</f>
        <v>#N/A</v>
      </c>
      <c r="D16" s="26" t="e">
        <f>HLOOKUP(A16,Hoja2!$R$2:$AV$46,45,FALSE)</f>
        <v>#N/A</v>
      </c>
      <c r="F16" s="15">
        <v>45268</v>
      </c>
      <c r="G16" s="8">
        <v>110279</v>
      </c>
      <c r="H16" s="8" t="s">
        <v>71</v>
      </c>
      <c r="I16" t="e">
        <f>"CPA Compra Divisas Bco. Inter. " &amp;C9&amp;" T/C "&amp;D9</f>
        <v>#N/A</v>
      </c>
      <c r="J16" s="16" t="e">
        <f>+B9</f>
        <v>#N/A</v>
      </c>
      <c r="K16" s="17"/>
      <c r="N16" s="1">
        <v>45275</v>
      </c>
      <c r="O16" s="26" t="e">
        <f>HLOOKUP(N16,Hoja2!$R$2:$AV$52,51,FALSE)</f>
        <v>#N/A</v>
      </c>
      <c r="P16" s="26" t="e">
        <f>HLOOKUP(N16,Hoja2!$R$2:$AV$51,50,FALSE)</f>
        <v>#N/A</v>
      </c>
      <c r="Q16" s="77" t="e">
        <f>HLOOKUP(N16,Hoja2!$R$2:$AV$50,49,FALSE)</f>
        <v>#N/A</v>
      </c>
      <c r="S16" s="15">
        <v>45268</v>
      </c>
      <c r="T16" s="8">
        <v>110285</v>
      </c>
      <c r="U16" s="8" t="s">
        <v>110</v>
      </c>
      <c r="V16" t="e">
        <f>"CPA Fondeo Bco. Inter. USD a CFSB 2475 " &amp;P9&amp;" T/C "&amp;Q9</f>
        <v>#N/A</v>
      </c>
      <c r="W16" s="16" t="e">
        <f>+O9</f>
        <v>#N/A</v>
      </c>
      <c r="X16" s="17"/>
      <c r="AA16" s="1">
        <v>45275</v>
      </c>
      <c r="AB16" s="26" t="e">
        <f>HLOOKUP(AA16,Hoja2!$R$2:$AV$56,55,FALSE)</f>
        <v>#N/A</v>
      </c>
      <c r="AC16" s="26" t="e">
        <f>HLOOKUP(AA16,Hoja2!$R$2:$AV$55,54,FALSE)</f>
        <v>#N/A</v>
      </c>
      <c r="AD16" s="77" t="e">
        <f>HLOOKUP(AA16,Hoja2!$R$2:$AV$54,53,FALSE)</f>
        <v>#N/A</v>
      </c>
      <c r="AF16" s="15">
        <v>45268</v>
      </c>
      <c r="AG16" s="8">
        <v>110820</v>
      </c>
      <c r="AH16" s="8" t="s">
        <v>129</v>
      </c>
      <c r="AI16" t="e">
        <f>"CPA Fondeo Bco. Inter. USD a JPM COL " &amp;AC9&amp;" T/C "&amp;AD9</f>
        <v>#N/A</v>
      </c>
      <c r="AJ16" s="16" t="e">
        <f>+AB9</f>
        <v>#N/A</v>
      </c>
      <c r="AK16" s="17"/>
    </row>
    <row r="17" spans="1:37" x14ac:dyDescent="0.25">
      <c r="A17" s="1">
        <v>45276</v>
      </c>
      <c r="B17" s="26" t="e">
        <f>HLOOKUP(A17,Hoja2!$R$2:$AV$48,47,FALSE)</f>
        <v>#N/A</v>
      </c>
      <c r="C17" s="26" t="e">
        <f>HLOOKUP(A17,Hoja2!$R$2:$AV$47,46,FALSE)</f>
        <v>#N/A</v>
      </c>
      <c r="D17" s="26" t="e">
        <f>HLOOKUP(A17,Hoja2!$R$2:$AV$46,45,FALSE)</f>
        <v>#N/A</v>
      </c>
      <c r="F17" s="11"/>
      <c r="G17" s="12">
        <v>110208</v>
      </c>
      <c r="H17" s="12" t="s">
        <v>46</v>
      </c>
      <c r="I17" s="12" t="e">
        <f t="shared" ref="I17" si="30">I16</f>
        <v>#N/A</v>
      </c>
      <c r="J17" s="13"/>
      <c r="K17" s="18" t="e">
        <f t="shared" ref="K17" si="31">J16</f>
        <v>#N/A</v>
      </c>
      <c r="N17" s="1">
        <v>45276</v>
      </c>
      <c r="O17" s="26" t="e">
        <f>HLOOKUP(N17,Hoja2!$R$2:$AV$52,51,FALSE)</f>
        <v>#N/A</v>
      </c>
      <c r="P17" s="26" t="e">
        <f>HLOOKUP(N17,Hoja2!$R$2:$AV$51,50,FALSE)</f>
        <v>#N/A</v>
      </c>
      <c r="Q17" s="77" t="e">
        <f>HLOOKUP(N17,Hoja2!$R$2:$AV$50,49,FALSE)</f>
        <v>#N/A</v>
      </c>
      <c r="S17" s="11"/>
      <c r="T17" s="12">
        <v>110279</v>
      </c>
      <c r="U17" s="12" t="s">
        <v>71</v>
      </c>
      <c r="V17" s="12" t="e">
        <f t="shared" ref="V17" si="32">V16</f>
        <v>#N/A</v>
      </c>
      <c r="W17" s="13"/>
      <c r="X17" s="18" t="e">
        <f t="shared" ref="X17" si="33">W16</f>
        <v>#N/A</v>
      </c>
      <c r="AA17" s="1">
        <v>45276</v>
      </c>
      <c r="AB17" s="26" t="e">
        <f>HLOOKUP(AA17,Hoja2!$R$2:$AV$56,55,FALSE)</f>
        <v>#N/A</v>
      </c>
      <c r="AC17" s="26" t="e">
        <f>HLOOKUP(AA17,Hoja2!$R$2:$AV$55,54,FALSE)</f>
        <v>#N/A</v>
      </c>
      <c r="AD17" s="77" t="e">
        <f>HLOOKUP(AA17,Hoja2!$R$2:$AV$54,53,FALSE)</f>
        <v>#N/A</v>
      </c>
      <c r="AF17" s="11"/>
      <c r="AG17" s="12">
        <v>110279</v>
      </c>
      <c r="AH17" s="12" t="s">
        <v>71</v>
      </c>
      <c r="AI17" s="12" t="e">
        <f t="shared" ref="AI17" si="34">AI16</f>
        <v>#N/A</v>
      </c>
      <c r="AJ17" s="13"/>
      <c r="AK17" s="18" t="e">
        <f t="shared" ref="AK17" si="35">AJ16</f>
        <v>#N/A</v>
      </c>
    </row>
    <row r="18" spans="1:37" x14ac:dyDescent="0.25">
      <c r="A18" s="1">
        <v>45277</v>
      </c>
      <c r="B18" s="26" t="e">
        <f>HLOOKUP(A18,Hoja2!$R$2:$AV$48,47,FALSE)</f>
        <v>#N/A</v>
      </c>
      <c r="C18" s="26" t="e">
        <f>HLOOKUP(A18,Hoja2!$R$2:$AV$47,46,FALSE)</f>
        <v>#N/A</v>
      </c>
      <c r="D18" s="26" t="e">
        <f>HLOOKUP(A18,Hoja2!$R$2:$AV$46,45,FALSE)</f>
        <v>#N/A</v>
      </c>
      <c r="F18" s="15">
        <v>45269</v>
      </c>
      <c r="G18" s="8">
        <v>110279</v>
      </c>
      <c r="H18" s="8" t="s">
        <v>71</v>
      </c>
      <c r="I18" t="e">
        <f>"CPA Compra Divisas Bco. Inter. " &amp;C10&amp;" T/C "&amp;D10</f>
        <v>#N/A</v>
      </c>
      <c r="J18" s="16" t="e">
        <f>+B10</f>
        <v>#N/A</v>
      </c>
      <c r="K18" s="17"/>
      <c r="N18" s="1">
        <v>45277</v>
      </c>
      <c r="O18" s="26" t="e">
        <f>HLOOKUP(N18,Hoja2!$R$2:$AV$52,51,FALSE)</f>
        <v>#N/A</v>
      </c>
      <c r="P18" s="26" t="e">
        <f>HLOOKUP(N18,Hoja2!$R$2:$AV$51,50,FALSE)</f>
        <v>#N/A</v>
      </c>
      <c r="Q18" s="77" t="e">
        <f>HLOOKUP(N18,Hoja2!$R$2:$AV$50,49,FALSE)</f>
        <v>#N/A</v>
      </c>
      <c r="S18" s="15">
        <v>45269</v>
      </c>
      <c r="T18" s="8">
        <v>110285</v>
      </c>
      <c r="U18" s="8" t="s">
        <v>110</v>
      </c>
      <c r="V18" t="e">
        <f>"CPA Fondeo Bco. Inter. USD a CFSB 2475 " &amp;P10&amp;" T/C "&amp;Q10</f>
        <v>#N/A</v>
      </c>
      <c r="W18" s="16" t="e">
        <f>+O10</f>
        <v>#N/A</v>
      </c>
      <c r="X18" s="17"/>
      <c r="AA18" s="1">
        <v>45277</v>
      </c>
      <c r="AB18" s="26" t="e">
        <f>HLOOKUP(AA18,Hoja2!$R$2:$AV$56,55,FALSE)</f>
        <v>#N/A</v>
      </c>
      <c r="AC18" s="26" t="e">
        <f>HLOOKUP(AA18,Hoja2!$R$2:$AV$55,54,FALSE)</f>
        <v>#N/A</v>
      </c>
      <c r="AD18" s="77" t="e">
        <f>HLOOKUP(AA18,Hoja2!$R$2:$AV$54,53,FALSE)</f>
        <v>#N/A</v>
      </c>
      <c r="AF18" s="15">
        <v>45269</v>
      </c>
      <c r="AG18" s="8">
        <v>110820</v>
      </c>
      <c r="AH18" s="8" t="s">
        <v>129</v>
      </c>
      <c r="AI18" t="e">
        <f>"CPA Fondeo Bco. Inter. USD a JPM COL " &amp;AC10&amp;" T/C "&amp;AD10</f>
        <v>#N/A</v>
      </c>
      <c r="AJ18" s="16" t="e">
        <f>+AB10</f>
        <v>#N/A</v>
      </c>
      <c r="AK18" s="17"/>
    </row>
    <row r="19" spans="1:37" x14ac:dyDescent="0.25">
      <c r="A19" s="1">
        <v>45278</v>
      </c>
      <c r="B19" s="26" t="e">
        <f>HLOOKUP(A19,Hoja2!$R$2:$AV$48,47,FALSE)</f>
        <v>#N/A</v>
      </c>
      <c r="C19" s="26" t="e">
        <f>HLOOKUP(A19,Hoja2!$R$2:$AV$47,46,FALSE)</f>
        <v>#N/A</v>
      </c>
      <c r="D19" s="26" t="e">
        <f>HLOOKUP(A19,Hoja2!$R$2:$AV$46,45,FALSE)</f>
        <v>#N/A</v>
      </c>
      <c r="F19" s="11"/>
      <c r="G19" s="12">
        <v>110208</v>
      </c>
      <c r="H19" s="12" t="s">
        <v>46</v>
      </c>
      <c r="I19" s="12" t="e">
        <f t="shared" ref="I19" si="36">I18</f>
        <v>#N/A</v>
      </c>
      <c r="J19" s="13"/>
      <c r="K19" s="18" t="e">
        <f>J18</f>
        <v>#N/A</v>
      </c>
      <c r="N19" s="1">
        <v>45278</v>
      </c>
      <c r="O19" s="26" t="e">
        <f>HLOOKUP(N19,Hoja2!$R$2:$AV$52,51,FALSE)</f>
        <v>#N/A</v>
      </c>
      <c r="P19" s="26" t="e">
        <f>HLOOKUP(N19,Hoja2!$R$2:$AV$51,50,FALSE)</f>
        <v>#N/A</v>
      </c>
      <c r="Q19" s="77" t="e">
        <f>HLOOKUP(N19,Hoja2!$R$2:$AV$50,49,FALSE)</f>
        <v>#N/A</v>
      </c>
      <c r="S19" s="11"/>
      <c r="T19" s="12">
        <v>110279</v>
      </c>
      <c r="U19" s="12" t="s">
        <v>71</v>
      </c>
      <c r="V19" s="12" t="e">
        <f t="shared" ref="V19" si="37">V18</f>
        <v>#N/A</v>
      </c>
      <c r="W19" s="13"/>
      <c r="X19" s="18" t="e">
        <f>W18</f>
        <v>#N/A</v>
      </c>
      <c r="AA19" s="1">
        <v>45278</v>
      </c>
      <c r="AB19" s="26" t="e">
        <f>HLOOKUP(AA19,Hoja2!$R$2:$AV$56,55,FALSE)</f>
        <v>#N/A</v>
      </c>
      <c r="AC19" s="26" t="e">
        <f>HLOOKUP(AA19,Hoja2!$R$2:$AV$55,54,FALSE)</f>
        <v>#N/A</v>
      </c>
      <c r="AD19" s="77" t="e">
        <f>HLOOKUP(AA19,Hoja2!$R$2:$AV$54,53,FALSE)</f>
        <v>#N/A</v>
      </c>
      <c r="AF19" s="11"/>
      <c r="AG19" s="12">
        <v>110279</v>
      </c>
      <c r="AH19" s="12" t="s">
        <v>71</v>
      </c>
      <c r="AI19" s="12" t="e">
        <f t="shared" ref="AI19" si="38">AI18</f>
        <v>#N/A</v>
      </c>
      <c r="AJ19" s="13"/>
      <c r="AK19" s="18" t="e">
        <f>AJ18</f>
        <v>#N/A</v>
      </c>
    </row>
    <row r="20" spans="1:37" x14ac:dyDescent="0.25">
      <c r="A20" s="1">
        <v>45279</v>
      </c>
      <c r="B20" s="26" t="e">
        <f>HLOOKUP(A20,Hoja2!$R$2:$AV$48,47,FALSE)</f>
        <v>#N/A</v>
      </c>
      <c r="C20" s="26" t="e">
        <f>HLOOKUP(A20,Hoja2!$R$2:$AV$47,46,FALSE)</f>
        <v>#N/A</v>
      </c>
      <c r="D20" s="26" t="e">
        <f>HLOOKUP(A20,Hoja2!$R$2:$AV$46,45,FALSE)</f>
        <v>#N/A</v>
      </c>
      <c r="F20" s="15">
        <v>45270</v>
      </c>
      <c r="G20" s="8">
        <v>110279</v>
      </c>
      <c r="H20" s="8" t="s">
        <v>71</v>
      </c>
      <c r="I20" t="e">
        <f>"CPA Compra Divisas Bco. Inter. "&amp;C11&amp;" T/C "&amp;D11&amp;""</f>
        <v>#N/A</v>
      </c>
      <c r="J20" s="16" t="e">
        <f>+B11</f>
        <v>#N/A</v>
      </c>
      <c r="K20" s="17"/>
      <c r="N20" s="1">
        <v>45279</v>
      </c>
      <c r="O20" s="26" t="e">
        <f>HLOOKUP(N20,Hoja2!$R$2:$AV$52,51,FALSE)</f>
        <v>#N/A</v>
      </c>
      <c r="P20" s="26" t="e">
        <f>HLOOKUP(N20,Hoja2!$R$2:$AV$51,50,FALSE)</f>
        <v>#N/A</v>
      </c>
      <c r="Q20" s="77" t="e">
        <f>HLOOKUP(N20,Hoja2!$R$2:$AV$50,49,FALSE)</f>
        <v>#N/A</v>
      </c>
      <c r="S20" s="15">
        <v>45270</v>
      </c>
      <c r="T20" s="8">
        <v>110285</v>
      </c>
      <c r="U20" s="8" t="s">
        <v>110</v>
      </c>
      <c r="V20" t="e">
        <f>"CPA Fondeo Bco. Inter. USD a CFSB 2475 "&amp;P11&amp;" T/C "&amp;Q11&amp;""</f>
        <v>#N/A</v>
      </c>
      <c r="W20" s="16" t="e">
        <f>+O11</f>
        <v>#N/A</v>
      </c>
      <c r="X20" s="17"/>
      <c r="AA20" s="1">
        <v>45279</v>
      </c>
      <c r="AB20" s="26" t="e">
        <f>HLOOKUP(AA20,Hoja2!$R$2:$AV$56,55,FALSE)</f>
        <v>#N/A</v>
      </c>
      <c r="AC20" s="26" t="e">
        <f>HLOOKUP(AA20,Hoja2!$R$2:$AV$55,54,FALSE)</f>
        <v>#N/A</v>
      </c>
      <c r="AD20" s="77" t="e">
        <f>HLOOKUP(AA20,Hoja2!$R$2:$AV$54,53,FALSE)</f>
        <v>#N/A</v>
      </c>
      <c r="AF20" s="15">
        <v>45270</v>
      </c>
      <c r="AG20" s="8">
        <v>110820</v>
      </c>
      <c r="AH20" s="8" t="s">
        <v>129</v>
      </c>
      <c r="AI20" t="e">
        <f>"CPA Fondeo Bco. Inter. USD a JPM COL "&amp;AC11&amp;" T/C "&amp;AD11&amp;""</f>
        <v>#N/A</v>
      </c>
      <c r="AJ20" s="16" t="e">
        <f>+AB11</f>
        <v>#N/A</v>
      </c>
      <c r="AK20" s="17"/>
    </row>
    <row r="21" spans="1:37" x14ac:dyDescent="0.25">
      <c r="A21" s="1">
        <v>45280</v>
      </c>
      <c r="B21" s="26" t="e">
        <f>HLOOKUP(A21,Hoja2!$R$2:$AV$48,47,FALSE)</f>
        <v>#N/A</v>
      </c>
      <c r="C21" s="26" t="e">
        <f>HLOOKUP(A21,Hoja2!$R$2:$AV$47,46,FALSE)</f>
        <v>#N/A</v>
      </c>
      <c r="D21" s="26" t="e">
        <f>HLOOKUP(A21,Hoja2!$R$2:$AV$46,45,FALSE)</f>
        <v>#N/A</v>
      </c>
      <c r="F21" s="11"/>
      <c r="G21" s="12">
        <v>110208</v>
      </c>
      <c r="H21" s="12" t="s">
        <v>46</v>
      </c>
      <c r="I21" s="12" t="e">
        <f t="shared" ref="I21" si="39">I20</f>
        <v>#N/A</v>
      </c>
      <c r="J21" s="3"/>
      <c r="K21" s="10" t="e">
        <f t="shared" ref="K21" si="40">J20</f>
        <v>#N/A</v>
      </c>
      <c r="N21" s="1">
        <v>45280</v>
      </c>
      <c r="O21" s="26" t="e">
        <f>HLOOKUP(N21,Hoja2!$R$2:$AV$52,51,FALSE)</f>
        <v>#N/A</v>
      </c>
      <c r="P21" s="26" t="e">
        <f>HLOOKUP(N21,Hoja2!$R$2:$AV$51,50,FALSE)</f>
        <v>#N/A</v>
      </c>
      <c r="Q21" s="77" t="e">
        <f>HLOOKUP(N21,Hoja2!$R$2:$AV$50,49,FALSE)</f>
        <v>#N/A</v>
      </c>
      <c r="S21" s="11"/>
      <c r="T21" s="12">
        <v>110279</v>
      </c>
      <c r="U21" s="12" t="s">
        <v>71</v>
      </c>
      <c r="V21" s="12" t="e">
        <f t="shared" ref="V21" si="41">V20</f>
        <v>#N/A</v>
      </c>
      <c r="W21" s="3"/>
      <c r="X21" s="10" t="e">
        <f t="shared" ref="X21" si="42">W20</f>
        <v>#N/A</v>
      </c>
      <c r="AA21" s="1">
        <v>45280</v>
      </c>
      <c r="AB21" s="26" t="e">
        <f>HLOOKUP(AA21,Hoja2!$R$2:$AV$56,55,FALSE)</f>
        <v>#N/A</v>
      </c>
      <c r="AC21" s="26" t="e">
        <f>HLOOKUP(AA21,Hoja2!$R$2:$AV$55,54,FALSE)</f>
        <v>#N/A</v>
      </c>
      <c r="AD21" s="77" t="e">
        <f>HLOOKUP(AA21,Hoja2!$R$2:$AV$54,53,FALSE)</f>
        <v>#N/A</v>
      </c>
      <c r="AF21" s="11"/>
      <c r="AG21" s="12">
        <v>110279</v>
      </c>
      <c r="AH21" s="12" t="s">
        <v>71</v>
      </c>
      <c r="AI21" s="12" t="e">
        <f t="shared" ref="AI21" si="43">AI20</f>
        <v>#N/A</v>
      </c>
      <c r="AJ21" s="3"/>
      <c r="AK21" s="10" t="e">
        <f t="shared" ref="AK21" si="44">AJ20</f>
        <v>#N/A</v>
      </c>
    </row>
    <row r="22" spans="1:37" x14ac:dyDescent="0.25">
      <c r="A22" s="1">
        <v>45281</v>
      </c>
      <c r="B22" s="26" t="e">
        <f>HLOOKUP(A22,Hoja2!$R$2:$AV$48,47,FALSE)</f>
        <v>#N/A</v>
      </c>
      <c r="C22" s="26" t="e">
        <f>HLOOKUP(A22,Hoja2!$R$2:$AV$47,46,FALSE)</f>
        <v>#N/A</v>
      </c>
      <c r="D22" s="26" t="e">
        <f>HLOOKUP(A22,Hoja2!$R$2:$AV$46,45,FALSE)</f>
        <v>#N/A</v>
      </c>
      <c r="F22" s="15">
        <v>45271</v>
      </c>
      <c r="G22" s="8">
        <v>110279</v>
      </c>
      <c r="H22" s="8" t="s">
        <v>71</v>
      </c>
      <c r="I22" t="e">
        <f>"CPA Compra Divisas Bco. Inter. " &amp;C12&amp;" T/C "&amp;D12</f>
        <v>#N/A</v>
      </c>
      <c r="J22" s="16" t="e">
        <f>+B12</f>
        <v>#N/A</v>
      </c>
      <c r="K22" s="17"/>
      <c r="N22" s="1">
        <v>45281</v>
      </c>
      <c r="O22" s="26" t="e">
        <f>HLOOKUP(N22,Hoja2!$R$2:$AV$52,51,FALSE)</f>
        <v>#N/A</v>
      </c>
      <c r="P22" s="26" t="e">
        <f>HLOOKUP(N22,Hoja2!$R$2:$AV$51,50,FALSE)</f>
        <v>#N/A</v>
      </c>
      <c r="Q22" s="77" t="e">
        <f>HLOOKUP(N22,Hoja2!$R$2:$AV$50,49,FALSE)</f>
        <v>#N/A</v>
      </c>
      <c r="S22" s="15">
        <v>45271</v>
      </c>
      <c r="T22" s="8">
        <v>110285</v>
      </c>
      <c r="U22" s="8" t="s">
        <v>110</v>
      </c>
      <c r="V22" t="e">
        <f>"CPA Fondeo Bco. Inter. USD a CFSB 2475 " &amp;P12&amp;" T/C "&amp;Q12</f>
        <v>#N/A</v>
      </c>
      <c r="W22" s="16" t="e">
        <f>+O12</f>
        <v>#N/A</v>
      </c>
      <c r="X22" s="17"/>
      <c r="AA22" s="1">
        <v>45281</v>
      </c>
      <c r="AB22" s="26" t="e">
        <f>HLOOKUP(AA22,Hoja2!$R$2:$AV$56,55,FALSE)</f>
        <v>#N/A</v>
      </c>
      <c r="AC22" s="26" t="e">
        <f>HLOOKUP(AA22,Hoja2!$R$2:$AV$55,54,FALSE)</f>
        <v>#N/A</v>
      </c>
      <c r="AD22" s="77" t="e">
        <f>HLOOKUP(AA22,Hoja2!$R$2:$AV$54,53,FALSE)</f>
        <v>#N/A</v>
      </c>
      <c r="AF22" s="15">
        <v>45271</v>
      </c>
      <c r="AG22" s="8">
        <v>110820</v>
      </c>
      <c r="AH22" s="8" t="s">
        <v>129</v>
      </c>
      <c r="AI22" t="e">
        <f>"CPA Fondeo Bco. Inter. USD a JPM COL " &amp;AC12&amp;" T/C "&amp;AD12</f>
        <v>#N/A</v>
      </c>
      <c r="AJ22" s="16" t="e">
        <f>+AB12</f>
        <v>#N/A</v>
      </c>
      <c r="AK22" s="17"/>
    </row>
    <row r="23" spans="1:37" x14ac:dyDescent="0.25">
      <c r="A23" s="1">
        <v>45282</v>
      </c>
      <c r="B23" s="26" t="e">
        <f>HLOOKUP(A23,Hoja2!$R$2:$AV$48,47,FALSE)</f>
        <v>#N/A</v>
      </c>
      <c r="C23" s="26" t="e">
        <f>HLOOKUP(A23,Hoja2!$R$2:$AV$47,46,FALSE)</f>
        <v>#N/A</v>
      </c>
      <c r="D23" s="26" t="e">
        <f>HLOOKUP(A23,Hoja2!$R$2:$AV$46,45,FALSE)</f>
        <v>#N/A</v>
      </c>
      <c r="F23" s="11"/>
      <c r="G23" s="12">
        <v>110208</v>
      </c>
      <c r="H23" s="12" t="s">
        <v>46</v>
      </c>
      <c r="I23" s="12" t="e">
        <f t="shared" ref="I23" si="45">I22</f>
        <v>#N/A</v>
      </c>
      <c r="J23" s="3"/>
      <c r="K23" s="10" t="e">
        <f t="shared" ref="K23" si="46">J22</f>
        <v>#N/A</v>
      </c>
      <c r="N23" s="1">
        <v>45282</v>
      </c>
      <c r="O23" s="26" t="e">
        <f>HLOOKUP(N23,Hoja2!$R$2:$AV$52,51,FALSE)</f>
        <v>#N/A</v>
      </c>
      <c r="P23" s="26" t="e">
        <f>HLOOKUP(N23,Hoja2!$R$2:$AV$51,50,FALSE)</f>
        <v>#N/A</v>
      </c>
      <c r="Q23" s="77" t="e">
        <f>HLOOKUP(N23,Hoja2!$R$2:$AV$50,49,FALSE)</f>
        <v>#N/A</v>
      </c>
      <c r="S23" s="11"/>
      <c r="T23" s="12">
        <v>110279</v>
      </c>
      <c r="U23" s="12" t="s">
        <v>71</v>
      </c>
      <c r="V23" s="12" t="e">
        <f t="shared" ref="V23" si="47">V22</f>
        <v>#N/A</v>
      </c>
      <c r="W23" s="3"/>
      <c r="X23" s="10" t="e">
        <f t="shared" ref="X23" si="48">W22</f>
        <v>#N/A</v>
      </c>
      <c r="AA23" s="1">
        <v>45282</v>
      </c>
      <c r="AB23" s="26" t="e">
        <f>HLOOKUP(AA23,Hoja2!$R$2:$AV$56,55,FALSE)</f>
        <v>#N/A</v>
      </c>
      <c r="AC23" s="26" t="e">
        <f>HLOOKUP(AA23,Hoja2!$R$2:$AV$55,54,FALSE)</f>
        <v>#N/A</v>
      </c>
      <c r="AD23" s="77" t="e">
        <f>HLOOKUP(AA23,Hoja2!$R$2:$AV$54,53,FALSE)</f>
        <v>#N/A</v>
      </c>
      <c r="AF23" s="11"/>
      <c r="AG23" s="12">
        <v>110279</v>
      </c>
      <c r="AH23" s="12" t="s">
        <v>71</v>
      </c>
      <c r="AI23" s="12" t="e">
        <f t="shared" ref="AI23" si="49">AI22</f>
        <v>#N/A</v>
      </c>
      <c r="AJ23" s="3"/>
      <c r="AK23" s="10" t="e">
        <f t="shared" ref="AK23" si="50">AJ22</f>
        <v>#N/A</v>
      </c>
    </row>
    <row r="24" spans="1:37" x14ac:dyDescent="0.25">
      <c r="A24" s="1">
        <v>45283</v>
      </c>
      <c r="B24" s="26" t="e">
        <f>HLOOKUP(A24,Hoja2!$R$2:$AV$48,47,FALSE)</f>
        <v>#N/A</v>
      </c>
      <c r="C24" s="26" t="e">
        <f>HLOOKUP(A24,Hoja2!$R$2:$AV$47,46,FALSE)</f>
        <v>#N/A</v>
      </c>
      <c r="D24" s="115" t="e">
        <f>HLOOKUP(A24,Hoja2!$R$2:$AV$46,45,FALSE)</f>
        <v>#N/A</v>
      </c>
      <c r="F24" s="15">
        <v>45272</v>
      </c>
      <c r="G24" s="8">
        <v>110279</v>
      </c>
      <c r="H24" s="8" t="s">
        <v>71</v>
      </c>
      <c r="I24" t="e">
        <f>"CPA Compra Divisas Bco. Inter. " &amp;C13&amp;" T/C "&amp;D13</f>
        <v>#N/A</v>
      </c>
      <c r="J24" s="16" t="e">
        <f>+B13</f>
        <v>#N/A</v>
      </c>
      <c r="K24" s="17"/>
      <c r="N24" s="1">
        <v>45283</v>
      </c>
      <c r="O24" s="26" t="e">
        <f>HLOOKUP(N24,Hoja2!$R$2:$AV$52,51,FALSE)</f>
        <v>#N/A</v>
      </c>
      <c r="P24" s="26" t="e">
        <f>HLOOKUP(N24,Hoja2!$R$2:$AV$51,50,FALSE)</f>
        <v>#N/A</v>
      </c>
      <c r="Q24" s="77" t="e">
        <f>HLOOKUP(N24,Hoja2!$R$2:$AV$50,49,FALSE)</f>
        <v>#N/A</v>
      </c>
      <c r="S24" s="15">
        <v>45272</v>
      </c>
      <c r="T24" s="8">
        <v>110285</v>
      </c>
      <c r="U24" s="8" t="s">
        <v>110</v>
      </c>
      <c r="V24" t="e">
        <f>"CPA Fondeo Bco. Inter. USD a CFSB 2475 " &amp;P13&amp;" T/C "&amp;Q13</f>
        <v>#N/A</v>
      </c>
      <c r="W24" s="16" t="e">
        <f>+O13</f>
        <v>#N/A</v>
      </c>
      <c r="X24" s="17"/>
      <c r="AA24" s="1">
        <v>45283</v>
      </c>
      <c r="AB24" s="26" t="e">
        <f>HLOOKUP(AA24,Hoja2!$R$2:$AV$56,55,FALSE)</f>
        <v>#N/A</v>
      </c>
      <c r="AC24" s="26" t="e">
        <f>HLOOKUP(AA24,Hoja2!$R$2:$AV$55,54,FALSE)</f>
        <v>#N/A</v>
      </c>
      <c r="AD24" s="77" t="e">
        <f>HLOOKUP(AA24,Hoja2!$R$2:$AV$54,53,FALSE)</f>
        <v>#N/A</v>
      </c>
      <c r="AF24" s="15">
        <v>45272</v>
      </c>
      <c r="AG24" s="8">
        <v>110820</v>
      </c>
      <c r="AH24" s="8" t="s">
        <v>129</v>
      </c>
      <c r="AI24" t="e">
        <f>"CPA Fondeo Bco. Inter. USD a JPM COL " &amp;AC13&amp;" T/C "&amp;AD13</f>
        <v>#N/A</v>
      </c>
      <c r="AJ24" s="16" t="e">
        <f>+AB13</f>
        <v>#N/A</v>
      </c>
      <c r="AK24" s="17"/>
    </row>
    <row r="25" spans="1:37" x14ac:dyDescent="0.25">
      <c r="A25" s="1">
        <v>45284</v>
      </c>
      <c r="B25" s="26" t="e">
        <f>HLOOKUP(A25,Hoja2!$R$2:$AV$48,47,FALSE)</f>
        <v>#N/A</v>
      </c>
      <c r="C25" s="26" t="e">
        <f>HLOOKUP(A25,Hoja2!$R$2:$AV$47,46,FALSE)</f>
        <v>#N/A</v>
      </c>
      <c r="D25" s="26" t="e">
        <f>HLOOKUP(A25,Hoja2!$R$2:$AV$46,45,FALSE)</f>
        <v>#N/A</v>
      </c>
      <c r="F25" s="11"/>
      <c r="G25" s="12">
        <v>110208</v>
      </c>
      <c r="H25" s="12" t="s">
        <v>46</v>
      </c>
      <c r="I25" s="12" t="e">
        <f t="shared" ref="I25" si="51">I24</f>
        <v>#N/A</v>
      </c>
      <c r="J25" s="3"/>
      <c r="K25" s="10" t="e">
        <f>J24</f>
        <v>#N/A</v>
      </c>
      <c r="N25" s="1">
        <v>45284</v>
      </c>
      <c r="O25" s="26" t="e">
        <f>HLOOKUP(N25,Hoja2!$R$2:$AV$52,51,FALSE)</f>
        <v>#N/A</v>
      </c>
      <c r="P25" s="26" t="e">
        <f>HLOOKUP(N25,Hoja2!$R$2:$AV$51,50,FALSE)</f>
        <v>#N/A</v>
      </c>
      <c r="Q25" s="77" t="e">
        <f>HLOOKUP(N25,Hoja2!$R$2:$AV$50,49,FALSE)</f>
        <v>#N/A</v>
      </c>
      <c r="S25" s="11"/>
      <c r="T25" s="12">
        <v>110279</v>
      </c>
      <c r="U25" s="12" t="s">
        <v>71</v>
      </c>
      <c r="V25" s="12" t="e">
        <f t="shared" ref="V25" si="52">V24</f>
        <v>#N/A</v>
      </c>
      <c r="W25" s="3"/>
      <c r="X25" s="10" t="e">
        <f>W24</f>
        <v>#N/A</v>
      </c>
      <c r="AA25" s="1">
        <v>45284</v>
      </c>
      <c r="AB25" s="26" t="e">
        <f>HLOOKUP(AA25,Hoja2!$R$2:$AV$56,55,FALSE)</f>
        <v>#N/A</v>
      </c>
      <c r="AC25" s="26" t="e">
        <f>HLOOKUP(AA25,Hoja2!$R$2:$AV$55,54,FALSE)</f>
        <v>#N/A</v>
      </c>
      <c r="AD25" s="77" t="e">
        <f>HLOOKUP(AA25,Hoja2!$R$2:$AV$54,53,FALSE)</f>
        <v>#N/A</v>
      </c>
      <c r="AF25" s="11"/>
      <c r="AG25" s="12">
        <v>110279</v>
      </c>
      <c r="AH25" s="12" t="s">
        <v>71</v>
      </c>
      <c r="AI25" s="12" t="e">
        <f t="shared" ref="AI25" si="53">AI24</f>
        <v>#N/A</v>
      </c>
      <c r="AJ25" s="3"/>
      <c r="AK25" s="10" t="e">
        <f>AJ24</f>
        <v>#N/A</v>
      </c>
    </row>
    <row r="26" spans="1:37" x14ac:dyDescent="0.25">
      <c r="A26" s="1">
        <v>45285</v>
      </c>
      <c r="B26" s="26" t="e">
        <f>HLOOKUP(A26,Hoja2!$R$2:$AV$48,47,FALSE)</f>
        <v>#N/A</v>
      </c>
      <c r="C26" s="26" t="e">
        <f>HLOOKUP(A26,Hoja2!$R$2:$AV$47,46,FALSE)</f>
        <v>#N/A</v>
      </c>
      <c r="D26" s="26" t="e">
        <f>HLOOKUP(A26,Hoja2!$R$2:$AV$46,45,FALSE)</f>
        <v>#N/A</v>
      </c>
      <c r="F26" s="15">
        <v>45273</v>
      </c>
      <c r="G26" s="8">
        <v>110279</v>
      </c>
      <c r="H26" s="8" t="s">
        <v>71</v>
      </c>
      <c r="I26" t="e">
        <f>"CPA Compra Divisas Bco. Inter. " &amp;C14&amp;" T/C "&amp;D14</f>
        <v>#N/A</v>
      </c>
      <c r="J26" s="16" t="e">
        <f>+B14</f>
        <v>#N/A</v>
      </c>
      <c r="K26" s="17"/>
      <c r="N26" s="1">
        <v>45285</v>
      </c>
      <c r="O26" s="26" t="e">
        <f>HLOOKUP(N26,Hoja2!$R$2:$AV$52,51,FALSE)</f>
        <v>#N/A</v>
      </c>
      <c r="P26" s="26" t="e">
        <f>HLOOKUP(N26,Hoja2!$R$2:$AV$51,50,FALSE)</f>
        <v>#N/A</v>
      </c>
      <c r="Q26" s="77" t="e">
        <f>HLOOKUP(N26,Hoja2!$R$2:$AV$50,49,FALSE)</f>
        <v>#N/A</v>
      </c>
      <c r="S26" s="15">
        <v>45273</v>
      </c>
      <c r="T26" s="8">
        <v>110285</v>
      </c>
      <c r="U26" s="8" t="s">
        <v>110</v>
      </c>
      <c r="V26" t="e">
        <f>"CPA Fondeo Bco. Inter. USD a CFSB 2475 " &amp;P14&amp;" T/C "&amp;Q14</f>
        <v>#N/A</v>
      </c>
      <c r="W26" s="16" t="e">
        <f>+O14</f>
        <v>#N/A</v>
      </c>
      <c r="X26" s="17"/>
      <c r="AA26" s="1">
        <v>45285</v>
      </c>
      <c r="AB26" s="26" t="e">
        <f>HLOOKUP(AA26,Hoja2!$R$2:$AV$56,55,FALSE)</f>
        <v>#N/A</v>
      </c>
      <c r="AC26" s="26" t="e">
        <f>HLOOKUP(AA26,Hoja2!$R$2:$AV$55,54,FALSE)</f>
        <v>#N/A</v>
      </c>
      <c r="AD26" s="77" t="e">
        <f>HLOOKUP(AA26,Hoja2!$R$2:$AV$54,53,FALSE)</f>
        <v>#N/A</v>
      </c>
      <c r="AF26" s="15">
        <v>45273</v>
      </c>
      <c r="AG26" s="8">
        <v>110820</v>
      </c>
      <c r="AH26" s="8" t="s">
        <v>129</v>
      </c>
      <c r="AI26" t="e">
        <f>"CPA Fondeo Bco. Inter. USD a JPM COL " &amp;AC14&amp;" T/C "&amp;AD14</f>
        <v>#N/A</v>
      </c>
      <c r="AJ26" s="16" t="e">
        <f>+AB14</f>
        <v>#N/A</v>
      </c>
      <c r="AK26" s="17"/>
    </row>
    <row r="27" spans="1:37" x14ac:dyDescent="0.25">
      <c r="A27" s="1">
        <v>45286</v>
      </c>
      <c r="B27" s="26" t="e">
        <f>HLOOKUP(A27,Hoja2!$R$2:$AV$48,47,FALSE)</f>
        <v>#N/A</v>
      </c>
      <c r="C27" s="26" t="e">
        <f>HLOOKUP(A27,Hoja2!$R$2:$AV$47,46,FALSE)</f>
        <v>#N/A</v>
      </c>
      <c r="D27" s="26" t="e">
        <f>HLOOKUP(A27,Hoja2!$R$2:$AV$46,45,FALSE)</f>
        <v>#N/A</v>
      </c>
      <c r="F27" s="11"/>
      <c r="G27" s="12">
        <v>110208</v>
      </c>
      <c r="H27" s="12" t="s">
        <v>46</v>
      </c>
      <c r="I27" s="12" t="e">
        <f t="shared" ref="I27" si="54">I26</f>
        <v>#N/A</v>
      </c>
      <c r="J27" s="3"/>
      <c r="K27" s="10" t="e">
        <f t="shared" ref="K27" si="55">J26</f>
        <v>#N/A</v>
      </c>
      <c r="N27" s="1">
        <v>45286</v>
      </c>
      <c r="O27" s="26" t="e">
        <f>HLOOKUP(N27,Hoja2!$R$2:$AV$52,51,FALSE)</f>
        <v>#N/A</v>
      </c>
      <c r="P27" s="26" t="e">
        <f>HLOOKUP(N27,Hoja2!$R$2:$AV$51,50,FALSE)</f>
        <v>#N/A</v>
      </c>
      <c r="Q27" s="77" t="e">
        <f>HLOOKUP(N27,Hoja2!$R$2:$AV$50,49,FALSE)</f>
        <v>#N/A</v>
      </c>
      <c r="S27" s="11"/>
      <c r="T27" s="12">
        <v>110279</v>
      </c>
      <c r="U27" s="12" t="s">
        <v>71</v>
      </c>
      <c r="V27" s="12" t="e">
        <f t="shared" ref="V27" si="56">V26</f>
        <v>#N/A</v>
      </c>
      <c r="W27" s="3"/>
      <c r="X27" s="10" t="e">
        <f t="shared" ref="X27" si="57">W26</f>
        <v>#N/A</v>
      </c>
      <c r="AA27" s="1">
        <v>45286</v>
      </c>
      <c r="AB27" s="26" t="e">
        <f>HLOOKUP(AA27,Hoja2!$R$2:$AV$56,55,FALSE)</f>
        <v>#N/A</v>
      </c>
      <c r="AC27" s="26" t="e">
        <f>HLOOKUP(AA27,Hoja2!$R$2:$AV$55,54,FALSE)</f>
        <v>#N/A</v>
      </c>
      <c r="AD27" s="77" t="e">
        <f>HLOOKUP(AA27,Hoja2!$R$2:$AV$54,53,FALSE)</f>
        <v>#N/A</v>
      </c>
      <c r="AF27" s="11"/>
      <c r="AG27" s="12">
        <v>110279</v>
      </c>
      <c r="AH27" s="12" t="s">
        <v>71</v>
      </c>
      <c r="AI27" s="12" t="e">
        <f t="shared" ref="AI27" si="58">AI26</f>
        <v>#N/A</v>
      </c>
      <c r="AJ27" s="3"/>
      <c r="AK27" s="10" t="e">
        <f t="shared" ref="AK27" si="59">AJ26</f>
        <v>#N/A</v>
      </c>
    </row>
    <row r="28" spans="1:37" x14ac:dyDescent="0.25">
      <c r="A28" s="1">
        <v>45287</v>
      </c>
      <c r="B28" s="26" t="e">
        <f>HLOOKUP(A28,Hoja2!$R$2:$AV$48,47,FALSE)</f>
        <v>#N/A</v>
      </c>
      <c r="C28" s="26" t="e">
        <f>HLOOKUP(A28,Hoja2!$R$2:$AV$47,46,FALSE)</f>
        <v>#N/A</v>
      </c>
      <c r="D28" s="26" t="e">
        <f>HLOOKUP(A28,Hoja2!$R$2:$AV$46,45,FALSE)</f>
        <v>#N/A</v>
      </c>
      <c r="F28" s="15">
        <v>45274</v>
      </c>
      <c r="G28" s="8">
        <v>110279</v>
      </c>
      <c r="H28" s="8" t="s">
        <v>71</v>
      </c>
      <c r="I28" t="e">
        <f>"CPA Compra Divisas Bco. Inter. " &amp;C15&amp;" T/C "&amp;D15</f>
        <v>#N/A</v>
      </c>
      <c r="J28" s="16" t="e">
        <f>+B15</f>
        <v>#N/A</v>
      </c>
      <c r="K28" s="17"/>
      <c r="N28" s="1">
        <v>45287</v>
      </c>
      <c r="O28" s="26" t="e">
        <f>HLOOKUP(N28,Hoja2!$R$2:$AV$52,51,FALSE)</f>
        <v>#N/A</v>
      </c>
      <c r="P28" s="26" t="e">
        <f>HLOOKUP(N28,Hoja2!$R$2:$AV$51,50,FALSE)</f>
        <v>#N/A</v>
      </c>
      <c r="Q28" s="77" t="e">
        <f>HLOOKUP(N28,Hoja2!$R$2:$AV$50,49,FALSE)</f>
        <v>#N/A</v>
      </c>
      <c r="S28" s="15">
        <v>45274</v>
      </c>
      <c r="T28" s="8">
        <v>110285</v>
      </c>
      <c r="U28" s="8" t="s">
        <v>110</v>
      </c>
      <c r="V28" t="e">
        <f>"CPA Fondeo Bco. Inter. USD a CFSB 2475 " &amp;P15&amp;" T/C "&amp;Q15</f>
        <v>#N/A</v>
      </c>
      <c r="W28" s="16" t="e">
        <f>+O15</f>
        <v>#N/A</v>
      </c>
      <c r="X28" s="17"/>
      <c r="AA28" s="1">
        <v>45287</v>
      </c>
      <c r="AB28" s="26" t="e">
        <f>HLOOKUP(AA28,Hoja2!$R$2:$AV$56,55,FALSE)</f>
        <v>#N/A</v>
      </c>
      <c r="AC28" s="26" t="e">
        <f>HLOOKUP(AA28,Hoja2!$R$2:$AV$55,54,FALSE)</f>
        <v>#N/A</v>
      </c>
      <c r="AD28" s="77" t="e">
        <f>HLOOKUP(AA28,Hoja2!$R$2:$AV$54,53,FALSE)</f>
        <v>#N/A</v>
      </c>
      <c r="AF28" s="15">
        <v>45274</v>
      </c>
      <c r="AG28" s="8">
        <v>110820</v>
      </c>
      <c r="AH28" s="8" t="s">
        <v>129</v>
      </c>
      <c r="AI28" t="e">
        <f>"CPA Fondeo Bco. Inter. USD a JPM COL " &amp;AC15&amp;" T/C "&amp;AD15</f>
        <v>#N/A</v>
      </c>
      <c r="AJ28" s="16" t="e">
        <f>+AB15</f>
        <v>#N/A</v>
      </c>
      <c r="AK28" s="17"/>
    </row>
    <row r="29" spans="1:37" x14ac:dyDescent="0.25">
      <c r="A29" s="1">
        <v>45288</v>
      </c>
      <c r="B29" s="26" t="e">
        <f>HLOOKUP(A29,Hoja2!$R$2:$AV$48,47,FALSE)</f>
        <v>#N/A</v>
      </c>
      <c r="C29" s="26" t="e">
        <f>HLOOKUP(A29,Hoja2!$R$2:$AV$47,46,FALSE)</f>
        <v>#N/A</v>
      </c>
      <c r="D29" s="26" t="e">
        <f>HLOOKUP(A29,Hoja2!$R$2:$AV$46,45,FALSE)</f>
        <v>#N/A</v>
      </c>
      <c r="F29" s="11"/>
      <c r="G29" s="12">
        <v>110208</v>
      </c>
      <c r="H29" s="12" t="s">
        <v>46</v>
      </c>
      <c r="I29" s="12" t="e">
        <f t="shared" ref="I29" si="60">I28</f>
        <v>#N/A</v>
      </c>
      <c r="J29" s="3"/>
      <c r="K29" s="10" t="e">
        <f t="shared" ref="K29" si="61">J28</f>
        <v>#N/A</v>
      </c>
      <c r="N29" s="1">
        <v>45288</v>
      </c>
      <c r="O29" s="26" t="e">
        <f>HLOOKUP(N29,Hoja2!$R$2:$AV$52,51,FALSE)</f>
        <v>#N/A</v>
      </c>
      <c r="P29" s="26" t="e">
        <f>HLOOKUP(N29,Hoja2!$R$2:$AV$51,50,FALSE)</f>
        <v>#N/A</v>
      </c>
      <c r="Q29" s="77" t="e">
        <f>HLOOKUP(N29,Hoja2!$R$2:$AV$50,49,FALSE)</f>
        <v>#N/A</v>
      </c>
      <c r="S29" s="11"/>
      <c r="T29" s="12">
        <v>110279</v>
      </c>
      <c r="U29" s="12" t="s">
        <v>71</v>
      </c>
      <c r="V29" s="12" t="e">
        <f t="shared" ref="V29" si="62">V28</f>
        <v>#N/A</v>
      </c>
      <c r="W29" s="3"/>
      <c r="X29" s="10" t="e">
        <f t="shared" ref="X29" si="63">W28</f>
        <v>#N/A</v>
      </c>
      <c r="AA29" s="1">
        <v>45288</v>
      </c>
      <c r="AB29" s="26" t="e">
        <f>HLOOKUP(AA29,Hoja2!$R$2:$AV$56,55,FALSE)</f>
        <v>#N/A</v>
      </c>
      <c r="AC29" s="26" t="e">
        <f>HLOOKUP(AA29,Hoja2!$R$2:$AV$55,54,FALSE)</f>
        <v>#N/A</v>
      </c>
      <c r="AD29" s="77" t="e">
        <f>HLOOKUP(AA29,Hoja2!$R$2:$AV$54,53,FALSE)</f>
        <v>#N/A</v>
      </c>
      <c r="AF29" s="11"/>
      <c r="AG29" s="12">
        <v>110279</v>
      </c>
      <c r="AH29" s="12" t="s">
        <v>71</v>
      </c>
      <c r="AI29" s="12" t="e">
        <f t="shared" ref="AI29" si="64">AI28</f>
        <v>#N/A</v>
      </c>
      <c r="AJ29" s="3"/>
      <c r="AK29" s="10" t="e">
        <f t="shared" ref="AK29" si="65">AJ28</f>
        <v>#N/A</v>
      </c>
    </row>
    <row r="30" spans="1:37" x14ac:dyDescent="0.25">
      <c r="A30" s="1">
        <v>45289</v>
      </c>
      <c r="B30" s="26" t="e">
        <f>HLOOKUP(A30,Hoja2!$R$2:$AV$48,47,FALSE)</f>
        <v>#N/A</v>
      </c>
      <c r="C30" s="26" t="e">
        <f>HLOOKUP(A30,Hoja2!$R$2:$AV$47,46,FALSE)</f>
        <v>#N/A</v>
      </c>
      <c r="D30" s="26" t="e">
        <f>HLOOKUP(A30,Hoja2!$R$2:$AV$46,45,FALSE)</f>
        <v>#N/A</v>
      </c>
      <c r="F30" s="15">
        <v>45275</v>
      </c>
      <c r="G30" s="8">
        <v>110279</v>
      </c>
      <c r="H30" s="8" t="s">
        <v>71</v>
      </c>
      <c r="I30" t="e">
        <f>"CPA Compra Divisas Bco. Inter. " &amp;C16&amp;" T/C "&amp;D16</f>
        <v>#N/A</v>
      </c>
      <c r="J30" s="16" t="e">
        <f>+B16</f>
        <v>#N/A</v>
      </c>
      <c r="K30" s="17"/>
      <c r="N30" s="1">
        <v>45289</v>
      </c>
      <c r="O30" s="26" t="e">
        <f>HLOOKUP(N30,Hoja2!$R$2:$AV$52,51,FALSE)</f>
        <v>#N/A</v>
      </c>
      <c r="P30" s="26" t="e">
        <f>HLOOKUP(N30,Hoja2!$R$2:$AV$51,50,FALSE)</f>
        <v>#N/A</v>
      </c>
      <c r="Q30" s="77" t="e">
        <f>HLOOKUP(N30,Hoja2!$R$2:$AV$50,49,FALSE)</f>
        <v>#N/A</v>
      </c>
      <c r="S30" s="15">
        <v>45275</v>
      </c>
      <c r="T30" s="8">
        <v>110285</v>
      </c>
      <c r="U30" s="8" t="s">
        <v>110</v>
      </c>
      <c r="V30" t="e">
        <f>"CPA Fondeo Bco. Inter. USD a CFSB 2475 " &amp;P16&amp;" T/C "&amp;Q16</f>
        <v>#N/A</v>
      </c>
      <c r="W30" s="16" t="e">
        <f>+O16</f>
        <v>#N/A</v>
      </c>
      <c r="X30" s="17"/>
      <c r="AA30" s="1">
        <v>45289</v>
      </c>
      <c r="AB30" s="26" t="e">
        <f>HLOOKUP(AA30,Hoja2!$R$2:$AV$56,55,FALSE)</f>
        <v>#N/A</v>
      </c>
      <c r="AC30" s="26" t="e">
        <f>HLOOKUP(AA30,Hoja2!$R$2:$AV$55,54,FALSE)</f>
        <v>#N/A</v>
      </c>
      <c r="AD30" s="77" t="e">
        <f>HLOOKUP(AA30,Hoja2!$R$2:$AV$54,53,FALSE)</f>
        <v>#N/A</v>
      </c>
      <c r="AF30" s="15">
        <v>45275</v>
      </c>
      <c r="AG30" s="8">
        <v>110820</v>
      </c>
      <c r="AH30" s="8" t="s">
        <v>129</v>
      </c>
      <c r="AI30" t="e">
        <f>"CPA Fondeo Bco. Inter. USD a JPM COL " &amp;AC16&amp;" T/C "&amp;AD16</f>
        <v>#N/A</v>
      </c>
      <c r="AJ30" s="16" t="e">
        <f>+AB16</f>
        <v>#N/A</v>
      </c>
      <c r="AK30" s="17"/>
    </row>
    <row r="31" spans="1:37" x14ac:dyDescent="0.25">
      <c r="A31" s="1">
        <v>45290</v>
      </c>
      <c r="B31" s="26" t="e">
        <f>HLOOKUP(A31,Hoja2!$R$2:$AV$48,47,FALSE)</f>
        <v>#N/A</v>
      </c>
      <c r="C31" s="26" t="e">
        <f>HLOOKUP(A31,Hoja2!$R$2:$AV$47,46,FALSE)</f>
        <v>#N/A</v>
      </c>
      <c r="D31" s="26" t="e">
        <f>HLOOKUP(A31,Hoja2!$R$2:$AV$46,45,FALSE)</f>
        <v>#N/A</v>
      </c>
      <c r="F31" s="11"/>
      <c r="G31" s="12">
        <v>110208</v>
      </c>
      <c r="H31" s="12" t="s">
        <v>46</v>
      </c>
      <c r="I31" s="12" t="e">
        <f t="shared" ref="I31" si="66">I30</f>
        <v>#N/A</v>
      </c>
      <c r="J31" s="13"/>
      <c r="K31" s="18" t="e">
        <f>J30</f>
        <v>#N/A</v>
      </c>
      <c r="N31" s="1">
        <v>45290</v>
      </c>
      <c r="O31" s="26" t="e">
        <f>HLOOKUP(N31,Hoja2!$R$2:$AV$52,51,FALSE)</f>
        <v>#N/A</v>
      </c>
      <c r="P31" s="26" t="e">
        <f>HLOOKUP(N31,Hoja2!$R$2:$AV$51,50,FALSE)</f>
        <v>#N/A</v>
      </c>
      <c r="Q31" s="77" t="e">
        <f>HLOOKUP(N31,Hoja2!$R$2:$AV$50,49,FALSE)</f>
        <v>#N/A</v>
      </c>
      <c r="S31" s="11"/>
      <c r="T31" s="12">
        <v>110279</v>
      </c>
      <c r="U31" s="12" t="s">
        <v>71</v>
      </c>
      <c r="V31" s="12" t="e">
        <f t="shared" ref="V31" si="67">V30</f>
        <v>#N/A</v>
      </c>
      <c r="W31" s="13"/>
      <c r="X31" s="18" t="e">
        <f>W30</f>
        <v>#N/A</v>
      </c>
      <c r="AA31" s="1">
        <v>45290</v>
      </c>
      <c r="AB31" s="26" t="e">
        <f>HLOOKUP(AA31,Hoja2!$R$2:$AV$56,55,FALSE)</f>
        <v>#N/A</v>
      </c>
      <c r="AC31" s="26" t="e">
        <f>HLOOKUP(AA31,Hoja2!$R$2:$AV$55,54,FALSE)</f>
        <v>#N/A</v>
      </c>
      <c r="AD31" s="77" t="e">
        <f>HLOOKUP(AA31,Hoja2!$R$2:$AV$54,53,FALSE)</f>
        <v>#N/A</v>
      </c>
      <c r="AF31" s="11"/>
      <c r="AG31" s="12">
        <v>110279</v>
      </c>
      <c r="AH31" s="12" t="s">
        <v>71</v>
      </c>
      <c r="AI31" s="12" t="e">
        <f t="shared" ref="AI31" si="68">AI30</f>
        <v>#N/A</v>
      </c>
      <c r="AJ31" s="13"/>
      <c r="AK31" s="18" t="e">
        <f>AJ30</f>
        <v>#N/A</v>
      </c>
    </row>
    <row r="32" spans="1:37" x14ac:dyDescent="0.25">
      <c r="A32" s="1">
        <v>45291</v>
      </c>
      <c r="B32" s="26" t="e">
        <f>HLOOKUP(A32,Hoja2!$R$2:$AV$48,47,FALSE)</f>
        <v>#N/A</v>
      </c>
      <c r="C32" s="26" t="e">
        <f>HLOOKUP(A32,Hoja2!$R$2:$AV$47,46,FALSE)</f>
        <v>#N/A</v>
      </c>
      <c r="D32" s="26" t="e">
        <f>HLOOKUP(A32,Hoja2!$R$2:$AV$46,45,FALSE)</f>
        <v>#N/A</v>
      </c>
      <c r="F32" s="15">
        <v>45276</v>
      </c>
      <c r="G32" s="8">
        <v>110279</v>
      </c>
      <c r="H32" s="8" t="s">
        <v>71</v>
      </c>
      <c r="I32" t="e">
        <f>"CPA Compra Divisas Bco. Inter. " &amp;C17&amp;" T/C "&amp;D17</f>
        <v>#N/A</v>
      </c>
      <c r="J32" s="16" t="e">
        <f>+B17</f>
        <v>#N/A</v>
      </c>
      <c r="K32" s="17"/>
      <c r="N32" s="1">
        <v>45291</v>
      </c>
      <c r="O32" s="26" t="e">
        <f>HLOOKUP(N32,Hoja2!$R$2:$AV$52,51,FALSE)</f>
        <v>#N/A</v>
      </c>
      <c r="P32" s="26" t="e">
        <f>HLOOKUP(N32,Hoja2!$R$2:$AV$51,50,FALSE)</f>
        <v>#N/A</v>
      </c>
      <c r="Q32" s="77" t="e">
        <f>HLOOKUP(N32,Hoja2!$R$2:$AV$50,49,FALSE)</f>
        <v>#N/A</v>
      </c>
      <c r="S32" s="15">
        <v>45276</v>
      </c>
      <c r="T32" s="8">
        <v>110285</v>
      </c>
      <c r="U32" s="8" t="s">
        <v>110</v>
      </c>
      <c r="V32" t="e">
        <f>"CPA Fondeo Bco. Inter. USD a CFSB 2475 " &amp;P17&amp;" T/C "&amp;Q17</f>
        <v>#N/A</v>
      </c>
      <c r="W32" s="16" t="e">
        <f>+O17</f>
        <v>#N/A</v>
      </c>
      <c r="X32" s="17"/>
      <c r="AA32" s="1">
        <v>45291</v>
      </c>
      <c r="AB32" s="26" t="e">
        <f>HLOOKUP(AA32,Hoja2!$R$2:$AV$56,55,FALSE)</f>
        <v>#N/A</v>
      </c>
      <c r="AC32" s="26" t="e">
        <f>HLOOKUP(AA32,Hoja2!$R$2:$AV$55,54,FALSE)</f>
        <v>#N/A</v>
      </c>
      <c r="AD32" s="77" t="e">
        <f>HLOOKUP(AA32,Hoja2!$R$2:$AV$54,53,FALSE)</f>
        <v>#N/A</v>
      </c>
      <c r="AF32" s="15">
        <v>45276</v>
      </c>
      <c r="AG32" s="8">
        <v>110820</v>
      </c>
      <c r="AH32" s="8" t="s">
        <v>129</v>
      </c>
      <c r="AI32" t="e">
        <f>"CPA Fondeo Bco. Inter. USD a JPM COL " &amp;AC17&amp;" T/C "&amp;AD17</f>
        <v>#N/A</v>
      </c>
      <c r="AJ32" s="16" t="e">
        <f>+AB17</f>
        <v>#N/A</v>
      </c>
      <c r="AK32" s="17"/>
    </row>
    <row r="33" spans="6:37" x14ac:dyDescent="0.25">
      <c r="F33" s="11"/>
      <c r="G33" s="12">
        <v>110208</v>
      </c>
      <c r="H33" s="12" t="s">
        <v>46</v>
      </c>
      <c r="I33" s="12" t="e">
        <f t="shared" ref="I33" si="69">I32</f>
        <v>#N/A</v>
      </c>
      <c r="J33" s="13"/>
      <c r="K33" s="18" t="e">
        <f t="shared" ref="K33" si="70">J32</f>
        <v>#N/A</v>
      </c>
      <c r="S33" s="11"/>
      <c r="T33" s="12">
        <v>110279</v>
      </c>
      <c r="U33" s="12" t="s">
        <v>71</v>
      </c>
      <c r="V33" s="12" t="e">
        <f t="shared" ref="V33" si="71">V32</f>
        <v>#N/A</v>
      </c>
      <c r="W33" s="13"/>
      <c r="X33" s="18" t="e">
        <f t="shared" ref="X33" si="72">W32</f>
        <v>#N/A</v>
      </c>
      <c r="AF33" s="11"/>
      <c r="AG33" s="12">
        <v>110279</v>
      </c>
      <c r="AH33" s="12" t="s">
        <v>71</v>
      </c>
      <c r="AI33" s="12" t="e">
        <f t="shared" ref="AI33" si="73">AI32</f>
        <v>#N/A</v>
      </c>
      <c r="AJ33" s="13"/>
      <c r="AK33" s="18" t="e">
        <f t="shared" ref="AK33" si="74">AJ32</f>
        <v>#N/A</v>
      </c>
    </row>
    <row r="34" spans="6:37" x14ac:dyDescent="0.25">
      <c r="F34" s="15">
        <v>45277</v>
      </c>
      <c r="G34" s="8">
        <v>110279</v>
      </c>
      <c r="H34" s="8" t="s">
        <v>71</v>
      </c>
      <c r="I34" t="e">
        <f>"CPA Compra Divisas Bco. Inter. " &amp;C18&amp;" T/C "&amp;D18</f>
        <v>#N/A</v>
      </c>
      <c r="J34" s="16" t="e">
        <f>+B18</f>
        <v>#N/A</v>
      </c>
      <c r="K34" s="17"/>
      <c r="S34" s="15">
        <v>45277</v>
      </c>
      <c r="T34" s="8">
        <v>110285</v>
      </c>
      <c r="U34" s="8" t="s">
        <v>110</v>
      </c>
      <c r="V34" t="e">
        <f>"CPA Fondeo Bco. Inter. USD a CFSB 2475 " &amp;P18&amp;" T/C "&amp;Q18</f>
        <v>#N/A</v>
      </c>
      <c r="W34" s="16" t="e">
        <f>+O18</f>
        <v>#N/A</v>
      </c>
      <c r="X34" s="17"/>
      <c r="AF34" s="15">
        <v>45277</v>
      </c>
      <c r="AG34" s="8">
        <v>110820</v>
      </c>
      <c r="AH34" s="8" t="s">
        <v>129</v>
      </c>
      <c r="AI34" t="e">
        <f>"CPA Fondeo Bco. Inter. USD a JPM COL " &amp;AC18&amp;" T/C "&amp;AD18</f>
        <v>#N/A</v>
      </c>
      <c r="AJ34" s="16" t="e">
        <f>+AB18</f>
        <v>#N/A</v>
      </c>
      <c r="AK34" s="17"/>
    </row>
    <row r="35" spans="6:37" x14ac:dyDescent="0.25">
      <c r="F35" s="11"/>
      <c r="G35" s="12">
        <v>110208</v>
      </c>
      <c r="H35" s="12" t="s">
        <v>46</v>
      </c>
      <c r="I35" s="12" t="e">
        <f t="shared" ref="I35" si="75">I34</f>
        <v>#N/A</v>
      </c>
      <c r="J35" s="13"/>
      <c r="K35" s="18" t="e">
        <f t="shared" ref="K35" si="76">J34</f>
        <v>#N/A</v>
      </c>
      <c r="S35" s="11"/>
      <c r="T35" s="12">
        <v>110279</v>
      </c>
      <c r="U35" s="12" t="s">
        <v>71</v>
      </c>
      <c r="V35" s="12" t="e">
        <f t="shared" ref="V35" si="77">V34</f>
        <v>#N/A</v>
      </c>
      <c r="W35" s="13"/>
      <c r="X35" s="18" t="e">
        <f t="shared" ref="X35" si="78">W34</f>
        <v>#N/A</v>
      </c>
      <c r="AF35" s="11"/>
      <c r="AG35" s="12">
        <v>110279</v>
      </c>
      <c r="AH35" s="12" t="s">
        <v>71</v>
      </c>
      <c r="AI35" s="12" t="e">
        <f t="shared" ref="AI35" si="79">AI34</f>
        <v>#N/A</v>
      </c>
      <c r="AJ35" s="13"/>
      <c r="AK35" s="18" t="e">
        <f t="shared" ref="AK35" si="80">AJ34</f>
        <v>#N/A</v>
      </c>
    </row>
    <row r="36" spans="6:37" x14ac:dyDescent="0.25">
      <c r="F36" s="15">
        <v>45278</v>
      </c>
      <c r="G36" s="8">
        <v>110279</v>
      </c>
      <c r="H36" s="8" t="s">
        <v>71</v>
      </c>
      <c r="I36" t="e">
        <f>"CPA Compra Divisas Bco. Inter. " &amp;C20&amp;" T/C "&amp;D19</f>
        <v>#N/A</v>
      </c>
      <c r="J36" s="16" t="e">
        <f>+B19</f>
        <v>#N/A</v>
      </c>
      <c r="K36" s="17"/>
      <c r="S36" s="15">
        <v>45278</v>
      </c>
      <c r="T36" s="8">
        <v>110285</v>
      </c>
      <c r="U36" s="8" t="s">
        <v>110</v>
      </c>
      <c r="V36" t="e">
        <f>"CPA Fondeo Bco. Inter. USD a CFSB 2475 " &amp;P20&amp;" T/C "&amp;Q19</f>
        <v>#N/A</v>
      </c>
      <c r="W36" s="16" t="e">
        <f>+O19</f>
        <v>#N/A</v>
      </c>
      <c r="X36" s="17"/>
      <c r="AF36" s="15">
        <v>45278</v>
      </c>
      <c r="AG36" s="8">
        <v>110820</v>
      </c>
      <c r="AH36" s="8" t="s">
        <v>129</v>
      </c>
      <c r="AI36" t="e">
        <f>"CPA Fondeo Bco. Inter. USD a JPM COL " &amp;AC20&amp;" T/C "&amp;AD19</f>
        <v>#N/A</v>
      </c>
      <c r="AJ36" s="16" t="e">
        <f>+AB19</f>
        <v>#N/A</v>
      </c>
      <c r="AK36" s="17"/>
    </row>
    <row r="37" spans="6:37" x14ac:dyDescent="0.25">
      <c r="F37" s="11"/>
      <c r="G37" s="12">
        <v>110208</v>
      </c>
      <c r="H37" s="12" t="s">
        <v>46</v>
      </c>
      <c r="I37" s="12" t="e">
        <f t="shared" ref="I37" si="81">I36</f>
        <v>#N/A</v>
      </c>
      <c r="J37" s="13"/>
      <c r="K37" s="18" t="e">
        <f>J36</f>
        <v>#N/A</v>
      </c>
      <c r="S37" s="11"/>
      <c r="T37" s="12">
        <v>110279</v>
      </c>
      <c r="U37" s="12" t="s">
        <v>71</v>
      </c>
      <c r="V37" s="12" t="e">
        <f t="shared" ref="V37" si="82">V36</f>
        <v>#N/A</v>
      </c>
      <c r="W37" s="13"/>
      <c r="X37" s="18" t="e">
        <f>W36</f>
        <v>#N/A</v>
      </c>
      <c r="AF37" s="11"/>
      <c r="AG37" s="12">
        <v>110279</v>
      </c>
      <c r="AH37" s="12" t="s">
        <v>71</v>
      </c>
      <c r="AI37" s="12" t="e">
        <f t="shared" ref="AI37" si="83">AI36</f>
        <v>#N/A</v>
      </c>
      <c r="AJ37" s="13"/>
      <c r="AK37" s="18" t="e">
        <f>AJ36</f>
        <v>#N/A</v>
      </c>
    </row>
    <row r="38" spans="6:37" x14ac:dyDescent="0.25">
      <c r="F38" s="15">
        <v>45279</v>
      </c>
      <c r="G38" s="8">
        <v>110279</v>
      </c>
      <c r="H38" s="8" t="s">
        <v>71</v>
      </c>
      <c r="I38" t="e">
        <f>"CPA Compra Divisas Bco. Inter. " &amp;C20&amp;" T/C "&amp;D20</f>
        <v>#N/A</v>
      </c>
      <c r="J38" s="16" t="e">
        <f>+B20</f>
        <v>#N/A</v>
      </c>
      <c r="K38" s="17"/>
      <c r="S38" s="15">
        <v>45279</v>
      </c>
      <c r="T38" s="8">
        <v>110285</v>
      </c>
      <c r="U38" s="8" t="s">
        <v>110</v>
      </c>
      <c r="V38" t="e">
        <f>"CPA Fondeo Bco. Inter. USD a CFSB 2475 " &amp;P20&amp;" T/C "&amp;Q20</f>
        <v>#N/A</v>
      </c>
      <c r="W38" s="16" t="e">
        <f>+O20</f>
        <v>#N/A</v>
      </c>
      <c r="X38" s="17"/>
      <c r="AF38" s="15">
        <v>45279</v>
      </c>
      <c r="AG38" s="8">
        <v>110820</v>
      </c>
      <c r="AH38" s="8" t="s">
        <v>129</v>
      </c>
      <c r="AI38" t="e">
        <f>"CPA Fondeo Bco. Inter. USD a JPM COL " &amp;AC20&amp;" T/C "&amp;AD20</f>
        <v>#N/A</v>
      </c>
      <c r="AJ38" s="16" t="e">
        <f>+AB20</f>
        <v>#N/A</v>
      </c>
      <c r="AK38" s="17"/>
    </row>
    <row r="39" spans="6:37" x14ac:dyDescent="0.25">
      <c r="F39" s="11"/>
      <c r="G39" s="12">
        <v>110208</v>
      </c>
      <c r="H39" s="12" t="s">
        <v>46</v>
      </c>
      <c r="I39" s="12" t="e">
        <f t="shared" ref="I39" si="84">I38</f>
        <v>#N/A</v>
      </c>
      <c r="J39" s="13"/>
      <c r="K39" s="18" t="e">
        <f t="shared" ref="K39" si="85">J38</f>
        <v>#N/A</v>
      </c>
      <c r="S39" s="11"/>
      <c r="T39" s="12">
        <v>110279</v>
      </c>
      <c r="U39" s="12" t="s">
        <v>71</v>
      </c>
      <c r="V39" s="12" t="e">
        <f t="shared" ref="V39" si="86">V38</f>
        <v>#N/A</v>
      </c>
      <c r="W39" s="13"/>
      <c r="X39" s="18" t="e">
        <f t="shared" ref="X39" si="87">W38</f>
        <v>#N/A</v>
      </c>
      <c r="AF39" s="11"/>
      <c r="AG39" s="12">
        <v>110279</v>
      </c>
      <c r="AH39" s="12" t="s">
        <v>71</v>
      </c>
      <c r="AI39" s="12" t="e">
        <f t="shared" ref="AI39" si="88">AI38</f>
        <v>#N/A</v>
      </c>
      <c r="AJ39" s="13"/>
      <c r="AK39" s="18" t="e">
        <f t="shared" ref="AK39" si="89">AJ38</f>
        <v>#N/A</v>
      </c>
    </row>
    <row r="40" spans="6:37" x14ac:dyDescent="0.25">
      <c r="F40" s="15">
        <v>45280</v>
      </c>
      <c r="G40" s="8">
        <v>110279</v>
      </c>
      <c r="H40" s="8" t="s">
        <v>71</v>
      </c>
      <c r="I40" t="e">
        <f>"CPA Compra Divisas Bco. Inter. " &amp;C21&amp;" T/C "&amp;D21</f>
        <v>#N/A</v>
      </c>
      <c r="J40" s="16" t="e">
        <f>+B21</f>
        <v>#N/A</v>
      </c>
      <c r="K40" s="17"/>
      <c r="S40" s="15">
        <v>45280</v>
      </c>
      <c r="T40" s="8">
        <v>110285</v>
      </c>
      <c r="U40" s="8" t="s">
        <v>110</v>
      </c>
      <c r="V40" t="e">
        <f>"CPA Fondeo Bco. Inter. USD a CFSB 2475 " &amp;P21&amp;" T/C "&amp;Q21</f>
        <v>#N/A</v>
      </c>
      <c r="W40" s="16" t="e">
        <f>+O21</f>
        <v>#N/A</v>
      </c>
      <c r="X40" s="17"/>
      <c r="AF40" s="15">
        <v>45280</v>
      </c>
      <c r="AG40" s="8">
        <v>110820</v>
      </c>
      <c r="AH40" s="8" t="s">
        <v>129</v>
      </c>
      <c r="AI40" t="e">
        <f>"CPA Fondeo Bco. Inter. USD a JPM COL " &amp;AC21&amp;" T/C "&amp;AD21</f>
        <v>#N/A</v>
      </c>
      <c r="AJ40" s="16" t="e">
        <f>+AB21</f>
        <v>#N/A</v>
      </c>
      <c r="AK40" s="17"/>
    </row>
    <row r="41" spans="6:37" x14ac:dyDescent="0.25">
      <c r="F41" s="11"/>
      <c r="G41" s="12">
        <v>110208</v>
      </c>
      <c r="H41" s="12" t="s">
        <v>46</v>
      </c>
      <c r="I41" s="12" t="e">
        <f t="shared" ref="I41" si="90">I40</f>
        <v>#N/A</v>
      </c>
      <c r="J41" s="13"/>
      <c r="K41" s="18" t="e">
        <f>J40</f>
        <v>#N/A</v>
      </c>
      <c r="S41" s="11"/>
      <c r="T41" s="12">
        <v>110279</v>
      </c>
      <c r="U41" s="12" t="s">
        <v>71</v>
      </c>
      <c r="V41" s="12" t="e">
        <f t="shared" ref="V41" si="91">V40</f>
        <v>#N/A</v>
      </c>
      <c r="W41" s="13"/>
      <c r="X41" s="18" t="e">
        <f>W40</f>
        <v>#N/A</v>
      </c>
      <c r="AF41" s="11"/>
      <c r="AG41" s="12">
        <v>110279</v>
      </c>
      <c r="AH41" s="12" t="s">
        <v>71</v>
      </c>
      <c r="AI41" s="12" t="e">
        <f t="shared" ref="AI41" si="92">AI40</f>
        <v>#N/A</v>
      </c>
      <c r="AJ41" s="13"/>
      <c r="AK41" s="18" t="e">
        <f>AJ40</f>
        <v>#N/A</v>
      </c>
    </row>
    <row r="42" spans="6:37" x14ac:dyDescent="0.25">
      <c r="F42" s="15">
        <v>45281</v>
      </c>
      <c r="G42" s="8">
        <v>110279</v>
      </c>
      <c r="H42" s="8" t="s">
        <v>71</v>
      </c>
      <c r="I42" t="e">
        <f>"CPA Compra Divisas Bco. Inter. " &amp;C22&amp;" T/C "&amp;D22</f>
        <v>#N/A</v>
      </c>
      <c r="J42" s="16" t="e">
        <f>+B22</f>
        <v>#N/A</v>
      </c>
      <c r="K42" s="17"/>
      <c r="S42" s="15">
        <v>45281</v>
      </c>
      <c r="T42" s="8">
        <v>110285</v>
      </c>
      <c r="U42" s="8" t="s">
        <v>110</v>
      </c>
      <c r="V42" t="e">
        <f>"CPA Fondeo Bco. Inter. USD a CFSB 2475 " &amp;P22&amp;" T/C "&amp;Q22</f>
        <v>#N/A</v>
      </c>
      <c r="W42" s="16" t="e">
        <f>+O22</f>
        <v>#N/A</v>
      </c>
      <c r="X42" s="17"/>
      <c r="AF42" s="15">
        <v>45281</v>
      </c>
      <c r="AG42" s="8">
        <v>110820</v>
      </c>
      <c r="AH42" s="8" t="s">
        <v>129</v>
      </c>
      <c r="AI42" t="e">
        <f>"CPA Fondeo Bco. Inter. USD a JPM COL " &amp;AC22&amp;" T/C "&amp;AD22</f>
        <v>#N/A</v>
      </c>
      <c r="AJ42" s="16" t="e">
        <f>+AB22</f>
        <v>#N/A</v>
      </c>
      <c r="AK42" s="17"/>
    </row>
    <row r="43" spans="6:37" x14ac:dyDescent="0.25">
      <c r="F43" s="11"/>
      <c r="G43" s="12">
        <v>110208</v>
      </c>
      <c r="H43" s="12" t="s">
        <v>46</v>
      </c>
      <c r="I43" s="12" t="e">
        <f t="shared" ref="I43" si="93">I42</f>
        <v>#N/A</v>
      </c>
      <c r="J43" s="13"/>
      <c r="K43" s="18" t="e">
        <f t="shared" ref="K43" si="94">J42</f>
        <v>#N/A</v>
      </c>
      <c r="S43" s="11"/>
      <c r="T43" s="12">
        <v>110279</v>
      </c>
      <c r="U43" s="12" t="s">
        <v>71</v>
      </c>
      <c r="V43" s="12" t="e">
        <f t="shared" ref="V43" si="95">V42</f>
        <v>#N/A</v>
      </c>
      <c r="W43" s="13"/>
      <c r="X43" s="18" t="e">
        <f t="shared" ref="X43" si="96">W42</f>
        <v>#N/A</v>
      </c>
      <c r="AF43" s="11"/>
      <c r="AG43" s="12">
        <v>110279</v>
      </c>
      <c r="AH43" s="12" t="s">
        <v>71</v>
      </c>
      <c r="AI43" s="12" t="e">
        <f t="shared" ref="AI43" si="97">AI42</f>
        <v>#N/A</v>
      </c>
      <c r="AJ43" s="13"/>
      <c r="AK43" s="18" t="e">
        <f t="shared" ref="AK43" si="98">AJ42</f>
        <v>#N/A</v>
      </c>
    </row>
    <row r="44" spans="6:37" x14ac:dyDescent="0.25">
      <c r="F44" s="15">
        <v>45282</v>
      </c>
      <c r="G44" s="8">
        <v>110279</v>
      </c>
      <c r="H44" s="8" t="s">
        <v>71</v>
      </c>
      <c r="I44" t="e">
        <f>"CPA Compra Divisas Bco. Inter. " &amp;C23&amp;" T/C "&amp;D23</f>
        <v>#N/A</v>
      </c>
      <c r="J44" s="16" t="e">
        <f>+B23</f>
        <v>#N/A</v>
      </c>
      <c r="K44" s="17"/>
      <c r="S44" s="15">
        <v>45282</v>
      </c>
      <c r="T44" s="8">
        <v>110285</v>
      </c>
      <c r="U44" s="8" t="s">
        <v>110</v>
      </c>
      <c r="V44" t="e">
        <f>"CPA Fondeo Bco. Inter. USD a CFSB 2475 " &amp;P23&amp;" T/C "&amp;Q23</f>
        <v>#N/A</v>
      </c>
      <c r="W44" s="16" t="e">
        <f>+O23</f>
        <v>#N/A</v>
      </c>
      <c r="X44" s="17"/>
      <c r="AF44" s="15">
        <v>45282</v>
      </c>
      <c r="AG44" s="8">
        <v>110820</v>
      </c>
      <c r="AH44" s="8" t="s">
        <v>129</v>
      </c>
      <c r="AI44" t="e">
        <f>"CPA Fondeo Bco. Inter. USD a JPM COL " &amp;AC23&amp;" T/C "&amp;AD23</f>
        <v>#N/A</v>
      </c>
      <c r="AJ44" s="16" t="e">
        <f>+AB23</f>
        <v>#N/A</v>
      </c>
      <c r="AK44" s="17"/>
    </row>
    <row r="45" spans="6:37" x14ac:dyDescent="0.25">
      <c r="F45" s="11"/>
      <c r="G45" s="12">
        <v>110208</v>
      </c>
      <c r="H45" s="12" t="s">
        <v>46</v>
      </c>
      <c r="I45" s="12" t="e">
        <f t="shared" ref="I45" si="99">I44</f>
        <v>#N/A</v>
      </c>
      <c r="J45" s="13"/>
      <c r="K45" s="18" t="e">
        <f t="shared" ref="K45" si="100">J44</f>
        <v>#N/A</v>
      </c>
      <c r="S45" s="11"/>
      <c r="T45" s="12">
        <v>110279</v>
      </c>
      <c r="U45" s="12" t="s">
        <v>71</v>
      </c>
      <c r="V45" s="12" t="e">
        <f t="shared" ref="V45" si="101">V44</f>
        <v>#N/A</v>
      </c>
      <c r="W45" s="13"/>
      <c r="X45" s="18" t="e">
        <f t="shared" ref="X45" si="102">W44</f>
        <v>#N/A</v>
      </c>
      <c r="AF45" s="11"/>
      <c r="AG45" s="12">
        <v>110279</v>
      </c>
      <c r="AH45" s="12" t="s">
        <v>71</v>
      </c>
      <c r="AI45" s="12" t="e">
        <f t="shared" ref="AI45" si="103">AI44</f>
        <v>#N/A</v>
      </c>
      <c r="AJ45" s="13"/>
      <c r="AK45" s="18" t="e">
        <f t="shared" ref="AK45" si="104">AJ44</f>
        <v>#N/A</v>
      </c>
    </row>
    <row r="46" spans="6:37" x14ac:dyDescent="0.25">
      <c r="F46" s="15">
        <v>45283</v>
      </c>
      <c r="G46" s="8">
        <v>110279</v>
      </c>
      <c r="H46" s="8" t="s">
        <v>71</v>
      </c>
      <c r="I46" t="e">
        <f>"CPA Compra Divisas Bco. Inter. " &amp;C24&amp;" T/C "&amp;D24</f>
        <v>#N/A</v>
      </c>
      <c r="J46" s="16" t="e">
        <f>+B24</f>
        <v>#N/A</v>
      </c>
      <c r="K46" s="17"/>
      <c r="S46" s="15">
        <v>45283</v>
      </c>
      <c r="T46" s="8">
        <v>110285</v>
      </c>
      <c r="U46" s="8" t="s">
        <v>110</v>
      </c>
      <c r="V46" t="e">
        <f>"CPA Fondeo Bco. Inter. USD a CFSB 2475 " &amp;P24&amp;" T/C "&amp;Q24</f>
        <v>#N/A</v>
      </c>
      <c r="W46" s="16" t="e">
        <f>+O24</f>
        <v>#N/A</v>
      </c>
      <c r="X46" s="17"/>
      <c r="AF46" s="15">
        <v>45283</v>
      </c>
      <c r="AG46" s="8">
        <v>110820</v>
      </c>
      <c r="AH46" s="8" t="s">
        <v>129</v>
      </c>
      <c r="AI46" t="e">
        <f>"CPA Fondeo Bco. Inter. USD a JPM COL " &amp;AC24&amp;" T/C "&amp;AD24</f>
        <v>#N/A</v>
      </c>
      <c r="AJ46" s="16" t="e">
        <f>+AB24</f>
        <v>#N/A</v>
      </c>
      <c r="AK46" s="17"/>
    </row>
    <row r="47" spans="6:37" x14ac:dyDescent="0.25">
      <c r="F47" s="11"/>
      <c r="G47" s="12">
        <v>110208</v>
      </c>
      <c r="H47" s="12" t="s">
        <v>46</v>
      </c>
      <c r="I47" s="12" t="e">
        <f t="shared" ref="I47" si="105">I46</f>
        <v>#N/A</v>
      </c>
      <c r="J47" s="13"/>
      <c r="K47" s="18" t="e">
        <f t="shared" ref="K47" si="106">J46</f>
        <v>#N/A</v>
      </c>
      <c r="S47" s="11"/>
      <c r="T47" s="12">
        <v>110279</v>
      </c>
      <c r="U47" s="12" t="s">
        <v>71</v>
      </c>
      <c r="V47" s="12" t="e">
        <f t="shared" ref="V47" si="107">V46</f>
        <v>#N/A</v>
      </c>
      <c r="W47" s="13"/>
      <c r="X47" s="18" t="e">
        <f t="shared" ref="X47" si="108">W46</f>
        <v>#N/A</v>
      </c>
      <c r="AF47" s="11"/>
      <c r="AG47" s="12">
        <v>110279</v>
      </c>
      <c r="AH47" s="12" t="s">
        <v>71</v>
      </c>
      <c r="AI47" s="12" t="e">
        <f t="shared" ref="AI47" si="109">AI46</f>
        <v>#N/A</v>
      </c>
      <c r="AJ47" s="13"/>
      <c r="AK47" s="18" t="e">
        <f t="shared" ref="AK47" si="110">AJ46</f>
        <v>#N/A</v>
      </c>
    </row>
    <row r="48" spans="6:37" x14ac:dyDescent="0.25">
      <c r="F48" s="15">
        <v>45284</v>
      </c>
      <c r="G48" s="8">
        <v>110279</v>
      </c>
      <c r="H48" s="8" t="s">
        <v>71</v>
      </c>
      <c r="I48" t="e">
        <f>"CPA Compra Divisas Bco. Inter. " &amp;C25&amp;" T/C "&amp;D25</f>
        <v>#N/A</v>
      </c>
      <c r="J48" s="16" t="e">
        <f>+B25</f>
        <v>#N/A</v>
      </c>
      <c r="K48" s="17"/>
      <c r="S48" s="15">
        <v>45284</v>
      </c>
      <c r="T48" s="8">
        <v>110285</v>
      </c>
      <c r="U48" s="8" t="s">
        <v>110</v>
      </c>
      <c r="V48" t="e">
        <f>"CPA Fondeo Bco. Inter. USD a CFSB 2475 " &amp;P25&amp;" T/C "&amp;Q25</f>
        <v>#N/A</v>
      </c>
      <c r="W48" s="16" t="e">
        <f>+O25</f>
        <v>#N/A</v>
      </c>
      <c r="X48" s="17"/>
      <c r="AF48" s="15">
        <v>45284</v>
      </c>
      <c r="AG48" s="8">
        <v>110820</v>
      </c>
      <c r="AH48" s="8" t="s">
        <v>129</v>
      </c>
      <c r="AI48" t="e">
        <f>"CPA Fondeo Bco. Inter. USD a JPM COL " &amp;AC25&amp;" T/C "&amp;AD25</f>
        <v>#N/A</v>
      </c>
      <c r="AJ48" s="16" t="e">
        <f>+AB25</f>
        <v>#N/A</v>
      </c>
      <c r="AK48" s="17"/>
    </row>
    <row r="49" spans="6:37" x14ac:dyDescent="0.25">
      <c r="F49" s="11"/>
      <c r="G49" s="12">
        <v>110208</v>
      </c>
      <c r="H49" s="12" t="s">
        <v>46</v>
      </c>
      <c r="I49" s="12" t="e">
        <f t="shared" ref="I49" si="111">I48</f>
        <v>#N/A</v>
      </c>
      <c r="J49" s="13"/>
      <c r="K49" s="18" t="e">
        <f t="shared" ref="K49" si="112">J48</f>
        <v>#N/A</v>
      </c>
      <c r="S49" s="11"/>
      <c r="T49" s="12">
        <v>110279</v>
      </c>
      <c r="U49" s="12" t="s">
        <v>71</v>
      </c>
      <c r="V49" s="12" t="e">
        <f t="shared" ref="V49" si="113">V48</f>
        <v>#N/A</v>
      </c>
      <c r="W49" s="13"/>
      <c r="X49" s="18" t="e">
        <f t="shared" ref="X49" si="114">W48</f>
        <v>#N/A</v>
      </c>
      <c r="AF49" s="11"/>
      <c r="AG49" s="12">
        <v>110279</v>
      </c>
      <c r="AH49" s="12" t="s">
        <v>71</v>
      </c>
      <c r="AI49" s="12" t="e">
        <f t="shared" ref="AI49" si="115">AI48</f>
        <v>#N/A</v>
      </c>
      <c r="AJ49" s="13"/>
      <c r="AK49" s="18" t="e">
        <f t="shared" ref="AK49" si="116">AJ48</f>
        <v>#N/A</v>
      </c>
    </row>
    <row r="50" spans="6:37" x14ac:dyDescent="0.25">
      <c r="F50" s="15">
        <v>45285</v>
      </c>
      <c r="G50" s="8">
        <v>110279</v>
      </c>
      <c r="H50" s="8" t="s">
        <v>71</v>
      </c>
      <c r="I50" t="e">
        <f>"CPA Compra Divisas Bco. Inter. " &amp;C26&amp;" T/C "&amp;D26</f>
        <v>#N/A</v>
      </c>
      <c r="J50" s="16" t="e">
        <f>+B26</f>
        <v>#N/A</v>
      </c>
      <c r="K50" s="17"/>
      <c r="S50" s="15">
        <v>45285</v>
      </c>
      <c r="T50" s="8">
        <v>110285</v>
      </c>
      <c r="U50" s="8" t="s">
        <v>110</v>
      </c>
      <c r="V50" t="e">
        <f>"CPA Fondeo Bco. Inter. USD a CFSB 2475 " &amp;P26&amp;" T/C "&amp;Q26</f>
        <v>#N/A</v>
      </c>
      <c r="W50" s="16" t="e">
        <f>+O26</f>
        <v>#N/A</v>
      </c>
      <c r="X50" s="17"/>
      <c r="AF50" s="15">
        <v>45285</v>
      </c>
      <c r="AG50" s="8">
        <v>110820</v>
      </c>
      <c r="AH50" s="8" t="s">
        <v>129</v>
      </c>
      <c r="AI50" t="e">
        <f>"CPA Fondeo Bco. Inter. USD a JPM COL " &amp;AC26&amp;" T/C "&amp;AD26</f>
        <v>#N/A</v>
      </c>
      <c r="AJ50" s="16" t="e">
        <f>+AB26</f>
        <v>#N/A</v>
      </c>
      <c r="AK50" s="17"/>
    </row>
    <row r="51" spans="6:37" x14ac:dyDescent="0.25">
      <c r="F51" s="11"/>
      <c r="G51" s="12">
        <v>110208</v>
      </c>
      <c r="H51" s="12" t="s">
        <v>46</v>
      </c>
      <c r="I51" s="12" t="e">
        <f t="shared" ref="I51" si="117">I50</f>
        <v>#N/A</v>
      </c>
      <c r="J51" s="13"/>
      <c r="K51" s="18" t="e">
        <f t="shared" ref="K51" si="118">J50</f>
        <v>#N/A</v>
      </c>
      <c r="S51" s="11"/>
      <c r="T51" s="12">
        <v>110279</v>
      </c>
      <c r="U51" s="12" t="s">
        <v>71</v>
      </c>
      <c r="V51" s="12" t="e">
        <f t="shared" ref="V51" si="119">V50</f>
        <v>#N/A</v>
      </c>
      <c r="W51" s="13"/>
      <c r="X51" s="18" t="e">
        <f t="shared" ref="X51" si="120">W50</f>
        <v>#N/A</v>
      </c>
      <c r="AF51" s="11"/>
      <c r="AG51" s="12">
        <v>110279</v>
      </c>
      <c r="AH51" s="12" t="s">
        <v>71</v>
      </c>
      <c r="AI51" s="12" t="e">
        <f t="shared" ref="AI51" si="121">AI50</f>
        <v>#N/A</v>
      </c>
      <c r="AJ51" s="13"/>
      <c r="AK51" s="18" t="e">
        <f t="shared" ref="AK51" si="122">AJ50</f>
        <v>#N/A</v>
      </c>
    </row>
    <row r="52" spans="6:37" x14ac:dyDescent="0.25">
      <c r="F52" s="15">
        <v>45286</v>
      </c>
      <c r="G52" s="8">
        <v>110279</v>
      </c>
      <c r="H52" s="8" t="s">
        <v>71</v>
      </c>
      <c r="I52" t="e">
        <f>"CPA Compra Divisas Bco. Inter. " &amp;C27&amp;" T/C "&amp;D27</f>
        <v>#N/A</v>
      </c>
      <c r="J52" s="16" t="e">
        <f>+B27</f>
        <v>#N/A</v>
      </c>
      <c r="K52" s="17"/>
      <c r="S52" s="15">
        <v>45286</v>
      </c>
      <c r="T52" s="8">
        <v>110285</v>
      </c>
      <c r="U52" s="8" t="s">
        <v>110</v>
      </c>
      <c r="V52" t="e">
        <f>"CPA Fondeo Bco. Inter. USD a CFSB 2475 " &amp;P27&amp;" T/C "&amp;Q27</f>
        <v>#N/A</v>
      </c>
      <c r="W52" s="16" t="e">
        <f>+O27</f>
        <v>#N/A</v>
      </c>
      <c r="X52" s="17"/>
      <c r="AF52" s="15">
        <v>45286</v>
      </c>
      <c r="AG52" s="8">
        <v>110820</v>
      </c>
      <c r="AH52" s="8" t="s">
        <v>129</v>
      </c>
      <c r="AI52" t="e">
        <f>"CPA Fondeo Bco. Inter. USD a JPM COL " &amp;AC27&amp;" T/C "&amp;AD27</f>
        <v>#N/A</v>
      </c>
      <c r="AJ52" s="16" t="e">
        <f>+AB27</f>
        <v>#N/A</v>
      </c>
      <c r="AK52" s="17"/>
    </row>
    <row r="53" spans="6:37" x14ac:dyDescent="0.25">
      <c r="F53" s="11"/>
      <c r="G53" s="12">
        <v>110208</v>
      </c>
      <c r="H53" s="12" t="s">
        <v>46</v>
      </c>
      <c r="I53" s="12" t="e">
        <f t="shared" ref="I53" si="123">I52</f>
        <v>#N/A</v>
      </c>
      <c r="J53" s="13"/>
      <c r="K53" s="18" t="e">
        <f t="shared" ref="K53" si="124">J52</f>
        <v>#N/A</v>
      </c>
      <c r="S53" s="11"/>
      <c r="T53" s="12">
        <v>110279</v>
      </c>
      <c r="U53" s="12" t="s">
        <v>71</v>
      </c>
      <c r="V53" s="12" t="e">
        <f t="shared" ref="V53" si="125">V52</f>
        <v>#N/A</v>
      </c>
      <c r="W53" s="13"/>
      <c r="X53" s="18" t="e">
        <f t="shared" ref="X53" si="126">W52</f>
        <v>#N/A</v>
      </c>
      <c r="AF53" s="11"/>
      <c r="AG53" s="12">
        <v>110279</v>
      </c>
      <c r="AH53" s="12" t="s">
        <v>71</v>
      </c>
      <c r="AI53" s="12" t="e">
        <f t="shared" ref="AI53" si="127">AI52</f>
        <v>#N/A</v>
      </c>
      <c r="AJ53" s="13"/>
      <c r="AK53" s="18" t="e">
        <f t="shared" ref="AK53" si="128">AJ52</f>
        <v>#N/A</v>
      </c>
    </row>
    <row r="54" spans="6:37" x14ac:dyDescent="0.25">
      <c r="F54" s="15">
        <v>45287</v>
      </c>
      <c r="G54" s="8">
        <v>110279</v>
      </c>
      <c r="H54" s="8" t="s">
        <v>71</v>
      </c>
      <c r="I54" t="e">
        <f>"CPA Compra Divisas Bco. Inter. " &amp;C28&amp;" T/C "&amp;D28</f>
        <v>#N/A</v>
      </c>
      <c r="J54" s="16" t="e">
        <f>+B28</f>
        <v>#N/A</v>
      </c>
      <c r="K54" s="17"/>
      <c r="S54" s="15">
        <v>45287</v>
      </c>
      <c r="T54" s="8">
        <v>110285</v>
      </c>
      <c r="U54" s="8" t="s">
        <v>110</v>
      </c>
      <c r="V54" t="e">
        <f>"CPA Fondeo Bco. Inter. USD a CFSB 2475 " &amp;P28&amp;" T/C "&amp;Q28</f>
        <v>#N/A</v>
      </c>
      <c r="W54" s="16" t="e">
        <f>+O28</f>
        <v>#N/A</v>
      </c>
      <c r="X54" s="17"/>
      <c r="AF54" s="15">
        <v>45287</v>
      </c>
      <c r="AG54" s="8">
        <v>110820</v>
      </c>
      <c r="AH54" s="8" t="s">
        <v>129</v>
      </c>
      <c r="AI54" t="e">
        <f>"CPA Fondeo Bco. Inter. USD a JPM COL " &amp;AC28&amp;" T/C "&amp;AD28</f>
        <v>#N/A</v>
      </c>
      <c r="AJ54" s="16" t="e">
        <f>+AB28</f>
        <v>#N/A</v>
      </c>
      <c r="AK54" s="17"/>
    </row>
    <row r="55" spans="6:37" x14ac:dyDescent="0.25">
      <c r="F55" s="11"/>
      <c r="G55" s="12">
        <v>110208</v>
      </c>
      <c r="H55" s="12" t="s">
        <v>46</v>
      </c>
      <c r="I55" s="12" t="e">
        <f t="shared" ref="I55" si="129">I54</f>
        <v>#N/A</v>
      </c>
      <c r="J55" s="13"/>
      <c r="K55" s="18" t="e">
        <f t="shared" ref="K55" si="130">J54</f>
        <v>#N/A</v>
      </c>
      <c r="S55" s="11"/>
      <c r="T55" s="12">
        <v>110279</v>
      </c>
      <c r="U55" s="12" t="s">
        <v>71</v>
      </c>
      <c r="V55" s="12" t="e">
        <f t="shared" ref="V55" si="131">V54</f>
        <v>#N/A</v>
      </c>
      <c r="W55" s="13"/>
      <c r="X55" s="18" t="e">
        <f t="shared" ref="X55" si="132">W54</f>
        <v>#N/A</v>
      </c>
      <c r="AF55" s="11"/>
      <c r="AG55" s="12">
        <v>110279</v>
      </c>
      <c r="AH55" s="12" t="s">
        <v>71</v>
      </c>
      <c r="AI55" s="12" t="e">
        <f t="shared" ref="AI55" si="133">AI54</f>
        <v>#N/A</v>
      </c>
      <c r="AJ55" s="13"/>
      <c r="AK55" s="18" t="e">
        <f t="shared" ref="AK55" si="134">AJ54</f>
        <v>#N/A</v>
      </c>
    </row>
    <row r="56" spans="6:37" x14ac:dyDescent="0.25">
      <c r="F56" s="15">
        <v>45288</v>
      </c>
      <c r="G56" s="8">
        <v>110279</v>
      </c>
      <c r="H56" s="8" t="s">
        <v>71</v>
      </c>
      <c r="I56" t="e">
        <f>"CPA Compra Divisas Bco. Inter. " &amp;C29&amp;" T/C "&amp;D29</f>
        <v>#N/A</v>
      </c>
      <c r="J56" s="16" t="e">
        <f>+B29</f>
        <v>#N/A</v>
      </c>
      <c r="K56" s="17"/>
      <c r="S56" s="15">
        <v>45288</v>
      </c>
      <c r="T56" s="8">
        <v>110285</v>
      </c>
      <c r="U56" s="8" t="s">
        <v>110</v>
      </c>
      <c r="V56" t="e">
        <f>"CPA Fondeo Bco. Inter. USD a CFSB 2475 " &amp;P29&amp;" T/C "&amp;Q29</f>
        <v>#N/A</v>
      </c>
      <c r="W56" s="16" t="e">
        <f>+O29</f>
        <v>#N/A</v>
      </c>
      <c r="X56" s="17"/>
      <c r="AF56" s="15">
        <v>45288</v>
      </c>
      <c r="AG56" s="8">
        <v>110820</v>
      </c>
      <c r="AH56" s="8" t="s">
        <v>129</v>
      </c>
      <c r="AI56" t="e">
        <f>"CPA Fondeo Bco. Inter. USD a JPM COL " &amp;AC29&amp;" T/C "&amp;AD29</f>
        <v>#N/A</v>
      </c>
      <c r="AJ56" s="16" t="e">
        <f>+AB29</f>
        <v>#N/A</v>
      </c>
      <c r="AK56" s="17"/>
    </row>
    <row r="57" spans="6:37" x14ac:dyDescent="0.25">
      <c r="F57" s="11"/>
      <c r="G57" s="12">
        <v>110208</v>
      </c>
      <c r="H57" s="12" t="s">
        <v>46</v>
      </c>
      <c r="I57" s="12" t="e">
        <f t="shared" ref="I57" si="135">I56</f>
        <v>#N/A</v>
      </c>
      <c r="J57" s="13"/>
      <c r="K57" s="18" t="e">
        <f t="shared" ref="K57" si="136">J56</f>
        <v>#N/A</v>
      </c>
      <c r="S57" s="11"/>
      <c r="T57" s="12">
        <v>110279</v>
      </c>
      <c r="U57" s="12" t="s">
        <v>71</v>
      </c>
      <c r="V57" s="12" t="e">
        <f t="shared" ref="V57" si="137">V56</f>
        <v>#N/A</v>
      </c>
      <c r="W57" s="13"/>
      <c r="X57" s="18" t="e">
        <f t="shared" ref="X57" si="138">W56</f>
        <v>#N/A</v>
      </c>
      <c r="AF57" s="11"/>
      <c r="AG57" s="12">
        <v>110279</v>
      </c>
      <c r="AH57" s="12" t="s">
        <v>71</v>
      </c>
      <c r="AI57" s="12" t="e">
        <f t="shared" ref="AI57" si="139">AI56</f>
        <v>#N/A</v>
      </c>
      <c r="AJ57" s="13"/>
      <c r="AK57" s="18" t="e">
        <f t="shared" ref="AK57" si="140">AJ56</f>
        <v>#N/A</v>
      </c>
    </row>
    <row r="58" spans="6:37" x14ac:dyDescent="0.25">
      <c r="F58" s="15">
        <v>45289</v>
      </c>
      <c r="G58" s="8">
        <v>110279</v>
      </c>
      <c r="H58" s="8" t="s">
        <v>71</v>
      </c>
      <c r="I58" t="e">
        <f>"CPA Compra Divisas Bco. Inter. " &amp;C30&amp;" T/C "&amp;D30</f>
        <v>#N/A</v>
      </c>
      <c r="J58" s="16" t="e">
        <f>+B30</f>
        <v>#N/A</v>
      </c>
      <c r="K58" s="17"/>
      <c r="S58" s="15">
        <v>45289</v>
      </c>
      <c r="T58" s="8">
        <v>110285</v>
      </c>
      <c r="U58" s="8" t="s">
        <v>110</v>
      </c>
      <c r="V58" t="e">
        <f>"CPA Fondeo Bco. Inter. USD a CFSB 2475 " &amp;P30&amp;" T/C "&amp;Q30</f>
        <v>#N/A</v>
      </c>
      <c r="W58" s="16" t="e">
        <f>+O30</f>
        <v>#N/A</v>
      </c>
      <c r="X58" s="17"/>
      <c r="AF58" s="15">
        <v>45289</v>
      </c>
      <c r="AG58" s="8">
        <v>110820</v>
      </c>
      <c r="AH58" s="8" t="s">
        <v>129</v>
      </c>
      <c r="AI58" t="e">
        <f>"CPA Fondeo Bco. Inter. USD a JPM COL " &amp;AC30&amp;" T/C "&amp;AD30</f>
        <v>#N/A</v>
      </c>
      <c r="AJ58" s="16" t="e">
        <f>+AB30</f>
        <v>#N/A</v>
      </c>
      <c r="AK58" s="17"/>
    </row>
    <row r="59" spans="6:37" x14ac:dyDescent="0.25">
      <c r="F59" s="11"/>
      <c r="G59" s="12">
        <v>110208</v>
      </c>
      <c r="H59" s="12" t="s">
        <v>46</v>
      </c>
      <c r="I59" s="12" t="e">
        <f t="shared" ref="I59" si="141">I58</f>
        <v>#N/A</v>
      </c>
      <c r="J59" s="13"/>
      <c r="K59" s="18" t="e">
        <f t="shared" ref="K59" si="142">J58</f>
        <v>#N/A</v>
      </c>
      <c r="S59" s="11"/>
      <c r="T59" s="12">
        <v>110279</v>
      </c>
      <c r="U59" s="12" t="s">
        <v>71</v>
      </c>
      <c r="V59" s="12" t="e">
        <f t="shared" ref="V59" si="143">V58</f>
        <v>#N/A</v>
      </c>
      <c r="W59" s="13"/>
      <c r="X59" s="18" t="e">
        <f t="shared" ref="X59" si="144">W58</f>
        <v>#N/A</v>
      </c>
      <c r="AF59" s="11"/>
      <c r="AG59" s="12">
        <v>110279</v>
      </c>
      <c r="AH59" s="12" t="s">
        <v>71</v>
      </c>
      <c r="AI59" s="12" t="e">
        <f t="shared" ref="AI59" si="145">AI58</f>
        <v>#N/A</v>
      </c>
      <c r="AJ59" s="13"/>
      <c r="AK59" s="18" t="e">
        <f t="shared" ref="AK59" si="146">AJ58</f>
        <v>#N/A</v>
      </c>
    </row>
    <row r="60" spans="6:37" x14ac:dyDescent="0.25">
      <c r="F60" s="15">
        <v>45290</v>
      </c>
      <c r="G60" s="8">
        <v>110279</v>
      </c>
      <c r="H60" s="8" t="s">
        <v>71</v>
      </c>
      <c r="I60" t="e">
        <f>"CPA Compra Divisas Bco. Inter. " &amp;C31&amp;" T/C "&amp;D31</f>
        <v>#N/A</v>
      </c>
      <c r="J60" s="16" t="e">
        <f>+B31</f>
        <v>#N/A</v>
      </c>
      <c r="K60" s="17"/>
      <c r="S60" s="15">
        <v>45290</v>
      </c>
      <c r="T60" s="8">
        <v>110285</v>
      </c>
      <c r="U60" s="8" t="s">
        <v>110</v>
      </c>
      <c r="V60" t="e">
        <f>"CPA Fondeo Bco. Inter. USD a CFSB 2475 " &amp;P31&amp;" T/C "&amp;Q31</f>
        <v>#N/A</v>
      </c>
      <c r="W60" s="16" t="e">
        <f>+O31</f>
        <v>#N/A</v>
      </c>
      <c r="X60" s="17"/>
      <c r="AF60" s="15">
        <v>45290</v>
      </c>
      <c r="AG60" s="8">
        <v>110820</v>
      </c>
      <c r="AH60" s="8" t="s">
        <v>129</v>
      </c>
      <c r="AI60" t="e">
        <f>"CPA Fondeo Bco. Inter. USD a JPM COL " &amp;AC31&amp;" T/C "&amp;AD31</f>
        <v>#N/A</v>
      </c>
      <c r="AJ60" s="16" t="e">
        <f>+AB31</f>
        <v>#N/A</v>
      </c>
      <c r="AK60" s="17"/>
    </row>
    <row r="61" spans="6:37" x14ac:dyDescent="0.25">
      <c r="F61" s="11"/>
      <c r="G61" s="12">
        <v>110208</v>
      </c>
      <c r="H61" s="12" t="s">
        <v>46</v>
      </c>
      <c r="I61" s="12" t="e">
        <f t="shared" ref="I61" si="147">I60</f>
        <v>#N/A</v>
      </c>
      <c r="J61" s="13"/>
      <c r="K61" s="18" t="e">
        <f t="shared" ref="K61" si="148">J60</f>
        <v>#N/A</v>
      </c>
      <c r="S61" s="11"/>
      <c r="T61" s="12">
        <v>110279</v>
      </c>
      <c r="U61" s="12" t="s">
        <v>71</v>
      </c>
      <c r="V61" s="12" t="e">
        <f t="shared" ref="V61" si="149">V60</f>
        <v>#N/A</v>
      </c>
      <c r="W61" s="13"/>
      <c r="X61" s="18" t="e">
        <f t="shared" ref="X61" si="150">W60</f>
        <v>#N/A</v>
      </c>
      <c r="AF61" s="11"/>
      <c r="AG61" s="12">
        <v>110279</v>
      </c>
      <c r="AH61" s="12" t="s">
        <v>71</v>
      </c>
      <c r="AI61" s="12" t="e">
        <f t="shared" ref="AI61" si="151">AI60</f>
        <v>#N/A</v>
      </c>
      <c r="AJ61" s="13"/>
      <c r="AK61" s="18" t="e">
        <f t="shared" ref="AK61" si="152">AJ60</f>
        <v>#N/A</v>
      </c>
    </row>
    <row r="62" spans="6:37" x14ac:dyDescent="0.25">
      <c r="F62" s="15">
        <v>45291</v>
      </c>
      <c r="G62" s="8">
        <v>110279</v>
      </c>
      <c r="H62" s="8" t="s">
        <v>71</v>
      </c>
      <c r="I62" t="e">
        <f>"CPA Compra Divisas Bco. Inter. " &amp;C32&amp;" T/C "&amp;D32</f>
        <v>#N/A</v>
      </c>
      <c r="J62" s="16" t="e">
        <f>+B32</f>
        <v>#N/A</v>
      </c>
      <c r="K62" s="17"/>
      <c r="S62" s="15">
        <v>45291</v>
      </c>
      <c r="T62" s="8">
        <v>110285</v>
      </c>
      <c r="U62" s="8" t="s">
        <v>110</v>
      </c>
      <c r="V62" t="e">
        <f>"CPA Fondeo Bco. Inter. USD a CFSB 2475 " &amp;P32&amp;" T/C "&amp;Q32</f>
        <v>#N/A</v>
      </c>
      <c r="W62" s="16" t="e">
        <f>+O32</f>
        <v>#N/A</v>
      </c>
      <c r="X62" s="17"/>
      <c r="AF62" s="15">
        <v>45291</v>
      </c>
      <c r="AG62" s="8">
        <v>110820</v>
      </c>
      <c r="AH62" s="8" t="s">
        <v>129</v>
      </c>
      <c r="AI62" t="e">
        <f>"CPA Fondeo Bco. Inter. USD a JPM COL " &amp;AC32&amp;" T/C "&amp;AD32</f>
        <v>#N/A</v>
      </c>
      <c r="AJ62" s="16" t="e">
        <f>+AB32</f>
        <v>#N/A</v>
      </c>
      <c r="AK62" s="17"/>
    </row>
    <row r="63" spans="6:37" x14ac:dyDescent="0.25">
      <c r="F63" s="11"/>
      <c r="G63" s="12">
        <v>110208</v>
      </c>
      <c r="H63" s="12" t="s">
        <v>46</v>
      </c>
      <c r="I63" s="12" t="e">
        <f t="shared" ref="I63" si="153">I62</f>
        <v>#N/A</v>
      </c>
      <c r="J63" s="13"/>
      <c r="K63" s="18" t="e">
        <f t="shared" ref="K63" si="154">J62</f>
        <v>#N/A</v>
      </c>
      <c r="S63" s="11"/>
      <c r="T63" s="12">
        <v>110279</v>
      </c>
      <c r="U63" s="12" t="s">
        <v>71</v>
      </c>
      <c r="V63" s="12" t="e">
        <f t="shared" ref="V63" si="155">V62</f>
        <v>#N/A</v>
      </c>
      <c r="W63" s="13"/>
      <c r="X63" s="18" t="e">
        <f t="shared" ref="X63" si="156">W62</f>
        <v>#N/A</v>
      </c>
      <c r="AF63" s="11"/>
      <c r="AG63" s="12">
        <v>110279</v>
      </c>
      <c r="AH63" s="12" t="s">
        <v>71</v>
      </c>
      <c r="AI63" s="12" t="e">
        <f t="shared" ref="AI63" si="157">AI62</f>
        <v>#N/A</v>
      </c>
      <c r="AJ63" s="13"/>
      <c r="AK63" s="18" t="e">
        <f t="shared" ref="AK63" si="158">AJ62</f>
        <v>#N/A</v>
      </c>
    </row>
  </sheetData>
  <autoFilter ref="AF1:AK63" xr:uid="{AE060F14-AB7E-45B3-A644-49DD8ADDDE1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4962-6A48-4644-B87B-B78CC1F9FA35}">
  <dimension ref="A1:BE72"/>
  <sheetViews>
    <sheetView showGridLines="0" workbookViewId="0">
      <selection activeCell="I13" sqref="I13"/>
    </sheetView>
  </sheetViews>
  <sheetFormatPr baseColWidth="10" defaultRowHeight="15" outlineLevelCol="1" x14ac:dyDescent="0.25"/>
  <cols>
    <col min="1" max="1" width="11.140625" bestFit="1" customWidth="1"/>
    <col min="2" max="2" width="14.5703125" bestFit="1" customWidth="1"/>
    <col min="3" max="3" width="7.42578125" bestFit="1" customWidth="1"/>
    <col min="4" max="4" width="13.28515625" customWidth="1"/>
    <col min="5" max="5" width="13.5703125" bestFit="1" customWidth="1"/>
    <col min="8" max="8" width="41" bestFit="1" customWidth="1"/>
    <col min="9" max="9" width="69" bestFit="1" customWidth="1"/>
    <col min="10" max="11" width="12" bestFit="1" customWidth="1"/>
    <col min="15" max="15" width="11.5703125" customWidth="1" outlineLevel="1"/>
    <col min="16" max="16" width="13.5703125" customWidth="1" outlineLevel="1"/>
    <col min="17" max="18" width="12" customWidth="1" outlineLevel="1"/>
    <col min="19" max="19" width="16.85546875" bestFit="1" customWidth="1" outlineLevel="1"/>
    <col min="20" max="22" width="11.42578125" outlineLevel="1"/>
    <col min="23" max="23" width="25.5703125" bestFit="1" customWidth="1" outlineLevel="1"/>
    <col min="24" max="24" width="65.28515625" bestFit="1" customWidth="1" outlineLevel="1"/>
    <col min="25" max="26" width="13.5703125" customWidth="1" outlineLevel="1"/>
    <col min="30" max="30" width="11.5703125" hidden="1" customWidth="1" outlineLevel="1"/>
    <col min="31" max="31" width="13.5703125" hidden="1" customWidth="1" outlineLevel="1"/>
    <col min="32" max="33" width="12" hidden="1" customWidth="1" outlineLevel="1"/>
    <col min="34" max="34" width="16.85546875" hidden="1" customWidth="1" outlineLevel="1"/>
    <col min="35" max="37" width="11.42578125" hidden="1" customWidth="1" outlineLevel="1"/>
    <col min="38" max="38" width="25.5703125" hidden="1" customWidth="1" outlineLevel="1"/>
    <col min="39" max="39" width="65.28515625" hidden="1" customWidth="1" outlineLevel="1"/>
    <col min="40" max="41" width="13.5703125" hidden="1" customWidth="1" outlineLevel="1"/>
    <col min="42" max="42" width="11.42578125" collapsed="1"/>
    <col min="45" max="45" width="11.5703125" customWidth="1" outlineLevel="1"/>
    <col min="46" max="46" width="13.5703125" customWidth="1" outlineLevel="1"/>
    <col min="47" max="48" width="12" customWidth="1" outlineLevel="1"/>
    <col min="49" max="49" width="16.85546875" bestFit="1" customWidth="1" outlineLevel="1"/>
    <col min="50" max="52" width="11.42578125" outlineLevel="1"/>
    <col min="53" max="53" width="25.5703125" bestFit="1" customWidth="1" outlineLevel="1"/>
    <col min="54" max="54" width="65.28515625" bestFit="1" customWidth="1" outlineLevel="1"/>
    <col min="55" max="56" width="13.5703125" customWidth="1" outlineLevel="1"/>
  </cols>
  <sheetData>
    <row r="1" spans="1:57" x14ac:dyDescent="0.25">
      <c r="A1" s="4" t="s">
        <v>0</v>
      </c>
      <c r="B1" s="4" t="s">
        <v>27</v>
      </c>
      <c r="C1" s="4" t="s">
        <v>60</v>
      </c>
      <c r="D1" s="4"/>
      <c r="F1" s="22" t="s">
        <v>0</v>
      </c>
      <c r="G1" s="23"/>
      <c r="H1" s="23"/>
      <c r="I1" s="23"/>
      <c r="J1" s="23" t="s">
        <v>5</v>
      </c>
      <c r="K1" s="24" t="s">
        <v>6</v>
      </c>
      <c r="O1" s="4" t="s">
        <v>0</v>
      </c>
      <c r="P1" s="4"/>
      <c r="Q1" s="75"/>
      <c r="S1" t="s">
        <v>101</v>
      </c>
      <c r="U1" s="22" t="s">
        <v>0</v>
      </c>
      <c r="V1" s="23"/>
      <c r="W1" s="23"/>
      <c r="X1" s="23" t="s">
        <v>56</v>
      </c>
      <c r="Y1" s="23" t="s">
        <v>5</v>
      </c>
      <c r="Z1" s="24" t="s">
        <v>6</v>
      </c>
      <c r="AA1" s="4" t="s">
        <v>107</v>
      </c>
      <c r="AD1" s="4" t="s">
        <v>0</v>
      </c>
      <c r="AE1" s="4"/>
      <c r="AF1" s="75"/>
      <c r="AH1" t="s">
        <v>101</v>
      </c>
      <c r="AJ1" s="22" t="s">
        <v>0</v>
      </c>
      <c r="AK1" s="23"/>
      <c r="AL1" s="23"/>
      <c r="AM1" s="23" t="s">
        <v>56</v>
      </c>
      <c r="AN1" s="23" t="s">
        <v>5</v>
      </c>
      <c r="AO1" s="24" t="s">
        <v>6</v>
      </c>
      <c r="AP1" s="4" t="s">
        <v>107</v>
      </c>
      <c r="AS1" s="4" t="s">
        <v>0</v>
      </c>
      <c r="AT1" s="4"/>
      <c r="AU1" s="75"/>
      <c r="AW1" t="s">
        <v>113</v>
      </c>
      <c r="AY1" s="22" t="s">
        <v>0</v>
      </c>
      <c r="AZ1" s="23"/>
      <c r="BA1" s="23"/>
      <c r="BB1" s="23" t="s">
        <v>56</v>
      </c>
      <c r="BC1" s="23" t="s">
        <v>5</v>
      </c>
      <c r="BD1" s="24" t="s">
        <v>6</v>
      </c>
      <c r="BE1" s="4" t="s">
        <v>107</v>
      </c>
    </row>
    <row r="2" spans="1:57" x14ac:dyDescent="0.25">
      <c r="A2" s="1">
        <v>45139</v>
      </c>
      <c r="B2" s="21">
        <v>525</v>
      </c>
      <c r="C2" s="77">
        <v>840.69</v>
      </c>
      <c r="D2" s="77">
        <f>ROUND(B2*C2,0)</f>
        <v>441362</v>
      </c>
      <c r="E2" s="60"/>
      <c r="F2" s="9">
        <v>45139</v>
      </c>
      <c r="G2">
        <v>110218</v>
      </c>
      <c r="H2" t="s">
        <v>61</v>
      </c>
      <c r="I2" t="str">
        <f>"CPA Recaudación Clientes CFSB 1126 "&amp;TEXT(F2,"dd-mm-yyy")&amp;" USD "&amp;TEXT(B2,"#.##0,00")&amp;" T/C "&amp;C2&amp;""</f>
        <v>CPA Recaudación Clientes CFSB 1126 01-08-2023 USD 525,00 T/C 840,69</v>
      </c>
      <c r="J2" s="3">
        <f>+D2</f>
        <v>441362</v>
      </c>
      <c r="K2" s="10"/>
      <c r="O2" s="1">
        <v>45139</v>
      </c>
      <c r="P2" s="26" t="e">
        <f>HLOOKUP(O2,Hoja2!$R$2:$AV$35,34,FALSE)</f>
        <v>#N/A</v>
      </c>
      <c r="Q2" s="77" t="e">
        <f>HLOOKUP(O2,Hoja2!$R$2:$AV$36,35,FALSE)</f>
        <v>#N/A</v>
      </c>
      <c r="R2" s="26" t="e">
        <f>HLOOKUP(O2,Hoja2!$R$2:$AV$37,36,FALSE)</f>
        <v>#N/A</v>
      </c>
      <c r="S2" s="97" t="e">
        <f>HLOOKUP(O2,Hoja2!$R$2:$AV$38,37,FALSE)</f>
        <v>#N/A</v>
      </c>
      <c r="U2" s="9">
        <v>45139</v>
      </c>
      <c r="V2">
        <v>110285</v>
      </c>
      <c r="W2" t="s">
        <v>110</v>
      </c>
      <c r="X2" t="e">
        <f>"CPA Rescate DLocal a CSFB 2475 " &amp;R2&amp;" USD T/C "&amp;Q2&amp;".- "&amp;TEXT($O2,"dd-mm-yyy")</f>
        <v>#N/A</v>
      </c>
      <c r="Y2" s="3" t="e">
        <f>+S2</f>
        <v>#N/A</v>
      </c>
      <c r="Z2" s="10"/>
      <c r="AD2" s="1">
        <v>45139</v>
      </c>
      <c r="AE2" s="26" t="e">
        <f>HLOOKUP(AD2,Hoja2!$R$2:$AV$35,34,FALSE)</f>
        <v>#N/A</v>
      </c>
      <c r="AF2" s="77" t="e">
        <f>HLOOKUP(AD2,Hoja2!$R$2:$AV$36,35,FALSE)</f>
        <v>#N/A</v>
      </c>
      <c r="AG2" s="26" t="e">
        <f>HLOOKUP(AD2,Hoja2!$R$2:$AV$37,36,FALSE)</f>
        <v>#N/A</v>
      </c>
      <c r="AH2" s="97" t="e">
        <f>HLOOKUP(AD2,Hoja2!$R$2:$AV$38,37,FALSE)</f>
        <v>#N/A</v>
      </c>
      <c r="AJ2" s="9">
        <v>45108</v>
      </c>
      <c r="AK2">
        <v>110285</v>
      </c>
      <c r="AL2" t="s">
        <v>110</v>
      </c>
      <c r="AM2" t="e">
        <f>"CPA Rescate DLocal a CSFB 2475 " &amp;AG2&amp;" USD T/C "&amp;AF2&amp;".- "&amp;TEXT($O2,"dd-mm-yyy")</f>
        <v>#N/A</v>
      </c>
      <c r="AN2" s="3" t="e">
        <f>+AH2</f>
        <v>#N/A</v>
      </c>
      <c r="AO2" s="10"/>
      <c r="AS2" s="1">
        <v>45139</v>
      </c>
      <c r="AT2" s="26" t="e">
        <f>HLOOKUP(AS2,Hoja2!$R$2:$AV$39,38,FALSE)</f>
        <v>#N/A</v>
      </c>
      <c r="AU2" s="77" t="e">
        <f>HLOOKUP(AS2,Hoja2!$R$2:$AV$40,39,FALSE)</f>
        <v>#N/A</v>
      </c>
      <c r="AV2" s="26" t="e">
        <f>HLOOKUP(AS2,Hoja2!$R$2:$AV$41,40,FALSE)</f>
        <v>#N/A</v>
      </c>
      <c r="AW2" s="97" t="e">
        <f>HLOOKUP(AS2,Hoja2!$R$2:$AV$42,41,FALSE)</f>
        <v>#N/A</v>
      </c>
      <c r="AY2" s="9">
        <v>45139</v>
      </c>
      <c r="AZ2" s="8">
        <v>110275</v>
      </c>
      <c r="BA2" s="8" t="s">
        <v>108</v>
      </c>
      <c r="BB2" t="e">
        <f>"CPA Fondeo CSFB 2475 a NIUM " &amp;AV2&amp;" USD T/C "&amp;AU2&amp;".- "&amp;TEXT(AS2,"dd-mm-yyy")</f>
        <v>#N/A</v>
      </c>
      <c r="BC2" s="3" t="e">
        <f>+AW2</f>
        <v>#N/A</v>
      </c>
      <c r="BD2" s="10"/>
    </row>
    <row r="3" spans="1:57" x14ac:dyDescent="0.25">
      <c r="A3" s="1">
        <v>45140</v>
      </c>
      <c r="B3" s="21">
        <v>30500.55</v>
      </c>
      <c r="C3" s="77">
        <v>843.02</v>
      </c>
      <c r="D3" s="77">
        <f t="shared" ref="D3:D32" si="0">ROUND(B3*C3,0)</f>
        <v>25712574</v>
      </c>
      <c r="E3" s="60"/>
      <c r="F3" s="11"/>
      <c r="G3" s="12">
        <v>211101</v>
      </c>
      <c r="H3" s="12" t="s">
        <v>18</v>
      </c>
      <c r="I3" s="12" t="str">
        <f>I2</f>
        <v>CPA Recaudación Clientes CFSB 1126 01-08-2023 USD 525,00 T/C 840,69</v>
      </c>
      <c r="J3" s="13"/>
      <c r="K3" s="18">
        <f>J2</f>
        <v>441362</v>
      </c>
      <c r="O3" s="1">
        <v>45140</v>
      </c>
      <c r="P3" s="26" t="e">
        <f>HLOOKUP(O3,Hoja2!$R$2:$AV$35,34,FALSE)</f>
        <v>#N/A</v>
      </c>
      <c r="Q3" s="77" t="e">
        <f>HLOOKUP(O3,Hoja2!$R$2:$AV$36,35,FALSE)</f>
        <v>#N/A</v>
      </c>
      <c r="R3" s="26" t="e">
        <f>HLOOKUP(O3,Hoja2!$R$2:$AV$37,36,FALSE)</f>
        <v>#N/A</v>
      </c>
      <c r="S3" s="97" t="e">
        <f>HLOOKUP(O3,Hoja2!$R$2:$AV$38,37,FALSE)</f>
        <v>#N/A</v>
      </c>
      <c r="U3" s="11"/>
      <c r="V3" s="12">
        <v>110276</v>
      </c>
      <c r="W3" s="12" t="s">
        <v>102</v>
      </c>
      <c r="X3" s="12" t="e">
        <f>+X2</f>
        <v>#N/A</v>
      </c>
      <c r="Y3" s="13"/>
      <c r="Z3" s="18" t="e">
        <f>+Y2</f>
        <v>#N/A</v>
      </c>
      <c r="AD3" s="1">
        <v>45140</v>
      </c>
      <c r="AE3" s="26" t="e">
        <f>HLOOKUP(AD3,Hoja2!$R$2:$AV$35,34,FALSE)</f>
        <v>#N/A</v>
      </c>
      <c r="AF3" s="77" t="e">
        <f>HLOOKUP(AD3,Hoja2!$R$2:$AV$36,35,FALSE)</f>
        <v>#N/A</v>
      </c>
      <c r="AG3" s="26" t="e">
        <f>HLOOKUP(AD3,Hoja2!$R$2:$AV$37,36,FALSE)</f>
        <v>#N/A</v>
      </c>
      <c r="AH3" s="97" t="e">
        <f>HLOOKUP(AD3,Hoja2!$R$2:$AV$38,37,FALSE)</f>
        <v>#N/A</v>
      </c>
      <c r="AJ3" s="11"/>
      <c r="AK3" s="12">
        <v>110276</v>
      </c>
      <c r="AL3" s="12" t="s">
        <v>102</v>
      </c>
      <c r="AM3" s="12" t="e">
        <f>+AM2</f>
        <v>#N/A</v>
      </c>
      <c r="AN3" s="13"/>
      <c r="AO3" s="18" t="e">
        <f>+AN2</f>
        <v>#N/A</v>
      </c>
      <c r="AS3" s="1">
        <v>45140</v>
      </c>
      <c r="AT3" s="26" t="e">
        <f>HLOOKUP(AS3,Hoja2!$R$2:$AV$39,38,FALSE)</f>
        <v>#N/A</v>
      </c>
      <c r="AU3" s="77" t="e">
        <f>HLOOKUP(AS3,Hoja2!$R$2:$AV$40,39,FALSE)</f>
        <v>#N/A</v>
      </c>
      <c r="AV3" s="26" t="e">
        <f>HLOOKUP(AS3,Hoja2!$R$2:$AV$41,40,FALSE)</f>
        <v>#N/A</v>
      </c>
      <c r="AW3" s="97" t="e">
        <f>HLOOKUP(AS3,Hoja2!$R$2:$AV$42,41,FALSE)</f>
        <v>#N/A</v>
      </c>
      <c r="AY3" s="11"/>
      <c r="AZ3" s="12">
        <v>110285</v>
      </c>
      <c r="BA3" s="12"/>
      <c r="BB3" s="12" t="e">
        <f>+BB2</f>
        <v>#N/A</v>
      </c>
      <c r="BC3" s="13"/>
      <c r="BD3" s="18" t="e">
        <f>+BC2</f>
        <v>#N/A</v>
      </c>
    </row>
    <row r="4" spans="1:57" x14ac:dyDescent="0.25">
      <c r="A4" s="1">
        <v>45141</v>
      </c>
      <c r="B4" s="21">
        <v>5100</v>
      </c>
      <c r="C4" s="77">
        <v>847.77</v>
      </c>
      <c r="D4" s="77">
        <f t="shared" si="0"/>
        <v>4323627</v>
      </c>
      <c r="E4" s="60"/>
      <c r="F4" s="15">
        <v>45140</v>
      </c>
      <c r="G4" s="8">
        <v>110218</v>
      </c>
      <c r="H4" s="8" t="s">
        <v>61</v>
      </c>
      <c r="I4" t="str">
        <f>"CPA Recaudación Clientes CFSB 1126 "&amp;TEXT(F4,"dd-mm-yyy")&amp;" USD "&amp;TEXT(B3,"#.##0,00")&amp;" T/C "&amp;C3&amp;""</f>
        <v>CPA Recaudación Clientes CFSB 1126 02-08-2023 USD 30.500,55 T/C 843,02</v>
      </c>
      <c r="J4" s="3">
        <f>+D3</f>
        <v>25712574</v>
      </c>
      <c r="K4" s="17"/>
      <c r="O4" s="1">
        <v>45141</v>
      </c>
      <c r="P4" s="26" t="e">
        <f>HLOOKUP(O4,Hoja2!$R$2:$AV$35,34,FALSE)</f>
        <v>#N/A</v>
      </c>
      <c r="Q4" s="77" t="e">
        <f>HLOOKUP(O4,Hoja2!$R$2:$AV$36,35,FALSE)</f>
        <v>#N/A</v>
      </c>
      <c r="R4" s="26" t="e">
        <f>HLOOKUP(O4,Hoja2!$R$2:$AV$37,36,FALSE)</f>
        <v>#N/A</v>
      </c>
      <c r="S4" s="97" t="e">
        <f>HLOOKUP(O4,Hoja2!$R$2:$AV$38,37,FALSE)</f>
        <v>#N/A</v>
      </c>
      <c r="U4" s="9">
        <v>45140</v>
      </c>
      <c r="V4">
        <v>110285</v>
      </c>
      <c r="X4" t="e">
        <f>"CPA Rescate DLocal a CSFB 2475 " &amp;R3&amp;" USD T/C "&amp;Q3&amp;".- "&amp;TEXT($O3,"dd-mm-yyy")</f>
        <v>#N/A</v>
      </c>
      <c r="Y4" s="3" t="e">
        <f>+S3</f>
        <v>#N/A</v>
      </c>
      <c r="Z4" s="10"/>
      <c r="AD4" s="1">
        <v>45141</v>
      </c>
      <c r="AE4" s="26" t="e">
        <f>HLOOKUP(AD4,Hoja2!$R$2:$AV$35,34,FALSE)</f>
        <v>#N/A</v>
      </c>
      <c r="AF4" s="77" t="e">
        <f>HLOOKUP(AD4,Hoja2!$R$2:$AV$36,35,FALSE)</f>
        <v>#N/A</v>
      </c>
      <c r="AG4" s="26" t="e">
        <f>HLOOKUP(AD4,Hoja2!$R$2:$AV$37,36,FALSE)</f>
        <v>#N/A</v>
      </c>
      <c r="AH4" s="97" t="e">
        <f>HLOOKUP(AD4,Hoja2!$R$2:$AV$38,37,FALSE)</f>
        <v>#N/A</v>
      </c>
      <c r="AJ4" s="9">
        <v>45109</v>
      </c>
      <c r="AK4">
        <v>110285</v>
      </c>
      <c r="AM4" t="e">
        <f>"CPA Rescate DLocal a CSFB 2475 " &amp;AG3&amp;" USD T/C "&amp;AF3&amp;".- "&amp;TEXT($O4,"dd-mm-yyy")</f>
        <v>#N/A</v>
      </c>
      <c r="AN4" s="3" t="e">
        <f>+AH3</f>
        <v>#N/A</v>
      </c>
      <c r="AO4" s="10"/>
      <c r="AS4" s="1">
        <v>45141</v>
      </c>
      <c r="AT4" s="26" t="e">
        <f>HLOOKUP(AS4,Hoja2!$R$2:$AV$39,38,FALSE)</f>
        <v>#N/A</v>
      </c>
      <c r="AU4" s="77" t="e">
        <f>HLOOKUP(AS4,Hoja2!$R$2:$AV$40,39,FALSE)</f>
        <v>#N/A</v>
      </c>
      <c r="AV4" s="26" t="e">
        <f>HLOOKUP(AS4,Hoja2!$R$2:$AV$41,40,FALSE)</f>
        <v>#N/A</v>
      </c>
      <c r="AW4" s="97" t="e">
        <f>HLOOKUP(AS4,Hoja2!$R$2:$AV$42,41,FALSE)</f>
        <v>#N/A</v>
      </c>
      <c r="AY4" s="9">
        <v>45140</v>
      </c>
      <c r="AZ4" s="8">
        <v>110275</v>
      </c>
      <c r="BA4" s="8" t="s">
        <v>108</v>
      </c>
      <c r="BB4" t="e">
        <f>"CPA Fondeo CSFB 2475 a NIUM " &amp;AV3&amp;" USD T/C "&amp;AU3&amp;".- "&amp;TEXT(AS3,"dd-mm-yyy")</f>
        <v>#N/A</v>
      </c>
      <c r="BC4" s="3" t="e">
        <f>+AW3</f>
        <v>#N/A</v>
      </c>
      <c r="BD4" s="10"/>
    </row>
    <row r="5" spans="1:57" x14ac:dyDescent="0.25">
      <c r="A5" s="1">
        <v>45142</v>
      </c>
      <c r="B5" s="21">
        <v>8972.94</v>
      </c>
      <c r="C5" s="77">
        <v>853.99</v>
      </c>
      <c r="D5" s="77">
        <f t="shared" si="0"/>
        <v>7662801</v>
      </c>
      <c r="E5" s="60"/>
      <c r="F5" s="11"/>
      <c r="G5" s="12">
        <v>211101</v>
      </c>
      <c r="H5" s="12" t="s">
        <v>18</v>
      </c>
      <c r="I5" s="12" t="str">
        <f t="shared" ref="I5" si="1">I4</f>
        <v>CPA Recaudación Clientes CFSB 1126 02-08-2023 USD 30.500,55 T/C 843,02</v>
      </c>
      <c r="J5" s="13"/>
      <c r="K5" s="18">
        <f t="shared" ref="K5" si="2">J4</f>
        <v>25712574</v>
      </c>
      <c r="O5" s="1">
        <v>45142</v>
      </c>
      <c r="P5" s="26" t="e">
        <f>HLOOKUP(O5,Hoja2!$R$2:$AV$35,34,FALSE)</f>
        <v>#N/A</v>
      </c>
      <c r="Q5" s="77" t="e">
        <f>HLOOKUP(O5,Hoja2!$R$2:$AV$36,35,FALSE)</f>
        <v>#N/A</v>
      </c>
      <c r="R5" s="26" t="e">
        <f>HLOOKUP(O5,Hoja2!$R$2:$AV$37,36,FALSE)</f>
        <v>#N/A</v>
      </c>
      <c r="S5" s="97" t="e">
        <f>HLOOKUP(O5,Hoja2!$R$2:$AV$38,37,FALSE)</f>
        <v>#N/A</v>
      </c>
      <c r="U5" s="41"/>
      <c r="V5" s="12">
        <v>110276</v>
      </c>
      <c r="W5" s="12" t="s">
        <v>102</v>
      </c>
      <c r="X5" s="12" t="e">
        <f>+X4</f>
        <v>#N/A</v>
      </c>
      <c r="Y5" s="13"/>
      <c r="Z5" s="18" t="e">
        <f t="shared" ref="Z5" si="3">+Y4</f>
        <v>#N/A</v>
      </c>
      <c r="AD5" s="1">
        <v>45142</v>
      </c>
      <c r="AE5" s="26" t="e">
        <f>HLOOKUP(AD5,Hoja2!$R$2:$AV$35,34,FALSE)</f>
        <v>#N/A</v>
      </c>
      <c r="AF5" s="77" t="e">
        <f>HLOOKUP(AD5,Hoja2!$R$2:$AV$36,35,FALSE)</f>
        <v>#N/A</v>
      </c>
      <c r="AG5" s="26" t="e">
        <f>HLOOKUP(AD5,Hoja2!$R$2:$AV$37,36,FALSE)</f>
        <v>#N/A</v>
      </c>
      <c r="AH5" s="97" t="e">
        <f>HLOOKUP(AD5,Hoja2!$R$2:$AV$38,37,FALSE)</f>
        <v>#N/A</v>
      </c>
      <c r="AJ5" s="41"/>
      <c r="AK5" s="12">
        <v>110276</v>
      </c>
      <c r="AL5" s="12" t="s">
        <v>102</v>
      </c>
      <c r="AM5" s="12" t="e">
        <f>+AM4</f>
        <v>#N/A</v>
      </c>
      <c r="AN5" s="13"/>
      <c r="AO5" s="18" t="e">
        <f t="shared" ref="AO5" si="4">+AN4</f>
        <v>#N/A</v>
      </c>
      <c r="AS5" s="1">
        <v>45142</v>
      </c>
      <c r="AT5" s="26" t="e">
        <f>HLOOKUP(AS5,Hoja2!$R$2:$AV$39,38,FALSE)</f>
        <v>#N/A</v>
      </c>
      <c r="AU5" s="77" t="e">
        <f>HLOOKUP(AS5,Hoja2!$R$2:$AV$40,39,FALSE)</f>
        <v>#N/A</v>
      </c>
      <c r="AV5" s="26" t="e">
        <f>HLOOKUP(AS5,Hoja2!$R$2:$AV$41,40,FALSE)</f>
        <v>#N/A</v>
      </c>
      <c r="AW5" s="97" t="e">
        <f>HLOOKUP(AS5,Hoja2!$R$2:$AV$42,41,FALSE)</f>
        <v>#N/A</v>
      </c>
      <c r="AY5" s="41"/>
      <c r="AZ5" s="12">
        <v>110285</v>
      </c>
      <c r="BA5" s="12"/>
      <c r="BB5" s="12" t="e">
        <f>+BB4</f>
        <v>#N/A</v>
      </c>
      <c r="BC5" s="13"/>
      <c r="BD5" s="18" t="e">
        <f t="shared" ref="BD5" si="5">+BC4</f>
        <v>#N/A</v>
      </c>
    </row>
    <row r="6" spans="1:57" x14ac:dyDescent="0.25">
      <c r="A6" s="1">
        <v>45143</v>
      </c>
      <c r="B6" s="21">
        <v>0</v>
      </c>
      <c r="C6" s="77">
        <v>853.99</v>
      </c>
      <c r="D6" s="77">
        <f t="shared" si="0"/>
        <v>0</v>
      </c>
      <c r="E6" s="60"/>
      <c r="F6" s="15">
        <v>45141</v>
      </c>
      <c r="G6" s="8">
        <v>110218</v>
      </c>
      <c r="H6" s="8" t="s">
        <v>61</v>
      </c>
      <c r="I6" t="str">
        <f>"CPA Recaudación Clientes CFSB 1126 "&amp;TEXT(F6,"dd-mm-yyy")&amp;" USD "&amp;TEXT(B4,"#.##0")&amp;" T/C "&amp;C4&amp;""</f>
        <v>CPA Recaudación Clientes CFSB 1126 03-08-2023 USD 5.100 T/C 847,77</v>
      </c>
      <c r="J6" s="16">
        <f>+D4</f>
        <v>4323627</v>
      </c>
      <c r="K6" s="17"/>
      <c r="O6" s="1">
        <v>45143</v>
      </c>
      <c r="P6" s="26" t="e">
        <f>HLOOKUP(O6,Hoja2!$R$2:$AV$35,34,FALSE)</f>
        <v>#N/A</v>
      </c>
      <c r="Q6" s="77" t="e">
        <f>HLOOKUP(O6,Hoja2!$R$2:$AV$36,35,FALSE)</f>
        <v>#N/A</v>
      </c>
      <c r="R6" s="26" t="e">
        <f>HLOOKUP(O6,Hoja2!$R$2:$AV$37,36,FALSE)</f>
        <v>#N/A</v>
      </c>
      <c r="S6" s="97" t="e">
        <f>HLOOKUP(O6,Hoja2!$R$2:$AV$38,37,FALSE)</f>
        <v>#N/A</v>
      </c>
      <c r="U6" s="9">
        <v>45141</v>
      </c>
      <c r="V6">
        <v>110285</v>
      </c>
      <c r="X6" t="e">
        <f>"CPA Rescate DLocal a CSFB 2475 " &amp;R4&amp;" USD T/C "&amp;Q4&amp;".- "&amp;TEXT($O4,"dd-mm-yyy")</f>
        <v>#N/A</v>
      </c>
      <c r="Y6" s="3" t="e">
        <f>+S4</f>
        <v>#N/A</v>
      </c>
      <c r="Z6" s="10"/>
      <c r="AD6" s="1">
        <v>45143</v>
      </c>
      <c r="AE6" s="26" t="e">
        <f>HLOOKUP(AD6,Hoja2!$R$2:$AV$35,34,FALSE)</f>
        <v>#N/A</v>
      </c>
      <c r="AF6" s="77" t="e">
        <f>HLOOKUP(AD6,Hoja2!$R$2:$AV$36,35,FALSE)</f>
        <v>#N/A</v>
      </c>
      <c r="AG6" s="26" t="e">
        <f>HLOOKUP(AD6,Hoja2!$R$2:$AV$37,36,FALSE)</f>
        <v>#N/A</v>
      </c>
      <c r="AH6" s="97" t="e">
        <f>HLOOKUP(AD6,Hoja2!$R$2:$AV$38,37,FALSE)</f>
        <v>#N/A</v>
      </c>
      <c r="AJ6" s="9">
        <v>45110</v>
      </c>
      <c r="AK6">
        <v>110285</v>
      </c>
      <c r="AM6" t="e">
        <f>"CPA Rescate DLocal a CSFB 2475 " &amp;AG4&amp;" USD T/C "&amp;AF4&amp;".- "&amp;TEXT($O6,"dd-mm-yyy")</f>
        <v>#N/A</v>
      </c>
      <c r="AN6" s="3" t="e">
        <f>+AH4</f>
        <v>#N/A</v>
      </c>
      <c r="AO6" s="10"/>
      <c r="AS6" s="1">
        <v>45143</v>
      </c>
      <c r="AT6" s="26" t="e">
        <f>HLOOKUP(AS6,Hoja2!$R$2:$AV$39,38,FALSE)</f>
        <v>#N/A</v>
      </c>
      <c r="AU6" s="77" t="e">
        <f>HLOOKUP(AS6,Hoja2!$R$2:$AV$40,39,FALSE)</f>
        <v>#N/A</v>
      </c>
      <c r="AV6" s="26" t="e">
        <f>HLOOKUP(AS6,Hoja2!$R$2:$AV$41,40,FALSE)</f>
        <v>#N/A</v>
      </c>
      <c r="AW6" s="97" t="e">
        <f>HLOOKUP(AS6,Hoja2!$R$2:$AV$42,41,FALSE)</f>
        <v>#N/A</v>
      </c>
      <c r="AY6" s="9">
        <v>45141</v>
      </c>
      <c r="AZ6" s="8">
        <v>110275</v>
      </c>
      <c r="BA6" s="8" t="s">
        <v>108</v>
      </c>
      <c r="BB6" t="e">
        <f>"CPA Fondeo CSFB 2475 a NIUM "&amp;AV4&amp;" USD T/C "&amp;AU4&amp;".- "&amp;TEXT(AS4,"dd-mm-yyy")</f>
        <v>#N/A</v>
      </c>
      <c r="BC6" s="3" t="e">
        <f>+AW4</f>
        <v>#N/A</v>
      </c>
      <c r="BD6" s="10"/>
    </row>
    <row r="7" spans="1:57" x14ac:dyDescent="0.25">
      <c r="A7" s="1">
        <v>45144</v>
      </c>
      <c r="B7" s="21">
        <v>0</v>
      </c>
      <c r="C7" s="77">
        <v>853.99</v>
      </c>
      <c r="D7" s="77">
        <f t="shared" si="0"/>
        <v>0</v>
      </c>
      <c r="E7" s="60"/>
      <c r="F7" s="11"/>
      <c r="G7" s="12">
        <v>211101</v>
      </c>
      <c r="H7" s="12" t="s">
        <v>18</v>
      </c>
      <c r="I7" s="12" t="str">
        <f t="shared" ref="I7" si="6">I6</f>
        <v>CPA Recaudación Clientes CFSB 1126 03-08-2023 USD 5.100 T/C 847,77</v>
      </c>
      <c r="J7" s="13"/>
      <c r="K7" s="18">
        <f t="shared" ref="K7" si="7">J6</f>
        <v>4323627</v>
      </c>
      <c r="O7" s="1">
        <v>45144</v>
      </c>
      <c r="P7" s="26" t="e">
        <f>HLOOKUP(O7,Hoja2!$R$2:$AV$35,34,FALSE)</f>
        <v>#N/A</v>
      </c>
      <c r="Q7" s="77" t="e">
        <f>HLOOKUP(O7,Hoja2!$R$2:$AV$36,35,FALSE)</f>
        <v>#N/A</v>
      </c>
      <c r="R7" s="26" t="e">
        <f>HLOOKUP(O7,Hoja2!$R$2:$AV$37,36,FALSE)</f>
        <v>#N/A</v>
      </c>
      <c r="S7" s="97" t="e">
        <f>HLOOKUP(O7,Hoja2!$R$2:$AV$38,37,FALSE)</f>
        <v>#N/A</v>
      </c>
      <c r="U7" s="11"/>
      <c r="V7" s="12">
        <v>110276</v>
      </c>
      <c r="W7" s="12" t="s">
        <v>102</v>
      </c>
      <c r="X7" s="12" t="e">
        <f>+X6</f>
        <v>#N/A</v>
      </c>
      <c r="Y7" s="13"/>
      <c r="Z7" s="18" t="e">
        <f t="shared" ref="Z7:Z63" si="8">+Y6</f>
        <v>#N/A</v>
      </c>
      <c r="AD7" s="1">
        <v>45144</v>
      </c>
      <c r="AE7" s="26" t="e">
        <f>HLOOKUP(AD7,Hoja2!$R$2:$AV$35,34,FALSE)</f>
        <v>#N/A</v>
      </c>
      <c r="AF7" s="77" t="e">
        <f>HLOOKUP(AD7,Hoja2!$R$2:$AV$36,35,FALSE)</f>
        <v>#N/A</v>
      </c>
      <c r="AG7" s="26" t="e">
        <f>HLOOKUP(AD7,Hoja2!$R$2:$AV$37,36,FALSE)</f>
        <v>#N/A</v>
      </c>
      <c r="AH7" s="97" t="e">
        <f>HLOOKUP(AD7,Hoja2!$R$2:$AV$38,37,FALSE)</f>
        <v>#N/A</v>
      </c>
      <c r="AJ7" s="11"/>
      <c r="AK7" s="12">
        <v>110276</v>
      </c>
      <c r="AL7" s="12" t="s">
        <v>102</v>
      </c>
      <c r="AM7" s="12" t="e">
        <f>+AM6</f>
        <v>#N/A</v>
      </c>
      <c r="AN7" s="13"/>
      <c r="AO7" s="18" t="e">
        <f t="shared" ref="AO7" si="9">+AN6</f>
        <v>#N/A</v>
      </c>
      <c r="AS7" s="1">
        <v>45144</v>
      </c>
      <c r="AT7" s="26" t="e">
        <f>HLOOKUP(AS7,Hoja2!$R$2:$AV$39,38,FALSE)</f>
        <v>#N/A</v>
      </c>
      <c r="AU7" s="77" t="e">
        <f>HLOOKUP(AS7,Hoja2!$R$2:$AV$40,39,FALSE)</f>
        <v>#N/A</v>
      </c>
      <c r="AV7" s="26" t="e">
        <f>HLOOKUP(AS7,Hoja2!$R$2:$AV$41,40,FALSE)</f>
        <v>#N/A</v>
      </c>
      <c r="AW7" s="97" t="e">
        <f>HLOOKUP(AS7,Hoja2!$R$2:$AV$42,41,FALSE)</f>
        <v>#N/A</v>
      </c>
      <c r="AY7" s="11"/>
      <c r="AZ7" s="12">
        <v>110285</v>
      </c>
      <c r="BA7" s="12"/>
      <c r="BB7" s="12" t="e">
        <f>+BB6</f>
        <v>#N/A</v>
      </c>
      <c r="BC7" s="13"/>
      <c r="BD7" s="18" t="e">
        <f t="shared" ref="BD7" si="10">+BC6</f>
        <v>#N/A</v>
      </c>
    </row>
    <row r="8" spans="1:57" x14ac:dyDescent="0.25">
      <c r="A8" s="1">
        <v>45145</v>
      </c>
      <c r="B8" s="21">
        <v>9499</v>
      </c>
      <c r="C8" s="77">
        <v>848.5</v>
      </c>
      <c r="D8" s="77">
        <f t="shared" si="0"/>
        <v>8059902</v>
      </c>
      <c r="E8" s="60"/>
      <c r="F8" s="15">
        <v>45142</v>
      </c>
      <c r="G8" s="8">
        <v>110218</v>
      </c>
      <c r="H8" s="8" t="s">
        <v>61</v>
      </c>
      <c r="I8" t="str">
        <f>"CPA Recaudación Clientes CFSB 1126 "&amp;TEXT(F8,"dd-mm-yyy")&amp;" USD "&amp;TEXT(B5,"#.##0,00")&amp;" T/C "&amp;C5&amp;""</f>
        <v>CPA Recaudación Clientes CFSB 1126 04-08-2023 USD 8.972,94 T/C 853,99</v>
      </c>
      <c r="J8" s="16">
        <f>+D5</f>
        <v>7662801</v>
      </c>
      <c r="K8" s="17"/>
      <c r="O8" s="1">
        <v>45145</v>
      </c>
      <c r="P8" s="26" t="e">
        <f>HLOOKUP(O8,Hoja2!$R$2:$AV$35,34,FALSE)</f>
        <v>#N/A</v>
      </c>
      <c r="Q8" s="77" t="e">
        <f>HLOOKUP(O8,Hoja2!$R$2:$AV$36,35,FALSE)</f>
        <v>#N/A</v>
      </c>
      <c r="R8" s="26" t="e">
        <f>HLOOKUP(O8,Hoja2!$R$2:$AV$37,36,FALSE)</f>
        <v>#N/A</v>
      </c>
      <c r="S8" s="97" t="e">
        <f>HLOOKUP(O8,Hoja2!$R$2:$AV$38,37,FALSE)</f>
        <v>#N/A</v>
      </c>
      <c r="U8" s="9">
        <v>45142</v>
      </c>
      <c r="V8">
        <v>110285</v>
      </c>
      <c r="X8" t="e">
        <f>"CPA Rescate DLocal a CSFB 2475 " &amp;R5&amp;" USD T/C "&amp;Q5&amp;".- "&amp;TEXT($O5,"dd-mm-yyy")</f>
        <v>#N/A</v>
      </c>
      <c r="Y8" s="3" t="e">
        <f>+S5</f>
        <v>#N/A</v>
      </c>
      <c r="Z8" s="10"/>
      <c r="AD8" s="1">
        <v>45145</v>
      </c>
      <c r="AE8" s="26" t="e">
        <f>HLOOKUP(AD8,Hoja2!$R$2:$AV$35,34,FALSE)</f>
        <v>#N/A</v>
      </c>
      <c r="AF8" s="77" t="e">
        <f>HLOOKUP(AD8,Hoja2!$R$2:$AV$36,35,FALSE)</f>
        <v>#N/A</v>
      </c>
      <c r="AG8" s="26" t="e">
        <f>HLOOKUP(AD8,Hoja2!$R$2:$AV$37,36,FALSE)</f>
        <v>#N/A</v>
      </c>
      <c r="AH8" s="97" t="e">
        <f>HLOOKUP(AD8,Hoja2!$R$2:$AV$38,37,FALSE)</f>
        <v>#N/A</v>
      </c>
      <c r="AJ8" s="9">
        <v>45111</v>
      </c>
      <c r="AK8">
        <v>110285</v>
      </c>
      <c r="AM8" t="e">
        <f>"CPA Rescate DLocal a CSFB 2475 " &amp;AG5&amp;" USD T/C "&amp;AF5&amp;".- "&amp;TEXT($O8,"dd-mm-yyy")</f>
        <v>#N/A</v>
      </c>
      <c r="AN8" s="3" t="e">
        <f>+AH5</f>
        <v>#N/A</v>
      </c>
      <c r="AO8" s="10"/>
      <c r="AS8" s="1">
        <v>45145</v>
      </c>
      <c r="AT8" s="26" t="e">
        <f>HLOOKUP(AS8,Hoja2!$R$2:$AV$39,38,FALSE)</f>
        <v>#N/A</v>
      </c>
      <c r="AU8" s="77" t="e">
        <f>HLOOKUP(AS8,Hoja2!$R$2:$AV$40,39,FALSE)</f>
        <v>#N/A</v>
      </c>
      <c r="AV8" s="26" t="e">
        <f>HLOOKUP(AS8,Hoja2!$R$2:$AV$41,40,FALSE)</f>
        <v>#N/A</v>
      </c>
      <c r="AW8" s="97" t="e">
        <f>HLOOKUP(AS8,Hoja2!$R$2:$AV$42,41,FALSE)</f>
        <v>#N/A</v>
      </c>
      <c r="AY8" s="9">
        <v>45142</v>
      </c>
      <c r="AZ8" s="8">
        <v>110275</v>
      </c>
      <c r="BA8" s="8" t="s">
        <v>108</v>
      </c>
      <c r="BB8" t="e">
        <f>"CPA Fondeo CSFB 2475 a NIUM " &amp;AV5&amp;" USD T/C "&amp;AU5&amp;".- "&amp;TEXT(AS5,"dd-mm-yyy")</f>
        <v>#N/A</v>
      </c>
      <c r="BC8" s="3" t="e">
        <f>+AW5</f>
        <v>#N/A</v>
      </c>
      <c r="BD8" s="10"/>
    </row>
    <row r="9" spans="1:57" x14ac:dyDescent="0.25">
      <c r="A9" s="1">
        <v>45146</v>
      </c>
      <c r="B9" s="21">
        <v>1115.31</v>
      </c>
      <c r="C9" s="77">
        <v>856.1</v>
      </c>
      <c r="D9" s="77">
        <f t="shared" si="0"/>
        <v>954817</v>
      </c>
      <c r="E9" s="60"/>
      <c r="F9" s="20"/>
      <c r="G9">
        <v>211101</v>
      </c>
      <c r="H9" t="s">
        <v>18</v>
      </c>
      <c r="I9" s="12" t="str">
        <f t="shared" ref="I9" si="11">I8</f>
        <v>CPA Recaudación Clientes CFSB 1126 04-08-2023 USD 8.972,94 T/C 853,99</v>
      </c>
      <c r="K9" s="10">
        <f t="shared" ref="K9" si="12">J8</f>
        <v>7662801</v>
      </c>
      <c r="O9" s="1">
        <v>45146</v>
      </c>
      <c r="P9" s="26" t="e">
        <f>HLOOKUP(O9,Hoja2!$R$2:$AV$35,34,FALSE)</f>
        <v>#N/A</v>
      </c>
      <c r="Q9" s="77" t="e">
        <f>HLOOKUP(O9,Hoja2!$R$2:$AV$36,35,FALSE)</f>
        <v>#N/A</v>
      </c>
      <c r="R9" s="26" t="e">
        <f>HLOOKUP(O9,Hoja2!$R$2:$AV$37,36,FALSE)</f>
        <v>#N/A</v>
      </c>
      <c r="S9" s="97" t="e">
        <f>HLOOKUP(O9,Hoja2!$R$2:$AV$38,37,FALSE)</f>
        <v>#N/A</v>
      </c>
      <c r="U9" s="11"/>
      <c r="V9" s="12">
        <v>110276</v>
      </c>
      <c r="W9" s="12" t="s">
        <v>102</v>
      </c>
      <c r="X9" s="12" t="e">
        <f>+X8</f>
        <v>#N/A</v>
      </c>
      <c r="Y9" s="13"/>
      <c r="Z9" s="18" t="e">
        <f t="shared" si="8"/>
        <v>#N/A</v>
      </c>
      <c r="AD9" s="1">
        <v>45146</v>
      </c>
      <c r="AE9" s="26" t="e">
        <f>HLOOKUP(AD9,Hoja2!$R$2:$AV$35,34,FALSE)</f>
        <v>#N/A</v>
      </c>
      <c r="AF9" s="77" t="e">
        <f>HLOOKUP(AD9,Hoja2!$R$2:$AV$36,35,FALSE)</f>
        <v>#N/A</v>
      </c>
      <c r="AG9" s="26" t="e">
        <f>HLOOKUP(AD9,Hoja2!$R$2:$AV$37,36,FALSE)</f>
        <v>#N/A</v>
      </c>
      <c r="AH9" s="97" t="e">
        <f>HLOOKUP(AD9,Hoja2!$R$2:$AV$38,37,FALSE)</f>
        <v>#N/A</v>
      </c>
      <c r="AJ9" s="11"/>
      <c r="AK9" s="12">
        <v>110276</v>
      </c>
      <c r="AL9" s="12" t="s">
        <v>102</v>
      </c>
      <c r="AM9" s="12" t="e">
        <f>+AM8</f>
        <v>#N/A</v>
      </c>
      <c r="AN9" s="13"/>
      <c r="AO9" s="18" t="e">
        <f t="shared" ref="AO9" si="13">+AN8</f>
        <v>#N/A</v>
      </c>
      <c r="AS9" s="1">
        <v>45146</v>
      </c>
      <c r="AT9" s="26" t="e">
        <f>HLOOKUP(AS9,Hoja2!$R$2:$AV$39,38,FALSE)</f>
        <v>#N/A</v>
      </c>
      <c r="AU9" s="77" t="e">
        <f>HLOOKUP(AS9,Hoja2!$R$2:$AV$40,39,FALSE)</f>
        <v>#N/A</v>
      </c>
      <c r="AV9" s="26" t="e">
        <f>HLOOKUP(AS9,Hoja2!$R$2:$AV$41,40,FALSE)</f>
        <v>#N/A</v>
      </c>
      <c r="AW9" s="97" t="e">
        <f>HLOOKUP(AS9,Hoja2!$R$2:$AV$42,41,FALSE)</f>
        <v>#N/A</v>
      </c>
      <c r="AY9" s="11"/>
      <c r="AZ9" s="12">
        <v>110285</v>
      </c>
      <c r="BA9" s="12"/>
      <c r="BB9" s="12" t="e">
        <f>+BB8</f>
        <v>#N/A</v>
      </c>
      <c r="BC9" s="13"/>
      <c r="BD9" s="18" t="e">
        <f t="shared" ref="BD9" si="14">+BC8</f>
        <v>#N/A</v>
      </c>
    </row>
    <row r="10" spans="1:57" x14ac:dyDescent="0.25">
      <c r="A10" s="1">
        <v>45147</v>
      </c>
      <c r="B10" s="21">
        <v>0</v>
      </c>
      <c r="C10" s="77">
        <v>863.22</v>
      </c>
      <c r="D10" s="77">
        <f t="shared" si="0"/>
        <v>0</v>
      </c>
      <c r="E10" s="60"/>
      <c r="F10" s="15">
        <v>45143</v>
      </c>
      <c r="G10" s="8">
        <v>110218</v>
      </c>
      <c r="H10" s="8" t="s">
        <v>61</v>
      </c>
      <c r="I10" t="str">
        <f>"CPA Recaudación Clientes CFSB 1126 "&amp;TEXT(F10,"dd-mm-yyy")&amp;" USD "&amp;TEXT(B6,"#.##0,00")&amp;" T/C "&amp;C6&amp;""</f>
        <v>CPA Recaudación Clientes CFSB 1126 05-08-2023 USD 0,00 T/C 853,99</v>
      </c>
      <c r="J10" s="16">
        <f>+D6</f>
        <v>0</v>
      </c>
      <c r="K10" s="17"/>
      <c r="O10" s="1">
        <v>45147</v>
      </c>
      <c r="P10" s="26" t="e">
        <f>HLOOKUP(O10,Hoja2!$R$2:$AV$35,34,FALSE)</f>
        <v>#N/A</v>
      </c>
      <c r="Q10" s="77" t="e">
        <f>HLOOKUP(O10,Hoja2!$R$2:$AV$36,35,FALSE)</f>
        <v>#N/A</v>
      </c>
      <c r="R10" s="26" t="e">
        <f>HLOOKUP(O10,Hoja2!$R$2:$AV$37,36,FALSE)</f>
        <v>#N/A</v>
      </c>
      <c r="S10" s="97" t="e">
        <f>HLOOKUP(O10,Hoja2!$R$2:$AV$38,37,FALSE)</f>
        <v>#N/A</v>
      </c>
      <c r="U10" s="9">
        <v>45143</v>
      </c>
      <c r="V10">
        <v>110285</v>
      </c>
      <c r="X10" t="e">
        <f>"CPA Rescate DLocal a CSFB 2475 " &amp;R6&amp;" USD T/C "&amp;Q6&amp;".- "&amp;TEXT($O6,"dd-mm-yyy")</f>
        <v>#N/A</v>
      </c>
      <c r="Y10" s="3" t="e">
        <f>+S6</f>
        <v>#N/A</v>
      </c>
      <c r="Z10" s="10"/>
      <c r="AD10" s="1">
        <v>45147</v>
      </c>
      <c r="AE10" s="26" t="e">
        <f>HLOOKUP(AD10,Hoja2!$R$2:$AV$35,34,FALSE)</f>
        <v>#N/A</v>
      </c>
      <c r="AF10" s="77" t="e">
        <f>HLOOKUP(AD10,Hoja2!$R$2:$AV$36,35,FALSE)</f>
        <v>#N/A</v>
      </c>
      <c r="AG10" s="26" t="e">
        <f>HLOOKUP(AD10,Hoja2!$R$2:$AV$37,36,FALSE)</f>
        <v>#N/A</v>
      </c>
      <c r="AH10" s="97" t="e">
        <f>HLOOKUP(AD10,Hoja2!$R$2:$AV$38,37,FALSE)</f>
        <v>#N/A</v>
      </c>
      <c r="AJ10" s="9">
        <v>45112</v>
      </c>
      <c r="AK10">
        <v>110285</v>
      </c>
      <c r="AM10" t="e">
        <f>"CPA Rescate DLocal a CSFB 2475 " &amp;AG6&amp;" USD T/C "&amp;AF6&amp;".- "&amp;TEXT($O10,"dd-mm-yyy")</f>
        <v>#N/A</v>
      </c>
      <c r="AN10" s="3" t="e">
        <f>+AH6</f>
        <v>#N/A</v>
      </c>
      <c r="AO10" s="10"/>
      <c r="AS10" s="1">
        <v>45147</v>
      </c>
      <c r="AT10" s="26" t="e">
        <f>HLOOKUP(AS10,Hoja2!$R$2:$AV$39,38,FALSE)</f>
        <v>#N/A</v>
      </c>
      <c r="AU10" s="77" t="e">
        <f>HLOOKUP(AS10,Hoja2!$R$2:$AV$40,39,FALSE)</f>
        <v>#N/A</v>
      </c>
      <c r="AV10" s="26" t="e">
        <f>HLOOKUP(AS10,Hoja2!$R$2:$AV$41,40,FALSE)</f>
        <v>#N/A</v>
      </c>
      <c r="AW10" s="97" t="e">
        <f>HLOOKUP(AS10,Hoja2!$R$2:$AV$42,41,FALSE)</f>
        <v>#N/A</v>
      </c>
      <c r="AY10" s="9">
        <v>45143</v>
      </c>
      <c r="AZ10" s="8">
        <v>110275</v>
      </c>
      <c r="BA10" s="8" t="s">
        <v>108</v>
      </c>
      <c r="BB10" t="e">
        <f>"CPA Fondeo CSFB 2475 a NIUM " &amp;AV6&amp;" USD T/C "&amp;AU6&amp;".- "&amp;TEXT(AS6,"dd-mm-yyy")</f>
        <v>#N/A</v>
      </c>
      <c r="BC10" s="3" t="e">
        <f>+AW6</f>
        <v>#N/A</v>
      </c>
      <c r="BD10" s="10"/>
    </row>
    <row r="11" spans="1:57" x14ac:dyDescent="0.25">
      <c r="A11" s="1">
        <v>45148</v>
      </c>
      <c r="B11" s="21">
        <v>0</v>
      </c>
      <c r="C11" s="77">
        <v>858.68</v>
      </c>
      <c r="D11" s="77">
        <f t="shared" si="0"/>
        <v>0</v>
      </c>
      <c r="E11" s="60"/>
      <c r="F11" s="20"/>
      <c r="G11">
        <v>211101</v>
      </c>
      <c r="H11" t="s">
        <v>18</v>
      </c>
      <c r="I11" s="12" t="str">
        <f t="shared" ref="I11" si="15">I10</f>
        <v>CPA Recaudación Clientes CFSB 1126 05-08-2023 USD 0,00 T/C 853,99</v>
      </c>
      <c r="K11" s="10">
        <f t="shared" ref="K11" si="16">J10</f>
        <v>0</v>
      </c>
      <c r="O11" s="1">
        <v>45148</v>
      </c>
      <c r="P11" s="26" t="e">
        <f>HLOOKUP(O11,Hoja2!$R$2:$AV$35,34,FALSE)</f>
        <v>#N/A</v>
      </c>
      <c r="Q11" s="77" t="e">
        <f>HLOOKUP(O11,Hoja2!$R$2:$AV$36,35,FALSE)</f>
        <v>#N/A</v>
      </c>
      <c r="R11" s="26" t="e">
        <f>HLOOKUP(O11,Hoja2!$R$2:$AV$37,36,FALSE)</f>
        <v>#N/A</v>
      </c>
      <c r="S11" s="97" t="e">
        <f>HLOOKUP(O11,Hoja2!$R$2:$AV$38,37,FALSE)</f>
        <v>#N/A</v>
      </c>
      <c r="U11" s="11"/>
      <c r="V11" s="12">
        <v>110276</v>
      </c>
      <c r="W11" s="12" t="s">
        <v>102</v>
      </c>
      <c r="X11" s="12" t="e">
        <f>+X10</f>
        <v>#N/A</v>
      </c>
      <c r="Y11" s="13"/>
      <c r="Z11" s="18" t="e">
        <f t="shared" si="8"/>
        <v>#N/A</v>
      </c>
      <c r="AD11" s="1">
        <v>45148</v>
      </c>
      <c r="AE11" s="26" t="e">
        <f>HLOOKUP(AD11,Hoja2!$R$2:$AV$35,34,FALSE)</f>
        <v>#N/A</v>
      </c>
      <c r="AF11" s="77" t="e">
        <f>HLOOKUP(AD11,Hoja2!$R$2:$AV$36,35,FALSE)</f>
        <v>#N/A</v>
      </c>
      <c r="AG11" s="26" t="e">
        <f>HLOOKUP(AD11,Hoja2!$R$2:$AV$37,36,FALSE)</f>
        <v>#N/A</v>
      </c>
      <c r="AH11" s="97" t="e">
        <f>HLOOKUP(AD11,Hoja2!$R$2:$AV$38,37,FALSE)</f>
        <v>#N/A</v>
      </c>
      <c r="AJ11" s="11"/>
      <c r="AK11" s="12">
        <v>110276</v>
      </c>
      <c r="AL11" s="12" t="s">
        <v>102</v>
      </c>
      <c r="AM11" s="12" t="e">
        <f>+AM10</f>
        <v>#N/A</v>
      </c>
      <c r="AN11" s="13"/>
      <c r="AO11" s="18" t="e">
        <f t="shared" ref="AO11" si="17">+AN10</f>
        <v>#N/A</v>
      </c>
      <c r="AS11" s="1">
        <v>45148</v>
      </c>
      <c r="AT11" s="26" t="e">
        <f>HLOOKUP(AS11,Hoja2!$R$2:$AV$39,38,FALSE)</f>
        <v>#N/A</v>
      </c>
      <c r="AU11" s="77" t="e">
        <f>HLOOKUP(AS11,Hoja2!$R$2:$AV$40,39,FALSE)</f>
        <v>#N/A</v>
      </c>
      <c r="AV11" s="26" t="e">
        <f>HLOOKUP(AS11,Hoja2!$R$2:$AV$41,40,FALSE)</f>
        <v>#N/A</v>
      </c>
      <c r="AW11" s="97" t="e">
        <f>HLOOKUP(AS11,Hoja2!$R$2:$AV$42,41,FALSE)</f>
        <v>#N/A</v>
      </c>
      <c r="AY11" s="11"/>
      <c r="AZ11" s="12">
        <v>110285</v>
      </c>
      <c r="BA11" s="12"/>
      <c r="BB11" s="12" t="e">
        <f>+BB10</f>
        <v>#N/A</v>
      </c>
      <c r="BC11" s="13"/>
      <c r="BD11" s="18" t="e">
        <f t="shared" ref="BD11" si="18">+BC10</f>
        <v>#N/A</v>
      </c>
    </row>
    <row r="12" spans="1:57" x14ac:dyDescent="0.25">
      <c r="A12" s="1">
        <v>45149</v>
      </c>
      <c r="B12" s="21">
        <v>1126.25</v>
      </c>
      <c r="C12" s="77">
        <v>851.7</v>
      </c>
      <c r="D12" s="77">
        <f t="shared" si="0"/>
        <v>959227</v>
      </c>
      <c r="E12" s="60"/>
      <c r="F12" s="15">
        <v>45144</v>
      </c>
      <c r="G12" s="8">
        <v>110218</v>
      </c>
      <c r="H12" s="8" t="s">
        <v>61</v>
      </c>
      <c r="I12" t="str">
        <f>"CPA Recaudación Clientes CFSB 1126 "&amp;TEXT(F12,"dd-mm-yyy")&amp;" USD "&amp;TEXT(B7,"#.##0")&amp;" T/C "&amp;C7&amp;""</f>
        <v>CPA Recaudación Clientes CFSB 1126 06-08-2023 USD 0 T/C 853,99</v>
      </c>
      <c r="J12" s="16">
        <f>+D7</f>
        <v>0</v>
      </c>
      <c r="K12" s="17"/>
      <c r="O12" s="1">
        <v>45149</v>
      </c>
      <c r="P12" s="26" t="e">
        <f>HLOOKUP(O12,Hoja2!$R$2:$AV$35,34,FALSE)</f>
        <v>#N/A</v>
      </c>
      <c r="Q12" s="77" t="e">
        <f>HLOOKUP(O12,Hoja2!$R$2:$AV$36,35,FALSE)</f>
        <v>#N/A</v>
      </c>
      <c r="R12" s="26" t="e">
        <f>HLOOKUP(O12,Hoja2!$R$2:$AV$37,36,FALSE)</f>
        <v>#N/A</v>
      </c>
      <c r="S12" s="97" t="e">
        <f>HLOOKUP(O12,Hoja2!$R$2:$AV$38,37,FALSE)</f>
        <v>#N/A</v>
      </c>
      <c r="U12" s="9">
        <v>45144</v>
      </c>
      <c r="V12">
        <v>110285</v>
      </c>
      <c r="X12" t="e">
        <f>"CPA Rescate DLocal a CSFB 2475 " &amp;R7&amp;" USD T/C "&amp;Q7&amp;".- "&amp;TEXT($O7,"dd-mm-yyy")</f>
        <v>#N/A</v>
      </c>
      <c r="Y12" s="3" t="e">
        <f>+S7</f>
        <v>#N/A</v>
      </c>
      <c r="Z12" s="10"/>
      <c r="AD12" s="1">
        <v>45149</v>
      </c>
      <c r="AE12" s="26" t="e">
        <f>HLOOKUP(AD12,Hoja2!$R$2:$AV$35,34,FALSE)</f>
        <v>#N/A</v>
      </c>
      <c r="AF12" s="77" t="e">
        <f>HLOOKUP(AD12,Hoja2!$R$2:$AV$36,35,FALSE)</f>
        <v>#N/A</v>
      </c>
      <c r="AG12" s="26" t="e">
        <f>HLOOKUP(AD12,Hoja2!$R$2:$AV$37,36,FALSE)</f>
        <v>#N/A</v>
      </c>
      <c r="AH12" s="97" t="e">
        <f>HLOOKUP(AD12,Hoja2!$R$2:$AV$38,37,FALSE)</f>
        <v>#N/A</v>
      </c>
      <c r="AJ12" s="9">
        <v>45113</v>
      </c>
      <c r="AK12">
        <v>110285</v>
      </c>
      <c r="AM12" t="e">
        <f>"CPA Rescate DLocal a CSFB 2475 " &amp;AG7&amp;" USD T/C "&amp;AF7&amp;".- "&amp;TEXT($O12,"dd-mm-yyy")</f>
        <v>#N/A</v>
      </c>
      <c r="AN12" s="3" t="e">
        <f>+AH7</f>
        <v>#N/A</v>
      </c>
      <c r="AO12" s="10"/>
      <c r="AS12" s="1">
        <v>45149</v>
      </c>
      <c r="AT12" s="26" t="e">
        <f>HLOOKUP(AS12,Hoja2!$R$2:$AV$39,38,FALSE)</f>
        <v>#N/A</v>
      </c>
      <c r="AU12" s="77" t="e">
        <f>HLOOKUP(AS12,Hoja2!$R$2:$AV$40,39,FALSE)</f>
        <v>#N/A</v>
      </c>
      <c r="AV12" s="26" t="e">
        <f>HLOOKUP(AS12,Hoja2!$R$2:$AV$41,40,FALSE)</f>
        <v>#N/A</v>
      </c>
      <c r="AW12" s="97" t="e">
        <f>HLOOKUP(AS12,Hoja2!$R$2:$AV$42,41,FALSE)</f>
        <v>#N/A</v>
      </c>
      <c r="AY12" s="9">
        <v>45144</v>
      </c>
      <c r="AZ12" s="8">
        <v>110275</v>
      </c>
      <c r="BA12" s="8" t="s">
        <v>108</v>
      </c>
      <c r="BB12" t="e">
        <f>"CPA Fondeo CSFB 2475 a NIUM " &amp;AV7&amp;" USD T/C "&amp;AU7&amp;".- "&amp;TEXT(AS7,"dd-mm-yyy")</f>
        <v>#N/A</v>
      </c>
      <c r="BC12" s="3" t="e">
        <f>+AW7</f>
        <v>#N/A</v>
      </c>
      <c r="BD12" s="10"/>
    </row>
    <row r="13" spans="1:57" x14ac:dyDescent="0.25">
      <c r="A13" s="1">
        <v>45150</v>
      </c>
      <c r="B13" s="21">
        <v>0</v>
      </c>
      <c r="C13" s="77">
        <v>851.7</v>
      </c>
      <c r="D13" s="77">
        <f t="shared" si="0"/>
        <v>0</v>
      </c>
      <c r="E13" s="60"/>
      <c r="F13" s="20"/>
      <c r="G13">
        <v>211101</v>
      </c>
      <c r="H13" t="s">
        <v>18</v>
      </c>
      <c r="I13" s="12" t="str">
        <f t="shared" ref="I13" si="19">I12</f>
        <v>CPA Recaudación Clientes CFSB 1126 06-08-2023 USD 0 T/C 853,99</v>
      </c>
      <c r="J13" s="3"/>
      <c r="K13" s="10">
        <f t="shared" ref="K13" si="20">J12</f>
        <v>0</v>
      </c>
      <c r="O13" s="1">
        <v>45150</v>
      </c>
      <c r="P13" s="26" t="e">
        <f>HLOOKUP(O13,Hoja2!$R$2:$AV$35,34,FALSE)</f>
        <v>#N/A</v>
      </c>
      <c r="Q13" s="77" t="e">
        <f>HLOOKUP(O13,Hoja2!$R$2:$AV$36,35,FALSE)</f>
        <v>#N/A</v>
      </c>
      <c r="R13" s="26" t="e">
        <f>HLOOKUP(O13,Hoja2!$R$2:$AV$37,36,FALSE)</f>
        <v>#N/A</v>
      </c>
      <c r="S13" s="97" t="e">
        <f>HLOOKUP(O13,Hoja2!$R$2:$AV$38,37,FALSE)</f>
        <v>#N/A</v>
      </c>
      <c r="T13" s="39"/>
      <c r="U13" s="11"/>
      <c r="V13" s="12">
        <v>110276</v>
      </c>
      <c r="W13" s="12" t="s">
        <v>102</v>
      </c>
      <c r="X13" s="12" t="e">
        <f>+X12</f>
        <v>#N/A</v>
      </c>
      <c r="Y13" s="13"/>
      <c r="Z13" s="18" t="e">
        <f t="shared" si="8"/>
        <v>#N/A</v>
      </c>
      <c r="AD13" s="1">
        <v>45150</v>
      </c>
      <c r="AE13" s="26" t="e">
        <f>HLOOKUP(AD13,Hoja2!$R$2:$AV$35,34,FALSE)</f>
        <v>#N/A</v>
      </c>
      <c r="AF13" s="77" t="e">
        <f>HLOOKUP(AD13,Hoja2!$R$2:$AV$36,35,FALSE)</f>
        <v>#N/A</v>
      </c>
      <c r="AG13" s="26" t="e">
        <f>HLOOKUP(AD13,Hoja2!$R$2:$AV$37,36,FALSE)</f>
        <v>#N/A</v>
      </c>
      <c r="AH13" s="97" t="e">
        <f>HLOOKUP(AD13,Hoja2!$R$2:$AV$38,37,FALSE)</f>
        <v>#N/A</v>
      </c>
      <c r="AI13" s="39"/>
      <c r="AJ13" s="11"/>
      <c r="AK13" s="12">
        <v>110276</v>
      </c>
      <c r="AL13" s="12" t="s">
        <v>102</v>
      </c>
      <c r="AM13" s="12" t="e">
        <f>+AM12</f>
        <v>#N/A</v>
      </c>
      <c r="AN13" s="13"/>
      <c r="AO13" s="18" t="e">
        <f t="shared" ref="AO13" si="21">+AN12</f>
        <v>#N/A</v>
      </c>
      <c r="AS13" s="1">
        <v>45150</v>
      </c>
      <c r="AT13" s="26" t="e">
        <f>HLOOKUP(AS13,Hoja2!$R$2:$AV$39,38,FALSE)</f>
        <v>#N/A</v>
      </c>
      <c r="AU13" s="77" t="e">
        <f>HLOOKUP(AS13,Hoja2!$R$2:$AV$40,39,FALSE)</f>
        <v>#N/A</v>
      </c>
      <c r="AV13" s="26" t="e">
        <f>HLOOKUP(AS13,Hoja2!$R$2:$AV$41,40,FALSE)</f>
        <v>#N/A</v>
      </c>
      <c r="AW13" s="97" t="e">
        <f>HLOOKUP(AS13,Hoja2!$R$2:$AV$42,41,FALSE)</f>
        <v>#N/A</v>
      </c>
      <c r="AX13" s="39"/>
      <c r="AY13" s="11"/>
      <c r="AZ13" s="12">
        <v>110285</v>
      </c>
      <c r="BA13" s="12"/>
      <c r="BB13" s="12" t="e">
        <f>+BB12</f>
        <v>#N/A</v>
      </c>
      <c r="BC13" s="13"/>
      <c r="BD13" s="18" t="e">
        <f t="shared" ref="BD13" si="22">+BC12</f>
        <v>#N/A</v>
      </c>
    </row>
    <row r="14" spans="1:57" x14ac:dyDescent="0.25">
      <c r="A14" s="1">
        <v>45151</v>
      </c>
      <c r="B14" s="21">
        <v>0</v>
      </c>
      <c r="C14" s="77">
        <v>851.7</v>
      </c>
      <c r="D14" s="77">
        <f t="shared" si="0"/>
        <v>0</v>
      </c>
      <c r="E14" s="60"/>
      <c r="F14" s="15">
        <v>45145</v>
      </c>
      <c r="G14" s="8">
        <v>110218</v>
      </c>
      <c r="H14" s="8" t="s">
        <v>61</v>
      </c>
      <c r="I14" t="str">
        <f>"CPA Recaudación Clientes CFSB 1126 "&amp;TEXT(F14,"dd-mm-yyy")&amp;" USD "&amp;TEXT(B8,"#.##0,00")&amp;" T/C "&amp;C8&amp;""</f>
        <v>CPA Recaudación Clientes CFSB 1126 07-08-2023 USD 9.499,00 T/C 848,5</v>
      </c>
      <c r="J14" s="16">
        <f>+D8</f>
        <v>8059902</v>
      </c>
      <c r="K14" s="17"/>
      <c r="O14" s="1">
        <v>45151</v>
      </c>
      <c r="P14" s="26" t="e">
        <f>HLOOKUP(O14,Hoja2!$R$2:$AV$35,34,FALSE)</f>
        <v>#N/A</v>
      </c>
      <c r="Q14" s="77" t="e">
        <f>HLOOKUP(O14,Hoja2!$R$2:$AV$36,35,FALSE)</f>
        <v>#N/A</v>
      </c>
      <c r="R14" s="26" t="e">
        <f>HLOOKUP(O14,Hoja2!$R$2:$AV$37,36,FALSE)</f>
        <v>#N/A</v>
      </c>
      <c r="S14" s="97" t="e">
        <f>HLOOKUP(O14,Hoja2!$R$2:$AV$38,37,FALSE)</f>
        <v>#N/A</v>
      </c>
      <c r="T14" s="21"/>
      <c r="U14" s="9">
        <v>45145</v>
      </c>
      <c r="V14">
        <v>110285</v>
      </c>
      <c r="X14" t="e">
        <f>"CPA Rescate DLocal a CSFB 2475 " &amp;R8&amp;" USD T/C "&amp;Q8&amp;".- "&amp;TEXT($O8,"dd-mm-yyy")</f>
        <v>#N/A</v>
      </c>
      <c r="Y14" s="3" t="e">
        <f>+S8</f>
        <v>#N/A</v>
      </c>
      <c r="Z14" s="10"/>
      <c r="AD14" s="1">
        <v>45151</v>
      </c>
      <c r="AE14" s="26" t="e">
        <f>HLOOKUP(AD14,Hoja2!$R$2:$AV$35,34,FALSE)</f>
        <v>#N/A</v>
      </c>
      <c r="AF14" s="77" t="e">
        <f>HLOOKUP(AD14,Hoja2!$R$2:$AV$36,35,FALSE)</f>
        <v>#N/A</v>
      </c>
      <c r="AG14" s="26" t="e">
        <f>HLOOKUP(AD14,Hoja2!$R$2:$AV$37,36,FALSE)</f>
        <v>#N/A</v>
      </c>
      <c r="AH14" s="97" t="e">
        <f>HLOOKUP(AD14,Hoja2!$R$2:$AV$38,37,FALSE)</f>
        <v>#N/A</v>
      </c>
      <c r="AI14" s="21"/>
      <c r="AJ14" s="9">
        <v>45114</v>
      </c>
      <c r="AK14">
        <v>110285</v>
      </c>
      <c r="AM14" t="e">
        <f>"CPA Rescate DLocal a CSFB 2475 " &amp;AG8&amp;" USD T/C "&amp;AF8&amp;".- "&amp;TEXT($O14,"dd-mm-yyy")</f>
        <v>#N/A</v>
      </c>
      <c r="AN14" s="3" t="e">
        <f>+AH8</f>
        <v>#N/A</v>
      </c>
      <c r="AO14" s="10"/>
      <c r="AS14" s="1">
        <v>45151</v>
      </c>
      <c r="AT14" s="26" t="e">
        <f>HLOOKUP(AS14,Hoja2!$R$2:$AV$39,38,FALSE)</f>
        <v>#N/A</v>
      </c>
      <c r="AU14" s="77" t="e">
        <f>HLOOKUP(AS14,Hoja2!$R$2:$AV$40,39,FALSE)</f>
        <v>#N/A</v>
      </c>
      <c r="AV14" s="26" t="e">
        <f>HLOOKUP(AS14,Hoja2!$R$2:$AV$41,40,FALSE)</f>
        <v>#N/A</v>
      </c>
      <c r="AW14" s="97" t="e">
        <f>HLOOKUP(AS14,Hoja2!$R$2:$AV$42,41,FALSE)</f>
        <v>#N/A</v>
      </c>
      <c r="AX14" s="21"/>
      <c r="AY14" s="9">
        <v>45145</v>
      </c>
      <c r="AZ14" s="8">
        <v>110275</v>
      </c>
      <c r="BA14" s="8" t="s">
        <v>108</v>
      </c>
      <c r="BB14" t="e">
        <f>"CPA Fondeo CSFB 2475 a NIUM " &amp;AV8&amp;" USD T/C "&amp;AU8&amp;".- "&amp;TEXT(AS8,"dd-mm-yyy")</f>
        <v>#N/A</v>
      </c>
      <c r="BC14" s="3" t="e">
        <f>+AW8</f>
        <v>#N/A</v>
      </c>
      <c r="BD14" s="10"/>
    </row>
    <row r="15" spans="1:57" x14ac:dyDescent="0.25">
      <c r="A15" s="1">
        <v>45152</v>
      </c>
      <c r="B15" s="21">
        <v>8000</v>
      </c>
      <c r="C15" s="77">
        <v>853.3</v>
      </c>
      <c r="D15" s="77">
        <f t="shared" si="0"/>
        <v>6826400</v>
      </c>
      <c r="E15" s="60"/>
      <c r="F15" s="20"/>
      <c r="G15">
        <v>211101</v>
      </c>
      <c r="H15" t="s">
        <v>18</v>
      </c>
      <c r="I15" s="12" t="str">
        <f t="shared" ref="I15" si="23">I14</f>
        <v>CPA Recaudación Clientes CFSB 1126 07-08-2023 USD 9.499,00 T/C 848,5</v>
      </c>
      <c r="J15" s="3"/>
      <c r="K15" s="10">
        <f t="shared" ref="K15" si="24">J14</f>
        <v>8059902</v>
      </c>
      <c r="O15" s="1">
        <v>45152</v>
      </c>
      <c r="P15" s="26" t="e">
        <f>HLOOKUP(O15,Hoja2!$R$2:$AV$35,34,FALSE)</f>
        <v>#N/A</v>
      </c>
      <c r="Q15" s="77" t="e">
        <f>HLOOKUP(O15,Hoja2!$R$2:$AV$36,35,FALSE)</f>
        <v>#N/A</v>
      </c>
      <c r="R15" s="26" t="e">
        <f>HLOOKUP(O15,Hoja2!$R$2:$AV$37,36,FALSE)</f>
        <v>#N/A</v>
      </c>
      <c r="S15" s="97" t="e">
        <f>HLOOKUP(O15,Hoja2!$R$2:$AV$38,37,FALSE)</f>
        <v>#N/A</v>
      </c>
      <c r="T15" s="40"/>
      <c r="U15" s="11"/>
      <c r="V15" s="12">
        <v>110276</v>
      </c>
      <c r="W15" s="12" t="s">
        <v>102</v>
      </c>
      <c r="X15" s="12" t="e">
        <f>+X14</f>
        <v>#N/A</v>
      </c>
      <c r="Y15" s="13"/>
      <c r="Z15" s="18" t="e">
        <f t="shared" si="8"/>
        <v>#N/A</v>
      </c>
      <c r="AD15" s="1">
        <v>45152</v>
      </c>
      <c r="AE15" s="26" t="e">
        <f>HLOOKUP(AD15,Hoja2!$R$2:$AV$35,34,FALSE)</f>
        <v>#N/A</v>
      </c>
      <c r="AF15" s="77" t="e">
        <f>HLOOKUP(AD15,Hoja2!$R$2:$AV$36,35,FALSE)</f>
        <v>#N/A</v>
      </c>
      <c r="AG15" s="26" t="e">
        <f>HLOOKUP(AD15,Hoja2!$R$2:$AV$37,36,FALSE)</f>
        <v>#N/A</v>
      </c>
      <c r="AH15" s="97" t="e">
        <f>HLOOKUP(AD15,Hoja2!$R$2:$AV$38,37,FALSE)</f>
        <v>#N/A</v>
      </c>
      <c r="AI15" s="40"/>
      <c r="AJ15" s="11"/>
      <c r="AK15" s="12">
        <v>110276</v>
      </c>
      <c r="AL15" s="12" t="s">
        <v>102</v>
      </c>
      <c r="AM15" s="12" t="e">
        <f>+AM14</f>
        <v>#N/A</v>
      </c>
      <c r="AN15" s="13"/>
      <c r="AO15" s="18" t="e">
        <f t="shared" ref="AO15" si="25">+AN14</f>
        <v>#N/A</v>
      </c>
      <c r="AS15" s="1">
        <v>45152</v>
      </c>
      <c r="AT15" s="26" t="e">
        <f>HLOOKUP(AS15,Hoja2!$R$2:$AV$39,38,FALSE)</f>
        <v>#N/A</v>
      </c>
      <c r="AU15" s="77" t="e">
        <f>HLOOKUP(AS15,Hoja2!$R$2:$AV$40,39,FALSE)</f>
        <v>#N/A</v>
      </c>
      <c r="AV15" s="26" t="e">
        <f>HLOOKUP(AS15,Hoja2!$R$2:$AV$41,40,FALSE)</f>
        <v>#N/A</v>
      </c>
      <c r="AW15" s="97" t="e">
        <f>HLOOKUP(AS15,Hoja2!$R$2:$AV$42,41,FALSE)</f>
        <v>#N/A</v>
      </c>
      <c r="AX15" s="40"/>
      <c r="AY15" s="11"/>
      <c r="AZ15" s="12">
        <v>110285</v>
      </c>
      <c r="BA15" s="12"/>
      <c r="BB15" s="12" t="e">
        <f>+BB14</f>
        <v>#N/A</v>
      </c>
      <c r="BC15" s="13"/>
      <c r="BD15" s="18" t="e">
        <f t="shared" ref="BD15" si="26">+BC14</f>
        <v>#N/A</v>
      </c>
    </row>
    <row r="16" spans="1:57" x14ac:dyDescent="0.25">
      <c r="A16" s="1">
        <v>45153</v>
      </c>
      <c r="B16" s="21">
        <v>958.79</v>
      </c>
      <c r="C16" s="77">
        <v>853.3</v>
      </c>
      <c r="D16" s="77">
        <f t="shared" si="0"/>
        <v>818136</v>
      </c>
      <c r="E16" s="60"/>
      <c r="F16" s="15">
        <v>45146</v>
      </c>
      <c r="G16" s="8">
        <v>110218</v>
      </c>
      <c r="H16" s="8" t="s">
        <v>61</v>
      </c>
      <c r="I16" t="str">
        <f>"CPA Recaudación Clientes CFSB 1126 "&amp;TEXT(F16,"dd-mm-yyy")&amp;" USD "&amp;TEXT(B9,"#.##0,00")&amp;" T/C "&amp;C9&amp;""</f>
        <v>CPA Recaudación Clientes CFSB 1126 08-08-2023 USD 1.115,31 T/C 856,1</v>
      </c>
      <c r="J16" s="16">
        <f>+D9</f>
        <v>954817</v>
      </c>
      <c r="K16" s="17"/>
      <c r="O16" s="1">
        <v>45153</v>
      </c>
      <c r="P16" s="26" t="e">
        <f>HLOOKUP(O16,Hoja2!$R$2:$AV$35,34,FALSE)</f>
        <v>#N/A</v>
      </c>
      <c r="Q16" s="77" t="e">
        <f>HLOOKUP(O16,Hoja2!$R$2:$AV$36,35,FALSE)</f>
        <v>#N/A</v>
      </c>
      <c r="R16" s="26" t="e">
        <f>HLOOKUP(O16,Hoja2!$R$2:$AV$37,36,FALSE)</f>
        <v>#N/A</v>
      </c>
      <c r="S16" s="97" t="e">
        <f>HLOOKUP(O16,Hoja2!$R$2:$AV$38,37,FALSE)</f>
        <v>#N/A</v>
      </c>
      <c r="T16" s="21"/>
      <c r="U16" s="9">
        <v>45146</v>
      </c>
      <c r="V16">
        <v>110285</v>
      </c>
      <c r="X16" t="e">
        <f>"CPA Rescate DLocal a CSFB 2475 " &amp;R9&amp;" USD T/C "&amp;Q9&amp;".- "&amp;TEXT($O9,"dd-mm-yyy")</f>
        <v>#N/A</v>
      </c>
      <c r="Y16" s="3" t="e">
        <f>+S9</f>
        <v>#N/A</v>
      </c>
      <c r="Z16" s="10"/>
      <c r="AD16" s="1">
        <v>45153</v>
      </c>
      <c r="AE16" s="26" t="e">
        <f>HLOOKUP(AD16,Hoja2!$R$2:$AV$35,34,FALSE)</f>
        <v>#N/A</v>
      </c>
      <c r="AF16" s="77" t="e">
        <f>HLOOKUP(AD16,Hoja2!$R$2:$AV$36,35,FALSE)</f>
        <v>#N/A</v>
      </c>
      <c r="AG16" s="26" t="e">
        <f>HLOOKUP(AD16,Hoja2!$R$2:$AV$37,36,FALSE)</f>
        <v>#N/A</v>
      </c>
      <c r="AH16" s="97" t="e">
        <f>HLOOKUP(AD16,Hoja2!$R$2:$AV$38,37,FALSE)</f>
        <v>#N/A</v>
      </c>
      <c r="AI16" s="21"/>
      <c r="AJ16" s="9">
        <v>45115</v>
      </c>
      <c r="AK16">
        <v>110285</v>
      </c>
      <c r="AM16" t="e">
        <f>"CPA Rescate DLocal a CSFB 2475 " &amp;AG9&amp;" USD T/C "&amp;AF9&amp;".- "&amp;TEXT($O16,"dd-mm-yyy")</f>
        <v>#N/A</v>
      </c>
      <c r="AN16" s="3" t="e">
        <f>+AH9</f>
        <v>#N/A</v>
      </c>
      <c r="AO16" s="10"/>
      <c r="AS16" s="1">
        <v>45153</v>
      </c>
      <c r="AT16" s="26" t="e">
        <f>HLOOKUP(AS16,Hoja2!$R$2:$AV$39,38,FALSE)</f>
        <v>#N/A</v>
      </c>
      <c r="AU16" s="77" t="e">
        <f>HLOOKUP(AS16,Hoja2!$R$2:$AV$40,39,FALSE)</f>
        <v>#N/A</v>
      </c>
      <c r="AV16" s="26" t="e">
        <f>HLOOKUP(AS16,Hoja2!$R$2:$AV$41,40,FALSE)</f>
        <v>#N/A</v>
      </c>
      <c r="AW16" s="97" t="e">
        <f>HLOOKUP(AS16,Hoja2!$R$2:$AV$42,41,FALSE)</f>
        <v>#N/A</v>
      </c>
      <c r="AX16" s="21"/>
      <c r="AY16" s="9">
        <v>45146</v>
      </c>
      <c r="AZ16" s="8">
        <v>110275</v>
      </c>
      <c r="BA16" s="8" t="s">
        <v>108</v>
      </c>
      <c r="BB16" t="e">
        <f>"CPA Fondeo CSFB 2475 a NIUM " &amp;AV9&amp;" USD T/C "&amp;AU9&amp;".- "&amp;TEXT(AS9,"dd-mm-yyy")</f>
        <v>#N/A</v>
      </c>
      <c r="BC16" s="3" t="e">
        <f>+AW9</f>
        <v>#N/A</v>
      </c>
      <c r="BD16" s="10"/>
    </row>
    <row r="17" spans="1:56" x14ac:dyDescent="0.25">
      <c r="A17" s="1">
        <v>45154</v>
      </c>
      <c r="B17" s="21">
        <v>4920</v>
      </c>
      <c r="C17" s="77">
        <v>859.03</v>
      </c>
      <c r="D17" s="77">
        <f t="shared" si="0"/>
        <v>4226428</v>
      </c>
      <c r="E17" s="60"/>
      <c r="F17" s="11"/>
      <c r="G17" s="12">
        <v>211101</v>
      </c>
      <c r="H17" s="12" t="s">
        <v>18</v>
      </c>
      <c r="I17" s="12" t="str">
        <f t="shared" ref="I17" si="27">I16</f>
        <v>CPA Recaudación Clientes CFSB 1126 08-08-2023 USD 1.115,31 T/C 856,1</v>
      </c>
      <c r="J17" s="13"/>
      <c r="K17" s="18">
        <f t="shared" ref="K17" si="28">J16</f>
        <v>954817</v>
      </c>
      <c r="O17" s="1">
        <v>45154</v>
      </c>
      <c r="P17" s="26" t="e">
        <f>HLOOKUP(O17,Hoja2!$R$2:$AV$35,34,FALSE)</f>
        <v>#N/A</v>
      </c>
      <c r="Q17" s="77" t="e">
        <f>HLOOKUP(O17,Hoja2!$R$2:$AV$36,35,FALSE)</f>
        <v>#N/A</v>
      </c>
      <c r="R17" s="26" t="e">
        <f>HLOOKUP(O17,Hoja2!$R$2:$AV$37,36,FALSE)</f>
        <v>#N/A</v>
      </c>
      <c r="S17" s="97" t="e">
        <f>HLOOKUP(O17,Hoja2!$R$2:$AV$38,37,FALSE)</f>
        <v>#N/A</v>
      </c>
      <c r="T17" s="21"/>
      <c r="U17" s="11"/>
      <c r="V17" s="12">
        <v>110276</v>
      </c>
      <c r="W17" s="12" t="s">
        <v>102</v>
      </c>
      <c r="X17" s="12" t="e">
        <f>+X16</f>
        <v>#N/A</v>
      </c>
      <c r="Y17" s="13"/>
      <c r="Z17" s="18" t="e">
        <f t="shared" si="8"/>
        <v>#N/A</v>
      </c>
      <c r="AD17" s="1">
        <v>45154</v>
      </c>
      <c r="AE17" s="26" t="e">
        <f>HLOOKUP(AD17,Hoja2!$R$2:$AV$35,34,FALSE)</f>
        <v>#N/A</v>
      </c>
      <c r="AF17" s="77" t="e">
        <f>HLOOKUP(AD17,Hoja2!$R$2:$AV$36,35,FALSE)</f>
        <v>#N/A</v>
      </c>
      <c r="AG17" s="26" t="e">
        <f>HLOOKUP(AD17,Hoja2!$R$2:$AV$37,36,FALSE)</f>
        <v>#N/A</v>
      </c>
      <c r="AH17" s="97" t="e">
        <f>HLOOKUP(AD17,Hoja2!$R$2:$AV$38,37,FALSE)</f>
        <v>#N/A</v>
      </c>
      <c r="AI17" s="21"/>
      <c r="AJ17" s="11"/>
      <c r="AK17" s="12">
        <v>110276</v>
      </c>
      <c r="AL17" s="12" t="s">
        <v>102</v>
      </c>
      <c r="AM17" s="12" t="e">
        <f>+AM16</f>
        <v>#N/A</v>
      </c>
      <c r="AN17" s="13"/>
      <c r="AO17" s="18" t="e">
        <f t="shared" ref="AO17" si="29">+AN16</f>
        <v>#N/A</v>
      </c>
      <c r="AS17" s="1">
        <v>45154</v>
      </c>
      <c r="AT17" s="26" t="e">
        <f>HLOOKUP(AS17,Hoja2!$R$2:$AV$39,38,FALSE)</f>
        <v>#N/A</v>
      </c>
      <c r="AU17" s="77" t="e">
        <f>HLOOKUP(AS17,Hoja2!$R$2:$AV$40,39,FALSE)</f>
        <v>#N/A</v>
      </c>
      <c r="AV17" s="26" t="e">
        <f>HLOOKUP(AS17,Hoja2!$R$2:$AV$41,40,FALSE)</f>
        <v>#N/A</v>
      </c>
      <c r="AW17" s="97" t="e">
        <f>HLOOKUP(AS17,Hoja2!$R$2:$AV$42,41,FALSE)</f>
        <v>#N/A</v>
      </c>
      <c r="AX17" s="21"/>
      <c r="AY17" s="11"/>
      <c r="AZ17" s="12">
        <v>110285</v>
      </c>
      <c r="BA17" s="12"/>
      <c r="BB17" s="12" t="e">
        <f>+BB16</f>
        <v>#N/A</v>
      </c>
      <c r="BC17" s="13"/>
      <c r="BD17" s="18" t="e">
        <f t="shared" ref="BD17" si="30">+BC16</f>
        <v>#N/A</v>
      </c>
    </row>
    <row r="18" spans="1:56" x14ac:dyDescent="0.25">
      <c r="A18" s="1">
        <v>45155</v>
      </c>
      <c r="B18" s="21">
        <v>650</v>
      </c>
      <c r="C18" s="77">
        <v>859.87</v>
      </c>
      <c r="D18" s="77">
        <f t="shared" si="0"/>
        <v>558916</v>
      </c>
      <c r="E18" s="60"/>
      <c r="F18" s="15">
        <v>45147</v>
      </c>
      <c r="G18" s="8">
        <v>110218</v>
      </c>
      <c r="H18" s="8" t="s">
        <v>61</v>
      </c>
      <c r="I18" t="str">
        <f>"CPA Recaudación Clientes CFSB 1126 "&amp;TEXT(F18,"dd-mm-yyy")&amp;" USD "&amp;TEXT(B10,"#.##0,00")&amp;" T/C "&amp;C10&amp;""</f>
        <v>CPA Recaudación Clientes CFSB 1126 09-08-2023 USD 0,00 T/C 863,22</v>
      </c>
      <c r="J18" s="16">
        <f>+D10</f>
        <v>0</v>
      </c>
      <c r="K18" s="17"/>
      <c r="O18" s="1">
        <v>45155</v>
      </c>
      <c r="P18" s="26" t="e">
        <f>HLOOKUP(O18,Hoja2!$R$2:$AV$35,34,FALSE)</f>
        <v>#N/A</v>
      </c>
      <c r="Q18" s="77" t="e">
        <f>HLOOKUP(O18,Hoja2!$R$2:$AV$36,35,FALSE)</f>
        <v>#N/A</v>
      </c>
      <c r="R18" s="26" t="e">
        <f>HLOOKUP(O18,Hoja2!$R$2:$AV$37,36,FALSE)</f>
        <v>#N/A</v>
      </c>
      <c r="S18" s="97" t="e">
        <f>HLOOKUP(O18,Hoja2!$R$2:$AV$38,37,FALSE)</f>
        <v>#N/A</v>
      </c>
      <c r="T18" s="21"/>
      <c r="U18" s="9">
        <v>45147</v>
      </c>
      <c r="V18">
        <v>110285</v>
      </c>
      <c r="X18" t="e">
        <f>"CPA Rescate DLocal a CSFB 2475 " &amp;R10&amp;" USD T/C "&amp;Q10&amp;".- "&amp;TEXT($O10,"dd-mm-yyy")</f>
        <v>#N/A</v>
      </c>
      <c r="Y18" s="3" t="e">
        <f>+S10</f>
        <v>#N/A</v>
      </c>
      <c r="Z18" s="10"/>
      <c r="AD18" s="1">
        <v>45155</v>
      </c>
      <c r="AE18" s="26" t="e">
        <f>HLOOKUP(AD18,Hoja2!$R$2:$AV$35,34,FALSE)</f>
        <v>#N/A</v>
      </c>
      <c r="AF18" s="77" t="e">
        <f>HLOOKUP(AD18,Hoja2!$R$2:$AV$36,35,FALSE)</f>
        <v>#N/A</v>
      </c>
      <c r="AG18" s="26" t="e">
        <f>HLOOKUP(AD18,Hoja2!$R$2:$AV$37,36,FALSE)</f>
        <v>#N/A</v>
      </c>
      <c r="AH18" s="97" t="e">
        <f>HLOOKUP(AD18,Hoja2!$R$2:$AV$38,37,FALSE)</f>
        <v>#N/A</v>
      </c>
      <c r="AI18" s="21"/>
      <c r="AJ18" s="9">
        <v>45116</v>
      </c>
      <c r="AK18">
        <v>110285</v>
      </c>
      <c r="AM18" t="e">
        <f>"CPA Rescate DLocal a CSFB 2475 " &amp;AG10&amp;" USD T/C "&amp;AF10&amp;".- "&amp;TEXT($O18,"dd-mm-yyy")</f>
        <v>#N/A</v>
      </c>
      <c r="AN18" s="3" t="e">
        <f>+AH10</f>
        <v>#N/A</v>
      </c>
      <c r="AO18" s="10"/>
      <c r="AS18" s="1">
        <v>45155</v>
      </c>
      <c r="AT18" s="26" t="e">
        <f>HLOOKUP(AS18,Hoja2!$R$2:$AV$39,38,FALSE)</f>
        <v>#N/A</v>
      </c>
      <c r="AU18" s="77" t="e">
        <f>HLOOKUP(AS18,Hoja2!$R$2:$AV$40,39,FALSE)</f>
        <v>#N/A</v>
      </c>
      <c r="AV18" s="26" t="e">
        <f>HLOOKUP(AS18,Hoja2!$R$2:$AV$41,40,FALSE)</f>
        <v>#N/A</v>
      </c>
      <c r="AW18" s="97" t="e">
        <f>HLOOKUP(AS18,Hoja2!$R$2:$AV$42,41,FALSE)</f>
        <v>#N/A</v>
      </c>
      <c r="AX18" s="21"/>
      <c r="AY18" s="9">
        <v>45147</v>
      </c>
      <c r="AZ18" s="8">
        <v>110275</v>
      </c>
      <c r="BA18" s="8" t="s">
        <v>108</v>
      </c>
      <c r="BB18" t="e">
        <f>"CPA Fondeo CSFB 2475 a NIUM " &amp;AV10&amp;" USD T/C "&amp;AU10&amp;".- "&amp;TEXT(AS10,"dd-mm-yyy")</f>
        <v>#N/A</v>
      </c>
      <c r="BC18" s="3" t="e">
        <f>+AW10</f>
        <v>#N/A</v>
      </c>
      <c r="BD18" s="10"/>
    </row>
    <row r="19" spans="1:56" x14ac:dyDescent="0.25">
      <c r="A19" s="1">
        <v>45156</v>
      </c>
      <c r="B19" s="21">
        <v>4338.3500000000004</v>
      </c>
      <c r="C19" s="77">
        <v>864.72</v>
      </c>
      <c r="D19" s="77">
        <f t="shared" si="0"/>
        <v>3751458</v>
      </c>
      <c r="E19" s="60"/>
      <c r="F19" s="11"/>
      <c r="G19" s="12">
        <v>211101</v>
      </c>
      <c r="H19" s="12" t="s">
        <v>18</v>
      </c>
      <c r="I19" s="12" t="str">
        <f t="shared" ref="I19" si="31">I18</f>
        <v>CPA Recaudación Clientes CFSB 1126 09-08-2023 USD 0,00 T/C 863,22</v>
      </c>
      <c r="J19" s="13"/>
      <c r="K19" s="18">
        <f t="shared" ref="K19" si="32">J18</f>
        <v>0</v>
      </c>
      <c r="O19" s="1">
        <v>45156</v>
      </c>
      <c r="P19" s="26" t="e">
        <f>HLOOKUP(O19,Hoja2!$R$2:$AV$35,34,FALSE)</f>
        <v>#N/A</v>
      </c>
      <c r="Q19" s="77" t="e">
        <f>HLOOKUP(O19,Hoja2!$R$2:$AV$36,35,FALSE)</f>
        <v>#N/A</v>
      </c>
      <c r="R19" s="26" t="e">
        <f>HLOOKUP(O19,Hoja2!$R$2:$AV$37,36,FALSE)</f>
        <v>#N/A</v>
      </c>
      <c r="S19" s="97" t="e">
        <f>HLOOKUP(O19,Hoja2!$R$2:$AV$38,37,FALSE)</f>
        <v>#N/A</v>
      </c>
      <c r="T19" s="21"/>
      <c r="U19" s="11"/>
      <c r="V19" s="12">
        <v>110276</v>
      </c>
      <c r="W19" s="12" t="s">
        <v>102</v>
      </c>
      <c r="X19" s="12" t="e">
        <f>+X18</f>
        <v>#N/A</v>
      </c>
      <c r="Y19" s="13"/>
      <c r="Z19" s="18" t="e">
        <f t="shared" si="8"/>
        <v>#N/A</v>
      </c>
      <c r="AD19" s="1">
        <v>45156</v>
      </c>
      <c r="AE19" s="26" t="e">
        <f>HLOOKUP(AD19,Hoja2!$R$2:$AV$35,34,FALSE)</f>
        <v>#N/A</v>
      </c>
      <c r="AF19" s="77" t="e">
        <f>HLOOKUP(AD19,Hoja2!$R$2:$AV$36,35,FALSE)</f>
        <v>#N/A</v>
      </c>
      <c r="AG19" s="26" t="e">
        <f>HLOOKUP(AD19,Hoja2!$R$2:$AV$37,36,FALSE)</f>
        <v>#N/A</v>
      </c>
      <c r="AH19" s="97" t="e">
        <f>HLOOKUP(AD19,Hoja2!$R$2:$AV$38,37,FALSE)</f>
        <v>#N/A</v>
      </c>
      <c r="AI19" s="21"/>
      <c r="AJ19" s="11"/>
      <c r="AK19" s="12">
        <v>110276</v>
      </c>
      <c r="AL19" s="12" t="s">
        <v>102</v>
      </c>
      <c r="AM19" s="12" t="e">
        <f>+AM18</f>
        <v>#N/A</v>
      </c>
      <c r="AN19" s="13"/>
      <c r="AO19" s="18" t="e">
        <f t="shared" ref="AO19" si="33">+AN18</f>
        <v>#N/A</v>
      </c>
      <c r="AS19" s="1">
        <v>45156</v>
      </c>
      <c r="AT19" s="26" t="e">
        <f>HLOOKUP(AS19,Hoja2!$R$2:$AV$39,38,FALSE)</f>
        <v>#N/A</v>
      </c>
      <c r="AU19" s="77" t="e">
        <f>HLOOKUP(AS19,Hoja2!$R$2:$AV$40,39,FALSE)</f>
        <v>#N/A</v>
      </c>
      <c r="AV19" s="26" t="e">
        <f>HLOOKUP(AS19,Hoja2!$R$2:$AV$41,40,FALSE)</f>
        <v>#N/A</v>
      </c>
      <c r="AW19" s="97" t="e">
        <f>HLOOKUP(AS19,Hoja2!$R$2:$AV$42,41,FALSE)</f>
        <v>#N/A</v>
      </c>
      <c r="AX19" s="21"/>
      <c r="AY19" s="11"/>
      <c r="AZ19" s="12">
        <v>110285</v>
      </c>
      <c r="BA19" s="12"/>
      <c r="BB19" s="12" t="e">
        <f>+BB18</f>
        <v>#N/A</v>
      </c>
      <c r="BC19" s="13"/>
      <c r="BD19" s="18" t="e">
        <f t="shared" ref="BD19" si="34">+BC18</f>
        <v>#N/A</v>
      </c>
    </row>
    <row r="20" spans="1:56" x14ac:dyDescent="0.25">
      <c r="A20" s="1">
        <v>45157</v>
      </c>
      <c r="B20" s="21">
        <v>0</v>
      </c>
      <c r="C20" s="77">
        <v>864.72</v>
      </c>
      <c r="D20" s="77">
        <f t="shared" si="0"/>
        <v>0</v>
      </c>
      <c r="E20" s="60"/>
      <c r="F20" s="15">
        <v>45148</v>
      </c>
      <c r="G20" s="8">
        <v>110218</v>
      </c>
      <c r="H20" s="8" t="s">
        <v>61</v>
      </c>
      <c r="I20" t="str">
        <f>"CPA Recaudación Clientes CFSB 1126 "&amp;TEXT(F20,"dd-mm-yyy")&amp;" USD "&amp;TEXT(B11,"#.##0")&amp;" T/C "&amp;C11&amp;""</f>
        <v>CPA Recaudación Clientes CFSB 1126 10-08-2023 USD 0 T/C 858,68</v>
      </c>
      <c r="J20" s="16">
        <f>+D11</f>
        <v>0</v>
      </c>
      <c r="K20" s="17"/>
      <c r="O20" s="1">
        <v>45157</v>
      </c>
      <c r="P20" s="26" t="e">
        <f>HLOOKUP(O20,Hoja2!$R$2:$AV$35,34,FALSE)</f>
        <v>#N/A</v>
      </c>
      <c r="Q20" s="77" t="e">
        <f>HLOOKUP(O20,Hoja2!$R$2:$AV$36,35,FALSE)</f>
        <v>#N/A</v>
      </c>
      <c r="R20" s="26" t="e">
        <f>HLOOKUP(O20,Hoja2!$R$2:$AV$37,36,FALSE)</f>
        <v>#N/A</v>
      </c>
      <c r="S20" s="97" t="e">
        <f>HLOOKUP(O20,Hoja2!$R$2:$AV$38,37,FALSE)</f>
        <v>#N/A</v>
      </c>
      <c r="T20" s="21"/>
      <c r="U20" s="9">
        <v>45148</v>
      </c>
      <c r="V20">
        <v>110285</v>
      </c>
      <c r="X20" t="e">
        <f>"CPA Rescate DLocal a CSFB 2475 " &amp;R11&amp;" USD T/C "&amp;Q11&amp;".- "&amp;TEXT($O11,"dd-mm-yyy")</f>
        <v>#N/A</v>
      </c>
      <c r="Y20" s="3" t="e">
        <f>+S11</f>
        <v>#N/A</v>
      </c>
      <c r="Z20" s="10"/>
      <c r="AD20" s="1">
        <v>45157</v>
      </c>
      <c r="AE20" s="26" t="e">
        <f>HLOOKUP(AD20,Hoja2!$R$2:$AV$35,34,FALSE)</f>
        <v>#N/A</v>
      </c>
      <c r="AF20" s="77" t="e">
        <f>HLOOKUP(AD20,Hoja2!$R$2:$AV$36,35,FALSE)</f>
        <v>#N/A</v>
      </c>
      <c r="AG20" s="26" t="e">
        <f>HLOOKUP(AD20,Hoja2!$R$2:$AV$37,36,FALSE)</f>
        <v>#N/A</v>
      </c>
      <c r="AH20" s="97" t="e">
        <f>HLOOKUP(AD20,Hoja2!$R$2:$AV$38,37,FALSE)</f>
        <v>#N/A</v>
      </c>
      <c r="AI20" s="21"/>
      <c r="AJ20" s="9">
        <v>45117</v>
      </c>
      <c r="AK20">
        <v>110285</v>
      </c>
      <c r="AM20" t="e">
        <f>"CPA Rescate DLocal a CSFB 2475 " &amp;AG11&amp;" USD T/C "&amp;AF11&amp;".- "&amp;TEXT($O20,"dd-mm-yyy")</f>
        <v>#N/A</v>
      </c>
      <c r="AN20" s="3" t="e">
        <f>+AH11</f>
        <v>#N/A</v>
      </c>
      <c r="AO20" s="10"/>
      <c r="AS20" s="1">
        <v>45157</v>
      </c>
      <c r="AT20" s="26" t="e">
        <f>HLOOKUP(AS20,Hoja2!$R$2:$AV$39,38,FALSE)</f>
        <v>#N/A</v>
      </c>
      <c r="AU20" s="77" t="e">
        <f>HLOOKUP(AS20,Hoja2!$R$2:$AV$40,39,FALSE)</f>
        <v>#N/A</v>
      </c>
      <c r="AV20" s="26" t="e">
        <f>HLOOKUP(AS20,Hoja2!$R$2:$AV$41,40,FALSE)</f>
        <v>#N/A</v>
      </c>
      <c r="AW20" s="97" t="e">
        <f>HLOOKUP(AS20,Hoja2!$R$2:$AV$42,41,FALSE)</f>
        <v>#N/A</v>
      </c>
      <c r="AX20" s="21"/>
      <c r="AY20" s="9">
        <v>45148</v>
      </c>
      <c r="AZ20" s="8">
        <v>110275</v>
      </c>
      <c r="BA20" s="8" t="s">
        <v>108</v>
      </c>
      <c r="BB20" t="e">
        <f>"CPA Fondeo CSFB 2475 a NIUM " &amp;AV11&amp;" USD T/C "&amp;AU11&amp;".- "&amp;TEXT(AS11,"dd-mm-yyy")</f>
        <v>#N/A</v>
      </c>
      <c r="BC20" s="3" t="e">
        <f>+AW11</f>
        <v>#N/A</v>
      </c>
      <c r="BD20" s="10"/>
    </row>
    <row r="21" spans="1:56" x14ac:dyDescent="0.25">
      <c r="A21" s="1">
        <v>45158</v>
      </c>
      <c r="B21" s="21">
        <v>0</v>
      </c>
      <c r="C21" s="77">
        <v>864.72</v>
      </c>
      <c r="D21" s="77">
        <f t="shared" si="0"/>
        <v>0</v>
      </c>
      <c r="E21" s="60"/>
      <c r="F21" s="9"/>
      <c r="G21">
        <v>211101</v>
      </c>
      <c r="H21" t="s">
        <v>18</v>
      </c>
      <c r="I21" s="12" t="str">
        <f t="shared" ref="I21" si="35">I20</f>
        <v>CPA Recaudación Clientes CFSB 1126 10-08-2023 USD 0 T/C 858,68</v>
      </c>
      <c r="J21" s="3"/>
      <c r="K21" s="10">
        <f t="shared" ref="K21" si="36">J20</f>
        <v>0</v>
      </c>
      <c r="O21" s="1">
        <v>45158</v>
      </c>
      <c r="P21" s="26" t="e">
        <f>HLOOKUP(O21,Hoja2!$R$2:$AV$35,34,FALSE)</f>
        <v>#N/A</v>
      </c>
      <c r="Q21" s="77" t="e">
        <f>HLOOKUP(O21,Hoja2!$R$2:$AV$36,35,FALSE)</f>
        <v>#N/A</v>
      </c>
      <c r="R21" s="26" t="e">
        <f>HLOOKUP(O21,Hoja2!$R$2:$AV$37,36,FALSE)</f>
        <v>#N/A</v>
      </c>
      <c r="S21" s="97" t="e">
        <f>HLOOKUP(O21,Hoja2!$R$2:$AV$38,37,FALSE)</f>
        <v>#N/A</v>
      </c>
      <c r="T21" s="21"/>
      <c r="U21" s="11"/>
      <c r="V21" s="12">
        <v>110276</v>
      </c>
      <c r="W21" s="12" t="s">
        <v>102</v>
      </c>
      <c r="X21" s="12" t="e">
        <f>+X20</f>
        <v>#N/A</v>
      </c>
      <c r="Y21" s="13"/>
      <c r="Z21" s="18" t="e">
        <f t="shared" si="8"/>
        <v>#N/A</v>
      </c>
      <c r="AD21" s="1">
        <v>45158</v>
      </c>
      <c r="AE21" s="26" t="e">
        <f>HLOOKUP(AD21,Hoja2!$R$2:$AV$35,34,FALSE)</f>
        <v>#N/A</v>
      </c>
      <c r="AF21" s="77" t="e">
        <f>HLOOKUP(AD21,Hoja2!$R$2:$AV$36,35,FALSE)</f>
        <v>#N/A</v>
      </c>
      <c r="AG21" s="26" t="e">
        <f>HLOOKUP(AD21,Hoja2!$R$2:$AV$37,36,FALSE)</f>
        <v>#N/A</v>
      </c>
      <c r="AH21" s="97" t="e">
        <f>HLOOKUP(AD21,Hoja2!$R$2:$AV$38,37,FALSE)</f>
        <v>#N/A</v>
      </c>
      <c r="AI21" s="21"/>
      <c r="AJ21" s="11"/>
      <c r="AK21" s="12">
        <v>110276</v>
      </c>
      <c r="AL21" s="12" t="s">
        <v>102</v>
      </c>
      <c r="AM21" s="12" t="e">
        <f>+AM20</f>
        <v>#N/A</v>
      </c>
      <c r="AN21" s="13"/>
      <c r="AO21" s="18" t="e">
        <f t="shared" ref="AO21" si="37">+AN20</f>
        <v>#N/A</v>
      </c>
      <c r="AS21" s="1">
        <v>45158</v>
      </c>
      <c r="AT21" s="26" t="e">
        <f>HLOOKUP(AS21,Hoja2!$R$2:$AV$39,38,FALSE)</f>
        <v>#N/A</v>
      </c>
      <c r="AU21" s="77" t="e">
        <f>HLOOKUP(AS21,Hoja2!$R$2:$AV$40,39,FALSE)</f>
        <v>#N/A</v>
      </c>
      <c r="AV21" s="26" t="e">
        <f>HLOOKUP(AS21,Hoja2!$R$2:$AV$41,40,FALSE)</f>
        <v>#N/A</v>
      </c>
      <c r="AW21" s="97" t="e">
        <f>HLOOKUP(AS21,Hoja2!$R$2:$AV$42,41,FALSE)</f>
        <v>#N/A</v>
      </c>
      <c r="AX21" s="21"/>
      <c r="AY21" s="11"/>
      <c r="AZ21" s="12">
        <v>110285</v>
      </c>
      <c r="BA21" s="12"/>
      <c r="BB21" s="12" t="e">
        <f>+BB20</f>
        <v>#N/A</v>
      </c>
      <c r="BC21" s="13"/>
      <c r="BD21" s="18" t="e">
        <f t="shared" ref="BD21" si="38">+BC20</f>
        <v>#N/A</v>
      </c>
    </row>
    <row r="22" spans="1:56" x14ac:dyDescent="0.25">
      <c r="A22" s="1">
        <v>45159</v>
      </c>
      <c r="B22" s="21">
        <v>26513</v>
      </c>
      <c r="C22" s="77">
        <v>867.95</v>
      </c>
      <c r="D22" s="77">
        <f t="shared" si="0"/>
        <v>23011958</v>
      </c>
      <c r="E22" s="60"/>
      <c r="F22" s="15">
        <v>45149</v>
      </c>
      <c r="G22" s="8">
        <v>110218</v>
      </c>
      <c r="H22" s="8" t="s">
        <v>61</v>
      </c>
      <c r="I22" t="str">
        <f>"CPA Recaudación Clientes CFSB 1126 "&amp;TEXT(F22,"dd-mm-yyy")&amp;" USD "&amp;TEXT(B12,"#.##0,00")&amp;" T/C "&amp;C12&amp;""</f>
        <v>CPA Recaudación Clientes CFSB 1126 11-08-2023 USD 1.126,25 T/C 851,7</v>
      </c>
      <c r="J22" s="16">
        <f>+D12</f>
        <v>959227</v>
      </c>
      <c r="K22" s="17"/>
      <c r="O22" s="1">
        <v>45159</v>
      </c>
      <c r="P22" s="26" t="e">
        <f>HLOOKUP(O22,Hoja2!$R$2:$AV$35,34,FALSE)</f>
        <v>#N/A</v>
      </c>
      <c r="Q22" s="77" t="e">
        <f>HLOOKUP(O22,Hoja2!$R$2:$AV$36,35,FALSE)</f>
        <v>#N/A</v>
      </c>
      <c r="R22" s="26" t="e">
        <f>HLOOKUP(O22,Hoja2!$R$2:$AV$37,36,FALSE)</f>
        <v>#N/A</v>
      </c>
      <c r="S22" s="97" t="e">
        <f>HLOOKUP(O22,Hoja2!$R$2:$AV$38,37,FALSE)</f>
        <v>#N/A</v>
      </c>
      <c r="T22" s="21"/>
      <c r="U22" s="9">
        <v>45149</v>
      </c>
      <c r="V22">
        <v>110285</v>
      </c>
      <c r="X22" t="e">
        <f>"CPA Rescate DLocal a CSFB 2475 " &amp;R12&amp;" USD T/C "&amp;Q12&amp;".- "&amp;TEXT($O12,"dd-mm-yyy")</f>
        <v>#N/A</v>
      </c>
      <c r="Y22" s="3" t="e">
        <f>+S12</f>
        <v>#N/A</v>
      </c>
      <c r="Z22" s="10"/>
      <c r="AD22" s="1">
        <v>45159</v>
      </c>
      <c r="AE22" s="26" t="e">
        <f>HLOOKUP(AD22,Hoja2!$R$2:$AV$35,34,FALSE)</f>
        <v>#N/A</v>
      </c>
      <c r="AF22" s="77" t="e">
        <f>HLOOKUP(AD22,Hoja2!$R$2:$AV$36,35,FALSE)</f>
        <v>#N/A</v>
      </c>
      <c r="AG22" s="26" t="e">
        <f>HLOOKUP(AD22,Hoja2!$R$2:$AV$37,36,FALSE)</f>
        <v>#N/A</v>
      </c>
      <c r="AH22" s="97" t="e">
        <f>HLOOKUP(AD22,Hoja2!$R$2:$AV$38,37,FALSE)</f>
        <v>#N/A</v>
      </c>
      <c r="AI22" s="21"/>
      <c r="AJ22" s="9">
        <v>45118</v>
      </c>
      <c r="AK22">
        <v>110285</v>
      </c>
      <c r="AM22" t="e">
        <f>"CPA Rescate DLocal a CSFB 2475 " &amp;AG12&amp;" USD T/C "&amp;AF12&amp;".- "&amp;TEXT($O22,"dd-mm-yyy")</f>
        <v>#N/A</v>
      </c>
      <c r="AN22" s="3" t="e">
        <f>+AH12</f>
        <v>#N/A</v>
      </c>
      <c r="AO22" s="10"/>
      <c r="AS22" s="1">
        <v>45159</v>
      </c>
      <c r="AT22" s="26" t="e">
        <f>HLOOKUP(AS22,Hoja2!$R$2:$AV$39,38,FALSE)</f>
        <v>#N/A</v>
      </c>
      <c r="AU22" s="77" t="e">
        <f>HLOOKUP(AS22,Hoja2!$R$2:$AV$40,39,FALSE)</f>
        <v>#N/A</v>
      </c>
      <c r="AV22" s="26" t="e">
        <f>HLOOKUP(AS22,Hoja2!$R$2:$AV$41,40,FALSE)</f>
        <v>#N/A</v>
      </c>
      <c r="AW22" s="97" t="e">
        <f>HLOOKUP(AS22,Hoja2!$R$2:$AV$42,41,FALSE)</f>
        <v>#N/A</v>
      </c>
      <c r="AX22" s="21"/>
      <c r="AY22" s="9">
        <v>45149</v>
      </c>
      <c r="AZ22" s="8">
        <v>110275</v>
      </c>
      <c r="BA22" s="8" t="s">
        <v>108</v>
      </c>
      <c r="BB22" t="e">
        <f>"CPA Fondeo CSFB 2475 a NIUM " &amp;AV12&amp;" USD T/C "&amp;AU12&amp;".- "&amp;TEXT(AS12,"dd-mm-yyy")</f>
        <v>#N/A</v>
      </c>
      <c r="BC22" s="3" t="e">
        <f>+AW12</f>
        <v>#N/A</v>
      </c>
      <c r="BD22" s="10"/>
    </row>
    <row r="23" spans="1:56" x14ac:dyDescent="0.25">
      <c r="A23" s="1">
        <v>45160</v>
      </c>
      <c r="B23" s="21">
        <v>5400</v>
      </c>
      <c r="C23" s="77">
        <v>869.51</v>
      </c>
      <c r="D23" s="77">
        <f t="shared" si="0"/>
        <v>4695354</v>
      </c>
      <c r="E23" s="60"/>
      <c r="F23" s="9"/>
      <c r="G23">
        <v>211101</v>
      </c>
      <c r="H23" t="s">
        <v>18</v>
      </c>
      <c r="I23" s="12" t="str">
        <f t="shared" ref="I23" si="39">I22</f>
        <v>CPA Recaudación Clientes CFSB 1126 11-08-2023 USD 1.126,25 T/C 851,7</v>
      </c>
      <c r="J23" s="3"/>
      <c r="K23" s="10">
        <f t="shared" ref="K23" si="40">J22</f>
        <v>959227</v>
      </c>
      <c r="O23" s="1">
        <v>45160</v>
      </c>
      <c r="P23" s="26" t="e">
        <f>HLOOKUP(O23,Hoja2!$R$2:$AV$35,34,FALSE)</f>
        <v>#N/A</v>
      </c>
      <c r="Q23" s="77" t="e">
        <f>HLOOKUP(O23,Hoja2!$R$2:$AV$36,35,FALSE)</f>
        <v>#N/A</v>
      </c>
      <c r="R23" s="26" t="e">
        <f>HLOOKUP(O23,Hoja2!$R$2:$AV$37,36,FALSE)</f>
        <v>#N/A</v>
      </c>
      <c r="S23" s="97" t="e">
        <f>HLOOKUP(O23,Hoja2!$R$2:$AV$38,37,FALSE)</f>
        <v>#N/A</v>
      </c>
      <c r="T23" s="21"/>
      <c r="U23" s="11"/>
      <c r="V23" s="12">
        <v>110276</v>
      </c>
      <c r="W23" s="12" t="s">
        <v>102</v>
      </c>
      <c r="X23" s="12" t="e">
        <f>+X22</f>
        <v>#N/A</v>
      </c>
      <c r="Y23" s="13"/>
      <c r="Z23" s="18" t="e">
        <f t="shared" si="8"/>
        <v>#N/A</v>
      </c>
      <c r="AD23" s="1">
        <v>45160</v>
      </c>
      <c r="AE23" s="26" t="e">
        <f>HLOOKUP(AD23,Hoja2!$R$2:$AV$35,34,FALSE)</f>
        <v>#N/A</v>
      </c>
      <c r="AF23" s="77" t="e">
        <f>HLOOKUP(AD23,Hoja2!$R$2:$AV$36,35,FALSE)</f>
        <v>#N/A</v>
      </c>
      <c r="AG23" s="26" t="e">
        <f>HLOOKUP(AD23,Hoja2!$R$2:$AV$37,36,FALSE)</f>
        <v>#N/A</v>
      </c>
      <c r="AH23" s="97" t="e">
        <f>HLOOKUP(AD23,Hoja2!$R$2:$AV$38,37,FALSE)</f>
        <v>#N/A</v>
      </c>
      <c r="AI23" s="21"/>
      <c r="AJ23" s="11"/>
      <c r="AK23" s="12">
        <v>110276</v>
      </c>
      <c r="AL23" s="12" t="s">
        <v>102</v>
      </c>
      <c r="AM23" s="12" t="e">
        <f>+AM22</f>
        <v>#N/A</v>
      </c>
      <c r="AN23" s="13"/>
      <c r="AO23" s="18" t="e">
        <f t="shared" ref="AO23" si="41">+AN22</f>
        <v>#N/A</v>
      </c>
      <c r="AS23" s="1">
        <v>45160</v>
      </c>
      <c r="AT23" s="26" t="e">
        <f>HLOOKUP(AS23,Hoja2!$R$2:$AV$39,38,FALSE)</f>
        <v>#N/A</v>
      </c>
      <c r="AU23" s="77" t="e">
        <f>HLOOKUP(AS23,Hoja2!$R$2:$AV$40,39,FALSE)</f>
        <v>#N/A</v>
      </c>
      <c r="AV23" s="26" t="e">
        <f>HLOOKUP(AS23,Hoja2!$R$2:$AV$41,40,FALSE)</f>
        <v>#N/A</v>
      </c>
      <c r="AW23" s="97" t="e">
        <f>HLOOKUP(AS23,Hoja2!$R$2:$AV$42,41,FALSE)</f>
        <v>#N/A</v>
      </c>
      <c r="AX23" s="21"/>
      <c r="AY23" s="11"/>
      <c r="AZ23" s="12">
        <v>110285</v>
      </c>
      <c r="BA23" s="12"/>
      <c r="BB23" s="12" t="e">
        <f>+BB22</f>
        <v>#N/A</v>
      </c>
      <c r="BC23" s="13"/>
      <c r="BD23" s="18" t="e">
        <f t="shared" ref="BD23" si="42">+BC22</f>
        <v>#N/A</v>
      </c>
    </row>
    <row r="24" spans="1:56" x14ac:dyDescent="0.25">
      <c r="A24" s="1">
        <v>45161</v>
      </c>
      <c r="B24" s="21">
        <v>800</v>
      </c>
      <c r="C24" s="77">
        <v>866.97</v>
      </c>
      <c r="D24" s="77">
        <f t="shared" si="0"/>
        <v>693576</v>
      </c>
      <c r="E24" s="60"/>
      <c r="F24" s="15">
        <v>45150</v>
      </c>
      <c r="G24" s="8">
        <v>110218</v>
      </c>
      <c r="H24" s="8" t="s">
        <v>61</v>
      </c>
      <c r="I24" t="str">
        <f>"CPA Recaudación Clientes CFSB 1126 "&amp;TEXT(F24,"dd-mm-yyy")&amp;" USD "&amp;TEXT(B13,"#.##0,00")&amp;" T/C "&amp;C13&amp;""</f>
        <v>CPA Recaudación Clientes CFSB 1126 12-08-2023 USD 0,00 T/C 851,7</v>
      </c>
      <c r="J24" s="16">
        <f>+D13</f>
        <v>0</v>
      </c>
      <c r="K24" s="17"/>
      <c r="O24" s="1">
        <v>45161</v>
      </c>
      <c r="P24" s="26" t="e">
        <f>HLOOKUP(O24,Hoja2!$R$2:$AV$35,34,FALSE)</f>
        <v>#N/A</v>
      </c>
      <c r="Q24" s="77" t="e">
        <f>HLOOKUP(O24,Hoja2!$R$2:$AV$36,35,FALSE)</f>
        <v>#N/A</v>
      </c>
      <c r="R24" s="26" t="e">
        <f>HLOOKUP(O24,Hoja2!$R$2:$AV$37,36,FALSE)</f>
        <v>#N/A</v>
      </c>
      <c r="S24" s="97" t="e">
        <f>HLOOKUP(O24,Hoja2!$R$2:$AV$38,37,FALSE)</f>
        <v>#N/A</v>
      </c>
      <c r="T24" s="21"/>
      <c r="U24" s="9">
        <v>45150</v>
      </c>
      <c r="V24">
        <v>110285</v>
      </c>
      <c r="X24" t="e">
        <f>"CPA Rescate DLocal a CSFB 2475 " &amp;R13&amp;" USD T/C "&amp;Q13&amp;".- "&amp;TEXT($O13,"dd-mm-yyy")</f>
        <v>#N/A</v>
      </c>
      <c r="Y24" s="3" t="e">
        <f>+S13</f>
        <v>#N/A</v>
      </c>
      <c r="Z24" s="10"/>
      <c r="AD24" s="1">
        <v>45161</v>
      </c>
      <c r="AE24" s="26" t="e">
        <f>HLOOKUP(AD24,Hoja2!$R$2:$AV$35,34,FALSE)</f>
        <v>#N/A</v>
      </c>
      <c r="AF24" s="77" t="e">
        <f>HLOOKUP(AD24,Hoja2!$R$2:$AV$36,35,FALSE)</f>
        <v>#N/A</v>
      </c>
      <c r="AG24" s="26" t="e">
        <f>HLOOKUP(AD24,Hoja2!$R$2:$AV$37,36,FALSE)</f>
        <v>#N/A</v>
      </c>
      <c r="AH24" s="97" t="e">
        <f>HLOOKUP(AD24,Hoja2!$R$2:$AV$38,37,FALSE)</f>
        <v>#N/A</v>
      </c>
      <c r="AI24" s="21"/>
      <c r="AJ24" s="9">
        <v>45119</v>
      </c>
      <c r="AK24">
        <v>110285</v>
      </c>
      <c r="AM24" t="e">
        <f>"CPA Rescate DLocal a CSFB 2475 " &amp;AG13&amp;" USD T/C "&amp;AF13&amp;".- "&amp;TEXT($O24,"dd-mm-yyy")</f>
        <v>#N/A</v>
      </c>
      <c r="AN24" s="3" t="e">
        <f>+AH13</f>
        <v>#N/A</v>
      </c>
      <c r="AO24" s="10"/>
      <c r="AS24" s="1">
        <v>45161</v>
      </c>
      <c r="AT24" s="26" t="e">
        <f>HLOOKUP(AS24,Hoja2!$R$2:$AV$39,38,FALSE)</f>
        <v>#N/A</v>
      </c>
      <c r="AU24" s="77" t="e">
        <f>HLOOKUP(AS24,Hoja2!$R$2:$AV$40,39,FALSE)</f>
        <v>#N/A</v>
      </c>
      <c r="AV24" s="26" t="e">
        <f>HLOOKUP(AS24,Hoja2!$R$2:$AV$41,40,FALSE)</f>
        <v>#N/A</v>
      </c>
      <c r="AW24" s="97" t="e">
        <f>HLOOKUP(AS24,Hoja2!$R$2:$AV$42,41,FALSE)</f>
        <v>#N/A</v>
      </c>
      <c r="AX24" s="21"/>
      <c r="AY24" s="9">
        <v>45150</v>
      </c>
      <c r="AZ24" s="8">
        <v>110275</v>
      </c>
      <c r="BA24" s="8" t="s">
        <v>108</v>
      </c>
      <c r="BB24" t="e">
        <f>"CPA Fondeo CSFB 2475 a NIUM " &amp;AV13&amp;" USD T/C "&amp;AU13&amp;".- "&amp;TEXT(AS13,"dd-mm-yyy")</f>
        <v>#N/A</v>
      </c>
      <c r="BC24" s="3" t="e">
        <f>+AW13</f>
        <v>#N/A</v>
      </c>
      <c r="BD24" s="10"/>
    </row>
    <row r="25" spans="1:56" x14ac:dyDescent="0.25">
      <c r="A25" s="1">
        <v>45162</v>
      </c>
      <c r="B25" s="21">
        <v>3000</v>
      </c>
      <c r="C25" s="77">
        <v>860.97</v>
      </c>
      <c r="D25" s="77">
        <f t="shared" si="0"/>
        <v>2582910</v>
      </c>
      <c r="E25" s="60"/>
      <c r="F25" s="9"/>
      <c r="G25">
        <v>211101</v>
      </c>
      <c r="H25" t="s">
        <v>18</v>
      </c>
      <c r="I25" s="12" t="str">
        <f t="shared" ref="I25" si="43">I24</f>
        <v>CPA Recaudación Clientes CFSB 1126 12-08-2023 USD 0,00 T/C 851,7</v>
      </c>
      <c r="J25" s="3"/>
      <c r="K25" s="10">
        <f t="shared" ref="K25" si="44">J24</f>
        <v>0</v>
      </c>
      <c r="O25" s="1">
        <v>45162</v>
      </c>
      <c r="P25" s="26" t="e">
        <f>HLOOKUP(O25,Hoja2!$R$2:$AV$35,34,FALSE)</f>
        <v>#N/A</v>
      </c>
      <c r="Q25" s="77" t="e">
        <f>HLOOKUP(O25,Hoja2!$R$2:$AV$36,35,FALSE)</f>
        <v>#N/A</v>
      </c>
      <c r="R25" s="26" t="e">
        <f>HLOOKUP(O25,Hoja2!$R$2:$AV$37,36,FALSE)</f>
        <v>#N/A</v>
      </c>
      <c r="S25" s="97" t="e">
        <f>HLOOKUP(O25,Hoja2!$R$2:$AV$38,37,FALSE)</f>
        <v>#N/A</v>
      </c>
      <c r="T25" s="21"/>
      <c r="U25" s="11"/>
      <c r="V25" s="12">
        <v>110276</v>
      </c>
      <c r="W25" s="12" t="s">
        <v>102</v>
      </c>
      <c r="X25" s="12" t="e">
        <f>+X24</f>
        <v>#N/A</v>
      </c>
      <c r="Y25" s="13"/>
      <c r="Z25" s="18" t="e">
        <f t="shared" si="8"/>
        <v>#N/A</v>
      </c>
      <c r="AD25" s="1">
        <v>45162</v>
      </c>
      <c r="AE25" s="26" t="e">
        <f>HLOOKUP(AD25,Hoja2!$R$2:$AV$35,34,FALSE)</f>
        <v>#N/A</v>
      </c>
      <c r="AF25" s="77" t="e">
        <f>HLOOKUP(AD25,Hoja2!$R$2:$AV$36,35,FALSE)</f>
        <v>#N/A</v>
      </c>
      <c r="AG25" s="26" t="e">
        <f>HLOOKUP(AD25,Hoja2!$R$2:$AV$37,36,FALSE)</f>
        <v>#N/A</v>
      </c>
      <c r="AH25" s="97" t="e">
        <f>HLOOKUP(AD25,Hoja2!$R$2:$AV$38,37,FALSE)</f>
        <v>#N/A</v>
      </c>
      <c r="AI25" s="21"/>
      <c r="AJ25" s="11"/>
      <c r="AK25" s="12">
        <v>110276</v>
      </c>
      <c r="AL25" s="12" t="s">
        <v>102</v>
      </c>
      <c r="AM25" s="12" t="e">
        <f>+AM24</f>
        <v>#N/A</v>
      </c>
      <c r="AN25" s="13"/>
      <c r="AO25" s="18" t="e">
        <f t="shared" ref="AO25" si="45">+AN24</f>
        <v>#N/A</v>
      </c>
      <c r="AS25" s="1">
        <v>45162</v>
      </c>
      <c r="AT25" s="26" t="e">
        <f>HLOOKUP(AS25,Hoja2!$R$2:$AV$39,38,FALSE)</f>
        <v>#N/A</v>
      </c>
      <c r="AU25" s="77" t="e">
        <f>HLOOKUP(AS25,Hoja2!$R$2:$AV$40,39,FALSE)</f>
        <v>#N/A</v>
      </c>
      <c r="AV25" s="26" t="e">
        <f>HLOOKUP(AS25,Hoja2!$R$2:$AV$41,40,FALSE)</f>
        <v>#N/A</v>
      </c>
      <c r="AW25" s="97" t="e">
        <f>HLOOKUP(AS25,Hoja2!$R$2:$AV$42,41,FALSE)</f>
        <v>#N/A</v>
      </c>
      <c r="AX25" s="21"/>
      <c r="AY25" s="11"/>
      <c r="AZ25" s="12">
        <v>110285</v>
      </c>
      <c r="BA25" s="12"/>
      <c r="BB25" s="12" t="e">
        <f>+BB24</f>
        <v>#N/A</v>
      </c>
      <c r="BC25" s="13"/>
      <c r="BD25" s="18" t="e">
        <f t="shared" ref="BD25" si="46">+BC24</f>
        <v>#N/A</v>
      </c>
    </row>
    <row r="26" spans="1:56" x14ac:dyDescent="0.25">
      <c r="A26" s="1">
        <v>45163</v>
      </c>
      <c r="B26" s="21">
        <v>4500</v>
      </c>
      <c r="C26" s="77">
        <v>854.77</v>
      </c>
      <c r="D26" s="77">
        <f t="shared" si="0"/>
        <v>3846465</v>
      </c>
      <c r="E26" s="60"/>
      <c r="F26" s="15">
        <v>45151</v>
      </c>
      <c r="G26" s="8">
        <v>110218</v>
      </c>
      <c r="H26" s="8" t="s">
        <v>61</v>
      </c>
      <c r="I26" t="str">
        <f>"CPA Recaudación Clientes CFSB 1126 "&amp;TEXT(F26,"dd-mm-yyy")&amp;" USD "&amp;TEXT(B14,"#.##0")&amp;" T/C "&amp;C14&amp;""</f>
        <v>CPA Recaudación Clientes CFSB 1126 13-08-2023 USD 0 T/C 851,7</v>
      </c>
      <c r="J26" s="16">
        <f>+D14</f>
        <v>0</v>
      </c>
      <c r="K26" s="17"/>
      <c r="O26" s="1">
        <v>45163</v>
      </c>
      <c r="P26" s="26" t="e">
        <f>HLOOKUP(O26,Hoja2!$R$2:$AV$35,34,FALSE)</f>
        <v>#N/A</v>
      </c>
      <c r="Q26" s="77" t="e">
        <f>HLOOKUP(O26,Hoja2!$R$2:$AV$36,35,FALSE)</f>
        <v>#N/A</v>
      </c>
      <c r="R26" s="26" t="e">
        <f>HLOOKUP(O26,Hoja2!$R$2:$AV$37,36,FALSE)</f>
        <v>#N/A</v>
      </c>
      <c r="S26" s="97" t="e">
        <f>HLOOKUP(O26,Hoja2!$R$2:$AV$38,37,FALSE)</f>
        <v>#N/A</v>
      </c>
      <c r="T26" s="21"/>
      <c r="U26" s="9">
        <v>45151</v>
      </c>
      <c r="V26">
        <v>110285</v>
      </c>
      <c r="X26" t="e">
        <f>"CPA Rescate DLocal a CSFB 2475 " &amp;R14&amp;" USD T/C "&amp;Q14&amp;".- "&amp;TEXT($O14,"dd-mm-yyy")</f>
        <v>#N/A</v>
      </c>
      <c r="Y26" s="3" t="e">
        <f>+S14</f>
        <v>#N/A</v>
      </c>
      <c r="Z26" s="10"/>
      <c r="AD26" s="1">
        <v>45163</v>
      </c>
      <c r="AE26" s="26" t="e">
        <f>HLOOKUP(AD26,Hoja2!$R$2:$AV$35,34,FALSE)</f>
        <v>#N/A</v>
      </c>
      <c r="AF26" s="77" t="e">
        <f>HLOOKUP(AD26,Hoja2!$R$2:$AV$36,35,FALSE)</f>
        <v>#N/A</v>
      </c>
      <c r="AG26" s="26" t="e">
        <f>HLOOKUP(AD26,Hoja2!$R$2:$AV$37,36,FALSE)</f>
        <v>#N/A</v>
      </c>
      <c r="AH26" s="97" t="e">
        <f>HLOOKUP(AD26,Hoja2!$R$2:$AV$38,37,FALSE)</f>
        <v>#N/A</v>
      </c>
      <c r="AI26" s="21"/>
      <c r="AJ26" s="9">
        <v>45120</v>
      </c>
      <c r="AK26">
        <v>110285</v>
      </c>
      <c r="AM26" t="e">
        <f>"CPA Rescate DLocal a CSFB 2475 " &amp;AG14&amp;" USD T/C "&amp;AF14&amp;".- "&amp;TEXT($O26,"dd-mm-yyy")</f>
        <v>#N/A</v>
      </c>
      <c r="AN26" s="3" t="e">
        <f>+AH14</f>
        <v>#N/A</v>
      </c>
      <c r="AO26" s="10"/>
      <c r="AS26" s="1">
        <v>45163</v>
      </c>
      <c r="AT26" s="26" t="e">
        <f>HLOOKUP(AS26,Hoja2!$R$2:$AV$39,38,FALSE)</f>
        <v>#N/A</v>
      </c>
      <c r="AU26" s="77" t="e">
        <f>HLOOKUP(AS26,Hoja2!$R$2:$AV$40,39,FALSE)</f>
        <v>#N/A</v>
      </c>
      <c r="AV26" s="26" t="e">
        <f>HLOOKUP(AS26,Hoja2!$R$2:$AV$41,40,FALSE)</f>
        <v>#N/A</v>
      </c>
      <c r="AW26" s="97" t="e">
        <f>HLOOKUP(AS26,Hoja2!$R$2:$AV$42,41,FALSE)</f>
        <v>#N/A</v>
      </c>
      <c r="AX26" s="21"/>
      <c r="AY26" s="9">
        <v>45151</v>
      </c>
      <c r="AZ26" s="8">
        <v>110275</v>
      </c>
      <c r="BA26" s="8" t="s">
        <v>108</v>
      </c>
      <c r="BB26" t="e">
        <f>"CPA Fondeo CSFB 2475 a NIUM " &amp;AV14&amp;" USD T/C "&amp;AU14&amp;".- "&amp;TEXT(AS14,"dd-mm-yyy")</f>
        <v>#N/A</v>
      </c>
      <c r="BC26" s="3" t="e">
        <f>+AW14</f>
        <v>#N/A</v>
      </c>
      <c r="BD26" s="10"/>
    </row>
    <row r="27" spans="1:56" x14ac:dyDescent="0.25">
      <c r="A27" s="1">
        <v>45164</v>
      </c>
      <c r="B27" s="21">
        <v>0</v>
      </c>
      <c r="C27" s="77">
        <v>854.77</v>
      </c>
      <c r="D27" s="77">
        <f t="shared" si="0"/>
        <v>0</v>
      </c>
      <c r="E27" s="60"/>
      <c r="F27" s="9"/>
      <c r="G27">
        <v>211101</v>
      </c>
      <c r="H27" t="s">
        <v>18</v>
      </c>
      <c r="I27" s="12" t="str">
        <f t="shared" ref="I27" si="47">I26</f>
        <v>CPA Recaudación Clientes CFSB 1126 13-08-2023 USD 0 T/C 851,7</v>
      </c>
      <c r="J27" s="3"/>
      <c r="K27" s="10">
        <f t="shared" ref="K27" si="48">J26</f>
        <v>0</v>
      </c>
      <c r="O27" s="1">
        <v>45164</v>
      </c>
      <c r="P27" s="26" t="e">
        <f>HLOOKUP(O27,Hoja2!$R$2:$AV$35,34,FALSE)</f>
        <v>#N/A</v>
      </c>
      <c r="Q27" s="77" t="e">
        <f>HLOOKUP(O27,Hoja2!$R$2:$AV$36,35,FALSE)</f>
        <v>#N/A</v>
      </c>
      <c r="R27" s="26" t="e">
        <f>HLOOKUP(O27,Hoja2!$R$2:$AV$37,36,FALSE)</f>
        <v>#N/A</v>
      </c>
      <c r="S27" s="97" t="e">
        <f>HLOOKUP(O27,Hoja2!$R$2:$AV$38,37,FALSE)</f>
        <v>#N/A</v>
      </c>
      <c r="T27" s="21"/>
      <c r="U27" s="11"/>
      <c r="V27" s="12">
        <v>110276</v>
      </c>
      <c r="W27" s="12" t="s">
        <v>102</v>
      </c>
      <c r="X27" s="12" t="e">
        <f>+X26</f>
        <v>#N/A</v>
      </c>
      <c r="Y27" s="13"/>
      <c r="Z27" s="18" t="e">
        <f t="shared" si="8"/>
        <v>#N/A</v>
      </c>
      <c r="AD27" s="1">
        <v>45164</v>
      </c>
      <c r="AE27" s="26" t="e">
        <f>HLOOKUP(AD27,Hoja2!$R$2:$AV$35,34,FALSE)</f>
        <v>#N/A</v>
      </c>
      <c r="AF27" s="77" t="e">
        <f>HLOOKUP(AD27,Hoja2!$R$2:$AV$36,35,FALSE)</f>
        <v>#N/A</v>
      </c>
      <c r="AG27" s="26" t="e">
        <f>HLOOKUP(AD27,Hoja2!$R$2:$AV$37,36,FALSE)</f>
        <v>#N/A</v>
      </c>
      <c r="AH27" s="97" t="e">
        <f>HLOOKUP(AD27,Hoja2!$R$2:$AV$38,37,FALSE)</f>
        <v>#N/A</v>
      </c>
      <c r="AI27" s="21"/>
      <c r="AJ27" s="11"/>
      <c r="AK27" s="12">
        <v>110276</v>
      </c>
      <c r="AL27" s="12" t="s">
        <v>102</v>
      </c>
      <c r="AM27" s="12" t="e">
        <f>+AM26</f>
        <v>#N/A</v>
      </c>
      <c r="AN27" s="13"/>
      <c r="AO27" s="18" t="e">
        <f t="shared" ref="AO27" si="49">+AN26</f>
        <v>#N/A</v>
      </c>
      <c r="AS27" s="1">
        <v>45164</v>
      </c>
      <c r="AT27" s="26" t="e">
        <f>HLOOKUP(AS27,Hoja2!$R$2:$AV$39,38,FALSE)</f>
        <v>#N/A</v>
      </c>
      <c r="AU27" s="77" t="e">
        <f>HLOOKUP(AS27,Hoja2!$R$2:$AV$40,39,FALSE)</f>
        <v>#N/A</v>
      </c>
      <c r="AV27" s="26" t="e">
        <f>HLOOKUP(AS27,Hoja2!$R$2:$AV$41,40,FALSE)</f>
        <v>#N/A</v>
      </c>
      <c r="AW27" s="97" t="e">
        <f>HLOOKUP(AS27,Hoja2!$R$2:$AV$42,41,FALSE)</f>
        <v>#N/A</v>
      </c>
      <c r="AX27" s="21"/>
      <c r="AY27" s="11"/>
      <c r="AZ27" s="12">
        <v>110285</v>
      </c>
      <c r="BA27" s="12"/>
      <c r="BB27" s="12" t="e">
        <f>+BB26</f>
        <v>#N/A</v>
      </c>
      <c r="BC27" s="13"/>
      <c r="BD27" s="18" t="e">
        <f t="shared" ref="BD27" si="50">+BC26</f>
        <v>#N/A</v>
      </c>
    </row>
    <row r="28" spans="1:56" x14ac:dyDescent="0.25">
      <c r="A28" s="1">
        <v>45165</v>
      </c>
      <c r="B28" s="21">
        <v>0</v>
      </c>
      <c r="C28" s="77">
        <v>854.77</v>
      </c>
      <c r="D28" s="77">
        <f t="shared" si="0"/>
        <v>0</v>
      </c>
      <c r="E28" s="60"/>
      <c r="F28" s="15">
        <v>45152</v>
      </c>
      <c r="G28" s="8">
        <v>110218</v>
      </c>
      <c r="H28" s="8" t="s">
        <v>61</v>
      </c>
      <c r="I28" t="str">
        <f>"CPA Recaudación Clientes CFSB 1126 "&amp;TEXT(F28,"dd-mm-yyy")&amp;" USD "&amp;TEXT(B15,"#.##0")&amp;" T/C "&amp;C15&amp;""</f>
        <v>CPA Recaudación Clientes CFSB 1126 14-08-2023 USD 8.000 T/C 853,3</v>
      </c>
      <c r="J28" s="16">
        <f>+D15</f>
        <v>6826400</v>
      </c>
      <c r="K28" s="17"/>
      <c r="O28" s="1">
        <v>45165</v>
      </c>
      <c r="P28" s="26" t="e">
        <f>HLOOKUP(O28,Hoja2!$R$2:$AV$35,34,FALSE)</f>
        <v>#N/A</v>
      </c>
      <c r="Q28" s="77" t="e">
        <f>HLOOKUP(O28,Hoja2!$R$2:$AV$36,35,FALSE)</f>
        <v>#N/A</v>
      </c>
      <c r="R28" s="26" t="e">
        <f>HLOOKUP(O28,Hoja2!$R$2:$AV$37,36,FALSE)</f>
        <v>#N/A</v>
      </c>
      <c r="S28" s="97" t="e">
        <f>HLOOKUP(O28,Hoja2!$R$2:$AV$38,37,FALSE)</f>
        <v>#N/A</v>
      </c>
      <c r="U28" s="9">
        <v>45152</v>
      </c>
      <c r="V28">
        <v>110285</v>
      </c>
      <c r="X28" t="e">
        <f>"CPA Rescate DLocal a CSFB 2475 " &amp;R15&amp;" USD T/C "&amp;Q15&amp;".- "&amp;TEXT($O15,"dd-mm-yyy")</f>
        <v>#N/A</v>
      </c>
      <c r="Y28" s="3" t="e">
        <f>+S15</f>
        <v>#N/A</v>
      </c>
      <c r="Z28" s="10"/>
      <c r="AD28" s="1">
        <v>45165</v>
      </c>
      <c r="AE28" s="26" t="e">
        <f>HLOOKUP(AD28,Hoja2!$R$2:$AV$35,34,FALSE)</f>
        <v>#N/A</v>
      </c>
      <c r="AF28" s="77" t="e">
        <f>HLOOKUP(AD28,Hoja2!$R$2:$AV$36,35,FALSE)</f>
        <v>#N/A</v>
      </c>
      <c r="AG28" s="26" t="e">
        <f>HLOOKUP(AD28,Hoja2!$R$2:$AV$37,36,FALSE)</f>
        <v>#N/A</v>
      </c>
      <c r="AH28" s="97" t="e">
        <f>HLOOKUP(AD28,Hoja2!$R$2:$AV$38,37,FALSE)</f>
        <v>#N/A</v>
      </c>
      <c r="AJ28" s="9">
        <v>45121</v>
      </c>
      <c r="AK28">
        <v>110285</v>
      </c>
      <c r="AM28" t="e">
        <f>"CPA Rescate DLocal a CSFB 2475 " &amp;AG15&amp;" USD T/C "&amp;AF15&amp;".- "&amp;TEXT($O28,"dd-mm-yyy")</f>
        <v>#N/A</v>
      </c>
      <c r="AN28" s="3" t="e">
        <f>+AH15</f>
        <v>#N/A</v>
      </c>
      <c r="AO28" s="10"/>
      <c r="AS28" s="1">
        <v>45165</v>
      </c>
      <c r="AT28" s="26" t="e">
        <f>HLOOKUP(AS28,Hoja2!$R$2:$AV$39,38,FALSE)</f>
        <v>#N/A</v>
      </c>
      <c r="AU28" s="77" t="e">
        <f>HLOOKUP(AS28,Hoja2!$R$2:$AV$40,39,FALSE)</f>
        <v>#N/A</v>
      </c>
      <c r="AV28" s="26" t="e">
        <f>HLOOKUP(AS28,Hoja2!$R$2:$AV$41,40,FALSE)</f>
        <v>#N/A</v>
      </c>
      <c r="AW28" s="97" t="e">
        <f>HLOOKUP(AS28,Hoja2!$R$2:$AV$42,41,FALSE)</f>
        <v>#N/A</v>
      </c>
      <c r="AY28" s="9">
        <v>45152</v>
      </c>
      <c r="AZ28" s="8">
        <v>110275</v>
      </c>
      <c r="BA28" s="8" t="s">
        <v>108</v>
      </c>
      <c r="BB28" t="e">
        <f>"CPA Fondeo CSFB 2475 a NIUM " &amp;AV15&amp;" USD T/C "&amp;AU15&amp;".- "&amp;TEXT(AS15,"dd-mm-yyy")</f>
        <v>#N/A</v>
      </c>
      <c r="BC28" s="3" t="e">
        <f>+AW15</f>
        <v>#N/A</v>
      </c>
      <c r="BD28" s="10"/>
    </row>
    <row r="29" spans="1:56" x14ac:dyDescent="0.25">
      <c r="A29" s="1">
        <v>45166</v>
      </c>
      <c r="B29" s="21">
        <v>63.16</v>
      </c>
      <c r="C29" s="77">
        <v>843.08</v>
      </c>
      <c r="D29" s="77">
        <f t="shared" si="0"/>
        <v>53249</v>
      </c>
      <c r="E29" s="60"/>
      <c r="F29" s="9"/>
      <c r="G29">
        <v>211101</v>
      </c>
      <c r="H29" t="s">
        <v>18</v>
      </c>
      <c r="I29" s="12" t="str">
        <f t="shared" ref="I29" si="51">I28</f>
        <v>CPA Recaudación Clientes CFSB 1126 14-08-2023 USD 8.000 T/C 853,3</v>
      </c>
      <c r="J29" s="3"/>
      <c r="K29" s="10">
        <f t="shared" ref="K29" si="52">J28</f>
        <v>6826400</v>
      </c>
      <c r="O29" s="1">
        <v>45166</v>
      </c>
      <c r="P29" s="26" t="e">
        <f>HLOOKUP(O29,Hoja2!$R$2:$AV$35,34,FALSE)</f>
        <v>#N/A</v>
      </c>
      <c r="Q29" s="77" t="e">
        <f>HLOOKUP(O29,Hoja2!$R$2:$AV$36,35,FALSE)</f>
        <v>#N/A</v>
      </c>
      <c r="R29" s="26" t="e">
        <f>HLOOKUP(O29,Hoja2!$R$2:$AV$37,36,FALSE)</f>
        <v>#N/A</v>
      </c>
      <c r="S29" s="97" t="e">
        <f>HLOOKUP(O29,Hoja2!$R$2:$AV$38,37,FALSE)</f>
        <v>#N/A</v>
      </c>
      <c r="T29" s="39"/>
      <c r="U29" s="11"/>
      <c r="V29" s="12">
        <v>110276</v>
      </c>
      <c r="W29" s="12" t="s">
        <v>102</v>
      </c>
      <c r="X29" s="12" t="e">
        <f>+X28</f>
        <v>#N/A</v>
      </c>
      <c r="Y29" s="13"/>
      <c r="Z29" s="18" t="e">
        <f t="shared" si="8"/>
        <v>#N/A</v>
      </c>
      <c r="AD29" s="1">
        <v>45166</v>
      </c>
      <c r="AE29" s="26" t="e">
        <f>HLOOKUP(AD29,Hoja2!$R$2:$AV$35,34,FALSE)</f>
        <v>#N/A</v>
      </c>
      <c r="AF29" s="77" t="e">
        <f>HLOOKUP(AD29,Hoja2!$R$2:$AV$36,35,FALSE)</f>
        <v>#N/A</v>
      </c>
      <c r="AG29" s="26" t="e">
        <f>HLOOKUP(AD29,Hoja2!$R$2:$AV$37,36,FALSE)</f>
        <v>#N/A</v>
      </c>
      <c r="AH29" s="97" t="e">
        <f>HLOOKUP(AD29,Hoja2!$R$2:$AV$38,37,FALSE)</f>
        <v>#N/A</v>
      </c>
      <c r="AI29" s="39"/>
      <c r="AJ29" s="11"/>
      <c r="AK29" s="12">
        <v>110276</v>
      </c>
      <c r="AL29" s="12" t="s">
        <v>102</v>
      </c>
      <c r="AM29" s="12" t="e">
        <f>+AM28</f>
        <v>#N/A</v>
      </c>
      <c r="AN29" s="13"/>
      <c r="AO29" s="18" t="e">
        <f t="shared" ref="AO29" si="53">+AN28</f>
        <v>#N/A</v>
      </c>
      <c r="AS29" s="1">
        <v>45166</v>
      </c>
      <c r="AT29" s="26" t="e">
        <f>HLOOKUP(AS29,Hoja2!$R$2:$AV$39,38,FALSE)</f>
        <v>#N/A</v>
      </c>
      <c r="AU29" s="77" t="e">
        <f>HLOOKUP(AS29,Hoja2!$R$2:$AV$40,39,FALSE)</f>
        <v>#N/A</v>
      </c>
      <c r="AV29" s="26" t="e">
        <f>HLOOKUP(AS29,Hoja2!$R$2:$AV$41,40,FALSE)</f>
        <v>#N/A</v>
      </c>
      <c r="AW29" s="97" t="e">
        <f>HLOOKUP(AS29,Hoja2!$R$2:$AV$42,41,FALSE)</f>
        <v>#N/A</v>
      </c>
      <c r="AX29" s="39"/>
      <c r="AY29" s="11"/>
      <c r="AZ29" s="12">
        <v>110285</v>
      </c>
      <c r="BA29" s="12"/>
      <c r="BB29" s="12" t="e">
        <f>+BB28</f>
        <v>#N/A</v>
      </c>
      <c r="BC29" s="13"/>
      <c r="BD29" s="18" t="e">
        <f t="shared" ref="BD29" si="54">+BC28</f>
        <v>#N/A</v>
      </c>
    </row>
    <row r="30" spans="1:56" x14ac:dyDescent="0.25">
      <c r="A30" s="1">
        <v>45167</v>
      </c>
      <c r="B30" s="21">
        <v>1600</v>
      </c>
      <c r="C30" s="77">
        <v>848.86</v>
      </c>
      <c r="D30" s="77">
        <f t="shared" si="0"/>
        <v>1358176</v>
      </c>
      <c r="E30" s="60"/>
      <c r="F30" s="15">
        <v>45153</v>
      </c>
      <c r="G30" s="8">
        <v>110218</v>
      </c>
      <c r="H30" s="8" t="s">
        <v>61</v>
      </c>
      <c r="I30" t="str">
        <f>"CPA Recaudación Clientes CFSB 1126 "&amp;TEXT(F30,"dd-mm-yyy")&amp;" USD "&amp;TEXT(B16,"#.##0,00")&amp;" T/C "&amp;C16&amp;""</f>
        <v>CPA Recaudación Clientes CFSB 1126 15-08-2023 USD 958,79 T/C 853,3</v>
      </c>
      <c r="J30" s="16">
        <f>+D16</f>
        <v>818136</v>
      </c>
      <c r="K30" s="17"/>
      <c r="O30" s="1">
        <v>45167</v>
      </c>
      <c r="P30" s="26" t="e">
        <f>HLOOKUP(O30,Hoja2!$R$2:$AV$35,34,FALSE)</f>
        <v>#N/A</v>
      </c>
      <c r="Q30" s="77" t="e">
        <f>HLOOKUP(O30,Hoja2!$R$2:$AV$36,35,FALSE)</f>
        <v>#N/A</v>
      </c>
      <c r="R30" s="26" t="e">
        <f>HLOOKUP(O30,Hoja2!$R$2:$AV$37,36,FALSE)</f>
        <v>#N/A</v>
      </c>
      <c r="S30" s="97" t="e">
        <f>HLOOKUP(O30,Hoja2!$R$2:$AV$38,37,FALSE)</f>
        <v>#N/A</v>
      </c>
      <c r="U30" s="9">
        <v>45153</v>
      </c>
      <c r="V30">
        <v>110285</v>
      </c>
      <c r="X30" t="e">
        <f>"CPA Rescate DLocal a CSFB 2475 " &amp;R16&amp;" USD T/C "&amp;Q16&amp;".- "&amp;TEXT($O16,"dd-mm-yyy")</f>
        <v>#N/A</v>
      </c>
      <c r="Y30" s="3" t="e">
        <f>+S16</f>
        <v>#N/A</v>
      </c>
      <c r="Z30" s="10"/>
      <c r="AD30" s="1">
        <v>45167</v>
      </c>
      <c r="AE30" s="26" t="e">
        <f>HLOOKUP(AD30,Hoja2!$R$2:$AV$35,34,FALSE)</f>
        <v>#N/A</v>
      </c>
      <c r="AF30" s="77" t="e">
        <f>HLOOKUP(AD30,Hoja2!$R$2:$AV$36,35,FALSE)</f>
        <v>#N/A</v>
      </c>
      <c r="AG30" s="26" t="e">
        <f>HLOOKUP(AD30,Hoja2!$R$2:$AV$37,36,FALSE)</f>
        <v>#N/A</v>
      </c>
      <c r="AH30" s="97" t="e">
        <f>HLOOKUP(AD30,Hoja2!$R$2:$AV$38,37,FALSE)</f>
        <v>#N/A</v>
      </c>
      <c r="AJ30" s="9">
        <v>45122</v>
      </c>
      <c r="AK30">
        <v>110285</v>
      </c>
      <c r="AM30" t="e">
        <f>"CPA Rescate DLocal a CSFB 2475 " &amp;AG16&amp;" USD T/C "&amp;AF16&amp;".- "&amp;TEXT($O30,"dd-mm-yyy")</f>
        <v>#N/A</v>
      </c>
      <c r="AN30" s="3" t="e">
        <f>+AH16</f>
        <v>#N/A</v>
      </c>
      <c r="AO30" s="10"/>
      <c r="AS30" s="1">
        <v>45167</v>
      </c>
      <c r="AT30" s="26" t="e">
        <f>HLOOKUP(AS30,Hoja2!$R$2:$AV$39,38,FALSE)</f>
        <v>#N/A</v>
      </c>
      <c r="AU30" s="77" t="e">
        <f>HLOOKUP(AS30,Hoja2!$R$2:$AV$40,39,FALSE)</f>
        <v>#N/A</v>
      </c>
      <c r="AV30" s="26" t="e">
        <f>HLOOKUP(AS30,Hoja2!$R$2:$AV$41,40,FALSE)</f>
        <v>#N/A</v>
      </c>
      <c r="AW30" s="97" t="e">
        <f>HLOOKUP(AS30,Hoja2!$R$2:$AV$42,41,FALSE)</f>
        <v>#N/A</v>
      </c>
      <c r="AY30" s="9">
        <v>45153</v>
      </c>
      <c r="AZ30" s="8">
        <v>110275</v>
      </c>
      <c r="BA30" s="8" t="s">
        <v>108</v>
      </c>
      <c r="BB30" t="e">
        <f>"CPA Fondeo CSFB 2475 a NIUM " &amp;AV16&amp;" USD T/C "&amp;AU16&amp;".- "&amp;TEXT(AS16,"dd-mm-yyy")</f>
        <v>#N/A</v>
      </c>
      <c r="BC30" s="3" t="e">
        <f>+AW16</f>
        <v>#N/A</v>
      </c>
      <c r="BD30" s="10"/>
    </row>
    <row r="31" spans="1:56" x14ac:dyDescent="0.25">
      <c r="A31" s="1">
        <v>45168</v>
      </c>
      <c r="B31" s="21">
        <v>0</v>
      </c>
      <c r="C31" s="77">
        <v>857.59</v>
      </c>
      <c r="D31" s="77">
        <f t="shared" si="0"/>
        <v>0</v>
      </c>
      <c r="E31" s="60"/>
      <c r="F31" s="11"/>
      <c r="G31" s="12">
        <v>211101</v>
      </c>
      <c r="H31" s="12" t="s">
        <v>18</v>
      </c>
      <c r="I31" s="12" t="str">
        <f t="shared" ref="I31" si="55">I30</f>
        <v>CPA Recaudación Clientes CFSB 1126 15-08-2023 USD 958,79 T/C 853,3</v>
      </c>
      <c r="J31" s="13"/>
      <c r="K31" s="18">
        <f t="shared" ref="K31" si="56">J30</f>
        <v>818136</v>
      </c>
      <c r="O31" s="1">
        <v>45168</v>
      </c>
      <c r="P31" s="26" t="e">
        <f>HLOOKUP(O31,Hoja2!$R$2:$AV$35,34,FALSE)</f>
        <v>#N/A</v>
      </c>
      <c r="Q31" s="77" t="e">
        <f>HLOOKUP(O31,Hoja2!$R$2:$AV$36,35,FALSE)</f>
        <v>#N/A</v>
      </c>
      <c r="R31" s="26" t="e">
        <f>HLOOKUP(O31,Hoja2!$R$2:$AV$37,36,FALSE)</f>
        <v>#N/A</v>
      </c>
      <c r="S31" s="97" t="e">
        <f>HLOOKUP(O31,Hoja2!$R$2:$AV$38,37,FALSE)</f>
        <v>#N/A</v>
      </c>
      <c r="U31" s="11"/>
      <c r="V31" s="12">
        <v>110276</v>
      </c>
      <c r="W31" s="12" t="s">
        <v>102</v>
      </c>
      <c r="X31" s="12" t="e">
        <f>+X30</f>
        <v>#N/A</v>
      </c>
      <c r="Y31" s="13"/>
      <c r="Z31" s="18" t="e">
        <f t="shared" si="8"/>
        <v>#N/A</v>
      </c>
      <c r="AD31" s="1">
        <v>45168</v>
      </c>
      <c r="AE31" s="26" t="e">
        <f>HLOOKUP(AD31,Hoja2!$R$2:$AV$35,34,FALSE)</f>
        <v>#N/A</v>
      </c>
      <c r="AF31" s="77" t="e">
        <f>HLOOKUP(AD31,Hoja2!$R$2:$AV$36,35,FALSE)</f>
        <v>#N/A</v>
      </c>
      <c r="AG31" s="26" t="e">
        <f>HLOOKUP(AD31,Hoja2!$R$2:$AV$37,36,FALSE)</f>
        <v>#N/A</v>
      </c>
      <c r="AH31" s="97" t="e">
        <f>HLOOKUP(AD31,Hoja2!$R$2:$AV$38,37,FALSE)</f>
        <v>#N/A</v>
      </c>
      <c r="AJ31" s="11"/>
      <c r="AK31" s="12">
        <v>110276</v>
      </c>
      <c r="AL31" s="12" t="s">
        <v>102</v>
      </c>
      <c r="AM31" s="12" t="e">
        <f>+AM30</f>
        <v>#N/A</v>
      </c>
      <c r="AN31" s="13"/>
      <c r="AO31" s="18" t="e">
        <f t="shared" ref="AO31" si="57">+AN30</f>
        <v>#N/A</v>
      </c>
      <c r="AS31" s="1">
        <v>45168</v>
      </c>
      <c r="AT31" s="26" t="e">
        <f>HLOOKUP(AS31,Hoja2!$R$2:$AV$39,38,FALSE)</f>
        <v>#N/A</v>
      </c>
      <c r="AU31" s="77" t="e">
        <f>HLOOKUP(AS31,Hoja2!$R$2:$AV$40,39,FALSE)</f>
        <v>#N/A</v>
      </c>
      <c r="AV31" s="26" t="e">
        <f>HLOOKUP(AS31,Hoja2!$R$2:$AV$41,40,FALSE)</f>
        <v>#N/A</v>
      </c>
      <c r="AW31" s="97" t="e">
        <f>HLOOKUP(AS31,Hoja2!$R$2:$AV$42,41,FALSE)</f>
        <v>#N/A</v>
      </c>
      <c r="AY31" s="11"/>
      <c r="AZ31" s="12">
        <v>110285</v>
      </c>
      <c r="BA31" s="12"/>
      <c r="BB31" s="12" t="e">
        <f>+BB30</f>
        <v>#N/A</v>
      </c>
      <c r="BC31" s="13"/>
      <c r="BD31" s="18" t="e">
        <f t="shared" ref="BD31" si="58">+BC30</f>
        <v>#N/A</v>
      </c>
    </row>
    <row r="32" spans="1:56" x14ac:dyDescent="0.25">
      <c r="A32" s="1">
        <v>45169</v>
      </c>
      <c r="B32" s="21">
        <v>2460.5500000000002</v>
      </c>
      <c r="C32" s="77">
        <v>854.22</v>
      </c>
      <c r="D32" s="77">
        <f t="shared" si="0"/>
        <v>2101851</v>
      </c>
      <c r="E32" s="60"/>
      <c r="F32" s="15">
        <v>45154</v>
      </c>
      <c r="G32" s="8">
        <v>110218</v>
      </c>
      <c r="H32" s="8" t="s">
        <v>61</v>
      </c>
      <c r="I32" t="str">
        <f>"CPA Recaudación Clientes CFSB 1126 "&amp;TEXT(F32,"dd-mm-yyy")&amp;" USD "&amp;TEXT(B17,"#.##0,00")&amp;" T/C "&amp;C17&amp;""</f>
        <v>CPA Recaudación Clientes CFSB 1126 16-08-2023 USD 4.920,00 T/C 859,03</v>
      </c>
      <c r="J32" s="16">
        <f>+D17</f>
        <v>4226428</v>
      </c>
      <c r="K32" s="17"/>
      <c r="O32" s="1">
        <v>45169</v>
      </c>
      <c r="P32" s="26" t="e">
        <f>HLOOKUP(O32,Hoja2!$R$2:$AV$35,34,FALSE)</f>
        <v>#N/A</v>
      </c>
      <c r="Q32" s="77" t="e">
        <f>HLOOKUP(O32,Hoja2!$R$2:$AV$36,35,FALSE)</f>
        <v>#N/A</v>
      </c>
      <c r="R32" s="26" t="e">
        <f>HLOOKUP(O32,Hoja2!$R$2:$AV$37,36,FALSE)</f>
        <v>#N/A</v>
      </c>
      <c r="S32" s="97" t="e">
        <f>HLOOKUP(O32,Hoja2!$R$2:$AV$38,37,FALSE)</f>
        <v>#N/A</v>
      </c>
      <c r="U32" s="9">
        <v>45154</v>
      </c>
      <c r="V32">
        <v>110285</v>
      </c>
      <c r="X32" t="e">
        <f>"CPA Rescate DLocal a CSFB 2475 " &amp;R17&amp;" USD T/C "&amp;Q17&amp;".- "&amp;TEXT($O17,"dd-mm-yyy")</f>
        <v>#N/A</v>
      </c>
      <c r="Y32" s="3" t="e">
        <f>+S17</f>
        <v>#N/A</v>
      </c>
      <c r="Z32" s="10"/>
      <c r="AD32" s="1">
        <v>45169</v>
      </c>
      <c r="AE32" s="26" t="e">
        <f>HLOOKUP(AD32,Hoja2!$R$2:$AV$35,34,FALSE)</f>
        <v>#N/A</v>
      </c>
      <c r="AF32" s="77" t="e">
        <f>HLOOKUP(AD32,Hoja2!$R$2:$AV$36,35,FALSE)</f>
        <v>#N/A</v>
      </c>
      <c r="AG32" s="26" t="e">
        <f>HLOOKUP(AD32,Hoja2!$R$2:$AV$37,36,FALSE)</f>
        <v>#N/A</v>
      </c>
      <c r="AH32" s="97" t="e">
        <f>HLOOKUP(AD32,Hoja2!$R$2:$AV$38,37,FALSE)</f>
        <v>#N/A</v>
      </c>
      <c r="AJ32" s="9">
        <v>45123</v>
      </c>
      <c r="AK32">
        <v>110285</v>
      </c>
      <c r="AM32" t="e">
        <f>"CPA Rescate DLocal a CSFB 2475 " &amp;AG17&amp;" USD T/C "&amp;AF17&amp;".- "&amp;TEXT($O32,"dd-mm-yyy")</f>
        <v>#N/A</v>
      </c>
      <c r="AN32" s="3" t="e">
        <f>+AH17</f>
        <v>#N/A</v>
      </c>
      <c r="AO32" s="10"/>
      <c r="AS32" s="1">
        <v>45169</v>
      </c>
      <c r="AT32" s="26" t="e">
        <f>HLOOKUP(AS32,Hoja2!$R$2:$AV$39,38,FALSE)</f>
        <v>#N/A</v>
      </c>
      <c r="AU32" s="77" t="e">
        <f>HLOOKUP(AS32,Hoja2!$R$2:$AV$40,39,FALSE)</f>
        <v>#N/A</v>
      </c>
      <c r="AV32" s="26" t="e">
        <f>HLOOKUP(AS32,Hoja2!$R$2:$AV$41,40,FALSE)</f>
        <v>#N/A</v>
      </c>
      <c r="AW32" s="97" t="e">
        <f>HLOOKUP(AS32,Hoja2!$R$2:$AV$42,41,FALSE)</f>
        <v>#N/A</v>
      </c>
      <c r="AY32" s="9">
        <v>45154</v>
      </c>
      <c r="AZ32" s="8">
        <v>110275</v>
      </c>
      <c r="BA32" s="8" t="s">
        <v>108</v>
      </c>
      <c r="BB32" t="e">
        <f>"CPA Fondeo CSFB 2475 a NIUM " &amp;AV17&amp;" USD T/C "&amp;AU17&amp;".- "&amp;TEXT(AS17,"dd-mm-yyy")</f>
        <v>#N/A</v>
      </c>
      <c r="BC32" s="3" t="e">
        <f>+AW17</f>
        <v>#N/A</v>
      </c>
      <c r="BD32" s="10"/>
    </row>
    <row r="33" spans="1:56" x14ac:dyDescent="0.25">
      <c r="B33" s="76">
        <f>SUM(B2:B32)</f>
        <v>120042.90000000001</v>
      </c>
      <c r="C33" s="77"/>
      <c r="D33" s="3">
        <f>SUM(D2:D32)</f>
        <v>102639187</v>
      </c>
      <c r="E33" s="3"/>
      <c r="F33" s="11"/>
      <c r="G33" s="12">
        <v>211101</v>
      </c>
      <c r="H33" s="12" t="s">
        <v>18</v>
      </c>
      <c r="I33" s="12" t="str">
        <f t="shared" ref="I33" si="59">I32</f>
        <v>CPA Recaudación Clientes CFSB 1126 16-08-2023 USD 4.920,00 T/C 859,03</v>
      </c>
      <c r="J33" s="13"/>
      <c r="K33" s="18">
        <f t="shared" ref="K33" si="60">J32</f>
        <v>4226428</v>
      </c>
      <c r="P33" s="3" t="e">
        <f>SUM(P2:P32)</f>
        <v>#N/A</v>
      </c>
      <c r="S33" s="3" t="e">
        <f>SUM(S2:S32)</f>
        <v>#N/A</v>
      </c>
      <c r="U33" s="11"/>
      <c r="V33" s="12">
        <v>110276</v>
      </c>
      <c r="W33" s="12" t="s">
        <v>102</v>
      </c>
      <c r="X33" s="12" t="e">
        <f>+X32</f>
        <v>#N/A</v>
      </c>
      <c r="Y33" s="13"/>
      <c r="Z33" s="18" t="e">
        <f t="shared" si="8"/>
        <v>#N/A</v>
      </c>
      <c r="AE33" s="3" t="e">
        <f>SUM(AE2:AE32)</f>
        <v>#N/A</v>
      </c>
      <c r="AH33" s="3" t="e">
        <f>SUM(AH2:AH32)</f>
        <v>#N/A</v>
      </c>
      <c r="AJ33" s="11"/>
      <c r="AK33" s="12">
        <v>110276</v>
      </c>
      <c r="AL33" s="12" t="s">
        <v>102</v>
      </c>
      <c r="AM33" s="12" t="e">
        <f>+AM32</f>
        <v>#N/A</v>
      </c>
      <c r="AN33" s="13"/>
      <c r="AO33" s="18" t="e">
        <f t="shared" ref="AO33" si="61">+AN32</f>
        <v>#N/A</v>
      </c>
      <c r="AT33" s="3" t="e">
        <f>SUM(AT2:AT32)</f>
        <v>#N/A</v>
      </c>
      <c r="AW33" s="3" t="e">
        <f>SUM(AW2:AW32)</f>
        <v>#N/A</v>
      </c>
      <c r="AY33" s="11"/>
      <c r="AZ33" s="12">
        <v>110285</v>
      </c>
      <c r="BA33" s="12"/>
      <c r="BB33" s="12" t="e">
        <f>+BB32</f>
        <v>#N/A</v>
      </c>
      <c r="BC33" s="13"/>
      <c r="BD33" s="18" t="e">
        <f t="shared" ref="BD33" si="62">+BC32</f>
        <v>#N/A</v>
      </c>
    </row>
    <row r="34" spans="1:56" x14ac:dyDescent="0.25">
      <c r="B34" s="30"/>
      <c r="F34" s="15">
        <v>45155</v>
      </c>
      <c r="G34" s="8">
        <v>110218</v>
      </c>
      <c r="H34" s="8" t="s">
        <v>61</v>
      </c>
      <c r="I34" t="str">
        <f>"CPA Recaudación Clientes CFSB 1126 "&amp;TEXT(F34,"dd-mm-yyy")&amp;" USD "&amp;TEXT(B18,"#.##0,00")&amp;" T/C "&amp;C18&amp;""</f>
        <v>CPA Recaudación Clientes CFSB 1126 17-08-2023 USD 650,00 T/C 859,87</v>
      </c>
      <c r="J34" s="16">
        <f>+D18</f>
        <v>558916</v>
      </c>
      <c r="K34" s="17"/>
      <c r="U34" s="9">
        <v>45155</v>
      </c>
      <c r="V34">
        <v>110285</v>
      </c>
      <c r="X34" t="e">
        <f>"CPA Rescate DLocal a CSFB 2475 " &amp;R18&amp;" USD T/C "&amp;Q18&amp;".- "&amp;TEXT($O18,"dd-mm-yyy")</f>
        <v>#N/A</v>
      </c>
      <c r="Y34" s="3" t="e">
        <f>+S18</f>
        <v>#N/A</v>
      </c>
      <c r="Z34" s="10"/>
      <c r="AJ34" s="9">
        <v>45124</v>
      </c>
      <c r="AK34">
        <v>110285</v>
      </c>
      <c r="AM34" t="e">
        <f>"CPA Rescate DLocal a CSFB 2475 " &amp;AG18&amp;" USD T/C "&amp;AF18&amp;".- "&amp;TEXT($O34,"dd-mm-yyy")</f>
        <v>#N/A</v>
      </c>
      <c r="AN34" s="3" t="e">
        <f>+AH18</f>
        <v>#N/A</v>
      </c>
      <c r="AO34" s="10"/>
      <c r="AY34" s="9">
        <v>45155</v>
      </c>
      <c r="AZ34" s="8">
        <v>110275</v>
      </c>
      <c r="BA34" s="8" t="s">
        <v>108</v>
      </c>
      <c r="BB34" t="e">
        <f>"CPA Fondeo CSFB 2475 a NIUM " &amp;AV18&amp;" USD T/C "&amp;AU18&amp;".- "&amp;TEXT(AS18,"dd-mm-yyy")</f>
        <v>#N/A</v>
      </c>
      <c r="BC34" s="3" t="e">
        <f>+AW18</f>
        <v>#N/A</v>
      </c>
      <c r="BD34" s="10"/>
    </row>
    <row r="35" spans="1:56" x14ac:dyDescent="0.25">
      <c r="B35" s="30"/>
      <c r="F35" s="11"/>
      <c r="G35" s="12">
        <v>211101</v>
      </c>
      <c r="H35" s="12" t="s">
        <v>18</v>
      </c>
      <c r="I35" s="12" t="str">
        <f t="shared" ref="I35" si="63">I34</f>
        <v>CPA Recaudación Clientes CFSB 1126 17-08-2023 USD 650,00 T/C 859,87</v>
      </c>
      <c r="J35" s="13"/>
      <c r="K35" s="18">
        <f t="shared" ref="K35" si="64">J34</f>
        <v>558916</v>
      </c>
      <c r="P35" s="26"/>
      <c r="Q35" s="77"/>
      <c r="R35" s="26"/>
      <c r="S35" s="97"/>
      <c r="U35" s="11"/>
      <c r="V35" s="12">
        <v>110276</v>
      </c>
      <c r="W35" s="12" t="s">
        <v>102</v>
      </c>
      <c r="X35" s="12" t="e">
        <f>+X34</f>
        <v>#N/A</v>
      </c>
      <c r="Y35" s="13"/>
      <c r="Z35" s="18" t="e">
        <f t="shared" si="8"/>
        <v>#N/A</v>
      </c>
      <c r="AE35" s="26"/>
      <c r="AF35" s="77"/>
      <c r="AG35" s="26"/>
      <c r="AH35" s="97"/>
      <c r="AJ35" s="11"/>
      <c r="AK35" s="12">
        <v>110276</v>
      </c>
      <c r="AL35" s="12" t="s">
        <v>102</v>
      </c>
      <c r="AM35" s="12" t="e">
        <f>+AM34</f>
        <v>#N/A</v>
      </c>
      <c r="AN35" s="13"/>
      <c r="AO35" s="18" t="e">
        <f t="shared" ref="AO35" si="65">+AN34</f>
        <v>#N/A</v>
      </c>
      <c r="AT35" s="26"/>
      <c r="AU35" s="77"/>
      <c r="AV35" s="26"/>
      <c r="AW35" s="97"/>
      <c r="AY35" s="11"/>
      <c r="AZ35" s="12">
        <v>110285</v>
      </c>
      <c r="BA35" s="12"/>
      <c r="BB35" s="12" t="e">
        <f>+BB34</f>
        <v>#N/A</v>
      </c>
      <c r="BC35" s="13"/>
      <c r="BD35" s="18" t="e">
        <f t="shared" ref="BD35" si="66">+BC34</f>
        <v>#N/A</v>
      </c>
    </row>
    <row r="36" spans="1:56" x14ac:dyDescent="0.25">
      <c r="F36" s="15">
        <v>45156</v>
      </c>
      <c r="G36" s="8">
        <v>110218</v>
      </c>
      <c r="H36" s="8" t="s">
        <v>61</v>
      </c>
      <c r="I36" t="str">
        <f>"CPA Recaudación Clientes CFSB 1126 "&amp;TEXT(F36,"dd-mm-yyy")&amp;" USD "&amp;TEXT(B19,"#.##0,00")&amp;" T/C "&amp;C19&amp;""</f>
        <v>CPA Recaudación Clientes CFSB 1126 18-08-2023 USD 4.338,35 T/C 864,72</v>
      </c>
      <c r="J36" s="16">
        <f>+D19</f>
        <v>3751458</v>
      </c>
      <c r="K36" s="17"/>
      <c r="P36" s="2"/>
      <c r="U36" s="9">
        <v>45156</v>
      </c>
      <c r="V36">
        <v>110285</v>
      </c>
      <c r="X36" t="e">
        <f>"CPA Rescate DLocal a CSFB 2475 " &amp;R19&amp;" USD T/C "&amp;Q19&amp;".- "&amp;TEXT($O19,"dd-mm-yyy")</f>
        <v>#N/A</v>
      </c>
      <c r="Y36" s="3" t="e">
        <f>+S19</f>
        <v>#N/A</v>
      </c>
      <c r="Z36" s="10"/>
      <c r="AE36" s="2"/>
      <c r="AJ36" s="9">
        <v>45125</v>
      </c>
      <c r="AK36">
        <v>110285</v>
      </c>
      <c r="AM36" t="e">
        <f>"CPA Rescate DLocal a CSFB 2475 " &amp;AG19&amp;" USD T/C "&amp;AF19&amp;".- "&amp;TEXT($O36,"dd-mm-yyy")</f>
        <v>#N/A</v>
      </c>
      <c r="AN36" s="3" t="e">
        <f>+AH19</f>
        <v>#N/A</v>
      </c>
      <c r="AO36" s="10"/>
      <c r="AT36" s="2"/>
      <c r="AY36" s="9">
        <v>45156</v>
      </c>
      <c r="AZ36" s="8">
        <v>110275</v>
      </c>
      <c r="BA36" s="8" t="s">
        <v>108</v>
      </c>
      <c r="BB36" t="e">
        <f>"CPA Fondeo CSFB 2475 a NIUM " &amp;AV19&amp;" USD T/C "&amp;AU19&amp;".- "&amp;TEXT(AS19,"dd-mm-yyy")</f>
        <v>#N/A</v>
      </c>
      <c r="BC36" s="3" t="e">
        <f>+AW19</f>
        <v>#N/A</v>
      </c>
      <c r="BD36" s="10"/>
    </row>
    <row r="37" spans="1:56" x14ac:dyDescent="0.25">
      <c r="F37" s="11"/>
      <c r="G37" s="12">
        <v>211101</v>
      </c>
      <c r="H37" s="12" t="s">
        <v>18</v>
      </c>
      <c r="I37" s="12" t="str">
        <f t="shared" ref="I37" si="67">I36</f>
        <v>CPA Recaudación Clientes CFSB 1126 18-08-2023 USD 4.338,35 T/C 864,72</v>
      </c>
      <c r="J37" s="13"/>
      <c r="K37" s="18">
        <f t="shared" ref="K37" si="68">J36</f>
        <v>3751458</v>
      </c>
      <c r="P37" s="2"/>
      <c r="U37" s="11"/>
      <c r="V37" s="12">
        <v>110276</v>
      </c>
      <c r="W37" s="12" t="s">
        <v>102</v>
      </c>
      <c r="X37" s="12" t="e">
        <f>+X36</f>
        <v>#N/A</v>
      </c>
      <c r="Y37" s="13"/>
      <c r="Z37" s="18" t="e">
        <f t="shared" si="8"/>
        <v>#N/A</v>
      </c>
      <c r="AE37" s="2"/>
      <c r="AJ37" s="11"/>
      <c r="AK37" s="12">
        <v>110276</v>
      </c>
      <c r="AL37" s="12" t="s">
        <v>102</v>
      </c>
      <c r="AM37" s="12" t="e">
        <f>+AM36</f>
        <v>#N/A</v>
      </c>
      <c r="AN37" s="13"/>
      <c r="AO37" s="18" t="e">
        <f t="shared" ref="AO37" si="69">+AN36</f>
        <v>#N/A</v>
      </c>
      <c r="AT37" s="2"/>
      <c r="AY37" s="11"/>
      <c r="AZ37" s="12">
        <v>110285</v>
      </c>
      <c r="BA37" s="12"/>
      <c r="BB37" s="12" t="e">
        <f>+BB36</f>
        <v>#N/A</v>
      </c>
      <c r="BC37" s="13"/>
      <c r="BD37" s="18" t="e">
        <f t="shared" ref="BD37" si="70">+BC36</f>
        <v>#N/A</v>
      </c>
    </row>
    <row r="38" spans="1:56" x14ac:dyDescent="0.25">
      <c r="F38" s="15">
        <v>45157</v>
      </c>
      <c r="G38" s="8">
        <v>110218</v>
      </c>
      <c r="H38" s="8" t="s">
        <v>61</v>
      </c>
      <c r="I38" t="str">
        <f>"CPA Recaudación Clientes CFSB 1126 "&amp;TEXT(F38,"dd-mm-yyy")&amp;" USD "&amp;TEXT(B20,"#.##0")&amp;" T/C "&amp;C20&amp;""</f>
        <v>CPA Recaudación Clientes CFSB 1126 19-08-2023 USD 0 T/C 864,72</v>
      </c>
      <c r="J38" s="16">
        <f>+D20</f>
        <v>0</v>
      </c>
      <c r="K38" s="17"/>
      <c r="P38" s="2"/>
      <c r="U38" s="9">
        <v>45157</v>
      </c>
      <c r="V38">
        <v>110285</v>
      </c>
      <c r="X38" t="e">
        <f>"CPA Rescate DLocal a CSFB 2475 " &amp;R20&amp;" USD T/C "&amp;Q20&amp;".- "&amp;TEXT($O20,"dd-mm-yyy")</f>
        <v>#N/A</v>
      </c>
      <c r="Y38" s="3" t="e">
        <f>+S20</f>
        <v>#N/A</v>
      </c>
      <c r="Z38" s="10"/>
      <c r="AE38" s="2"/>
      <c r="AJ38" s="9">
        <v>45126</v>
      </c>
      <c r="AK38">
        <v>110285</v>
      </c>
      <c r="AM38" t="e">
        <f>"CPA Rescate DLocal a CSFB 2475 " &amp;AG20&amp;" USD T/C "&amp;AF20&amp;".- "&amp;TEXT($O38,"dd-mm-yyy")</f>
        <v>#N/A</v>
      </c>
      <c r="AN38" s="3" t="e">
        <f>+AH20</f>
        <v>#N/A</v>
      </c>
      <c r="AO38" s="10"/>
      <c r="AT38" s="2"/>
      <c r="AY38" s="9">
        <v>45157</v>
      </c>
      <c r="AZ38" s="8">
        <v>110275</v>
      </c>
      <c r="BA38" s="8" t="s">
        <v>108</v>
      </c>
      <c r="BB38" t="e">
        <f>"CPA Fondeo CSFB 2475 a NIUM " &amp;AV20&amp;" USD T/C "&amp;AU20&amp;".- "&amp;TEXT(AS20,"dd-mm-yyy")</f>
        <v>#N/A</v>
      </c>
      <c r="BC38" s="3" t="e">
        <f>+AW20</f>
        <v>#N/A</v>
      </c>
      <c r="BD38" s="10"/>
    </row>
    <row r="39" spans="1:56" x14ac:dyDescent="0.25">
      <c r="F39" s="11"/>
      <c r="G39" s="12">
        <v>211101</v>
      </c>
      <c r="H39" s="12" t="s">
        <v>18</v>
      </c>
      <c r="I39" s="12" t="str">
        <f t="shared" ref="I39" si="71">I38</f>
        <v>CPA Recaudación Clientes CFSB 1126 19-08-2023 USD 0 T/C 864,72</v>
      </c>
      <c r="J39" s="13"/>
      <c r="K39" s="18">
        <f t="shared" ref="K39" si="72">J38</f>
        <v>0</v>
      </c>
      <c r="P39" s="2"/>
      <c r="U39" s="11"/>
      <c r="V39" s="12">
        <v>110276</v>
      </c>
      <c r="W39" s="12" t="s">
        <v>102</v>
      </c>
      <c r="X39" s="12" t="e">
        <f>+X38</f>
        <v>#N/A</v>
      </c>
      <c r="Y39" s="13"/>
      <c r="Z39" s="18" t="e">
        <f t="shared" si="8"/>
        <v>#N/A</v>
      </c>
      <c r="AE39" s="2"/>
      <c r="AJ39" s="11"/>
      <c r="AK39" s="12">
        <v>110276</v>
      </c>
      <c r="AL39" s="12" t="s">
        <v>102</v>
      </c>
      <c r="AM39" s="12" t="e">
        <f>+AM38</f>
        <v>#N/A</v>
      </c>
      <c r="AN39" s="13"/>
      <c r="AO39" s="18" t="e">
        <f t="shared" ref="AO39" si="73">+AN38</f>
        <v>#N/A</v>
      </c>
      <c r="AT39" s="2"/>
      <c r="AY39" s="11"/>
      <c r="AZ39" s="12">
        <v>110285</v>
      </c>
      <c r="BA39" s="12"/>
      <c r="BB39" s="12" t="e">
        <f>+BB38</f>
        <v>#N/A</v>
      </c>
      <c r="BC39" s="13"/>
      <c r="BD39" s="18" t="e">
        <f t="shared" ref="BD39" si="74">+BC38</f>
        <v>#N/A</v>
      </c>
    </row>
    <row r="40" spans="1:56" x14ac:dyDescent="0.25">
      <c r="F40" s="15">
        <v>45158</v>
      </c>
      <c r="G40" s="8">
        <v>110218</v>
      </c>
      <c r="H40" s="8" t="s">
        <v>61</v>
      </c>
      <c r="I40" t="str">
        <f>"CPA Recaudación Clientes CFSB 1126 "&amp;TEXT(F40,"dd-mm-yyy")&amp;" USD "&amp;TEXT(B21,"#.##0")&amp;" T/C "&amp;C21&amp;""</f>
        <v>CPA Recaudación Clientes CFSB 1126 20-08-2023 USD 0 T/C 864,72</v>
      </c>
      <c r="J40" s="16">
        <f>+D21</f>
        <v>0</v>
      </c>
      <c r="K40" s="17"/>
      <c r="P40" s="2"/>
      <c r="U40" s="9">
        <v>45158</v>
      </c>
      <c r="V40">
        <v>110285</v>
      </c>
      <c r="X40" t="e">
        <f>"CPA Rescate DLocal a CSFB 2475 " &amp;R21&amp;" USD T/C "&amp;Q21&amp;".- "&amp;TEXT($O21,"dd-mm-yyy")</f>
        <v>#N/A</v>
      </c>
      <c r="Y40" s="3" t="e">
        <f>+S21</f>
        <v>#N/A</v>
      </c>
      <c r="Z40" s="10"/>
      <c r="AE40" s="2"/>
      <c r="AJ40" s="9">
        <v>45127</v>
      </c>
      <c r="AK40">
        <v>110285</v>
      </c>
      <c r="AM40" t="e">
        <f>"CPA Rescate DLocal a CSFB 2475 " &amp;AG21&amp;" USD T/C "&amp;AF21&amp;".- "&amp;TEXT($O40,"dd-mm-yyy")</f>
        <v>#N/A</v>
      </c>
      <c r="AN40" s="3" t="e">
        <f>+AH21</f>
        <v>#N/A</v>
      </c>
      <c r="AO40" s="10"/>
      <c r="AT40" s="2"/>
      <c r="AY40" s="9">
        <v>45158</v>
      </c>
      <c r="AZ40" s="8">
        <v>110275</v>
      </c>
      <c r="BA40" s="8" t="s">
        <v>108</v>
      </c>
      <c r="BB40" t="e">
        <f>"CPA Fondeo CSFB 2475 a NIUM " &amp;AV21&amp;" USD T/C "&amp;AU21&amp;".- "&amp;TEXT(AS21,"dd-mm-yyy")</f>
        <v>#N/A</v>
      </c>
      <c r="BC40" s="3" t="e">
        <f>+AW21</f>
        <v>#N/A</v>
      </c>
      <c r="BD40" s="10"/>
    </row>
    <row r="41" spans="1:56" x14ac:dyDescent="0.25">
      <c r="F41" s="11"/>
      <c r="G41" s="12">
        <v>211101</v>
      </c>
      <c r="H41" s="12" t="s">
        <v>18</v>
      </c>
      <c r="I41" s="12" t="str">
        <f t="shared" ref="I41" si="75">I40</f>
        <v>CPA Recaudación Clientes CFSB 1126 20-08-2023 USD 0 T/C 864,72</v>
      </c>
      <c r="J41" s="13"/>
      <c r="K41" s="18">
        <f t="shared" ref="K41" si="76">J40</f>
        <v>0</v>
      </c>
      <c r="P41" s="2"/>
      <c r="U41" s="11"/>
      <c r="V41" s="12">
        <v>110276</v>
      </c>
      <c r="W41" s="12" t="s">
        <v>102</v>
      </c>
      <c r="X41" s="12" t="e">
        <f>+X40</f>
        <v>#N/A</v>
      </c>
      <c r="Y41" s="13"/>
      <c r="Z41" s="18" t="e">
        <f t="shared" si="8"/>
        <v>#N/A</v>
      </c>
      <c r="AE41" s="2"/>
      <c r="AJ41" s="11"/>
      <c r="AK41" s="12">
        <v>110276</v>
      </c>
      <c r="AL41" s="12" t="s">
        <v>102</v>
      </c>
      <c r="AM41" s="12" t="e">
        <f>+AM40</f>
        <v>#N/A</v>
      </c>
      <c r="AN41" s="13"/>
      <c r="AO41" s="18" t="e">
        <f t="shared" ref="AO41" si="77">+AN40</f>
        <v>#N/A</v>
      </c>
      <c r="AT41" s="2"/>
      <c r="AY41" s="11"/>
      <c r="AZ41" s="12">
        <v>110285</v>
      </c>
      <c r="BA41" s="12"/>
      <c r="BB41" s="12" t="e">
        <f>+BB40</f>
        <v>#N/A</v>
      </c>
      <c r="BC41" s="13"/>
      <c r="BD41" s="18" t="e">
        <f t="shared" ref="BD41" si="78">+BC40</f>
        <v>#N/A</v>
      </c>
    </row>
    <row r="42" spans="1:56" x14ac:dyDescent="0.25">
      <c r="A42" s="42"/>
      <c r="F42" s="15">
        <v>45159</v>
      </c>
      <c r="G42" s="8">
        <v>110218</v>
      </c>
      <c r="H42" s="8" t="s">
        <v>61</v>
      </c>
      <c r="I42" t="str">
        <f>"CPA Recaudación Clientes CFSB 1126 "&amp;TEXT(F42,"dd-mm-yyy")&amp;" USD "&amp;TEXT(B22,"#.##0,00")&amp;" T/C "&amp;C22&amp;""</f>
        <v>CPA Recaudación Clientes CFSB 1126 21-08-2023 USD 26.513,00 T/C 867,95</v>
      </c>
      <c r="J42" s="16">
        <f>+D22</f>
        <v>23011958</v>
      </c>
      <c r="K42" s="17"/>
      <c r="P42" s="2"/>
      <c r="U42" s="9">
        <v>45159</v>
      </c>
      <c r="V42">
        <v>110285</v>
      </c>
      <c r="X42" t="e">
        <f>"CPA Rescate DLocal a CSFB 2475 " &amp;R22&amp;" USD T/C "&amp;Q22&amp;".- "&amp;TEXT($O22,"dd-mm-yyy")</f>
        <v>#N/A</v>
      </c>
      <c r="Y42" s="3" t="e">
        <f>+S22</f>
        <v>#N/A</v>
      </c>
      <c r="Z42" s="10"/>
      <c r="AE42" s="2"/>
      <c r="AJ42" s="9">
        <v>45128</v>
      </c>
      <c r="AK42">
        <v>110285</v>
      </c>
      <c r="AM42" t="e">
        <f>"CPA Rescate DLocal a CSFB 2475 " &amp;AG22&amp;" USD T/C "&amp;AF22&amp;".- "&amp;TEXT($O42,"dd-mm-yyy")</f>
        <v>#N/A</v>
      </c>
      <c r="AN42" s="3" t="e">
        <f>+AH22</f>
        <v>#N/A</v>
      </c>
      <c r="AO42" s="10"/>
      <c r="AT42" s="2"/>
      <c r="AY42" s="9">
        <v>45159</v>
      </c>
      <c r="AZ42" s="8">
        <v>110275</v>
      </c>
      <c r="BA42" s="8" t="s">
        <v>108</v>
      </c>
      <c r="BB42" t="e">
        <f>"CPA Fondeo CSFB 2475 a NIUM " &amp;AV22&amp;" USD T/C "&amp;AU22&amp;".- "&amp;TEXT(AS22,"dd-mm-yyy")</f>
        <v>#N/A</v>
      </c>
      <c r="BC42" s="3" t="e">
        <f>+AW22</f>
        <v>#N/A</v>
      </c>
      <c r="BD42" s="10"/>
    </row>
    <row r="43" spans="1:56" x14ac:dyDescent="0.25">
      <c r="A43" s="42"/>
      <c r="F43" s="11"/>
      <c r="G43" s="12">
        <v>211101</v>
      </c>
      <c r="H43" s="12" t="s">
        <v>18</v>
      </c>
      <c r="I43" s="12" t="str">
        <f t="shared" ref="I43" si="79">I42</f>
        <v>CPA Recaudación Clientes CFSB 1126 21-08-2023 USD 26.513,00 T/C 867,95</v>
      </c>
      <c r="J43" s="13"/>
      <c r="K43" s="18">
        <f t="shared" ref="K43" si="80">J42</f>
        <v>23011958</v>
      </c>
      <c r="P43" s="2"/>
      <c r="U43" s="11"/>
      <c r="V43" s="12">
        <v>110276</v>
      </c>
      <c r="W43" s="12" t="s">
        <v>102</v>
      </c>
      <c r="X43" s="12" t="e">
        <f>+X42</f>
        <v>#N/A</v>
      </c>
      <c r="Y43" s="13"/>
      <c r="Z43" s="18" t="e">
        <f t="shared" si="8"/>
        <v>#N/A</v>
      </c>
      <c r="AE43" s="2"/>
      <c r="AJ43" s="11"/>
      <c r="AK43" s="12">
        <v>110276</v>
      </c>
      <c r="AL43" s="12" t="s">
        <v>102</v>
      </c>
      <c r="AM43" s="12" t="e">
        <f>+AM42</f>
        <v>#N/A</v>
      </c>
      <c r="AN43" s="13"/>
      <c r="AO43" s="18" t="e">
        <f t="shared" ref="AO43" si="81">+AN42</f>
        <v>#N/A</v>
      </c>
      <c r="AT43" s="2"/>
      <c r="AY43" s="11"/>
      <c r="AZ43" s="12">
        <v>110285</v>
      </c>
      <c r="BA43" s="12"/>
      <c r="BB43" s="12" t="e">
        <f>+BB42</f>
        <v>#N/A</v>
      </c>
      <c r="BC43" s="13"/>
      <c r="BD43" s="18" t="e">
        <f t="shared" ref="BD43" si="82">+BC42</f>
        <v>#N/A</v>
      </c>
    </row>
    <row r="44" spans="1:56" x14ac:dyDescent="0.25">
      <c r="F44" s="15">
        <v>45160</v>
      </c>
      <c r="G44" s="8">
        <v>110218</v>
      </c>
      <c r="H44" s="8" t="s">
        <v>61</v>
      </c>
      <c r="I44" t="str">
        <f>"CPA Recaudación Clientes CFSB 1126 "&amp;TEXT(F44,"dd-mm-yyy")&amp;" USD "&amp;TEXT(B23,"#.##0,00")&amp;" T/C "&amp;C23&amp;""</f>
        <v>CPA Recaudación Clientes CFSB 1126 22-08-2023 USD 5.400,00 T/C 869,51</v>
      </c>
      <c r="J44" s="16">
        <f>+D23</f>
        <v>4695354</v>
      </c>
      <c r="K44" s="17"/>
      <c r="P44" s="2"/>
      <c r="U44" s="9">
        <v>45160</v>
      </c>
      <c r="V44">
        <v>110285</v>
      </c>
      <c r="X44" t="e">
        <f>"CPA Rescate DLocal a CSFB 2475 " &amp;R23&amp;" USD T/C "&amp;Q23&amp;".- "&amp;TEXT($O23,"dd-mm-yyy")</f>
        <v>#N/A</v>
      </c>
      <c r="Y44" s="3" t="e">
        <f>+S23</f>
        <v>#N/A</v>
      </c>
      <c r="Z44" s="10"/>
      <c r="AE44" s="2"/>
      <c r="AJ44" s="9">
        <v>45129</v>
      </c>
      <c r="AK44">
        <v>110285</v>
      </c>
      <c r="AM44" t="e">
        <f>"CPA Rescate DLocal a CSFB 2475 " &amp;AG23&amp;" USD T/C "&amp;AF23&amp;".- "&amp;TEXT($O44,"dd-mm-yyy")</f>
        <v>#N/A</v>
      </c>
      <c r="AN44" s="3" t="e">
        <f>+AH23</f>
        <v>#N/A</v>
      </c>
      <c r="AO44" s="10"/>
      <c r="AT44" s="2"/>
      <c r="AY44" s="9">
        <v>45160</v>
      </c>
      <c r="AZ44" s="8">
        <v>110275</v>
      </c>
      <c r="BA44" s="8" t="s">
        <v>108</v>
      </c>
      <c r="BB44" t="e">
        <f>"CPA Fondeo CSFB 2475 a NIUM " &amp;AV23&amp;" USD T/C "&amp;AU23&amp;".- "&amp;TEXT(AS23,"dd-mm-yyy")</f>
        <v>#N/A</v>
      </c>
      <c r="BC44" s="3" t="e">
        <f>+AW23</f>
        <v>#N/A</v>
      </c>
      <c r="BD44" s="10"/>
    </row>
    <row r="45" spans="1:56" x14ac:dyDescent="0.25">
      <c r="F45" s="11"/>
      <c r="G45" s="12">
        <v>211101</v>
      </c>
      <c r="H45" s="12" t="s">
        <v>18</v>
      </c>
      <c r="I45" s="12" t="str">
        <f t="shared" ref="I45" si="83">I44</f>
        <v>CPA Recaudación Clientes CFSB 1126 22-08-2023 USD 5.400,00 T/C 869,51</v>
      </c>
      <c r="J45" s="13"/>
      <c r="K45" s="18">
        <f t="shared" ref="K45" si="84">J44</f>
        <v>4695354</v>
      </c>
      <c r="P45" s="2"/>
      <c r="U45" s="11"/>
      <c r="V45" s="12">
        <v>110276</v>
      </c>
      <c r="W45" s="12" t="s">
        <v>102</v>
      </c>
      <c r="X45" s="12" t="e">
        <f>+X44</f>
        <v>#N/A</v>
      </c>
      <c r="Y45" s="13"/>
      <c r="Z45" s="18" t="e">
        <f t="shared" si="8"/>
        <v>#N/A</v>
      </c>
      <c r="AE45" s="2"/>
      <c r="AJ45" s="11"/>
      <c r="AK45" s="12">
        <v>110276</v>
      </c>
      <c r="AL45" s="12" t="s">
        <v>102</v>
      </c>
      <c r="AM45" s="12" t="e">
        <f>+AM44</f>
        <v>#N/A</v>
      </c>
      <c r="AN45" s="13"/>
      <c r="AO45" s="18" t="e">
        <f t="shared" ref="AO45" si="85">+AN44</f>
        <v>#N/A</v>
      </c>
      <c r="AT45" s="2"/>
      <c r="AY45" s="11"/>
      <c r="AZ45" s="12">
        <v>110285</v>
      </c>
      <c r="BA45" s="12"/>
      <c r="BB45" s="12" t="e">
        <f>+BB44</f>
        <v>#N/A</v>
      </c>
      <c r="BC45" s="13"/>
      <c r="BD45" s="18" t="e">
        <f t="shared" ref="BD45" si="86">+BC44</f>
        <v>#N/A</v>
      </c>
    </row>
    <row r="46" spans="1:56" x14ac:dyDescent="0.25">
      <c r="F46" s="15">
        <v>45161</v>
      </c>
      <c r="G46" s="8">
        <v>110218</v>
      </c>
      <c r="H46" s="8" t="s">
        <v>61</v>
      </c>
      <c r="I46" t="str">
        <f>"CPA Recaudación Clientes CFSB 1126 "&amp;TEXT(F46,"dd-mm-yyy")&amp;" USD "&amp;TEXT(B24,"#.##0,00")&amp;" T/C "&amp;C24&amp;""</f>
        <v>CPA Recaudación Clientes CFSB 1126 23-08-2023 USD 800,00 T/C 866,97</v>
      </c>
      <c r="J46" s="16">
        <f>+D24</f>
        <v>693576</v>
      </c>
      <c r="K46" s="17"/>
      <c r="P46" s="2"/>
      <c r="U46" s="9">
        <v>45161</v>
      </c>
      <c r="V46">
        <v>110285</v>
      </c>
      <c r="X46" t="e">
        <f>"CPA Rescate DLocal a CSFB 2475 " &amp;R24&amp;" USD T/C "&amp;Q24&amp;".- "&amp;TEXT($O24,"dd-mm-yyy")</f>
        <v>#N/A</v>
      </c>
      <c r="Y46" s="3" t="e">
        <f>+S24</f>
        <v>#N/A</v>
      </c>
      <c r="Z46" s="10"/>
      <c r="AE46" s="2"/>
      <c r="AJ46" s="9">
        <v>45130</v>
      </c>
      <c r="AK46">
        <v>110285</v>
      </c>
      <c r="AM46" t="e">
        <f>"CPA Rescate DLocal a CSFB 2475 " &amp;AG24&amp;" USD T/C "&amp;AF24&amp;".- "&amp;TEXT($O46,"dd-mm-yyy")</f>
        <v>#N/A</v>
      </c>
      <c r="AN46" s="3" t="e">
        <f>+AH24</f>
        <v>#N/A</v>
      </c>
      <c r="AO46" s="10"/>
      <c r="AT46" s="2"/>
      <c r="AY46" s="9">
        <v>45161</v>
      </c>
      <c r="AZ46" s="8">
        <v>110275</v>
      </c>
      <c r="BA46" s="8" t="s">
        <v>108</v>
      </c>
      <c r="BB46" t="e">
        <f>"CPA Fondeo CSFB 2475 a NIUM " &amp;AV24&amp;" USD T/C "&amp;AU24&amp;".- "&amp;TEXT(AS24,"dd-mm-yyy")</f>
        <v>#N/A</v>
      </c>
      <c r="BC46" s="3" t="e">
        <f>+AW24</f>
        <v>#N/A</v>
      </c>
      <c r="BD46" s="10"/>
    </row>
    <row r="47" spans="1:56" x14ac:dyDescent="0.25">
      <c r="F47" s="11"/>
      <c r="G47" s="12">
        <v>211101</v>
      </c>
      <c r="H47" s="12" t="s">
        <v>18</v>
      </c>
      <c r="I47" s="12" t="str">
        <f t="shared" ref="I47" si="87">I46</f>
        <v>CPA Recaudación Clientes CFSB 1126 23-08-2023 USD 800,00 T/C 866,97</v>
      </c>
      <c r="J47" s="13"/>
      <c r="K47" s="18">
        <f t="shared" ref="K47" si="88">J46</f>
        <v>693576</v>
      </c>
      <c r="P47" s="2"/>
      <c r="U47" s="11"/>
      <c r="V47" s="12">
        <v>110276</v>
      </c>
      <c r="W47" s="12" t="s">
        <v>102</v>
      </c>
      <c r="X47" s="12" t="e">
        <f>+X46</f>
        <v>#N/A</v>
      </c>
      <c r="Y47" s="13"/>
      <c r="Z47" s="18" t="e">
        <f t="shared" si="8"/>
        <v>#N/A</v>
      </c>
      <c r="AE47" s="2"/>
      <c r="AJ47" s="11"/>
      <c r="AK47" s="12">
        <v>110276</v>
      </c>
      <c r="AL47" s="12" t="s">
        <v>102</v>
      </c>
      <c r="AM47" s="12" t="e">
        <f>+AM46</f>
        <v>#N/A</v>
      </c>
      <c r="AN47" s="13"/>
      <c r="AO47" s="18" t="e">
        <f t="shared" ref="AO47" si="89">+AN46</f>
        <v>#N/A</v>
      </c>
      <c r="AT47" s="2"/>
      <c r="AY47" s="11"/>
      <c r="AZ47" s="12">
        <v>110285</v>
      </c>
      <c r="BA47" s="12"/>
      <c r="BB47" s="12" t="e">
        <f>+BB46</f>
        <v>#N/A</v>
      </c>
      <c r="BC47" s="13"/>
      <c r="BD47" s="18" t="e">
        <f t="shared" ref="BD47" si="90">+BC46</f>
        <v>#N/A</v>
      </c>
    </row>
    <row r="48" spans="1:56" x14ac:dyDescent="0.25">
      <c r="F48" s="15">
        <v>45162</v>
      </c>
      <c r="G48" s="8">
        <v>110218</v>
      </c>
      <c r="H48" s="8" t="s">
        <v>61</v>
      </c>
      <c r="I48" t="str">
        <f>"CPA Recaudación Clientes CFSB 1126 "&amp;TEXT(F48,"dd-mm-yyy")&amp;" USD "&amp;TEXT(B25,"#.##0")&amp;" T/C "&amp;C25&amp;""</f>
        <v>CPA Recaudación Clientes CFSB 1126 24-08-2023 USD 3.000 T/C 860,97</v>
      </c>
      <c r="J48" s="16">
        <f>+D25</f>
        <v>2582910</v>
      </c>
      <c r="K48" s="17"/>
      <c r="P48" s="2"/>
      <c r="U48" s="9">
        <v>45162</v>
      </c>
      <c r="V48">
        <v>110285</v>
      </c>
      <c r="X48" t="e">
        <f>"CPA Rescate DLocal a CSFB 2475 " &amp;R25&amp;" USD T/C "&amp;Q25&amp;".- "&amp;TEXT($O25,"dd-mm-yyy")</f>
        <v>#N/A</v>
      </c>
      <c r="Y48" s="3" t="e">
        <f>+S25</f>
        <v>#N/A</v>
      </c>
      <c r="Z48" s="10"/>
      <c r="AE48" s="2"/>
      <c r="AJ48" s="9">
        <v>45131</v>
      </c>
      <c r="AK48">
        <v>110285</v>
      </c>
      <c r="AM48" t="e">
        <f>"CPA Rescate DLocal a CSFB 2475 " &amp;AG25&amp;" USD T/C "&amp;AF25&amp;".- "&amp;TEXT($O48,"dd-mm-yyy")</f>
        <v>#N/A</v>
      </c>
      <c r="AN48" s="3" t="e">
        <f>+AH25</f>
        <v>#N/A</v>
      </c>
      <c r="AO48" s="10"/>
      <c r="AT48" s="2"/>
      <c r="AY48" s="9">
        <v>45162</v>
      </c>
      <c r="AZ48" s="8">
        <v>110275</v>
      </c>
      <c r="BA48" s="8" t="s">
        <v>108</v>
      </c>
      <c r="BB48" t="e">
        <f>"CPA Fondeo CSFB 2475 a NIUM " &amp;AV25&amp;" USD T/C "&amp;AU25&amp;".- "&amp;TEXT(AS25,"dd-mm-yyy")</f>
        <v>#N/A</v>
      </c>
      <c r="BC48" s="3" t="e">
        <f>+AW25</f>
        <v>#N/A</v>
      </c>
      <c r="BD48" s="10"/>
    </row>
    <row r="49" spans="6:56" x14ac:dyDescent="0.25">
      <c r="F49" s="11"/>
      <c r="G49" s="12">
        <v>211101</v>
      </c>
      <c r="H49" s="12" t="s">
        <v>18</v>
      </c>
      <c r="I49" s="12" t="str">
        <f t="shared" ref="I49" si="91">I48</f>
        <v>CPA Recaudación Clientes CFSB 1126 24-08-2023 USD 3.000 T/C 860,97</v>
      </c>
      <c r="J49" s="13"/>
      <c r="K49" s="18">
        <f t="shared" ref="K49" si="92">J48</f>
        <v>2582910</v>
      </c>
      <c r="P49" s="2"/>
      <c r="U49" s="11"/>
      <c r="V49" s="12">
        <v>110276</v>
      </c>
      <c r="W49" s="12" t="s">
        <v>102</v>
      </c>
      <c r="X49" s="12" t="e">
        <f>+X48</f>
        <v>#N/A</v>
      </c>
      <c r="Y49" s="13"/>
      <c r="Z49" s="18" t="e">
        <f t="shared" si="8"/>
        <v>#N/A</v>
      </c>
      <c r="AE49" s="2"/>
      <c r="AJ49" s="11"/>
      <c r="AK49" s="12">
        <v>110276</v>
      </c>
      <c r="AL49" s="12" t="s">
        <v>102</v>
      </c>
      <c r="AM49" s="12" t="e">
        <f>+AM48</f>
        <v>#N/A</v>
      </c>
      <c r="AN49" s="13"/>
      <c r="AO49" s="18" t="e">
        <f t="shared" ref="AO49" si="93">+AN48</f>
        <v>#N/A</v>
      </c>
      <c r="AT49" s="2"/>
      <c r="AY49" s="11"/>
      <c r="AZ49" s="12">
        <v>110285</v>
      </c>
      <c r="BA49" s="12"/>
      <c r="BB49" s="12" t="e">
        <f>+BB48</f>
        <v>#N/A</v>
      </c>
      <c r="BC49" s="13"/>
      <c r="BD49" s="18" t="e">
        <f t="shared" ref="BD49" si="94">+BC48</f>
        <v>#N/A</v>
      </c>
    </row>
    <row r="50" spans="6:56" x14ac:dyDescent="0.25">
      <c r="F50" s="15">
        <v>45163</v>
      </c>
      <c r="G50" s="8">
        <v>110218</v>
      </c>
      <c r="H50" s="8" t="s">
        <v>61</v>
      </c>
      <c r="I50" t="str">
        <f>"CPA Recaudación Clientes CFSB 1126 "&amp;TEXT(F50,"dd-mm-yyy")&amp;" USD "&amp;TEXT(B26,"#.##0,00")&amp;" T/C "&amp;C26&amp;""</f>
        <v>CPA Recaudación Clientes CFSB 1126 25-08-2023 USD 4.500,00 T/C 854,77</v>
      </c>
      <c r="J50" s="16">
        <f>+D26</f>
        <v>3846465</v>
      </c>
      <c r="K50" s="17"/>
      <c r="P50" s="2"/>
      <c r="U50" s="9">
        <v>45163</v>
      </c>
      <c r="V50">
        <v>110285</v>
      </c>
      <c r="X50" t="e">
        <f>"CPA Rescate DLocal a CSFB 2475 " &amp;R26&amp;" USD T/C "&amp;Q26&amp;".- "&amp;TEXT($O26,"dd-mm-yyy")</f>
        <v>#N/A</v>
      </c>
      <c r="Y50" s="3" t="e">
        <f>+S26</f>
        <v>#N/A</v>
      </c>
      <c r="Z50" s="10"/>
      <c r="AE50" s="2"/>
      <c r="AJ50" s="9">
        <v>45132</v>
      </c>
      <c r="AK50">
        <v>110285</v>
      </c>
      <c r="AM50" t="e">
        <f>"CPA Rescate DLocal a CSFB 2475 " &amp;AG26&amp;" USD T/C "&amp;AF26&amp;".- "&amp;TEXT($O26,"dd-mm-yyy")</f>
        <v>#N/A</v>
      </c>
      <c r="AN50" s="3" t="e">
        <f>+AH26</f>
        <v>#N/A</v>
      </c>
      <c r="AO50" s="10"/>
      <c r="AT50" s="2"/>
      <c r="AY50" s="9">
        <v>45163</v>
      </c>
      <c r="AZ50" s="8">
        <v>110275</v>
      </c>
      <c r="BA50" s="8" t="s">
        <v>108</v>
      </c>
      <c r="BB50" t="e">
        <f>"CPA Fondeo CSFB 2475 a NIUM " &amp;AV26&amp;" USD T/C "&amp;AU26&amp;".- "&amp;TEXT(AS26,"dd-mm-yyy")</f>
        <v>#N/A</v>
      </c>
      <c r="BC50" s="3" t="e">
        <f>+AW26</f>
        <v>#N/A</v>
      </c>
      <c r="BD50" s="10"/>
    </row>
    <row r="51" spans="6:56" x14ac:dyDescent="0.25">
      <c r="F51" s="11"/>
      <c r="G51" s="12">
        <v>211101</v>
      </c>
      <c r="H51" s="12" t="s">
        <v>18</v>
      </c>
      <c r="I51" s="12" t="str">
        <f t="shared" ref="I51" si="95">I50</f>
        <v>CPA Recaudación Clientes CFSB 1126 25-08-2023 USD 4.500,00 T/C 854,77</v>
      </c>
      <c r="J51" s="13"/>
      <c r="K51" s="18">
        <f t="shared" ref="K51" si="96">J50</f>
        <v>3846465</v>
      </c>
      <c r="P51" s="2"/>
      <c r="U51" s="11"/>
      <c r="V51" s="12">
        <v>110276</v>
      </c>
      <c r="W51" s="12" t="s">
        <v>102</v>
      </c>
      <c r="X51" s="12" t="e">
        <f>+X50</f>
        <v>#N/A</v>
      </c>
      <c r="Y51" s="13"/>
      <c r="Z51" s="18" t="e">
        <f t="shared" si="8"/>
        <v>#N/A</v>
      </c>
      <c r="AE51" s="2"/>
      <c r="AJ51" s="11"/>
      <c r="AK51" s="12">
        <v>110276</v>
      </c>
      <c r="AL51" s="12" t="s">
        <v>102</v>
      </c>
      <c r="AM51" s="12" t="e">
        <f>+AM50</f>
        <v>#N/A</v>
      </c>
      <c r="AN51" s="13"/>
      <c r="AO51" s="18" t="e">
        <f t="shared" ref="AO51" si="97">+AN50</f>
        <v>#N/A</v>
      </c>
      <c r="AT51" s="2"/>
      <c r="AY51" s="11"/>
      <c r="AZ51" s="12">
        <v>110285</v>
      </c>
      <c r="BA51" s="12"/>
      <c r="BB51" s="12" t="e">
        <f>+BB50</f>
        <v>#N/A</v>
      </c>
      <c r="BC51" s="13"/>
      <c r="BD51" s="18" t="e">
        <f t="shared" ref="BD51" si="98">+BC50</f>
        <v>#N/A</v>
      </c>
    </row>
    <row r="52" spans="6:56" x14ac:dyDescent="0.25">
      <c r="F52" s="15">
        <v>45164</v>
      </c>
      <c r="G52" s="8">
        <v>110218</v>
      </c>
      <c r="H52" s="8" t="s">
        <v>61</v>
      </c>
      <c r="I52" t="str">
        <f>"CPA Recaudación Clientes CFSB 1126 "&amp;TEXT(F52,"dd-mm-yyy")&amp;" USD "&amp;TEXT(B27,"#.##0")&amp;" T/C "&amp;C27&amp;""</f>
        <v>CPA Recaudación Clientes CFSB 1126 26-08-2023 USD 0 T/C 854,77</v>
      </c>
      <c r="J52" s="16">
        <f>+D27</f>
        <v>0</v>
      </c>
      <c r="K52" s="17"/>
      <c r="P52" s="2"/>
      <c r="U52" s="9">
        <v>45164</v>
      </c>
      <c r="V52">
        <v>110285</v>
      </c>
      <c r="X52" t="e">
        <f>"CPA Rescate DLocal a CSFB 2475 " &amp;R27&amp;" USD T/C "&amp;Q27&amp;".- "&amp;TEXT($O27,"dd-mm-yyy")</f>
        <v>#N/A</v>
      </c>
      <c r="Y52" s="3" t="e">
        <f>+S27</f>
        <v>#N/A</v>
      </c>
      <c r="Z52" s="10"/>
      <c r="AE52" s="2"/>
      <c r="AJ52" s="9">
        <v>45133</v>
      </c>
      <c r="AK52">
        <v>110285</v>
      </c>
      <c r="AM52" t="e">
        <f>"CPA Rescate DLocal a CSFB 2475 " &amp;AG27&amp;" USD T/C "&amp;AF27&amp;".- "&amp;TEXT($O27,"dd-mm-yyy")</f>
        <v>#N/A</v>
      </c>
      <c r="AN52" s="3" t="e">
        <f>+AH27</f>
        <v>#N/A</v>
      </c>
      <c r="AO52" s="10"/>
      <c r="AT52" s="2"/>
      <c r="AY52" s="9">
        <v>45164</v>
      </c>
      <c r="AZ52" s="8">
        <v>110275</v>
      </c>
      <c r="BA52" s="8" t="s">
        <v>108</v>
      </c>
      <c r="BB52" t="e">
        <f>"CPA Fondeo CSFB 2475 a NIUM " &amp;AV27&amp;" USD T/C "&amp;AU27&amp;".- "&amp;TEXT(AS27,"dd-mm-yyy")</f>
        <v>#N/A</v>
      </c>
      <c r="BC52" s="3" t="e">
        <f>+AW27</f>
        <v>#N/A</v>
      </c>
      <c r="BD52" s="10"/>
    </row>
    <row r="53" spans="6:56" x14ac:dyDescent="0.25">
      <c r="F53" s="11"/>
      <c r="G53" s="12">
        <v>211101</v>
      </c>
      <c r="H53" s="12" t="s">
        <v>18</v>
      </c>
      <c r="I53" s="12" t="str">
        <f t="shared" ref="I53" si="99">I52</f>
        <v>CPA Recaudación Clientes CFSB 1126 26-08-2023 USD 0 T/C 854,77</v>
      </c>
      <c r="J53" s="13"/>
      <c r="K53" s="18">
        <f t="shared" ref="K53" si="100">J52</f>
        <v>0</v>
      </c>
      <c r="P53" s="2"/>
      <c r="U53" s="11"/>
      <c r="V53" s="12">
        <v>110276</v>
      </c>
      <c r="W53" s="12" t="s">
        <v>102</v>
      </c>
      <c r="X53" s="12" t="e">
        <f>+X52</f>
        <v>#N/A</v>
      </c>
      <c r="Y53" s="13"/>
      <c r="Z53" s="18" t="e">
        <f t="shared" si="8"/>
        <v>#N/A</v>
      </c>
      <c r="AE53" s="2"/>
      <c r="AJ53" s="11"/>
      <c r="AK53" s="12">
        <v>110276</v>
      </c>
      <c r="AL53" s="12" t="s">
        <v>102</v>
      </c>
      <c r="AM53" s="12" t="e">
        <f>+AM52</f>
        <v>#N/A</v>
      </c>
      <c r="AN53" s="13"/>
      <c r="AO53" s="18" t="e">
        <f t="shared" ref="AO53" si="101">+AN52</f>
        <v>#N/A</v>
      </c>
      <c r="AT53" s="2"/>
      <c r="AY53" s="11"/>
      <c r="AZ53" s="12">
        <v>110285</v>
      </c>
      <c r="BA53" s="12"/>
      <c r="BB53" s="12" t="e">
        <f>+BB52</f>
        <v>#N/A</v>
      </c>
      <c r="BC53" s="13"/>
      <c r="BD53" s="18" t="e">
        <f t="shared" ref="BD53" si="102">+BC52</f>
        <v>#N/A</v>
      </c>
    </row>
    <row r="54" spans="6:56" x14ac:dyDescent="0.25">
      <c r="F54" s="15">
        <v>45165</v>
      </c>
      <c r="G54" s="8">
        <v>110218</v>
      </c>
      <c r="H54" s="8" t="s">
        <v>61</v>
      </c>
      <c r="I54" t="str">
        <f>"CPA Recaudación Clientes CFSB 1126 "&amp;TEXT(F54,"dd-mm-yyy")&amp;" USD "&amp;TEXT(B28,"#.##0")&amp;" T/C "&amp;C28&amp;""</f>
        <v>CPA Recaudación Clientes CFSB 1126 27-08-2023 USD 0 T/C 854,77</v>
      </c>
      <c r="J54" s="16">
        <f>+D28</f>
        <v>0</v>
      </c>
      <c r="K54" s="17"/>
      <c r="P54" s="2"/>
      <c r="U54" s="9">
        <v>45165</v>
      </c>
      <c r="V54">
        <v>110285</v>
      </c>
      <c r="X54" t="e">
        <f>"CPA Rescate DLocal a CSFB 2475 " &amp;R28&amp;" USD T/C "&amp;Q28&amp;".- "&amp;TEXT($O28,"dd-mm-yyy")</f>
        <v>#N/A</v>
      </c>
      <c r="Y54" s="3" t="e">
        <f>+S28</f>
        <v>#N/A</v>
      </c>
      <c r="Z54" s="10"/>
      <c r="AE54" s="2"/>
      <c r="AJ54" s="9">
        <v>45134</v>
      </c>
      <c r="AK54">
        <v>110285</v>
      </c>
      <c r="AM54" t="e">
        <f>"CPA Rescate DLocal a CSFB 2475 " &amp;AG28&amp;" USD T/C "&amp;AF28&amp;".- "&amp;TEXT($O28,"dd-mm-yyy")</f>
        <v>#N/A</v>
      </c>
      <c r="AN54" s="3" t="e">
        <f>+AH28</f>
        <v>#N/A</v>
      </c>
      <c r="AO54" s="10"/>
      <c r="AT54" s="2"/>
      <c r="AY54" s="9">
        <v>45165</v>
      </c>
      <c r="AZ54" s="8">
        <v>110275</v>
      </c>
      <c r="BA54" s="8" t="s">
        <v>108</v>
      </c>
      <c r="BB54" t="e">
        <f>"CPA Fondeo CSFB 2475 a NIUM " &amp;AV28&amp;" USD T/C "&amp;AU28&amp;".- "&amp;TEXT(AS28,"dd-mm-yyy")</f>
        <v>#N/A</v>
      </c>
      <c r="BC54" s="3" t="e">
        <f>+AW28</f>
        <v>#N/A</v>
      </c>
      <c r="BD54" s="10"/>
    </row>
    <row r="55" spans="6:56" x14ac:dyDescent="0.25">
      <c r="F55" s="11"/>
      <c r="G55" s="12">
        <v>211101</v>
      </c>
      <c r="H55" s="12" t="s">
        <v>18</v>
      </c>
      <c r="I55" s="12" t="str">
        <f t="shared" ref="I55" si="103">I54</f>
        <v>CPA Recaudación Clientes CFSB 1126 27-08-2023 USD 0 T/C 854,77</v>
      </c>
      <c r="J55" s="13"/>
      <c r="K55" s="18">
        <f t="shared" ref="K55" si="104">J54</f>
        <v>0</v>
      </c>
      <c r="P55" s="2"/>
      <c r="U55" s="11"/>
      <c r="V55" s="12">
        <v>110276</v>
      </c>
      <c r="W55" s="12" t="s">
        <v>102</v>
      </c>
      <c r="X55" s="12" t="e">
        <f>+X54</f>
        <v>#N/A</v>
      </c>
      <c r="Y55" s="13"/>
      <c r="Z55" s="18" t="e">
        <f t="shared" si="8"/>
        <v>#N/A</v>
      </c>
      <c r="AE55" s="2"/>
      <c r="AJ55" s="11"/>
      <c r="AK55" s="12">
        <v>110276</v>
      </c>
      <c r="AL55" s="12" t="s">
        <v>102</v>
      </c>
      <c r="AM55" s="12" t="e">
        <f>+AM54</f>
        <v>#N/A</v>
      </c>
      <c r="AN55" s="13"/>
      <c r="AO55" s="18" t="e">
        <f t="shared" ref="AO55" si="105">+AN54</f>
        <v>#N/A</v>
      </c>
      <c r="AT55" s="2"/>
      <c r="AY55" s="11"/>
      <c r="AZ55" s="12">
        <v>110285</v>
      </c>
      <c r="BA55" s="12"/>
      <c r="BB55" s="12" t="e">
        <f>+BB54</f>
        <v>#N/A</v>
      </c>
      <c r="BC55" s="13"/>
      <c r="BD55" s="18" t="e">
        <f t="shared" ref="BD55" si="106">+BC54</f>
        <v>#N/A</v>
      </c>
    </row>
    <row r="56" spans="6:56" x14ac:dyDescent="0.25">
      <c r="F56" s="15">
        <v>45166</v>
      </c>
      <c r="G56" s="8">
        <v>110218</v>
      </c>
      <c r="H56" s="8" t="s">
        <v>61</v>
      </c>
      <c r="I56" t="str">
        <f>"CPA Recaudación Clientes CFSB 1126 "&amp;TEXT(F56,"dd-mm-yyy")&amp;" USD "&amp;TEXT(B29,"#.##0")&amp;" T/C "&amp;C29&amp;""</f>
        <v>CPA Recaudación Clientes CFSB 1126 28-08-2023 USD 63 T/C 843,08</v>
      </c>
      <c r="J56" s="16">
        <f>+D29</f>
        <v>53249</v>
      </c>
      <c r="K56" s="17"/>
      <c r="P56" s="2"/>
      <c r="U56" s="9">
        <v>45166</v>
      </c>
      <c r="V56">
        <v>110285</v>
      </c>
      <c r="X56" t="e">
        <f>"CPA Rescate DLocal a CSFB 2475 " &amp;R29&amp;" USD T/C "&amp;Q29&amp;".- "&amp;TEXT($O29,"dd-mm-yyy")</f>
        <v>#N/A</v>
      </c>
      <c r="Y56" s="3" t="e">
        <f>+S29</f>
        <v>#N/A</v>
      </c>
      <c r="Z56" s="10"/>
      <c r="AE56" s="2"/>
      <c r="AJ56" s="9">
        <v>45135</v>
      </c>
      <c r="AK56">
        <v>110285</v>
      </c>
      <c r="AM56" t="e">
        <f>"CPA Rescate DLocal a CSFB 2475 " &amp;AG29&amp;" USD T/C "&amp;AF29&amp;".- "&amp;TEXT($O29,"dd-mm-yyy")</f>
        <v>#N/A</v>
      </c>
      <c r="AN56" s="3" t="e">
        <f>+AH29</f>
        <v>#N/A</v>
      </c>
      <c r="AO56" s="10"/>
      <c r="AT56" s="2"/>
      <c r="AY56" s="9">
        <v>45166</v>
      </c>
      <c r="AZ56" s="8">
        <v>110275</v>
      </c>
      <c r="BA56" s="8" t="s">
        <v>108</v>
      </c>
      <c r="BB56" t="e">
        <f>"CPA Fondeo CSFB 2475 a NIUM " &amp;AV29&amp;" USD T/C "&amp;AU29&amp;".- "&amp;TEXT(AS29,"dd-mm-yyy")</f>
        <v>#N/A</v>
      </c>
      <c r="BC56" s="3" t="e">
        <f>+AW29</f>
        <v>#N/A</v>
      </c>
      <c r="BD56" s="10"/>
    </row>
    <row r="57" spans="6:56" x14ac:dyDescent="0.25">
      <c r="F57" s="11"/>
      <c r="G57" s="12">
        <v>211101</v>
      </c>
      <c r="H57" s="12" t="s">
        <v>18</v>
      </c>
      <c r="I57" s="12" t="str">
        <f t="shared" ref="I57" si="107">I56</f>
        <v>CPA Recaudación Clientes CFSB 1126 28-08-2023 USD 63 T/C 843,08</v>
      </c>
      <c r="J57" s="13"/>
      <c r="K57" s="18">
        <f t="shared" ref="K57" si="108">J56</f>
        <v>53249</v>
      </c>
      <c r="P57" s="2"/>
      <c r="U57" s="11"/>
      <c r="V57" s="12">
        <v>110276</v>
      </c>
      <c r="W57" s="12" t="s">
        <v>102</v>
      </c>
      <c r="X57" s="12" t="e">
        <f>+X56</f>
        <v>#N/A</v>
      </c>
      <c r="Y57" s="13"/>
      <c r="Z57" s="18" t="e">
        <f t="shared" si="8"/>
        <v>#N/A</v>
      </c>
      <c r="AE57" s="2"/>
      <c r="AJ57" s="11"/>
      <c r="AK57" s="12">
        <v>110276</v>
      </c>
      <c r="AL57" s="12" t="s">
        <v>102</v>
      </c>
      <c r="AM57" s="12" t="e">
        <f>+AM56</f>
        <v>#N/A</v>
      </c>
      <c r="AN57" s="13"/>
      <c r="AO57" s="18" t="e">
        <f t="shared" ref="AO57" si="109">+AN56</f>
        <v>#N/A</v>
      </c>
      <c r="AT57" s="2"/>
      <c r="AY57" s="11"/>
      <c r="AZ57" s="12">
        <v>110285</v>
      </c>
      <c r="BA57" s="12"/>
      <c r="BB57" s="12" t="e">
        <f>+BB56</f>
        <v>#N/A</v>
      </c>
      <c r="BC57" s="13"/>
      <c r="BD57" s="18" t="e">
        <f t="shared" ref="BD57" si="110">+BC56</f>
        <v>#N/A</v>
      </c>
    </row>
    <row r="58" spans="6:56" x14ac:dyDescent="0.25">
      <c r="F58" s="15">
        <v>45167</v>
      </c>
      <c r="G58" s="8">
        <v>110218</v>
      </c>
      <c r="H58" s="8" t="s">
        <v>61</v>
      </c>
      <c r="I58" t="str">
        <f>"CPA Recaudación Clientes CFSB 1126 "&amp;TEXT(F58,"dd-mm-yyy")&amp;" USD "&amp;TEXT(B30,"#.##0,00")&amp;" T/C "&amp;C30&amp;""</f>
        <v>CPA Recaudación Clientes CFSB 1126 29-08-2023 USD 1.600,00 T/C 848,86</v>
      </c>
      <c r="J58" s="16">
        <f>+D30</f>
        <v>1358176</v>
      </c>
      <c r="K58" s="17"/>
      <c r="U58" s="9">
        <v>45167</v>
      </c>
      <c r="V58">
        <v>110285</v>
      </c>
      <c r="X58" t="e">
        <f>"CPA Rescate DLocal a CSFB 2475 " &amp;R30&amp;" USD T/C "&amp;Q30&amp;".- "&amp;TEXT($O30,"dd-mm-yyy")</f>
        <v>#N/A</v>
      </c>
      <c r="Y58" s="3" t="e">
        <f>+S30</f>
        <v>#N/A</v>
      </c>
      <c r="Z58" s="10"/>
      <c r="AJ58" s="9">
        <v>45136</v>
      </c>
      <c r="AK58">
        <v>110285</v>
      </c>
      <c r="AM58" t="e">
        <f>"CPA Rescate DLocal a CSFB 2475 " &amp;AG30&amp;" USD T/C "&amp;AF30&amp;".- "&amp;TEXT($O58,"dd-mm-yyy")</f>
        <v>#N/A</v>
      </c>
      <c r="AN58" s="3" t="e">
        <f>+AH30</f>
        <v>#N/A</v>
      </c>
      <c r="AO58" s="10"/>
      <c r="AY58" s="9">
        <v>45167</v>
      </c>
      <c r="AZ58" s="8">
        <v>110275</v>
      </c>
      <c r="BA58" s="8" t="s">
        <v>108</v>
      </c>
      <c r="BB58" t="e">
        <f>"CPA Fondeo CSFB 2475 a NIUM " &amp;AV30&amp;" USD T/C "&amp;AU30&amp;".- "&amp;TEXT(AS30,"dd-mm-yyy")</f>
        <v>#N/A</v>
      </c>
      <c r="BC58" s="3" t="e">
        <f>+AW30</f>
        <v>#N/A</v>
      </c>
      <c r="BD58" s="10"/>
    </row>
    <row r="59" spans="6:56" x14ac:dyDescent="0.25">
      <c r="F59" s="11"/>
      <c r="G59" s="12">
        <v>211101</v>
      </c>
      <c r="H59" s="12" t="s">
        <v>18</v>
      </c>
      <c r="I59" s="12" t="str">
        <f t="shared" ref="I59" si="111">I58</f>
        <v>CPA Recaudación Clientes CFSB 1126 29-08-2023 USD 1.600,00 T/C 848,86</v>
      </c>
      <c r="J59" s="13"/>
      <c r="K59" s="18">
        <f t="shared" ref="K59" si="112">J58</f>
        <v>1358176</v>
      </c>
      <c r="U59" s="11"/>
      <c r="V59" s="12">
        <v>110276</v>
      </c>
      <c r="W59" s="12" t="s">
        <v>102</v>
      </c>
      <c r="X59" s="12" t="e">
        <f>+X58</f>
        <v>#N/A</v>
      </c>
      <c r="Y59" s="13"/>
      <c r="Z59" s="18" t="e">
        <f t="shared" si="8"/>
        <v>#N/A</v>
      </c>
      <c r="AJ59" s="11"/>
      <c r="AK59" s="12">
        <v>110276</v>
      </c>
      <c r="AL59" s="12" t="s">
        <v>102</v>
      </c>
      <c r="AM59" s="12" t="e">
        <f>+AM58</f>
        <v>#N/A</v>
      </c>
      <c r="AN59" s="13"/>
      <c r="AO59" s="18" t="e">
        <f t="shared" ref="AO59" si="113">+AN58</f>
        <v>#N/A</v>
      </c>
      <c r="AY59" s="11"/>
      <c r="AZ59" s="12">
        <v>110285</v>
      </c>
      <c r="BA59" s="12"/>
      <c r="BB59" s="12" t="e">
        <f>+BB58</f>
        <v>#N/A</v>
      </c>
      <c r="BC59" s="13"/>
      <c r="BD59" s="18" t="e">
        <f t="shared" ref="BD59" si="114">+BC58</f>
        <v>#N/A</v>
      </c>
    </row>
    <row r="60" spans="6:56" x14ac:dyDescent="0.25">
      <c r="F60" s="15">
        <v>45168</v>
      </c>
      <c r="G60" s="8">
        <v>110218</v>
      </c>
      <c r="H60" s="8" t="s">
        <v>61</v>
      </c>
      <c r="I60" t="str">
        <f>"CPA Recaudación Clientes CFSB 1126 "&amp;TEXT(F60,"dd-mm-yyy")&amp;" USD "&amp;TEXT(B31,"#.##0,00")&amp;" T/C "&amp;C31&amp;""</f>
        <v>CPA Recaudación Clientes CFSB 1126 30-08-2023 USD 0,00 T/C 857,59</v>
      </c>
      <c r="J60" s="16">
        <f>+D31</f>
        <v>0</v>
      </c>
      <c r="K60" s="17"/>
      <c r="U60" s="9">
        <v>45168</v>
      </c>
      <c r="V60">
        <v>110285</v>
      </c>
      <c r="X60" t="e">
        <f>"CPA Rescate DLocal a CSFB 2475 " &amp;R31&amp;" USD T/C "&amp;Q31&amp;".- "&amp;TEXT($O31,"dd-mm-yyy")</f>
        <v>#N/A</v>
      </c>
      <c r="Y60" s="3" t="e">
        <f>+S31</f>
        <v>#N/A</v>
      </c>
      <c r="Z60" s="10"/>
      <c r="AJ60" s="9">
        <v>45137</v>
      </c>
      <c r="AK60">
        <v>110285</v>
      </c>
      <c r="AM60" t="e">
        <f>"CPA Rescate DLocal a CSFB 2475 " &amp;AG31&amp;" USD T/C "&amp;AF31&amp;".- "&amp;TEXT($O60,"dd-mm-yyy")</f>
        <v>#N/A</v>
      </c>
      <c r="AN60" s="3" t="e">
        <f>+AH31</f>
        <v>#N/A</v>
      </c>
      <c r="AO60" s="10"/>
      <c r="AY60" s="9">
        <v>45168</v>
      </c>
      <c r="AZ60" s="8">
        <v>110275</v>
      </c>
      <c r="BA60" s="8" t="s">
        <v>108</v>
      </c>
      <c r="BB60" t="e">
        <f>"CPA Fondeo CSFB 2475 a NIUM " &amp;AV31&amp;" USD T/C "&amp;AU31&amp;".- "&amp;TEXT(AS31,"dd-mm-yyy")</f>
        <v>#N/A</v>
      </c>
      <c r="BC60" s="3" t="e">
        <f>+AW31</f>
        <v>#N/A</v>
      </c>
      <c r="BD60" s="10"/>
    </row>
    <row r="61" spans="6:56" x14ac:dyDescent="0.25">
      <c r="F61" s="11"/>
      <c r="G61" s="12">
        <v>211101</v>
      </c>
      <c r="H61" s="12" t="s">
        <v>18</v>
      </c>
      <c r="I61" s="12" t="str">
        <f t="shared" ref="I61" si="115">I60</f>
        <v>CPA Recaudación Clientes CFSB 1126 30-08-2023 USD 0,00 T/C 857,59</v>
      </c>
      <c r="J61" s="13"/>
      <c r="K61" s="18">
        <f t="shared" ref="K61" si="116">J60</f>
        <v>0</v>
      </c>
      <c r="U61" s="11"/>
      <c r="V61" s="12">
        <v>110276</v>
      </c>
      <c r="W61" s="12" t="s">
        <v>102</v>
      </c>
      <c r="X61" s="12" t="e">
        <f>+X60</f>
        <v>#N/A</v>
      </c>
      <c r="Y61" s="13"/>
      <c r="Z61" s="18" t="e">
        <f t="shared" si="8"/>
        <v>#N/A</v>
      </c>
      <c r="AJ61" s="11"/>
      <c r="AK61" s="12">
        <v>110276</v>
      </c>
      <c r="AL61" s="12" t="s">
        <v>102</v>
      </c>
      <c r="AM61" s="12" t="e">
        <f>+AM60</f>
        <v>#N/A</v>
      </c>
      <c r="AN61" s="13"/>
      <c r="AO61" s="18" t="e">
        <f t="shared" ref="AO61" si="117">+AN60</f>
        <v>#N/A</v>
      </c>
      <c r="AY61" s="11"/>
      <c r="AZ61" s="12">
        <v>110285</v>
      </c>
      <c r="BA61" s="12"/>
      <c r="BB61" s="12" t="e">
        <f>+BB60</f>
        <v>#N/A</v>
      </c>
      <c r="BC61" s="13"/>
      <c r="BD61" s="18" t="e">
        <f t="shared" ref="BD61" si="118">+BC60</f>
        <v>#N/A</v>
      </c>
    </row>
    <row r="62" spans="6:56" x14ac:dyDescent="0.25">
      <c r="F62" s="15">
        <v>45169</v>
      </c>
      <c r="G62" s="8">
        <v>110218</v>
      </c>
      <c r="H62" s="8" t="s">
        <v>61</v>
      </c>
      <c r="I62" t="str">
        <f>"CPA Recaudación Clientes CFSB 1126 "&amp;TEXT(F62,"dd-mm-yyy")&amp;" USD "&amp;TEXT(B32,"#.##0")&amp;" T/C "&amp;C32&amp;""</f>
        <v>CPA Recaudación Clientes CFSB 1126 31-08-2023 USD 2.461 T/C 854,22</v>
      </c>
      <c r="J62" s="16">
        <f>+D32</f>
        <v>2101851</v>
      </c>
      <c r="K62" s="17"/>
      <c r="U62" s="9">
        <v>45169</v>
      </c>
      <c r="V62">
        <v>110285</v>
      </c>
      <c r="X62" t="e">
        <f>"CPA Rescate DLocal a CSFB 2475 " &amp;R32&amp;" USD T/C "&amp;Q32&amp;".- "&amp;TEXT($O32,"dd-mm-yyy")</f>
        <v>#N/A</v>
      </c>
      <c r="Y62" s="3" t="e">
        <f>+S32</f>
        <v>#N/A</v>
      </c>
      <c r="Z62" s="10"/>
      <c r="AJ62" s="9">
        <v>45138</v>
      </c>
      <c r="AK62">
        <v>110285</v>
      </c>
      <c r="AM62" t="e">
        <f>"CPA Rescate DLocal a CSFB 2475 " &amp;AG32&amp;" USD T/C "&amp;AF32&amp;".- "&amp;TEXT($O32,"dd-mm-yyy")</f>
        <v>#N/A</v>
      </c>
      <c r="AN62" s="3" t="e">
        <f>+AH32</f>
        <v>#N/A</v>
      </c>
      <c r="AO62" s="10"/>
      <c r="AY62" s="9">
        <v>45169</v>
      </c>
      <c r="AZ62" s="8">
        <v>110275</v>
      </c>
      <c r="BA62" s="8" t="s">
        <v>108</v>
      </c>
      <c r="BB62" t="e">
        <f>"CPA Fondeo CSFB 2475 a NIUM " &amp;AV32&amp;" USD T/C "&amp;AU32&amp;".- "&amp;TEXT(AS32,"dd-mm-yyy")</f>
        <v>#N/A</v>
      </c>
      <c r="BC62" s="3" t="e">
        <f>+AW32</f>
        <v>#N/A</v>
      </c>
      <c r="BD62" s="10"/>
    </row>
    <row r="63" spans="6:56" x14ac:dyDescent="0.25">
      <c r="F63" s="11"/>
      <c r="G63" s="12">
        <v>211101</v>
      </c>
      <c r="H63" s="12" t="s">
        <v>18</v>
      </c>
      <c r="I63" s="12" t="str">
        <f t="shared" ref="I63" si="119">I62</f>
        <v>CPA Recaudación Clientes CFSB 1126 31-08-2023 USD 2.461 T/C 854,22</v>
      </c>
      <c r="J63" s="13"/>
      <c r="K63" s="18">
        <f t="shared" ref="K63" si="120">J62</f>
        <v>2101851</v>
      </c>
      <c r="U63" s="11"/>
      <c r="V63" s="12">
        <v>110276</v>
      </c>
      <c r="W63" s="12" t="s">
        <v>102</v>
      </c>
      <c r="X63" s="12" t="e">
        <f>+X62</f>
        <v>#N/A</v>
      </c>
      <c r="Y63" s="13"/>
      <c r="Z63" s="18" t="e">
        <f t="shared" si="8"/>
        <v>#N/A</v>
      </c>
      <c r="AJ63" s="11"/>
      <c r="AK63" s="12">
        <v>110276</v>
      </c>
      <c r="AL63" s="12" t="s">
        <v>102</v>
      </c>
      <c r="AM63" s="12" t="e">
        <f>+AM62</f>
        <v>#N/A</v>
      </c>
      <c r="AN63" s="13"/>
      <c r="AO63" s="18" t="e">
        <f t="shared" ref="AO63" si="121">+AN62</f>
        <v>#N/A</v>
      </c>
      <c r="AY63" s="11"/>
      <c r="AZ63" s="12">
        <v>110285</v>
      </c>
      <c r="BA63" s="12"/>
      <c r="BB63" s="12" t="e">
        <f>+BB62</f>
        <v>#N/A</v>
      </c>
      <c r="BC63" s="13"/>
      <c r="BD63" s="18" t="e">
        <f t="shared" ref="BD63" si="122">+BC62</f>
        <v>#N/A</v>
      </c>
    </row>
    <row r="64" spans="6:56" x14ac:dyDescent="0.25">
      <c r="J64" s="3">
        <f>SUM(J2:J63)</f>
        <v>102639187</v>
      </c>
    </row>
    <row r="72" spans="3:57" x14ac:dyDescent="0.25">
      <c r="C72" s="76"/>
      <c r="E72" s="76"/>
      <c r="G72" s="76"/>
      <c r="J72" s="76"/>
      <c r="K72" s="76"/>
      <c r="L72" s="76"/>
      <c r="M72" s="76"/>
      <c r="AA72" s="76"/>
      <c r="AP72" s="76"/>
      <c r="BE72" s="76"/>
    </row>
  </sheetData>
  <autoFilter ref="AY1:BE63" xr:uid="{ACB24962-6A48-4644-B87B-B78CC1F9FA35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439F-E3A1-4264-8B8C-9690F30578C7}">
  <dimension ref="A1:DM74"/>
  <sheetViews>
    <sheetView showGridLines="0" topLeftCell="CC7" workbookViewId="0">
      <selection activeCell="DE43" sqref="DE43"/>
    </sheetView>
  </sheetViews>
  <sheetFormatPr baseColWidth="10" defaultRowHeight="15" outlineLevelCol="1" x14ac:dyDescent="0.25"/>
  <cols>
    <col min="1" max="1" width="11.5703125" hidden="1" customWidth="1" outlineLevel="1"/>
    <col min="2" max="2" width="13.5703125" hidden="1" customWidth="1" outlineLevel="1"/>
    <col min="3" max="4" width="11.42578125" hidden="1" customWidth="1" outlineLevel="1"/>
    <col min="5" max="5" width="7" hidden="1" customWidth="1" outlineLevel="1"/>
    <col min="6" max="6" width="24.5703125" hidden="1" customWidth="1" outlineLevel="1"/>
    <col min="7" max="7" width="34.85546875" hidden="1" customWidth="1" outlineLevel="1"/>
    <col min="8" max="8" width="12" hidden="1" customWidth="1" outlineLevel="1"/>
    <col min="9" max="9" width="11" hidden="1" customWidth="1" outlineLevel="1"/>
    <col min="10" max="10" width="12" bestFit="1" customWidth="1" collapsed="1"/>
    <col min="12" max="12" width="11.5703125" hidden="1" customWidth="1" outlineLevel="1"/>
    <col min="13" max="13" width="13.5703125" hidden="1" customWidth="1" outlineLevel="1"/>
    <col min="14" max="15" width="11.42578125" hidden="1" customWidth="1" outlineLevel="1"/>
    <col min="16" max="16" width="7" hidden="1" customWidth="1" outlineLevel="1"/>
    <col min="17" max="17" width="24.5703125" hidden="1" customWidth="1" outlineLevel="1"/>
    <col min="18" max="18" width="38.140625" hidden="1" customWidth="1" outlineLevel="1"/>
    <col min="19" max="19" width="12" hidden="1" customWidth="1" outlineLevel="1"/>
    <col min="20" max="20" width="11" hidden="1" customWidth="1" outlineLevel="1"/>
    <col min="21" max="21" width="11.5703125" bestFit="1" customWidth="1" collapsed="1"/>
    <col min="23" max="23" width="11.5703125" hidden="1" customWidth="1" outlineLevel="1"/>
    <col min="24" max="24" width="13.5703125" hidden="1" customWidth="1" outlineLevel="1"/>
    <col min="25" max="26" width="11.42578125" hidden="1" customWidth="1" outlineLevel="1"/>
    <col min="27" max="27" width="7" hidden="1" customWidth="1" outlineLevel="1"/>
    <col min="28" max="28" width="41" hidden="1" customWidth="1" outlineLevel="1"/>
    <col min="29" max="29" width="38.140625" hidden="1" customWidth="1" outlineLevel="1"/>
    <col min="30" max="30" width="12" hidden="1" customWidth="1" outlineLevel="1"/>
    <col min="31" max="31" width="11" hidden="1" customWidth="1" outlineLevel="1"/>
    <col min="32" max="32" width="9.7109375" bestFit="1" customWidth="1" collapsed="1"/>
    <col min="34" max="34" width="11.5703125" hidden="1" customWidth="1" outlineLevel="1"/>
    <col min="35" max="35" width="13.5703125" hidden="1" customWidth="1" outlineLevel="1"/>
    <col min="36" max="36" width="12.42578125" hidden="1" customWidth="1" outlineLevel="1"/>
    <col min="37" max="37" width="11.42578125" hidden="1" customWidth="1" outlineLevel="1"/>
    <col min="38" max="38" width="7" hidden="1" customWidth="1" outlineLevel="1"/>
    <col min="39" max="39" width="41" hidden="1" customWidth="1" outlineLevel="1"/>
    <col min="40" max="40" width="38.140625" hidden="1" customWidth="1" outlineLevel="1"/>
    <col min="41" max="41" width="12" hidden="1" customWidth="1" outlineLevel="1"/>
    <col min="42" max="42" width="11" hidden="1" customWidth="1" outlineLevel="1"/>
    <col min="43" max="43" width="9.7109375" bestFit="1" customWidth="1" collapsed="1"/>
    <col min="46" max="46" width="11.5703125" customWidth="1" outlineLevel="1"/>
    <col min="47" max="47" width="13.5703125" customWidth="1" outlineLevel="1"/>
    <col min="48" max="48" width="13.42578125" customWidth="1" outlineLevel="1"/>
    <col min="49" max="49" width="12.28515625" customWidth="1" outlineLevel="1"/>
    <col min="50" max="50" width="11.42578125" customWidth="1" outlineLevel="1"/>
    <col min="51" max="51" width="7" customWidth="1" outlineLevel="1"/>
    <col min="52" max="52" width="24.5703125" customWidth="1" outlineLevel="1"/>
    <col min="53" max="53" width="38.140625" customWidth="1" outlineLevel="1"/>
    <col min="54" max="54" width="12" customWidth="1" outlineLevel="1"/>
    <col min="55" max="55" width="11.7109375" customWidth="1" outlineLevel="1"/>
    <col min="56" max="56" width="9.7109375" bestFit="1" customWidth="1"/>
    <col min="59" max="59" width="11.5703125" hidden="1" customWidth="1" outlineLevel="1"/>
    <col min="60" max="60" width="13.5703125" hidden="1" customWidth="1" outlineLevel="1"/>
    <col min="61" max="62" width="11.42578125" hidden="1" customWidth="1" outlineLevel="1"/>
    <col min="63" max="63" width="7" hidden="1" customWidth="1" outlineLevel="1"/>
    <col min="64" max="64" width="41" hidden="1" customWidth="1" outlineLevel="1"/>
    <col min="65" max="65" width="38.140625" hidden="1" customWidth="1" outlineLevel="1"/>
    <col min="66" max="66" width="12" hidden="1" customWidth="1" outlineLevel="1"/>
    <col min="67" max="67" width="11" hidden="1" customWidth="1" outlineLevel="1"/>
    <col min="68" max="68" width="9.7109375" bestFit="1" customWidth="1" collapsed="1"/>
    <col min="71" max="71" width="11.5703125" hidden="1" customWidth="1" outlineLevel="1"/>
    <col min="72" max="72" width="13.5703125" hidden="1" customWidth="1" outlineLevel="1"/>
    <col min="73" max="74" width="0" hidden="1" customWidth="1" outlineLevel="1"/>
    <col min="75" max="75" width="7" hidden="1" customWidth="1" outlineLevel="1"/>
    <col min="76" max="76" width="24.5703125" hidden="1" customWidth="1" outlineLevel="1"/>
    <col min="77" max="77" width="38.140625" hidden="1" customWidth="1" outlineLevel="1"/>
    <col min="78" max="78" width="12" hidden="1" customWidth="1" outlineLevel="1"/>
    <col min="79" max="79" width="11" hidden="1" customWidth="1" outlineLevel="1"/>
    <col min="80" max="80" width="11.42578125" collapsed="1"/>
    <col min="83" max="83" width="11.5703125" hidden="1" customWidth="1" outlineLevel="1"/>
    <col min="84" max="84" width="13.5703125" hidden="1" customWidth="1" outlineLevel="1"/>
    <col min="85" max="86" width="0" hidden="1" customWidth="1" outlineLevel="1"/>
    <col min="87" max="87" width="7" hidden="1" customWidth="1" outlineLevel="1"/>
    <col min="88" max="88" width="24.5703125" hidden="1" customWidth="1" outlineLevel="1"/>
    <col min="89" max="89" width="38.140625" hidden="1" customWidth="1" outlineLevel="1"/>
    <col min="90" max="90" width="12" hidden="1" customWidth="1" outlineLevel="1"/>
    <col min="91" max="91" width="11" hidden="1" customWidth="1" outlineLevel="1"/>
    <col min="92" max="92" width="11.42578125" collapsed="1"/>
    <col min="95" max="95" width="11.5703125" hidden="1" customWidth="1" outlineLevel="1"/>
    <col min="96" max="96" width="13.5703125" hidden="1" customWidth="1" outlineLevel="1"/>
    <col min="97" max="98" width="11.42578125" hidden="1" customWidth="1" outlineLevel="1"/>
    <col min="99" max="99" width="7" hidden="1" customWidth="1" outlineLevel="1"/>
    <col min="100" max="100" width="24.5703125" hidden="1" customWidth="1" outlineLevel="1"/>
    <col min="101" max="101" width="38.140625" hidden="1" customWidth="1" outlineLevel="1"/>
    <col min="102" max="102" width="12" hidden="1" customWidth="1" outlineLevel="1"/>
    <col min="103" max="103" width="11" hidden="1" customWidth="1" outlineLevel="1"/>
    <col min="104" max="104" width="11.42578125" collapsed="1"/>
    <col min="107" max="107" width="11.5703125" customWidth="1" outlineLevel="1"/>
    <col min="108" max="109" width="13.5703125" customWidth="1" outlineLevel="1"/>
    <col min="110" max="111" width="11.42578125" customWidth="1" outlineLevel="1"/>
    <col min="112" max="112" width="7" customWidth="1" outlineLevel="1"/>
    <col min="113" max="113" width="24.5703125" customWidth="1" outlineLevel="1"/>
    <col min="114" max="114" width="38.140625" customWidth="1" outlineLevel="1"/>
    <col min="115" max="116" width="11.7109375" bestFit="1" customWidth="1" outlineLevel="1"/>
  </cols>
  <sheetData>
    <row r="1" spans="1:117" x14ac:dyDescent="0.25">
      <c r="A1" s="4" t="s">
        <v>0</v>
      </c>
      <c r="B1" s="4" t="s">
        <v>27</v>
      </c>
      <c r="D1" s="22" t="s">
        <v>0</v>
      </c>
      <c r="E1" s="23"/>
      <c r="F1" s="23"/>
      <c r="G1" s="23"/>
      <c r="H1" s="23" t="s">
        <v>5</v>
      </c>
      <c r="I1" s="24" t="s">
        <v>6</v>
      </c>
      <c r="J1" s="4" t="s">
        <v>65</v>
      </c>
      <c r="L1" s="4" t="s">
        <v>0</v>
      </c>
      <c r="M1" s="4" t="s">
        <v>27</v>
      </c>
      <c r="O1" s="22" t="s">
        <v>0</v>
      </c>
      <c r="P1" s="23"/>
      <c r="Q1" s="23"/>
      <c r="R1" s="23"/>
      <c r="S1" s="23" t="s">
        <v>5</v>
      </c>
      <c r="T1" s="24" t="s">
        <v>6</v>
      </c>
      <c r="U1" t="s">
        <v>66</v>
      </c>
      <c r="W1" s="4" t="s">
        <v>0</v>
      </c>
      <c r="X1" s="4" t="s">
        <v>27</v>
      </c>
      <c r="Z1" s="22" t="s">
        <v>0</v>
      </c>
      <c r="AA1" s="23"/>
      <c r="AB1" s="23"/>
      <c r="AC1" s="23"/>
      <c r="AD1" s="23" t="s">
        <v>5</v>
      </c>
      <c r="AE1" s="24" t="s">
        <v>6</v>
      </c>
      <c r="AF1" t="s">
        <v>67</v>
      </c>
      <c r="AH1" s="4" t="s">
        <v>0</v>
      </c>
      <c r="AI1" s="4" t="s">
        <v>27</v>
      </c>
      <c r="AK1" s="22" t="s">
        <v>0</v>
      </c>
      <c r="AL1" s="23"/>
      <c r="AM1" s="23"/>
      <c r="AN1" s="23"/>
      <c r="AO1" s="23" t="s">
        <v>5</v>
      </c>
      <c r="AP1" s="24" t="s">
        <v>6</v>
      </c>
      <c r="AQ1" t="s">
        <v>68</v>
      </c>
      <c r="AT1" s="4" t="s">
        <v>0</v>
      </c>
      <c r="AU1" s="4" t="s">
        <v>27</v>
      </c>
      <c r="AX1" s="22" t="s">
        <v>0</v>
      </c>
      <c r="AY1" s="23"/>
      <c r="AZ1" s="23"/>
      <c r="BA1" s="23"/>
      <c r="BB1" s="23" t="s">
        <v>5</v>
      </c>
      <c r="BC1" s="24" t="s">
        <v>6</v>
      </c>
      <c r="BD1" t="s">
        <v>103</v>
      </c>
      <c r="BG1" s="4" t="s">
        <v>0</v>
      </c>
      <c r="BH1" s="4" t="s">
        <v>27</v>
      </c>
      <c r="BJ1" s="22" t="s">
        <v>0</v>
      </c>
      <c r="BK1" s="23"/>
      <c r="BL1" s="23"/>
      <c r="BM1" s="23"/>
      <c r="BN1" s="23" t="s">
        <v>5</v>
      </c>
      <c r="BO1" s="24" t="s">
        <v>6</v>
      </c>
      <c r="BP1" t="s">
        <v>68</v>
      </c>
      <c r="BS1" s="4" t="s">
        <v>0</v>
      </c>
      <c r="BT1" s="4" t="s">
        <v>27</v>
      </c>
      <c r="BV1" s="22" t="s">
        <v>0</v>
      </c>
      <c r="BW1" s="23"/>
      <c r="BX1" s="23"/>
      <c r="BY1" s="23"/>
      <c r="BZ1" s="23" t="s">
        <v>5</v>
      </c>
      <c r="CA1" s="24" t="s">
        <v>6</v>
      </c>
      <c r="CB1" t="s">
        <v>105</v>
      </c>
      <c r="CE1" s="4" t="s">
        <v>0</v>
      </c>
      <c r="CF1" s="4" t="s">
        <v>27</v>
      </c>
      <c r="CH1" s="22" t="s">
        <v>0</v>
      </c>
      <c r="CI1" s="23"/>
      <c r="CJ1" s="23"/>
      <c r="CK1" s="23"/>
      <c r="CL1" s="23" t="s">
        <v>5</v>
      </c>
      <c r="CM1" s="24" t="s">
        <v>6</v>
      </c>
      <c r="CN1" t="s">
        <v>109</v>
      </c>
      <c r="CQ1" s="4" t="s">
        <v>0</v>
      </c>
      <c r="CR1" s="4" t="s">
        <v>27</v>
      </c>
      <c r="CT1" s="22" t="s">
        <v>0</v>
      </c>
      <c r="CU1" s="23"/>
      <c r="CV1" s="23"/>
      <c r="CW1" s="23"/>
      <c r="CX1" s="23" t="s">
        <v>5</v>
      </c>
      <c r="CY1" s="24" t="s">
        <v>6</v>
      </c>
      <c r="CZ1" t="s">
        <v>111</v>
      </c>
      <c r="DC1" s="4" t="s">
        <v>0</v>
      </c>
      <c r="DD1" s="4" t="s">
        <v>27</v>
      </c>
      <c r="DE1" s="4"/>
      <c r="DG1" s="22" t="s">
        <v>0</v>
      </c>
      <c r="DH1" s="23"/>
      <c r="DI1" s="23"/>
      <c r="DJ1" s="23"/>
      <c r="DK1" s="23" t="s">
        <v>5</v>
      </c>
      <c r="DL1" s="24" t="s">
        <v>6</v>
      </c>
      <c r="DM1" t="s">
        <v>111</v>
      </c>
    </row>
    <row r="2" spans="1:117" x14ac:dyDescent="0.25">
      <c r="A2" s="1">
        <v>45108</v>
      </c>
      <c r="B2" s="26"/>
      <c r="C2" s="76"/>
      <c r="D2" s="9">
        <v>45108</v>
      </c>
      <c r="E2">
        <v>110258</v>
      </c>
      <c r="F2" t="s">
        <v>63</v>
      </c>
      <c r="G2" t="str">
        <f>"CPA Ajuste T/C Vector USD " &amp;TEXT(D2,"dd-mm-yyy")</f>
        <v>CPA Ajuste T/C Vector USD 01-07-yyy</v>
      </c>
      <c r="H2" s="3">
        <f>+B2</f>
        <v>0</v>
      </c>
      <c r="I2" s="10"/>
      <c r="J2" s="3"/>
      <c r="L2" s="1">
        <v>45261</v>
      </c>
      <c r="M2" s="26">
        <f>ROUND(N2,0)</f>
        <v>-6773</v>
      </c>
      <c r="N2" s="76">
        <v>-6773.27</v>
      </c>
      <c r="O2" s="9">
        <v>45261</v>
      </c>
      <c r="P2">
        <v>430105</v>
      </c>
      <c r="Q2" t="s">
        <v>25</v>
      </c>
      <c r="R2" t="str">
        <f>"CPA Ajuste T/C JP Morgan USD " &amp;TEXT(O2,"dd-mm-yyy")</f>
        <v>CPA Ajuste T/C JP Morgan USD 01-12-yyy</v>
      </c>
      <c r="S2" s="3">
        <f>+M2*-1</f>
        <v>6773</v>
      </c>
      <c r="T2" s="10"/>
      <c r="W2" s="1">
        <v>45108</v>
      </c>
      <c r="X2" s="26">
        <f>ROUND(Y2,0)</f>
        <v>-59624</v>
      </c>
      <c r="Y2" s="76">
        <v>-59624.1</v>
      </c>
      <c r="Z2" s="9">
        <v>45108</v>
      </c>
      <c r="AA2">
        <v>430105</v>
      </c>
      <c r="AB2" t="s">
        <v>25</v>
      </c>
      <c r="AC2" t="str">
        <f>"CPA Ajuste T/C CFSB 1126 USD " &amp;TEXT(Z2,"dd-mm-yyy")</f>
        <v>CPA Ajuste T/C CFSB 1126 USD 01-07-yyy</v>
      </c>
      <c r="AD2" s="3">
        <f>+X2*-1</f>
        <v>59624</v>
      </c>
      <c r="AE2" s="10"/>
      <c r="AH2" s="1">
        <v>45108</v>
      </c>
      <c r="AI2" s="26">
        <f>ROUND(AJ2,0)</f>
        <v>-181893</v>
      </c>
      <c r="AJ2" s="76">
        <v>-181893.17</v>
      </c>
      <c r="AK2" s="9">
        <v>45108</v>
      </c>
      <c r="AL2">
        <v>430105</v>
      </c>
      <c r="AM2" t="s">
        <v>25</v>
      </c>
      <c r="AN2" t="str">
        <f>"CPA Ajuste T/C CFSB 0809 USD " &amp;TEXT(AK2,"dd-mm-yyy")</f>
        <v>CPA Ajuste T/C CFSB 0809 USD 01-07-yyy</v>
      </c>
      <c r="AO2" s="3">
        <f>+AI2*-1</f>
        <v>181893</v>
      </c>
      <c r="AP2" s="10"/>
      <c r="AT2" s="1">
        <v>45413</v>
      </c>
      <c r="AU2" s="26" t="e">
        <f>ROUND(AV2,0)</f>
        <v>#VALUE!</v>
      </c>
      <c r="AV2" s="76" t="s">
        <v>70</v>
      </c>
      <c r="AW2" s="76"/>
      <c r="AX2" s="9">
        <v>45413</v>
      </c>
      <c r="AY2">
        <v>430105</v>
      </c>
      <c r="AZ2" t="s">
        <v>25</v>
      </c>
      <c r="BA2" t="str">
        <f>"CPA Ajuste T/C Bco. Bice USD " &amp;TEXT(AX2,)</f>
        <v xml:space="preserve">CPA Ajuste T/C Bco. Bice USD </v>
      </c>
      <c r="BB2" s="3" t="e">
        <f>+AU2*-1</f>
        <v>#VALUE!</v>
      </c>
      <c r="BC2" s="10"/>
      <c r="BG2" s="1">
        <v>45108</v>
      </c>
      <c r="BH2" s="26">
        <v>-76500</v>
      </c>
      <c r="BI2" s="76"/>
      <c r="BJ2" s="9">
        <v>45108</v>
      </c>
      <c r="BK2">
        <v>430105</v>
      </c>
      <c r="BL2" t="s">
        <v>25</v>
      </c>
      <c r="BM2" t="str">
        <f>"CPA Ajuste T/C CFSB 0947 USD " &amp;TEXT(BJ2,"dd-mm-yyy")</f>
        <v>CPA Ajuste T/C CFSB 0947 USD 01-07-yyy</v>
      </c>
      <c r="BN2" s="3">
        <f>+BH2*-1</f>
        <v>76500</v>
      </c>
      <c r="BO2" s="10"/>
      <c r="BS2" s="1">
        <v>45108</v>
      </c>
      <c r="BT2" s="26">
        <v>0</v>
      </c>
      <c r="BU2" s="76"/>
      <c r="BV2" s="9">
        <v>45108</v>
      </c>
      <c r="BW2">
        <v>430105</v>
      </c>
      <c r="BX2" t="s">
        <v>25</v>
      </c>
      <c r="BY2" t="str">
        <f>"CPA Ajuste T/C Bco. Inter. USD " &amp;TEXT(BV2,"dd-mm-yyy")</f>
        <v>CPA Ajuste T/C Bco. Inter. USD 01-07-yyy</v>
      </c>
      <c r="BZ2" s="3">
        <f>+BT2*-1</f>
        <v>0</v>
      </c>
      <c r="CA2" s="10"/>
      <c r="CE2" s="1">
        <v>45108</v>
      </c>
      <c r="CF2" s="26">
        <v>3090000</v>
      </c>
      <c r="CG2" s="76"/>
      <c r="CH2" s="9">
        <v>45108</v>
      </c>
      <c r="CI2">
        <v>110285</v>
      </c>
      <c r="CJ2" t="s">
        <v>110</v>
      </c>
      <c r="CK2" t="str">
        <f>"CPA Ajuste T/C CFSB 2475 " &amp;TEXT(CH2,"dd-mm-yyy")</f>
        <v>CPA Ajuste T/C CFSB 2475 01-07-yyy</v>
      </c>
      <c r="CL2" s="3">
        <f>+CF2</f>
        <v>3090000</v>
      </c>
      <c r="CM2" s="10"/>
      <c r="CQ2" s="1">
        <v>45108</v>
      </c>
      <c r="CR2" s="26">
        <v>-5039.32</v>
      </c>
      <c r="CS2" s="76"/>
      <c r="CT2" s="9">
        <v>45108</v>
      </c>
      <c r="CU2">
        <v>430105</v>
      </c>
      <c r="CV2" t="s">
        <v>25</v>
      </c>
      <c r="CW2" t="str">
        <f>"CPA Ajuste T/C CFSB 1557 " &amp;TEXT(CT2,"dd-mm-yyy")</f>
        <v>CPA Ajuste T/C CFSB 1557 01-07-yyy</v>
      </c>
      <c r="CX2" s="3">
        <f>+CR2*-1</f>
        <v>5039.32</v>
      </c>
      <c r="CY2" s="10"/>
      <c r="DC2" s="1">
        <v>45413</v>
      </c>
      <c r="DD2" s="26">
        <f>ROUND(DE2,0)</f>
        <v>0</v>
      </c>
      <c r="DE2" s="26"/>
      <c r="DF2" s="76"/>
      <c r="DG2" s="9">
        <v>45413</v>
      </c>
      <c r="DH2">
        <v>430105</v>
      </c>
      <c r="DI2" t="s">
        <v>25</v>
      </c>
      <c r="DJ2" t="str">
        <f>"CPA Ajuste T/C MBI USD " &amp;TEXT(DG2,)</f>
        <v xml:space="preserve">CPA Ajuste T/C MBI USD </v>
      </c>
      <c r="DK2" s="3">
        <f>+DD2*-1</f>
        <v>0</v>
      </c>
      <c r="DL2" s="10"/>
    </row>
    <row r="3" spans="1:117" x14ac:dyDescent="0.25">
      <c r="A3" s="1">
        <v>45109</v>
      </c>
      <c r="B3" s="26"/>
      <c r="D3" s="11"/>
      <c r="E3" s="12">
        <v>430105</v>
      </c>
      <c r="F3" s="12" t="s">
        <v>25</v>
      </c>
      <c r="G3" s="12" t="str">
        <f>G2</f>
        <v>CPA Ajuste T/C Vector USD 01-07-yyy</v>
      </c>
      <c r="H3" s="13"/>
      <c r="I3" s="18">
        <f>H2</f>
        <v>0</v>
      </c>
      <c r="J3" s="3"/>
      <c r="L3" s="1">
        <v>45262</v>
      </c>
      <c r="M3" s="26">
        <f t="shared" ref="M3:M32" si="0">ROUND(N3,0)</f>
        <v>0</v>
      </c>
      <c r="N3" s="76">
        <v>0</v>
      </c>
      <c r="O3" s="11"/>
      <c r="P3" s="12">
        <v>110212</v>
      </c>
      <c r="Q3" s="12" t="s">
        <v>64</v>
      </c>
      <c r="R3" s="12" t="str">
        <f>R2</f>
        <v>CPA Ajuste T/C JP Morgan USD 01-12-yyy</v>
      </c>
      <c r="S3" s="13"/>
      <c r="T3" s="18">
        <f>S2</f>
        <v>6773</v>
      </c>
      <c r="W3" s="1">
        <v>45109</v>
      </c>
      <c r="X3" s="26">
        <f t="shared" ref="X3:X32" si="1">ROUND(Y3,0)</f>
        <v>0</v>
      </c>
      <c r="Y3" s="76">
        <v>0</v>
      </c>
      <c r="Z3" s="11"/>
      <c r="AA3" s="12">
        <v>110218</v>
      </c>
      <c r="AB3" s="12" t="s">
        <v>61</v>
      </c>
      <c r="AC3" s="12" t="str">
        <f>AC2</f>
        <v>CPA Ajuste T/C CFSB 1126 USD 01-07-yyy</v>
      </c>
      <c r="AD3" s="13"/>
      <c r="AE3" s="18">
        <f>AD2</f>
        <v>59624</v>
      </c>
      <c r="AH3" s="1">
        <v>45109</v>
      </c>
      <c r="AI3" s="26">
        <f t="shared" ref="AI3:AI32" si="2">ROUND(AJ3,0)</f>
        <v>0</v>
      </c>
      <c r="AJ3" s="76">
        <v>0</v>
      </c>
      <c r="AK3" s="11"/>
      <c r="AL3" s="12">
        <v>110228</v>
      </c>
      <c r="AM3" s="12" t="s">
        <v>69</v>
      </c>
      <c r="AN3" s="12" t="str">
        <f>AN2</f>
        <v>CPA Ajuste T/C CFSB 0809 USD 01-07-yyy</v>
      </c>
      <c r="AO3" s="13"/>
      <c r="AP3" s="18">
        <f>AO2</f>
        <v>181893</v>
      </c>
      <c r="AT3" s="1">
        <v>45414</v>
      </c>
      <c r="AU3" s="26">
        <f t="shared" ref="AU3:AU31" si="3">ROUND(AV3,0)</f>
        <v>7246000</v>
      </c>
      <c r="AV3" s="76">
        <v>7246000</v>
      </c>
      <c r="AX3" s="11"/>
      <c r="AY3" s="12">
        <v>110205</v>
      </c>
      <c r="AZ3" s="12" t="s">
        <v>59</v>
      </c>
      <c r="BA3" s="12" t="str">
        <f>BA2</f>
        <v xml:space="preserve">CPA Ajuste T/C Bco. Bice USD </v>
      </c>
      <c r="BB3" s="13"/>
      <c r="BC3" s="18" t="e">
        <f>BB2</f>
        <v>#VALUE!</v>
      </c>
      <c r="BG3" s="1">
        <v>45109</v>
      </c>
      <c r="BH3" s="26" t="s">
        <v>70</v>
      </c>
      <c r="BJ3" s="11"/>
      <c r="BK3" s="12">
        <v>110217</v>
      </c>
      <c r="BL3" s="12" t="s">
        <v>104</v>
      </c>
      <c r="BM3" s="12" t="str">
        <f>BM2</f>
        <v>CPA Ajuste T/C CFSB 0947 USD 01-07-yyy</v>
      </c>
      <c r="BN3" s="13"/>
      <c r="BO3" s="18">
        <f>BN2</f>
        <v>76500</v>
      </c>
      <c r="BS3" s="1">
        <v>45109</v>
      </c>
      <c r="BT3" s="26">
        <v>0</v>
      </c>
      <c r="BV3" s="11"/>
      <c r="BW3" s="12">
        <v>110278</v>
      </c>
      <c r="BX3" s="12" t="s">
        <v>106</v>
      </c>
      <c r="BY3" s="12" t="str">
        <f>BY2</f>
        <v>CPA Ajuste T/C Bco. Inter. USD 01-07-yyy</v>
      </c>
      <c r="BZ3" s="13"/>
      <c r="CA3" s="18">
        <f>BZ2</f>
        <v>0</v>
      </c>
      <c r="CE3" s="1">
        <v>45109</v>
      </c>
      <c r="CF3" s="26">
        <v>900000</v>
      </c>
      <c r="CH3" s="11"/>
      <c r="CI3" s="12">
        <v>430105</v>
      </c>
      <c r="CJ3" s="12" t="s">
        <v>25</v>
      </c>
      <c r="CK3" s="12" t="str">
        <f>CK2</f>
        <v>CPA Ajuste T/C CFSB 2475 01-07-yyy</v>
      </c>
      <c r="CL3" s="13"/>
      <c r="CM3" s="18">
        <f>CL2</f>
        <v>3090000</v>
      </c>
      <c r="CQ3" s="1">
        <v>45109</v>
      </c>
      <c r="CR3" s="26">
        <v>0</v>
      </c>
      <c r="CT3" s="11"/>
      <c r="CU3" s="12">
        <v>110282</v>
      </c>
      <c r="CV3" s="12" t="s">
        <v>112</v>
      </c>
      <c r="CW3" s="12" t="str">
        <f>CW2</f>
        <v>CPA Ajuste T/C CFSB 1557 01-07-yyy</v>
      </c>
      <c r="CX3" s="13"/>
      <c r="CY3" s="18">
        <f>CX2</f>
        <v>5039.32</v>
      </c>
      <c r="DC3" s="1">
        <v>45414</v>
      </c>
      <c r="DD3" s="26">
        <f t="shared" ref="DD3:DD32" si="4">ROUND(DE3,0)</f>
        <v>-950000</v>
      </c>
      <c r="DE3" s="26">
        <v>-950000</v>
      </c>
      <c r="DG3" s="11"/>
      <c r="DH3" s="12">
        <v>110296</v>
      </c>
      <c r="DI3" s="12" t="s">
        <v>140</v>
      </c>
      <c r="DJ3" s="12" t="str">
        <f>DJ2</f>
        <v xml:space="preserve">CPA Ajuste T/C MBI USD </v>
      </c>
      <c r="DK3" s="13"/>
      <c r="DL3" s="18">
        <f>DK2</f>
        <v>0</v>
      </c>
    </row>
    <row r="4" spans="1:117" x14ac:dyDescent="0.25">
      <c r="A4" s="1">
        <v>45110</v>
      </c>
      <c r="B4" s="26"/>
      <c r="D4" s="15">
        <v>45109</v>
      </c>
      <c r="E4">
        <v>110258</v>
      </c>
      <c r="F4" t="s">
        <v>63</v>
      </c>
      <c r="G4" t="str">
        <f>"CPA Ajuste T/C Vector USD " &amp;TEXT(D4,"dd-mm-yyy")</f>
        <v>CPA Ajuste T/C Vector USD 02-07-yyy</v>
      </c>
      <c r="H4" s="3">
        <f>+B3</f>
        <v>0</v>
      </c>
      <c r="I4" s="17"/>
      <c r="J4" s="3"/>
      <c r="L4" s="1">
        <v>45263</v>
      </c>
      <c r="M4" s="26">
        <f t="shared" si="0"/>
        <v>-6061</v>
      </c>
      <c r="N4" s="76">
        <v>-6060.95</v>
      </c>
      <c r="O4" s="15">
        <v>45262</v>
      </c>
      <c r="P4">
        <v>110212</v>
      </c>
      <c r="Q4" t="s">
        <v>64</v>
      </c>
      <c r="R4" t="str">
        <f>"CPA Ajuste T/C JP Morgan USD " &amp;TEXT(O4,"dd-mm-yyy")</f>
        <v>CPA Ajuste T/C JP Morgan USD 02-12-yyy</v>
      </c>
      <c r="S4" s="3">
        <f>+M3</f>
        <v>0</v>
      </c>
      <c r="T4" s="17"/>
      <c r="W4" s="1">
        <v>45110</v>
      </c>
      <c r="X4" s="26">
        <f t="shared" si="1"/>
        <v>0</v>
      </c>
      <c r="Y4" s="76">
        <v>0</v>
      </c>
      <c r="Z4" s="15">
        <v>45109</v>
      </c>
      <c r="AA4">
        <v>430105</v>
      </c>
      <c r="AB4" t="s">
        <v>25</v>
      </c>
      <c r="AC4" t="str">
        <f>"CPA Ajuste T/C CFSB 1126 USD " &amp;TEXT(Z4,"dd-mm-yyy")</f>
        <v>CPA Ajuste T/C CFSB 1126 USD 02-07-yyy</v>
      </c>
      <c r="AD4" s="3">
        <f>+X3*-1</f>
        <v>0</v>
      </c>
      <c r="AE4" s="17"/>
      <c r="AH4" s="1">
        <v>45110</v>
      </c>
      <c r="AI4" s="26">
        <f t="shared" si="2"/>
        <v>0</v>
      </c>
      <c r="AJ4" s="76">
        <v>0</v>
      </c>
      <c r="AK4" s="15">
        <v>45109</v>
      </c>
      <c r="AL4">
        <v>110228</v>
      </c>
      <c r="AM4" t="s">
        <v>69</v>
      </c>
      <c r="AN4" t="str">
        <f>"CPA Ajuste T/C CFSB 0809 USD " &amp;TEXT(AK4,"dd-mm-yyy")</f>
        <v>CPA Ajuste T/C CFSB 0809 USD 02-07-yyy</v>
      </c>
      <c r="AO4" s="3">
        <f>+AI3</f>
        <v>0</v>
      </c>
      <c r="AP4" s="17"/>
      <c r="AT4" s="1">
        <v>45415</v>
      </c>
      <c r="AU4" s="26">
        <f t="shared" si="3"/>
        <v>11961923</v>
      </c>
      <c r="AV4" s="76">
        <v>11961923.49</v>
      </c>
      <c r="AX4" s="15">
        <v>45414</v>
      </c>
      <c r="AY4">
        <v>110205</v>
      </c>
      <c r="AZ4" t="s">
        <v>59</v>
      </c>
      <c r="BA4" t="str">
        <f>"CPA Ajuste T/C Bco. Bice USD " &amp;TEXT(AX4,)</f>
        <v xml:space="preserve">CPA Ajuste T/C Bco. Bice USD </v>
      </c>
      <c r="BB4" s="3">
        <f>+AU3</f>
        <v>7246000</v>
      </c>
      <c r="BC4" s="17"/>
      <c r="BG4" s="1">
        <v>45110</v>
      </c>
      <c r="BH4" s="26" t="s">
        <v>70</v>
      </c>
      <c r="BJ4" s="15">
        <v>45109</v>
      </c>
      <c r="BK4">
        <v>110217</v>
      </c>
      <c r="BL4" t="s">
        <v>104</v>
      </c>
      <c r="BM4" t="str">
        <f>"CPA Ajuste T/C CFSB 0947 USD " &amp;TEXT(BJ4,"dd-mm-yyy")</f>
        <v>CPA Ajuste T/C CFSB 0947 USD 02-07-yyy</v>
      </c>
      <c r="BN4" s="3" t="str">
        <f>+BH3</f>
        <v>-</v>
      </c>
      <c r="BO4" s="17"/>
      <c r="BS4" s="1">
        <v>45110</v>
      </c>
      <c r="BT4" s="26">
        <v>770000</v>
      </c>
      <c r="BV4" s="15">
        <v>45109</v>
      </c>
      <c r="BW4">
        <v>110278</v>
      </c>
      <c r="BX4" t="s">
        <v>106</v>
      </c>
      <c r="BY4" t="str">
        <f>"CPA Ajuste T/C Bco. Inter. USD " &amp;TEXT(BV4,"dd-mm-yyy")</f>
        <v>CPA Ajuste T/C Bco. Inter. USD 02-07-yyy</v>
      </c>
      <c r="BZ4" s="3">
        <f>+BT3</f>
        <v>0</v>
      </c>
      <c r="CA4" s="17"/>
      <c r="CE4" s="1">
        <v>45110</v>
      </c>
      <c r="CF4" s="26">
        <v>-1860000</v>
      </c>
      <c r="CH4" s="15">
        <v>45109</v>
      </c>
      <c r="CI4">
        <v>110285</v>
      </c>
      <c r="CJ4" t="s">
        <v>110</v>
      </c>
      <c r="CK4" t="str">
        <f>"CPA Ajuste T/C CFSB 2475 " &amp;TEXT(CH4,"dd-mm-yyy")</f>
        <v>CPA Ajuste T/C CFSB 2475 02-07-yyy</v>
      </c>
      <c r="CL4" s="3">
        <f>+CF3</f>
        <v>900000</v>
      </c>
      <c r="CM4" s="17"/>
      <c r="CQ4" s="1">
        <v>45110</v>
      </c>
      <c r="CR4" s="26">
        <v>0</v>
      </c>
      <c r="CT4" s="15">
        <v>45109</v>
      </c>
      <c r="CU4">
        <v>110282</v>
      </c>
      <c r="CV4" t="s">
        <v>112</v>
      </c>
      <c r="CW4" t="str">
        <f>"CPA Ajuste T/C CFSB 1557 " &amp;TEXT(CT4,"dd-mm-yyy")</f>
        <v>CPA Ajuste T/C CFSB 1557 02-07-yyy</v>
      </c>
      <c r="CX4" s="3">
        <f>+CR3</f>
        <v>0</v>
      </c>
      <c r="CY4" s="17"/>
      <c r="DC4" s="1">
        <v>45415</v>
      </c>
      <c r="DD4" s="26">
        <f t="shared" si="4"/>
        <v>7508000</v>
      </c>
      <c r="DE4" s="26">
        <v>7508000</v>
      </c>
      <c r="DG4" s="15">
        <v>45414</v>
      </c>
      <c r="DH4">
        <v>430105</v>
      </c>
      <c r="DI4" t="s">
        <v>25</v>
      </c>
      <c r="DJ4" t="str">
        <f>"CPA Ajuste T/C MBI USD " &amp;TEXT(DG4,)</f>
        <v xml:space="preserve">CPA Ajuste T/C MBI USD </v>
      </c>
      <c r="DK4" s="3">
        <f>+DD3*-1</f>
        <v>950000</v>
      </c>
      <c r="DL4" s="17"/>
    </row>
    <row r="5" spans="1:117" x14ac:dyDescent="0.25">
      <c r="A5" s="1">
        <v>45111</v>
      </c>
      <c r="B5" s="26"/>
      <c r="D5" s="11"/>
      <c r="E5" s="12">
        <v>430105</v>
      </c>
      <c r="F5" s="12" t="s">
        <v>25</v>
      </c>
      <c r="G5" s="12" t="str">
        <f t="shared" ref="G5" si="5">G4</f>
        <v>CPA Ajuste T/C Vector USD 02-07-yyy</v>
      </c>
      <c r="H5" s="13"/>
      <c r="I5" s="18">
        <f t="shared" ref="I5" si="6">H4</f>
        <v>0</v>
      </c>
      <c r="J5" s="3"/>
      <c r="L5" s="1">
        <v>45264</v>
      </c>
      <c r="M5" s="26">
        <f t="shared" si="0"/>
        <v>0</v>
      </c>
      <c r="N5" s="76">
        <v>0</v>
      </c>
      <c r="O5" s="11"/>
      <c r="P5" s="12">
        <v>430105</v>
      </c>
      <c r="Q5" s="12" t="s">
        <v>25</v>
      </c>
      <c r="R5" s="12" t="str">
        <f t="shared" ref="R5" si="7">R4</f>
        <v>CPA Ajuste T/C JP Morgan USD 02-12-yyy</v>
      </c>
      <c r="S5" s="13"/>
      <c r="T5" s="18">
        <f t="shared" ref="T5" si="8">S4</f>
        <v>0</v>
      </c>
      <c r="W5" s="1">
        <v>45111</v>
      </c>
      <c r="X5" s="26">
        <f t="shared" si="1"/>
        <v>-1552</v>
      </c>
      <c r="Y5" s="76">
        <v>-1552.35</v>
      </c>
      <c r="Z5" s="11"/>
      <c r="AA5" s="12">
        <v>110218</v>
      </c>
      <c r="AB5" s="12" t="s">
        <v>61</v>
      </c>
      <c r="AC5" s="12" t="str">
        <f t="shared" ref="AC5" si="9">AC4</f>
        <v>CPA Ajuste T/C CFSB 1126 USD 02-07-yyy</v>
      </c>
      <c r="AD5" s="13"/>
      <c r="AE5" s="18">
        <f t="shared" ref="AE5" si="10">AD4</f>
        <v>0</v>
      </c>
      <c r="AH5" s="1">
        <v>45111</v>
      </c>
      <c r="AI5" s="26">
        <f t="shared" si="2"/>
        <v>-83724</v>
      </c>
      <c r="AJ5" s="76">
        <v>-83724.14</v>
      </c>
      <c r="AK5" s="11"/>
      <c r="AL5" s="12">
        <v>430105</v>
      </c>
      <c r="AM5" s="12" t="s">
        <v>25</v>
      </c>
      <c r="AN5" s="12" t="str">
        <f t="shared" ref="AN5" si="11">AN4</f>
        <v>CPA Ajuste T/C CFSB 0809 USD 02-07-yyy</v>
      </c>
      <c r="AO5" s="13"/>
      <c r="AP5" s="18">
        <f t="shared" ref="AP5" si="12">AO4</f>
        <v>0</v>
      </c>
      <c r="AT5" s="1">
        <v>45416</v>
      </c>
      <c r="AU5" s="26" t="e">
        <f t="shared" si="3"/>
        <v>#VALUE!</v>
      </c>
      <c r="AV5" s="76" t="s">
        <v>70</v>
      </c>
      <c r="AX5" s="11"/>
      <c r="AY5" s="12">
        <v>430105</v>
      </c>
      <c r="AZ5" s="12" t="s">
        <v>25</v>
      </c>
      <c r="BA5" s="12" t="str">
        <f t="shared" ref="BA5" si="13">BA4</f>
        <v xml:space="preserve">CPA Ajuste T/C Bco. Bice USD </v>
      </c>
      <c r="BB5" s="13"/>
      <c r="BC5" s="18">
        <f t="shared" ref="BC5" si="14">BB4</f>
        <v>7246000</v>
      </c>
      <c r="BG5" s="1">
        <v>45111</v>
      </c>
      <c r="BH5" s="26">
        <v>-177750</v>
      </c>
      <c r="BJ5" s="11"/>
      <c r="BK5" s="12">
        <v>430105</v>
      </c>
      <c r="BL5" s="12" t="s">
        <v>25</v>
      </c>
      <c r="BM5" s="12" t="str">
        <f t="shared" ref="BM5" si="15">BM4</f>
        <v>CPA Ajuste T/C CFSB 0947 USD 02-07-yyy</v>
      </c>
      <c r="BN5" s="13"/>
      <c r="BO5" s="18" t="str">
        <f t="shared" ref="BO5" si="16">BN4</f>
        <v>-</v>
      </c>
      <c r="BS5" s="1">
        <v>45111</v>
      </c>
      <c r="BT5" s="26">
        <v>0</v>
      </c>
      <c r="BV5" s="11"/>
      <c r="BW5" s="12">
        <v>430105</v>
      </c>
      <c r="BX5" s="12" t="s">
        <v>25</v>
      </c>
      <c r="BY5" s="12" t="str">
        <f t="shared" ref="BY5" si="17">BY4</f>
        <v>CPA Ajuste T/C Bco. Inter. USD 02-07-yyy</v>
      </c>
      <c r="BZ5" s="13"/>
      <c r="CA5" s="18">
        <f t="shared" ref="CA5" si="18">BZ4</f>
        <v>0</v>
      </c>
      <c r="CE5" s="1">
        <v>45111</v>
      </c>
      <c r="CF5" s="26">
        <v>126000</v>
      </c>
      <c r="CH5" s="11"/>
      <c r="CI5" s="12">
        <v>430105</v>
      </c>
      <c r="CJ5" s="12" t="s">
        <v>25</v>
      </c>
      <c r="CK5" s="12" t="str">
        <f t="shared" ref="CK5" si="19">CK4</f>
        <v>CPA Ajuste T/C CFSB 2475 02-07-yyy</v>
      </c>
      <c r="CL5" s="13"/>
      <c r="CM5" s="18">
        <f t="shared" ref="CM5" si="20">CL4</f>
        <v>900000</v>
      </c>
      <c r="CQ5" s="1">
        <v>45111</v>
      </c>
      <c r="CR5" s="26">
        <v>-11709.01</v>
      </c>
      <c r="CT5" s="11"/>
      <c r="CU5" s="12">
        <v>430105</v>
      </c>
      <c r="CV5" s="12" t="s">
        <v>25</v>
      </c>
      <c r="CW5" s="12" t="str">
        <f t="shared" ref="CW5" si="21">CW4</f>
        <v>CPA Ajuste T/C CFSB 1557 02-07-yyy</v>
      </c>
      <c r="CX5" s="13"/>
      <c r="CY5" s="18">
        <f t="shared" ref="CY5" si="22">CX4</f>
        <v>0</v>
      </c>
      <c r="DC5" s="1">
        <v>45416</v>
      </c>
      <c r="DD5" s="26" t="e">
        <f t="shared" si="4"/>
        <v>#VALUE!</v>
      </c>
      <c r="DE5" s="26" t="s">
        <v>70</v>
      </c>
      <c r="DG5" s="11"/>
      <c r="DH5" s="12">
        <v>110296</v>
      </c>
      <c r="DI5" s="12" t="s">
        <v>140</v>
      </c>
      <c r="DJ5" s="12" t="str">
        <f t="shared" ref="DJ5" si="23">DJ4</f>
        <v xml:space="preserve">CPA Ajuste T/C MBI USD </v>
      </c>
      <c r="DK5" s="13"/>
      <c r="DL5" s="18">
        <f t="shared" ref="DL5" si="24">DK4</f>
        <v>950000</v>
      </c>
    </row>
    <row r="6" spans="1:117" x14ac:dyDescent="0.25">
      <c r="A6" s="1">
        <v>45112</v>
      </c>
      <c r="B6" s="26"/>
      <c r="D6" s="15">
        <v>45110</v>
      </c>
      <c r="E6">
        <v>110258</v>
      </c>
      <c r="F6" t="s">
        <v>63</v>
      </c>
      <c r="G6" t="str">
        <f>"CPA Ajuste T/C Vector USD " &amp;TEXT(D6,"dd-mm-yyy")</f>
        <v>CPA Ajuste T/C Vector USD 03-07-yyy</v>
      </c>
      <c r="H6" s="16">
        <f>+B4</f>
        <v>0</v>
      </c>
      <c r="I6" s="17"/>
      <c r="J6" s="3"/>
      <c r="L6" s="1">
        <v>45265</v>
      </c>
      <c r="M6" s="26">
        <f t="shared" si="0"/>
        <v>0</v>
      </c>
      <c r="N6" s="76">
        <v>0</v>
      </c>
      <c r="O6" s="15">
        <v>45263</v>
      </c>
      <c r="P6">
        <v>430105</v>
      </c>
      <c r="Q6" t="s">
        <v>25</v>
      </c>
      <c r="R6" t="str">
        <f>"CPA Ajuste T/C JP Morgan USD " &amp;TEXT(O6,"dd-mm-yyy")</f>
        <v>CPA Ajuste T/C JP Morgan USD 03-12-yyy</v>
      </c>
      <c r="S6" s="16">
        <f>+M4*-1</f>
        <v>6061</v>
      </c>
      <c r="T6" s="17"/>
      <c r="W6" s="1">
        <v>45112</v>
      </c>
      <c r="X6" s="26">
        <f t="shared" si="1"/>
        <v>-1847</v>
      </c>
      <c r="Y6" s="76">
        <v>-1847.1</v>
      </c>
      <c r="Z6" s="15">
        <v>45110</v>
      </c>
      <c r="AA6">
        <v>110218</v>
      </c>
      <c r="AB6" t="s">
        <v>61</v>
      </c>
      <c r="AC6" t="str">
        <f>"CPA Ajuste T/C CFSB 1126 USD " &amp;TEXT(Z6,"dd-mm-yyy")</f>
        <v>CPA Ajuste T/C CFSB 1126 USD 03-07-yyy</v>
      </c>
      <c r="AD6" s="16">
        <f>+X4</f>
        <v>0</v>
      </c>
      <c r="AE6" s="17"/>
      <c r="AH6" s="1">
        <v>45112</v>
      </c>
      <c r="AI6" s="26">
        <f t="shared" si="2"/>
        <v>-99621</v>
      </c>
      <c r="AJ6" s="76">
        <v>-99621.119999999995</v>
      </c>
      <c r="AK6" s="15">
        <v>45110</v>
      </c>
      <c r="AL6">
        <v>110228</v>
      </c>
      <c r="AM6" t="s">
        <v>69</v>
      </c>
      <c r="AN6" t="str">
        <f>"CPA Ajuste T/C CFSB 0809 USD " &amp;TEXT(AK6,"dd-mm-yyy")</f>
        <v>CPA Ajuste T/C CFSB 0809 USD 03-07-yyy</v>
      </c>
      <c r="AO6" s="16">
        <f>+AI4</f>
        <v>0</v>
      </c>
      <c r="AP6" s="17"/>
      <c r="AT6" s="1">
        <v>45417</v>
      </c>
      <c r="AU6" s="26" t="e">
        <f t="shared" si="3"/>
        <v>#VALUE!</v>
      </c>
      <c r="AV6" s="76" t="s">
        <v>70</v>
      </c>
      <c r="AX6" s="15">
        <v>45415</v>
      </c>
      <c r="AY6">
        <v>110205</v>
      </c>
      <c r="AZ6" t="s">
        <v>59</v>
      </c>
      <c r="BA6" t="str">
        <f>"CPA Ajuste T/C Bco. Bice USD " &amp;TEXT(AX6,)</f>
        <v xml:space="preserve">CPA Ajuste T/C Bco. Bice USD </v>
      </c>
      <c r="BB6" s="16">
        <f>+AU4</f>
        <v>11961923</v>
      </c>
      <c r="BC6" s="17"/>
      <c r="BG6" s="1">
        <v>45112</v>
      </c>
      <c r="BH6" s="26">
        <v>-211500</v>
      </c>
      <c r="BJ6" s="15">
        <v>45110</v>
      </c>
      <c r="BK6">
        <v>110217</v>
      </c>
      <c r="BL6" t="s">
        <v>104</v>
      </c>
      <c r="BM6" t="str">
        <f>"CPA Ajuste T/C CFSB 0947 USD " &amp;TEXT(BJ6,"dd-mm-yyy")</f>
        <v>CPA Ajuste T/C CFSB 0947 USD 03-07-yyy</v>
      </c>
      <c r="BN6" s="16" t="str">
        <f>+BH4</f>
        <v>-</v>
      </c>
      <c r="BO6" s="17"/>
      <c r="BS6" s="1">
        <v>45112</v>
      </c>
      <c r="BT6" s="26">
        <v>-5032000</v>
      </c>
      <c r="BV6" s="15">
        <v>45110</v>
      </c>
      <c r="BW6">
        <v>110278</v>
      </c>
      <c r="BX6" t="s">
        <v>106</v>
      </c>
      <c r="BY6" t="str">
        <f>"CPA Ajuste T/C Bco. Inter. USD " &amp;TEXT(BV6,"dd-mm-yyy")</f>
        <v>CPA Ajuste T/C Bco. Inter. USD 03-07-yyy</v>
      </c>
      <c r="BZ6" s="16">
        <f>+BT4</f>
        <v>770000</v>
      </c>
      <c r="CA6" s="17"/>
      <c r="CE6" s="1">
        <v>45112</v>
      </c>
      <c r="CF6" s="26">
        <v>0</v>
      </c>
      <c r="CH6" s="15">
        <v>45110</v>
      </c>
      <c r="CI6">
        <v>430105</v>
      </c>
      <c r="CJ6" t="s">
        <v>25</v>
      </c>
      <c r="CK6" t="str">
        <f>"CPA Ajuste T/C CFSB 2475 " &amp;TEXT(CH6,"dd-mm-yyy")</f>
        <v>CPA Ajuste T/C CFSB 2475 03-07-yyy</v>
      </c>
      <c r="CL6" s="16">
        <f>+CF4*-1</f>
        <v>1860000</v>
      </c>
      <c r="CM6" s="17"/>
      <c r="CQ6" s="1">
        <v>45112</v>
      </c>
      <c r="CR6" s="26">
        <v>-13932.24</v>
      </c>
      <c r="CT6" s="15">
        <v>45110</v>
      </c>
      <c r="CU6">
        <v>430105</v>
      </c>
      <c r="CV6" t="s">
        <v>25</v>
      </c>
      <c r="CW6" t="str">
        <f>"CPA Ajuste T/C CFSB 1557 " &amp;TEXT(CT6,"dd-mm-yyy")</f>
        <v>CPA Ajuste T/C CFSB 1557 03-07-yyy</v>
      </c>
      <c r="CX6" s="16">
        <f>+CR4*-1</f>
        <v>0</v>
      </c>
      <c r="CY6" s="17"/>
      <c r="DC6" s="1">
        <v>45417</v>
      </c>
      <c r="DD6" s="26" t="e">
        <f t="shared" si="4"/>
        <v>#VALUE!</v>
      </c>
      <c r="DE6" s="26" t="s">
        <v>70</v>
      </c>
      <c r="DG6" s="15">
        <v>45415</v>
      </c>
      <c r="DH6">
        <v>110296</v>
      </c>
      <c r="DI6" t="s">
        <v>140</v>
      </c>
      <c r="DJ6" t="str">
        <f>"CPA Ajuste T/C MBI USD " &amp;TEXT(DG6,)</f>
        <v xml:space="preserve">CPA Ajuste T/C MBI USD </v>
      </c>
      <c r="DK6" s="16">
        <f>+DD4</f>
        <v>7508000</v>
      </c>
      <c r="DL6" s="17"/>
    </row>
    <row r="7" spans="1:117" x14ac:dyDescent="0.25">
      <c r="A7" s="1">
        <v>45113</v>
      </c>
      <c r="B7" s="26"/>
      <c r="D7" s="11"/>
      <c r="E7" s="12">
        <v>430105</v>
      </c>
      <c r="F7" s="12" t="s">
        <v>25</v>
      </c>
      <c r="G7" s="12" t="str">
        <f t="shared" ref="G7" si="25">G6</f>
        <v>CPA Ajuste T/C Vector USD 03-07-yyy</v>
      </c>
      <c r="H7" s="13"/>
      <c r="I7" s="18">
        <f t="shared" ref="I7" si="26">H6</f>
        <v>0</v>
      </c>
      <c r="J7" s="3"/>
      <c r="L7" s="1">
        <v>45266</v>
      </c>
      <c r="M7" s="26">
        <f t="shared" si="0"/>
        <v>-5274</v>
      </c>
      <c r="N7" s="76">
        <v>-5273.65</v>
      </c>
      <c r="O7" s="11"/>
      <c r="P7" s="12">
        <v>110212</v>
      </c>
      <c r="Q7" s="12" t="s">
        <v>64</v>
      </c>
      <c r="R7" s="12" t="str">
        <f t="shared" ref="R7" si="27">R6</f>
        <v>CPA Ajuste T/C JP Morgan USD 03-12-yyy</v>
      </c>
      <c r="S7" s="13"/>
      <c r="T7" s="18">
        <f t="shared" ref="T7" si="28">S6</f>
        <v>6061</v>
      </c>
      <c r="W7" s="1">
        <v>45113</v>
      </c>
      <c r="X7" s="26">
        <f t="shared" si="1"/>
        <v>15099</v>
      </c>
      <c r="Y7" s="76">
        <v>15098.64</v>
      </c>
      <c r="Z7" s="11"/>
      <c r="AA7" s="12">
        <v>430105</v>
      </c>
      <c r="AB7" s="12" t="s">
        <v>25</v>
      </c>
      <c r="AC7" s="12" t="str">
        <f t="shared" ref="AC7" si="29">AC6</f>
        <v>CPA Ajuste T/C CFSB 1126 USD 03-07-yyy</v>
      </c>
      <c r="AD7" s="13"/>
      <c r="AE7" s="18">
        <f t="shared" ref="AE7" si="30">AD6</f>
        <v>0</v>
      </c>
      <c r="AH7" s="1">
        <v>45113</v>
      </c>
      <c r="AI7" s="26">
        <f t="shared" si="2"/>
        <v>49457</v>
      </c>
      <c r="AJ7" s="76">
        <v>49457.3</v>
      </c>
      <c r="AK7" s="11"/>
      <c r="AL7" s="12">
        <v>430105</v>
      </c>
      <c r="AM7" s="12" t="s">
        <v>25</v>
      </c>
      <c r="AN7" s="12" t="str">
        <f t="shared" ref="AN7" si="31">AN6</f>
        <v>CPA Ajuste T/C CFSB 0809 USD 03-07-yyy</v>
      </c>
      <c r="AO7" s="13"/>
      <c r="AP7" s="18">
        <f t="shared" ref="AP7" si="32">AO6</f>
        <v>0</v>
      </c>
      <c r="AT7" s="1">
        <v>45418</v>
      </c>
      <c r="AU7" s="26">
        <f t="shared" si="3"/>
        <v>10585132</v>
      </c>
      <c r="AV7" s="76">
        <v>10585132.27</v>
      </c>
      <c r="AX7" s="11"/>
      <c r="AY7" s="12">
        <v>430105</v>
      </c>
      <c r="AZ7" s="12" t="s">
        <v>25</v>
      </c>
      <c r="BA7" s="12" t="str">
        <f t="shared" ref="BA7" si="33">BA6</f>
        <v xml:space="preserve">CPA Ajuste T/C Bco. Bice USD </v>
      </c>
      <c r="BB7" s="13"/>
      <c r="BC7" s="18">
        <f t="shared" ref="BC7" si="34">BB6</f>
        <v>11961923</v>
      </c>
      <c r="BG7" s="1">
        <v>45113</v>
      </c>
      <c r="BH7" s="26">
        <v>105000</v>
      </c>
      <c r="BJ7" s="11"/>
      <c r="BK7" s="12">
        <v>430105</v>
      </c>
      <c r="BL7" s="12" t="s">
        <v>25</v>
      </c>
      <c r="BM7" s="12" t="str">
        <f t="shared" ref="BM7" si="35">BM6</f>
        <v>CPA Ajuste T/C CFSB 0947 USD 03-07-yyy</v>
      </c>
      <c r="BN7" s="13"/>
      <c r="BO7" s="18" t="str">
        <f t="shared" ref="BO7" si="36">BN6</f>
        <v>-</v>
      </c>
      <c r="BS7" s="1">
        <v>45113</v>
      </c>
      <c r="BT7" s="26">
        <v>1400000</v>
      </c>
      <c r="BV7" s="11"/>
      <c r="BW7" s="12">
        <v>430105</v>
      </c>
      <c r="BX7" s="12" t="s">
        <v>25</v>
      </c>
      <c r="BY7" s="12" t="str">
        <f t="shared" ref="BY7" si="37">BY6</f>
        <v>CPA Ajuste T/C Bco. Inter. USD 03-07-yyy</v>
      </c>
      <c r="BZ7" s="13"/>
      <c r="CA7" s="18">
        <f t="shared" ref="CA7" si="38">BZ6</f>
        <v>770000</v>
      </c>
      <c r="CE7" s="1">
        <v>45113</v>
      </c>
      <c r="CF7" s="26">
        <v>0</v>
      </c>
      <c r="CH7" s="11"/>
      <c r="CI7" s="12">
        <v>110285</v>
      </c>
      <c r="CJ7" s="12" t="s">
        <v>110</v>
      </c>
      <c r="CK7" s="12" t="str">
        <f t="shared" ref="CK7" si="39">CK6</f>
        <v>CPA Ajuste T/C CFSB 2475 03-07-yyy</v>
      </c>
      <c r="CL7" s="13"/>
      <c r="CM7" s="18">
        <f t="shared" ref="CM7" si="40">CL6</f>
        <v>1860000</v>
      </c>
      <c r="CQ7" s="1">
        <v>45113</v>
      </c>
      <c r="CR7" s="108">
        <v>6916.71</v>
      </c>
      <c r="CT7" s="11"/>
      <c r="CU7" s="12">
        <v>110282</v>
      </c>
      <c r="CV7" s="12" t="s">
        <v>112</v>
      </c>
      <c r="CW7" s="12" t="str">
        <f t="shared" ref="CW7" si="41">CW6</f>
        <v>CPA Ajuste T/C CFSB 1557 03-07-yyy</v>
      </c>
      <c r="CX7" s="13"/>
      <c r="CY7" s="18">
        <f t="shared" ref="CY7" si="42">CX6</f>
        <v>0</v>
      </c>
      <c r="DC7" s="1">
        <v>45418</v>
      </c>
      <c r="DD7" s="26">
        <f t="shared" si="4"/>
        <v>13457500</v>
      </c>
      <c r="DE7" s="26">
        <v>13457500</v>
      </c>
      <c r="DG7" s="11"/>
      <c r="DH7" s="12">
        <v>430105</v>
      </c>
      <c r="DI7" s="12" t="s">
        <v>25</v>
      </c>
      <c r="DJ7" s="12" t="str">
        <f t="shared" ref="DJ7" si="43">DJ6</f>
        <v xml:space="preserve">CPA Ajuste T/C MBI USD </v>
      </c>
      <c r="DK7" s="13"/>
      <c r="DL7" s="18">
        <f t="shared" ref="DL7" si="44">DK6</f>
        <v>7508000</v>
      </c>
    </row>
    <row r="8" spans="1:117" x14ac:dyDescent="0.25">
      <c r="A8" s="1">
        <v>45114</v>
      </c>
      <c r="B8" s="26"/>
      <c r="D8" s="15">
        <v>45111</v>
      </c>
      <c r="E8">
        <v>110258</v>
      </c>
      <c r="F8" t="s">
        <v>63</v>
      </c>
      <c r="G8" t="str">
        <f>"CPA Ajuste T/C Vector USD " &amp;TEXT(D8,"dd-mm-yyy")</f>
        <v>CPA Ajuste T/C Vector USD 04-07-yyy</v>
      </c>
      <c r="H8" s="16">
        <f>+B5</f>
        <v>0</v>
      </c>
      <c r="I8" s="17"/>
      <c r="J8" s="3"/>
      <c r="L8" s="1">
        <v>45267</v>
      </c>
      <c r="M8" s="26">
        <f t="shared" si="0"/>
        <v>-950</v>
      </c>
      <c r="N8" s="76">
        <v>-949.76</v>
      </c>
      <c r="O8" s="15">
        <v>45264</v>
      </c>
      <c r="P8">
        <v>430105</v>
      </c>
      <c r="Q8" t="s">
        <v>25</v>
      </c>
      <c r="R8" t="str">
        <f>"CPA Ajuste T/C JP Morgan USD " &amp;TEXT(O8,"dd-mm-yyy")</f>
        <v>CPA Ajuste T/C JP Morgan USD 04-12-yyy</v>
      </c>
      <c r="S8" s="16">
        <f>+M5*-1</f>
        <v>0</v>
      </c>
      <c r="T8" s="17"/>
      <c r="W8" s="1">
        <v>45114</v>
      </c>
      <c r="X8" s="26">
        <f t="shared" si="1"/>
        <v>97868</v>
      </c>
      <c r="Y8" s="76">
        <v>97868.36</v>
      </c>
      <c r="Z8" s="15">
        <v>45111</v>
      </c>
      <c r="AA8">
        <v>430105</v>
      </c>
      <c r="AB8" t="s">
        <v>25</v>
      </c>
      <c r="AC8" t="str">
        <f>"CPA Ajuste T/C CFSB 1126 USD " &amp;TEXT(Z8,"dd-mm-yyy")</f>
        <v>CPA Ajuste T/C CFSB 1126 USD 04-07-yyy</v>
      </c>
      <c r="AD8" s="16">
        <f>(+X5)*-1</f>
        <v>1552</v>
      </c>
      <c r="AE8" s="17"/>
      <c r="AH8" s="1">
        <v>45114</v>
      </c>
      <c r="AI8" s="26">
        <f t="shared" si="2"/>
        <v>233862</v>
      </c>
      <c r="AJ8" s="76">
        <v>233862.36</v>
      </c>
      <c r="AK8" s="15">
        <v>45111</v>
      </c>
      <c r="AL8">
        <v>430105</v>
      </c>
      <c r="AM8" t="s">
        <v>25</v>
      </c>
      <c r="AN8" t="str">
        <f>"CPA Ajuste T/C CFSB 0809 USD " &amp;TEXT(AK8,"dd-mm-yyy")</f>
        <v>CPA Ajuste T/C CFSB 0809 USD 04-07-yyy</v>
      </c>
      <c r="AO8" s="16">
        <f>+AI5*-1</f>
        <v>83724</v>
      </c>
      <c r="AP8" s="17"/>
      <c r="AT8" s="1">
        <v>45419</v>
      </c>
      <c r="AU8" s="26">
        <f t="shared" si="3"/>
        <v>-18518261</v>
      </c>
      <c r="AV8" s="76">
        <v>-18518261.109999999</v>
      </c>
      <c r="AX8" s="15">
        <v>45416</v>
      </c>
      <c r="AY8">
        <v>110205</v>
      </c>
      <c r="AZ8" t="s">
        <v>59</v>
      </c>
      <c r="BA8" t="str">
        <f>"CPA Ajuste T/C Bco. Bice USD " &amp;TEXT(AX8,)</f>
        <v xml:space="preserve">CPA Ajuste T/C Bco. Bice USD </v>
      </c>
      <c r="BB8" s="16" t="e">
        <f>+AU5</f>
        <v>#VALUE!</v>
      </c>
      <c r="BC8" s="17"/>
      <c r="BG8" s="1">
        <v>45114</v>
      </c>
      <c r="BH8" s="26">
        <v>496500</v>
      </c>
      <c r="BJ8" s="15">
        <v>45111</v>
      </c>
      <c r="BK8">
        <v>430105</v>
      </c>
      <c r="BL8" t="s">
        <v>25</v>
      </c>
      <c r="BM8" t="str">
        <f>"CPA Ajuste T/C CFSB 0947 USD " &amp;TEXT(BJ8,"dd-mm-yyy")</f>
        <v>CPA Ajuste T/C CFSB 0947 USD 04-07-yyy</v>
      </c>
      <c r="BN8" s="16">
        <f>+BH5*-1</f>
        <v>177750</v>
      </c>
      <c r="BO8" s="17"/>
      <c r="BS8" s="1">
        <v>45114</v>
      </c>
      <c r="BT8" s="26">
        <v>14640000</v>
      </c>
      <c r="BV8" s="15">
        <v>45111</v>
      </c>
      <c r="BW8">
        <v>430105</v>
      </c>
      <c r="BX8" t="s">
        <v>25</v>
      </c>
      <c r="BY8" t="str">
        <f>"CPA Ajuste T/C Bco. Inter. USD " &amp;TEXT(BV8,"dd-mm-yyy")</f>
        <v>CPA Ajuste T/C Bco. Inter. USD 04-07-yyy</v>
      </c>
      <c r="BZ8" s="16">
        <f>+BT5*-1</f>
        <v>0</v>
      </c>
      <c r="CA8" s="17"/>
      <c r="CE8" s="1">
        <v>45114</v>
      </c>
      <c r="CF8" s="26">
        <v>1281000</v>
      </c>
      <c r="CH8" s="15">
        <v>45111</v>
      </c>
      <c r="CI8">
        <v>110285</v>
      </c>
      <c r="CJ8" t="s">
        <v>110</v>
      </c>
      <c r="CK8" t="str">
        <f>"CPA Ajuste T/C CFSB 2475 " &amp;TEXT(CH8,"dd-mm-yyy")</f>
        <v>CPA Ajuste T/C CFSB 2475 04-07-yyy</v>
      </c>
      <c r="CL8" s="16">
        <f>+CF5</f>
        <v>126000</v>
      </c>
      <c r="CM8" s="17"/>
      <c r="CQ8" s="1">
        <v>45114</v>
      </c>
      <c r="CR8" s="26">
        <v>32706.18</v>
      </c>
      <c r="CT8" s="15">
        <v>45111</v>
      </c>
      <c r="CU8">
        <v>430105</v>
      </c>
      <c r="CV8" t="s">
        <v>25</v>
      </c>
      <c r="CW8" t="str">
        <f>"CPA Ajuste T/C CFSB 1557 " &amp;TEXT(CT8,"dd-mm-yyy")</f>
        <v>CPA Ajuste T/C CFSB 1557 04-07-yyy</v>
      </c>
      <c r="CX8" s="16">
        <f>+CR5*-1</f>
        <v>11709.01</v>
      </c>
      <c r="CY8" s="17"/>
      <c r="DC8" s="1">
        <v>45419</v>
      </c>
      <c r="DD8" s="26">
        <f t="shared" si="4"/>
        <v>-7537500</v>
      </c>
      <c r="DE8" s="108">
        <v>-7537500</v>
      </c>
      <c r="DG8" s="15">
        <v>45416</v>
      </c>
      <c r="DH8">
        <v>430105</v>
      </c>
      <c r="DI8" t="s">
        <v>25</v>
      </c>
      <c r="DJ8" t="str">
        <f>"CPA Ajuste T/C MBI USD " &amp;TEXT(DG8,)</f>
        <v xml:space="preserve">CPA Ajuste T/C MBI USD </v>
      </c>
      <c r="DK8" s="16" t="e">
        <f>+DD5*-1</f>
        <v>#VALUE!</v>
      </c>
      <c r="DL8" s="17"/>
    </row>
    <row r="9" spans="1:117" x14ac:dyDescent="0.25">
      <c r="A9" s="1">
        <v>45115</v>
      </c>
      <c r="B9" s="26"/>
      <c r="D9" s="20"/>
      <c r="E9" s="12">
        <v>430105</v>
      </c>
      <c r="F9" s="12" t="s">
        <v>25</v>
      </c>
      <c r="G9" s="12" t="str">
        <f t="shared" ref="G9" si="45">G8</f>
        <v>CPA Ajuste T/C Vector USD 04-07-yyy</v>
      </c>
      <c r="I9" s="10">
        <f t="shared" ref="I9" si="46">H8</f>
        <v>0</v>
      </c>
      <c r="J9" s="3"/>
      <c r="L9" s="1">
        <v>45268</v>
      </c>
      <c r="M9" s="26">
        <f t="shared" si="0"/>
        <v>4061</v>
      </c>
      <c r="N9" s="76">
        <v>4061.46</v>
      </c>
      <c r="O9" s="20"/>
      <c r="P9" s="12">
        <v>110212</v>
      </c>
      <c r="Q9" s="12" t="s">
        <v>64</v>
      </c>
      <c r="R9" s="12" t="str">
        <f t="shared" ref="R9" si="47">R8</f>
        <v>CPA Ajuste T/C JP Morgan USD 04-12-yyy</v>
      </c>
      <c r="T9" s="10">
        <f t="shared" ref="T9" si="48">S8</f>
        <v>0</v>
      </c>
      <c r="W9" s="1">
        <v>45115</v>
      </c>
      <c r="X9" s="26">
        <f t="shared" si="1"/>
        <v>0</v>
      </c>
      <c r="Y9" s="76">
        <v>0</v>
      </c>
      <c r="Z9" s="20"/>
      <c r="AA9" s="12">
        <v>110218</v>
      </c>
      <c r="AB9" s="12" t="s">
        <v>61</v>
      </c>
      <c r="AC9" s="12" t="str">
        <f t="shared" ref="AC9" si="49">AC8</f>
        <v>CPA Ajuste T/C CFSB 1126 USD 04-07-yyy</v>
      </c>
      <c r="AE9" s="10">
        <f t="shared" ref="AE9" si="50">AD8</f>
        <v>1552</v>
      </c>
      <c r="AH9" s="1">
        <v>45115</v>
      </c>
      <c r="AI9" s="26">
        <f t="shared" si="2"/>
        <v>0</v>
      </c>
      <c r="AJ9" s="76">
        <v>0</v>
      </c>
      <c r="AK9" s="20"/>
      <c r="AL9" s="12">
        <v>110228</v>
      </c>
      <c r="AM9" s="12" t="s">
        <v>69</v>
      </c>
      <c r="AN9" s="12" t="str">
        <f t="shared" ref="AN9" si="51">AN8</f>
        <v>CPA Ajuste T/C CFSB 0809 USD 04-07-yyy</v>
      </c>
      <c r="AP9" s="10">
        <f t="shared" ref="AP9" si="52">AO8</f>
        <v>83724</v>
      </c>
      <c r="AT9" s="1">
        <v>45420</v>
      </c>
      <c r="AU9" s="26">
        <f t="shared" si="3"/>
        <v>1894362</v>
      </c>
      <c r="AV9" s="76">
        <v>1894361.55</v>
      </c>
      <c r="AX9" s="20"/>
      <c r="AY9" s="12">
        <v>430105</v>
      </c>
      <c r="AZ9" s="12" t="s">
        <v>25</v>
      </c>
      <c r="BA9" s="12" t="str">
        <f t="shared" ref="BA9" si="53">BA8</f>
        <v xml:space="preserve">CPA Ajuste T/C Bco. Bice USD </v>
      </c>
      <c r="BC9" s="10" t="e">
        <f t="shared" ref="BC9" si="54">BB8</f>
        <v>#VALUE!</v>
      </c>
      <c r="BG9" s="1">
        <v>45115</v>
      </c>
      <c r="BH9" s="26" t="s">
        <v>70</v>
      </c>
      <c r="BJ9" s="20"/>
      <c r="BK9" s="12">
        <v>110217</v>
      </c>
      <c r="BL9" s="12" t="s">
        <v>104</v>
      </c>
      <c r="BM9" s="12" t="str">
        <f t="shared" ref="BM9" si="55">BM8</f>
        <v>CPA Ajuste T/C CFSB 0947 USD 04-07-yyy</v>
      </c>
      <c r="BO9" s="10">
        <f t="shared" ref="BO9" si="56">BN8</f>
        <v>177750</v>
      </c>
      <c r="BS9" s="1">
        <v>45115</v>
      </c>
      <c r="BT9" s="26">
        <v>0</v>
      </c>
      <c r="BV9" s="20"/>
      <c r="BW9" s="12">
        <v>110278</v>
      </c>
      <c r="BX9" s="12" t="s">
        <v>106</v>
      </c>
      <c r="BY9" s="12" t="str">
        <f t="shared" ref="BY9" si="57">BY8</f>
        <v>CPA Ajuste T/C Bco. Inter. USD 04-07-yyy</v>
      </c>
      <c r="CA9" s="10">
        <f t="shared" ref="CA9" si="58">BZ8</f>
        <v>0</v>
      </c>
      <c r="CE9" s="1">
        <v>45115</v>
      </c>
      <c r="CF9" s="26"/>
      <c r="CH9" s="20"/>
      <c r="CI9" s="12">
        <v>430105</v>
      </c>
      <c r="CJ9" s="12" t="s">
        <v>25</v>
      </c>
      <c r="CK9" s="12" t="str">
        <f t="shared" ref="CK9" si="59">CK8</f>
        <v>CPA Ajuste T/C CFSB 2475 04-07-yyy</v>
      </c>
      <c r="CM9" s="10">
        <f t="shared" ref="CM9" si="60">CL8</f>
        <v>126000</v>
      </c>
      <c r="CQ9" s="1">
        <v>45115</v>
      </c>
      <c r="CR9" s="26">
        <v>0</v>
      </c>
      <c r="CT9" s="20"/>
      <c r="CU9" s="12">
        <v>110282</v>
      </c>
      <c r="CV9" s="12" t="s">
        <v>112</v>
      </c>
      <c r="CW9" s="12" t="str">
        <f t="shared" ref="CW9" si="61">CW8</f>
        <v>CPA Ajuste T/C CFSB 1557 04-07-yyy</v>
      </c>
      <c r="CY9" s="10">
        <f t="shared" ref="CY9" si="62">CX8</f>
        <v>11709.01</v>
      </c>
      <c r="DC9" s="1">
        <v>45420</v>
      </c>
      <c r="DD9" s="26">
        <f t="shared" si="4"/>
        <v>-682500</v>
      </c>
      <c r="DE9" s="26">
        <v>-682500</v>
      </c>
      <c r="DG9" s="20"/>
      <c r="DH9" s="12">
        <v>110296</v>
      </c>
      <c r="DI9" s="12" t="s">
        <v>140</v>
      </c>
      <c r="DJ9" s="12" t="str">
        <f t="shared" ref="DJ9" si="63">DJ8</f>
        <v xml:space="preserve">CPA Ajuste T/C MBI USD </v>
      </c>
      <c r="DL9" s="10" t="e">
        <f t="shared" ref="DL9" si="64">DK8</f>
        <v>#VALUE!</v>
      </c>
    </row>
    <row r="10" spans="1:117" x14ac:dyDescent="0.25">
      <c r="A10" s="1">
        <v>45116</v>
      </c>
      <c r="B10" s="26"/>
      <c r="D10" s="15">
        <v>45112</v>
      </c>
      <c r="E10">
        <v>110258</v>
      </c>
      <c r="F10" t="s">
        <v>63</v>
      </c>
      <c r="G10" t="str">
        <f>"CPA Ajuste T/C Vector USD " &amp;TEXT(D10,"dd-mm-yyy")</f>
        <v>CPA Ajuste T/C Vector USD 05-07-yyy</v>
      </c>
      <c r="H10" s="16">
        <f>+B6</f>
        <v>0</v>
      </c>
      <c r="I10" s="17"/>
      <c r="J10" s="3"/>
      <c r="L10" s="1">
        <v>45269</v>
      </c>
      <c r="M10" s="26">
        <f t="shared" si="0"/>
        <v>6073</v>
      </c>
      <c r="N10" s="76">
        <v>6073.44</v>
      </c>
      <c r="O10" s="15">
        <v>45265</v>
      </c>
      <c r="P10">
        <v>110212</v>
      </c>
      <c r="Q10" t="s">
        <v>64</v>
      </c>
      <c r="R10" t="str">
        <f>"CPA Ajuste T/C JP Morgan USD " &amp;TEXT(O10,"dd-mm-yyy")</f>
        <v>CPA Ajuste T/C JP Morgan USD 05-12-yyy</v>
      </c>
      <c r="S10" s="16">
        <f>+M6</f>
        <v>0</v>
      </c>
      <c r="T10" s="17"/>
      <c r="W10" s="1">
        <v>45116</v>
      </c>
      <c r="X10" s="26">
        <f t="shared" si="1"/>
        <v>0</v>
      </c>
      <c r="Y10" s="76">
        <v>0</v>
      </c>
      <c r="Z10" s="15">
        <v>45112</v>
      </c>
      <c r="AA10">
        <v>430105</v>
      </c>
      <c r="AB10" t="s">
        <v>25</v>
      </c>
      <c r="AC10" t="str">
        <f>"CPA Ajuste T/C CFSB 1126 USD " &amp;TEXT(Z10,"dd-mm-yyy")</f>
        <v>CPA Ajuste T/C CFSB 1126 USD 05-07-yyy</v>
      </c>
      <c r="AD10" s="16">
        <f>(+X6)*-1</f>
        <v>1847</v>
      </c>
      <c r="AE10" s="17"/>
      <c r="AH10" s="1">
        <v>45116</v>
      </c>
      <c r="AI10" s="26">
        <f t="shared" si="2"/>
        <v>0</v>
      </c>
      <c r="AJ10" s="76">
        <v>0</v>
      </c>
      <c r="AK10" s="15">
        <v>45112</v>
      </c>
      <c r="AL10">
        <v>430105</v>
      </c>
      <c r="AM10" t="s">
        <v>25</v>
      </c>
      <c r="AN10" t="str">
        <f>"CPA Ajuste T/C CFSB 0809 USD " &amp;TEXT(AK10,"dd-mm-yyy")</f>
        <v>CPA Ajuste T/C CFSB 0809 USD 05-07-yyy</v>
      </c>
      <c r="AO10" s="16">
        <f>+AI6*-1</f>
        <v>99621</v>
      </c>
      <c r="AP10" s="17"/>
      <c r="AT10" s="1">
        <v>45421</v>
      </c>
      <c r="AU10" s="26">
        <f t="shared" si="3"/>
        <v>7410509</v>
      </c>
      <c r="AV10" s="76">
        <v>7410509.2300000004</v>
      </c>
      <c r="AX10" s="15">
        <v>45417</v>
      </c>
      <c r="AY10">
        <v>430105</v>
      </c>
      <c r="AZ10" t="s">
        <v>25</v>
      </c>
      <c r="BA10" t="str">
        <f>"CPA Ajuste T/C Bco. Bice USD " &amp;TEXT(AX10,)</f>
        <v xml:space="preserve">CPA Ajuste T/C Bco. Bice USD </v>
      </c>
      <c r="BB10" s="16" t="e">
        <f>+AU6*-1</f>
        <v>#VALUE!</v>
      </c>
      <c r="BC10" s="17"/>
      <c r="BG10" s="1">
        <v>45116</v>
      </c>
      <c r="BH10" s="26" t="s">
        <v>70</v>
      </c>
      <c r="BJ10" s="15">
        <v>45112</v>
      </c>
      <c r="BK10">
        <v>430105</v>
      </c>
      <c r="BL10" t="s">
        <v>25</v>
      </c>
      <c r="BM10" t="str">
        <f>"CPA Ajuste T/C CFSB 0947 USD " &amp;TEXT(BJ10,"dd-mm-yyy")</f>
        <v>CPA Ajuste T/C CFSB 0947 USD 05-07-yyy</v>
      </c>
      <c r="BN10" s="16">
        <f>+BH6*-1</f>
        <v>211500</v>
      </c>
      <c r="BO10" s="17"/>
      <c r="BS10" s="1">
        <v>45116</v>
      </c>
      <c r="BT10" s="26">
        <v>0</v>
      </c>
      <c r="BV10" s="15">
        <v>45112</v>
      </c>
      <c r="BW10">
        <v>430105</v>
      </c>
      <c r="BX10" t="s">
        <v>25</v>
      </c>
      <c r="BY10" t="str">
        <f>"CPA Ajuste T/C Bco. Inter. USD " &amp;TEXT(BV10,"dd-mm-yyy")</f>
        <v>CPA Ajuste T/C Bco. Inter. USD 05-07-yyy</v>
      </c>
      <c r="BZ10" s="16">
        <f>+BT6*-1</f>
        <v>5032000</v>
      </c>
      <c r="CA10" s="17"/>
      <c r="CE10" s="1">
        <v>45116</v>
      </c>
      <c r="CF10" s="26"/>
      <c r="CH10" s="15">
        <v>45112</v>
      </c>
      <c r="CI10">
        <v>430105</v>
      </c>
      <c r="CJ10" t="s">
        <v>25</v>
      </c>
      <c r="CK10" t="str">
        <f>"CPA Ajuste T/C CFSB 2475 " &amp;TEXT(CH10,"dd-mm-yyy")</f>
        <v>CPA Ajuste T/C CFSB 2475 05-07-yyy</v>
      </c>
      <c r="CL10" s="16">
        <f>+CF6*-1</f>
        <v>0</v>
      </c>
      <c r="CM10" s="17"/>
      <c r="CQ10" s="1">
        <v>45116</v>
      </c>
      <c r="CR10" s="26">
        <v>0</v>
      </c>
      <c r="CT10" s="15">
        <v>45112</v>
      </c>
      <c r="CU10">
        <v>430105</v>
      </c>
      <c r="CV10" t="s">
        <v>25</v>
      </c>
      <c r="CW10" t="str">
        <f>"CPA Ajuste T/C CFSB 1557 " &amp;TEXT(CT10,"dd-mm-yyy")</f>
        <v>CPA Ajuste T/C CFSB 1557 05-07-yyy</v>
      </c>
      <c r="CX10" s="16">
        <f>+CR6*-1</f>
        <v>13932.24</v>
      </c>
      <c r="CY10" s="17"/>
      <c r="DC10" s="1">
        <v>45421</v>
      </c>
      <c r="DD10" s="26">
        <f t="shared" si="4"/>
        <v>2280000</v>
      </c>
      <c r="DE10" s="26">
        <v>2280000</v>
      </c>
      <c r="DG10" s="15">
        <v>45417</v>
      </c>
      <c r="DH10">
        <v>110296</v>
      </c>
      <c r="DI10" t="s">
        <v>140</v>
      </c>
      <c r="DJ10" t="str">
        <f>"CPA Ajuste T/C MBI USD " &amp;TEXT(DG10,)</f>
        <v xml:space="preserve">CPA Ajuste T/C MBI USD </v>
      </c>
      <c r="DK10" s="16" t="e">
        <f>+DD6</f>
        <v>#VALUE!</v>
      </c>
      <c r="DL10" s="17"/>
    </row>
    <row r="11" spans="1:117" x14ac:dyDescent="0.25">
      <c r="A11" s="1">
        <v>45117</v>
      </c>
      <c r="B11" s="26"/>
      <c r="D11" s="20"/>
      <c r="E11" s="12">
        <v>430105</v>
      </c>
      <c r="F11" s="12" t="s">
        <v>25</v>
      </c>
      <c r="G11" s="12" t="str">
        <f t="shared" ref="G11" si="65">G10</f>
        <v>CPA Ajuste T/C Vector USD 05-07-yyy</v>
      </c>
      <c r="I11" s="10">
        <f t="shared" ref="I11" si="66">H10</f>
        <v>0</v>
      </c>
      <c r="J11" s="3"/>
      <c r="L11" s="1">
        <v>45270</v>
      </c>
      <c r="M11" s="26">
        <f t="shared" si="0"/>
        <v>4305</v>
      </c>
      <c r="N11" s="76">
        <v>4305.1499999999996</v>
      </c>
      <c r="O11" s="20"/>
      <c r="P11" s="12">
        <v>430105</v>
      </c>
      <c r="Q11" s="12" t="s">
        <v>25</v>
      </c>
      <c r="R11" s="12" t="str">
        <f t="shared" ref="R11" si="67">R10</f>
        <v>CPA Ajuste T/C JP Morgan USD 05-12-yyy</v>
      </c>
      <c r="T11" s="10">
        <f t="shared" ref="T11" si="68">S10</f>
        <v>0</v>
      </c>
      <c r="W11" s="1">
        <v>45117</v>
      </c>
      <c r="X11" s="26">
        <f t="shared" si="1"/>
        <v>30012</v>
      </c>
      <c r="Y11" s="76">
        <v>30011.56</v>
      </c>
      <c r="Z11" s="20"/>
      <c r="AA11" s="12">
        <v>110218</v>
      </c>
      <c r="AB11" s="12" t="s">
        <v>61</v>
      </c>
      <c r="AC11" s="12" t="str">
        <f t="shared" ref="AC11" si="69">AC10</f>
        <v>CPA Ajuste T/C CFSB 1126 USD 05-07-yyy</v>
      </c>
      <c r="AE11" s="10">
        <f t="shared" ref="AE11" si="70">AD10</f>
        <v>1847</v>
      </c>
      <c r="AH11" s="1">
        <v>45117</v>
      </c>
      <c r="AI11" s="26">
        <f t="shared" si="2"/>
        <v>92013</v>
      </c>
      <c r="AJ11" s="76">
        <v>92013.08</v>
      </c>
      <c r="AK11" s="20"/>
      <c r="AL11" s="12">
        <v>110228</v>
      </c>
      <c r="AM11" s="12" t="s">
        <v>69</v>
      </c>
      <c r="AN11" s="12" t="str">
        <f t="shared" ref="AN11" si="71">AN10</f>
        <v>CPA Ajuste T/C CFSB 0809 USD 05-07-yyy</v>
      </c>
      <c r="AP11" s="10">
        <f t="shared" ref="AP11" si="72">AO10</f>
        <v>99621</v>
      </c>
      <c r="AT11" s="1">
        <v>45422</v>
      </c>
      <c r="AU11" s="26">
        <f t="shared" si="3"/>
        <v>5973286</v>
      </c>
      <c r="AV11" s="76">
        <v>5973286.1299999999</v>
      </c>
      <c r="AX11" s="20"/>
      <c r="AY11" s="12">
        <v>110205</v>
      </c>
      <c r="AZ11" s="12" t="s">
        <v>59</v>
      </c>
      <c r="BA11" s="12" t="str">
        <f t="shared" ref="BA11" si="73">BA10</f>
        <v xml:space="preserve">CPA Ajuste T/C Bco. Bice USD </v>
      </c>
      <c r="BC11" s="10" t="e">
        <f t="shared" ref="BC11" si="74">BB10</f>
        <v>#VALUE!</v>
      </c>
      <c r="BG11" s="1">
        <v>45117</v>
      </c>
      <c r="BH11" s="26">
        <v>152250</v>
      </c>
      <c r="BJ11" s="20"/>
      <c r="BK11" s="12">
        <v>110217</v>
      </c>
      <c r="BL11" s="12" t="s">
        <v>104</v>
      </c>
      <c r="BM11" s="12" t="str">
        <f t="shared" ref="BM11" si="75">BM10</f>
        <v>CPA Ajuste T/C CFSB 0947 USD 05-07-yyy</v>
      </c>
      <c r="BO11" s="10">
        <f t="shared" ref="BO11" si="76">BN10</f>
        <v>211500</v>
      </c>
      <c r="BS11" s="1">
        <v>45117</v>
      </c>
      <c r="BT11" s="26">
        <v>1522500</v>
      </c>
      <c r="BV11" s="20"/>
      <c r="BW11" s="12">
        <v>110278</v>
      </c>
      <c r="BX11" s="12" t="s">
        <v>106</v>
      </c>
      <c r="BY11" s="12" t="str">
        <f t="shared" ref="BY11" si="77">BY10</f>
        <v>CPA Ajuste T/C Bco. Inter. USD 05-07-yyy</v>
      </c>
      <c r="CA11" s="10">
        <f t="shared" ref="CA11" si="78">BZ10</f>
        <v>5032000</v>
      </c>
      <c r="CE11" s="1">
        <v>45117</v>
      </c>
      <c r="CF11" s="26"/>
      <c r="CH11" s="20"/>
      <c r="CI11" s="12">
        <v>110285</v>
      </c>
      <c r="CJ11" s="12" t="s">
        <v>110</v>
      </c>
      <c r="CK11" s="12" t="str">
        <f t="shared" ref="CK11" si="79">CK10</f>
        <v>CPA Ajuste T/C CFSB 2475 05-07-yyy</v>
      </c>
      <c r="CM11" s="10">
        <f t="shared" ref="CM11" si="80">CL10</f>
        <v>0</v>
      </c>
      <c r="CQ11" s="1">
        <v>45117</v>
      </c>
      <c r="CR11" s="26">
        <v>10094.200000000001</v>
      </c>
      <c r="CT11" s="20"/>
      <c r="CU11" s="12">
        <v>110282</v>
      </c>
      <c r="CV11" s="12" t="s">
        <v>112</v>
      </c>
      <c r="CW11" s="12" t="str">
        <f t="shared" ref="CW11" si="81">CW10</f>
        <v>CPA Ajuste T/C CFSB 1557 05-07-yyy</v>
      </c>
      <c r="CY11" s="10">
        <f t="shared" ref="CY11" si="82">CX10</f>
        <v>13932.24</v>
      </c>
      <c r="DC11" s="1">
        <v>45422</v>
      </c>
      <c r="DD11" s="26">
        <f t="shared" si="4"/>
        <v>4395000</v>
      </c>
      <c r="DE11" s="26">
        <v>4395000</v>
      </c>
      <c r="DG11" s="20"/>
      <c r="DH11" s="12">
        <v>430105</v>
      </c>
      <c r="DI11" s="12" t="s">
        <v>25</v>
      </c>
      <c r="DJ11" s="12" t="str">
        <f t="shared" ref="DJ11" si="83">DJ10</f>
        <v xml:space="preserve">CPA Ajuste T/C MBI USD </v>
      </c>
      <c r="DL11" s="10" t="e">
        <f t="shared" ref="DL11" si="84">DK10</f>
        <v>#VALUE!</v>
      </c>
    </row>
    <row r="12" spans="1:117" x14ac:dyDescent="0.25">
      <c r="A12" s="1">
        <v>45118</v>
      </c>
      <c r="B12" s="26"/>
      <c r="D12" s="15">
        <v>45113</v>
      </c>
      <c r="E12">
        <v>430105</v>
      </c>
      <c r="F12" t="s">
        <v>25</v>
      </c>
      <c r="G12" t="str">
        <f>"CPA Ajuste T/C Vector USD " &amp;TEXT(D12,"dd-mm-yyy")</f>
        <v>CPA Ajuste T/C Vector USD 06-07-yyy</v>
      </c>
      <c r="H12" s="16">
        <f>+B7*-1</f>
        <v>0</v>
      </c>
      <c r="I12" s="17"/>
      <c r="J12" s="3"/>
      <c r="L12" s="1">
        <v>45271</v>
      </c>
      <c r="M12" s="26">
        <f t="shared" si="0"/>
        <v>0</v>
      </c>
      <c r="N12" s="76">
        <v>0</v>
      </c>
      <c r="O12" s="15">
        <v>45266</v>
      </c>
      <c r="P12">
        <v>430105</v>
      </c>
      <c r="Q12" t="s">
        <v>25</v>
      </c>
      <c r="R12" t="str">
        <f>"CPA Ajuste T/C JP Morgan USD " &amp;TEXT(O12,"dd-mm-yyy")</f>
        <v>CPA Ajuste T/C JP Morgan USD 06-12-yyy</v>
      </c>
      <c r="S12" s="16">
        <f>+M7*-1</f>
        <v>5274</v>
      </c>
      <c r="T12" s="17"/>
      <c r="W12" s="1">
        <v>45118</v>
      </c>
      <c r="X12" s="26">
        <f t="shared" si="1"/>
        <v>88938</v>
      </c>
      <c r="Y12" s="76">
        <v>88938.05</v>
      </c>
      <c r="Z12" s="15">
        <v>45113</v>
      </c>
      <c r="AA12">
        <v>110218</v>
      </c>
      <c r="AB12" t="s">
        <v>61</v>
      </c>
      <c r="AC12" t="str">
        <f>"CPA Ajuste T/C CFSB 1126 USD " &amp;TEXT(Z12,"dd-mm-yyy")</f>
        <v>CPA Ajuste T/C CFSB 1126 USD 06-07-yyy</v>
      </c>
      <c r="AD12" s="16">
        <f>+X7</f>
        <v>15099</v>
      </c>
      <c r="AE12" s="17"/>
      <c r="AH12" s="1">
        <v>45118</v>
      </c>
      <c r="AI12" s="26">
        <f t="shared" si="2"/>
        <v>247483</v>
      </c>
      <c r="AJ12" s="76">
        <v>247483.45</v>
      </c>
      <c r="AK12" s="15">
        <v>45113</v>
      </c>
      <c r="AL12">
        <v>110228</v>
      </c>
      <c r="AM12" t="s">
        <v>69</v>
      </c>
      <c r="AN12" t="str">
        <f>"CPA Ajuste T/C CFSB 0809 USD " &amp;TEXT(AK12,"dd-mm-yyy")</f>
        <v>CPA Ajuste T/C CFSB 0809 USD 06-07-yyy</v>
      </c>
      <c r="AO12" s="16">
        <f>+AI7</f>
        <v>49457</v>
      </c>
      <c r="AP12" s="17"/>
      <c r="AT12" s="1">
        <v>45423</v>
      </c>
      <c r="AU12" s="26" t="e">
        <f t="shared" si="3"/>
        <v>#VALUE!</v>
      </c>
      <c r="AV12" s="76" t="s">
        <v>70</v>
      </c>
      <c r="AX12" s="15">
        <v>45418</v>
      </c>
      <c r="AY12">
        <v>110205</v>
      </c>
      <c r="AZ12" t="s">
        <v>59</v>
      </c>
      <c r="BA12" t="str">
        <f>"CPA Ajuste T/C Bco. Bice USD " &amp;TEXT(AX12,)</f>
        <v xml:space="preserve">CPA Ajuste T/C Bco. Bice USD </v>
      </c>
      <c r="BB12" s="16">
        <f>+AU7</f>
        <v>10585132</v>
      </c>
      <c r="BC12" s="17"/>
      <c r="BG12" s="1">
        <v>45118</v>
      </c>
      <c r="BH12" s="26">
        <v>409500</v>
      </c>
      <c r="BJ12" s="15">
        <v>45113</v>
      </c>
      <c r="BK12">
        <v>110217</v>
      </c>
      <c r="BL12" t="s">
        <v>104</v>
      </c>
      <c r="BM12" t="str">
        <f>"CPA Ajuste T/C CFSB 0947 USD " &amp;TEXT(BJ12,"dd-mm-yyy")</f>
        <v>CPA Ajuste T/C CFSB 0947 USD 06-07-yyy</v>
      </c>
      <c r="BN12" s="16">
        <f>+BH7</f>
        <v>105000</v>
      </c>
      <c r="BO12" s="17"/>
      <c r="BS12" s="1">
        <v>45118</v>
      </c>
      <c r="BT12" s="26">
        <v>1351000</v>
      </c>
      <c r="BV12" s="15">
        <v>45113</v>
      </c>
      <c r="BW12">
        <v>110278</v>
      </c>
      <c r="BX12" t="s">
        <v>106</v>
      </c>
      <c r="BY12" t="str">
        <f>"CPA Ajuste T/C Bco. Inter. USD " &amp;TEXT(BV12,"dd-mm-yyy")</f>
        <v>CPA Ajuste T/C Bco. Inter. USD 06-07-yyy</v>
      </c>
      <c r="BZ12" s="16">
        <f>+BT7</f>
        <v>1400000</v>
      </c>
      <c r="CA12" s="17"/>
      <c r="CE12" s="1">
        <v>45118</v>
      </c>
      <c r="CF12" s="26"/>
      <c r="CH12" s="15">
        <v>45113</v>
      </c>
      <c r="CI12">
        <v>110285</v>
      </c>
      <c r="CJ12" t="s">
        <v>110</v>
      </c>
      <c r="CK12" t="str">
        <f>"CPA Ajuste T/C CFSB 2475 " &amp;TEXT(CH12,"dd-mm-yyy")</f>
        <v>CPA Ajuste T/C CFSB 2475 06-07-yyy</v>
      </c>
      <c r="CL12" s="16">
        <f>+CF7</f>
        <v>0</v>
      </c>
      <c r="CM12" s="17"/>
      <c r="CQ12" s="1">
        <v>45118</v>
      </c>
      <c r="CR12" s="26">
        <v>27270.02</v>
      </c>
      <c r="CT12" s="15">
        <v>45113</v>
      </c>
      <c r="CU12">
        <v>110282</v>
      </c>
      <c r="CV12" t="s">
        <v>112</v>
      </c>
      <c r="CW12" t="str">
        <f>"CPA Ajuste T/C CFSB 1557 " &amp;TEXT(CT12,"dd-mm-yyy")</f>
        <v>CPA Ajuste T/C CFSB 1557 06-07-yyy</v>
      </c>
      <c r="CX12" s="16">
        <f>+CR7</f>
        <v>6916.71</v>
      </c>
      <c r="CY12" s="17"/>
      <c r="DC12" s="1">
        <v>45423</v>
      </c>
      <c r="DD12" s="26" t="e">
        <f t="shared" si="4"/>
        <v>#VALUE!</v>
      </c>
      <c r="DE12" s="26" t="s">
        <v>70</v>
      </c>
      <c r="DG12" s="15">
        <v>45418</v>
      </c>
      <c r="DH12">
        <v>110296</v>
      </c>
      <c r="DI12" t="s">
        <v>140</v>
      </c>
      <c r="DJ12" t="str">
        <f>"CPA Ajuste T/C MBI USD " &amp;TEXT(DG12,)</f>
        <v xml:space="preserve">CPA Ajuste T/C MBI USD </v>
      </c>
      <c r="DK12" s="16">
        <f>+DD7</f>
        <v>13457500</v>
      </c>
      <c r="DL12" s="17"/>
    </row>
    <row r="13" spans="1:117" x14ac:dyDescent="0.25">
      <c r="A13" s="1">
        <v>45119</v>
      </c>
      <c r="B13" s="26"/>
      <c r="C13" s="39"/>
      <c r="D13" s="20"/>
      <c r="E13" s="12">
        <v>110258</v>
      </c>
      <c r="F13" s="12" t="s">
        <v>63</v>
      </c>
      <c r="G13" s="12" t="str">
        <f t="shared" ref="G13" si="85">G12</f>
        <v>CPA Ajuste T/C Vector USD 06-07-yyy</v>
      </c>
      <c r="H13" s="3"/>
      <c r="I13" s="10">
        <f t="shared" ref="I13" si="86">H12</f>
        <v>0</v>
      </c>
      <c r="J13" s="3"/>
      <c r="L13" s="1">
        <v>45272</v>
      </c>
      <c r="M13" s="26">
        <f t="shared" si="0"/>
        <v>0</v>
      </c>
      <c r="N13" s="76">
        <v>0</v>
      </c>
      <c r="O13" s="20"/>
      <c r="P13" s="12">
        <v>110212</v>
      </c>
      <c r="Q13" s="12" t="s">
        <v>64</v>
      </c>
      <c r="R13" s="12" t="str">
        <f t="shared" ref="R13" si="87">R12</f>
        <v>CPA Ajuste T/C JP Morgan USD 06-12-yyy</v>
      </c>
      <c r="S13" s="3"/>
      <c r="T13" s="10">
        <f t="shared" ref="T13" si="88">S12</f>
        <v>5274</v>
      </c>
      <c r="W13" s="1">
        <v>45119</v>
      </c>
      <c r="X13" s="26">
        <f t="shared" si="1"/>
        <v>79845</v>
      </c>
      <c r="Y13" s="76">
        <v>79845.22</v>
      </c>
      <c r="Z13" s="20"/>
      <c r="AA13" s="12">
        <v>430105</v>
      </c>
      <c r="AB13" s="12" t="s">
        <v>25</v>
      </c>
      <c r="AC13" s="12" t="str">
        <f t="shared" ref="AC13" si="89">AC12</f>
        <v>CPA Ajuste T/C CFSB 1126 USD 06-07-yyy</v>
      </c>
      <c r="AD13" s="3"/>
      <c r="AE13" s="10">
        <f t="shared" ref="AE13" si="90">AD12</f>
        <v>15099</v>
      </c>
      <c r="AH13" s="1">
        <v>45119</v>
      </c>
      <c r="AI13" s="26">
        <f t="shared" si="2"/>
        <v>217568</v>
      </c>
      <c r="AJ13" s="76">
        <v>217567.87</v>
      </c>
      <c r="AK13" s="20"/>
      <c r="AL13" s="12">
        <v>430105</v>
      </c>
      <c r="AM13" s="12" t="s">
        <v>25</v>
      </c>
      <c r="AN13" s="12" t="str">
        <f t="shared" ref="AN13" si="91">AN12</f>
        <v>CPA Ajuste T/C CFSB 0809 USD 06-07-yyy</v>
      </c>
      <c r="AO13" s="3"/>
      <c r="AP13" s="10">
        <f t="shared" ref="AP13" si="92">AO12</f>
        <v>49457</v>
      </c>
      <c r="AT13" s="1">
        <v>45424</v>
      </c>
      <c r="AU13" s="26" t="e">
        <f t="shared" si="3"/>
        <v>#VALUE!</v>
      </c>
      <c r="AV13" s="76" t="s">
        <v>70</v>
      </c>
      <c r="AW13" s="39"/>
      <c r="AX13" s="20"/>
      <c r="AY13" s="12">
        <v>430105</v>
      </c>
      <c r="AZ13" s="12" t="s">
        <v>25</v>
      </c>
      <c r="BA13" s="12" t="str">
        <f t="shared" ref="BA13" si="93">BA12</f>
        <v xml:space="preserve">CPA Ajuste T/C Bco. Bice USD </v>
      </c>
      <c r="BB13" s="3"/>
      <c r="BC13" s="10">
        <f t="shared" ref="BC13" si="94">BB12</f>
        <v>10585132</v>
      </c>
      <c r="BG13" s="1">
        <v>45119</v>
      </c>
      <c r="BH13" s="26">
        <v>360000</v>
      </c>
      <c r="BI13" s="39"/>
      <c r="BJ13" s="20"/>
      <c r="BK13" s="12">
        <v>430105</v>
      </c>
      <c r="BL13" s="12" t="s">
        <v>25</v>
      </c>
      <c r="BM13" s="12" t="str">
        <f t="shared" ref="BM13" si="95">BM12</f>
        <v>CPA Ajuste T/C CFSB 0947 USD 06-07-yyy</v>
      </c>
      <c r="BN13" s="3"/>
      <c r="BO13" s="10">
        <f t="shared" ref="BO13" si="96">BN12</f>
        <v>105000</v>
      </c>
      <c r="BS13" s="1">
        <v>45119</v>
      </c>
      <c r="BT13" s="26"/>
      <c r="BU13" s="39"/>
      <c r="BV13" s="20"/>
      <c r="BW13" s="12">
        <v>430105</v>
      </c>
      <c r="BX13" s="12" t="s">
        <v>25</v>
      </c>
      <c r="BY13" s="12" t="str">
        <f t="shared" ref="BY13" si="97">BY12</f>
        <v>CPA Ajuste T/C Bco. Inter. USD 06-07-yyy</v>
      </c>
      <c r="BZ13" s="3"/>
      <c r="CA13" s="10">
        <f t="shared" ref="CA13" si="98">BZ12</f>
        <v>1400000</v>
      </c>
      <c r="CE13" s="1">
        <v>45119</v>
      </c>
      <c r="CF13" s="26"/>
      <c r="CG13" s="39"/>
      <c r="CH13" s="20"/>
      <c r="CI13" s="12">
        <v>430105</v>
      </c>
      <c r="CJ13" s="12" t="s">
        <v>25</v>
      </c>
      <c r="CK13" s="12" t="str">
        <f t="shared" ref="CK13" si="99">CK12</f>
        <v>CPA Ajuste T/C CFSB 2475 06-07-yyy</v>
      </c>
      <c r="CL13" s="3"/>
      <c r="CM13" s="10">
        <f t="shared" ref="CM13" si="100">CL12</f>
        <v>0</v>
      </c>
      <c r="CQ13" s="1">
        <v>45119</v>
      </c>
      <c r="CR13" s="26">
        <v>23978.45</v>
      </c>
      <c r="CS13" s="39"/>
      <c r="CT13" s="20"/>
      <c r="CU13" s="12">
        <v>430105</v>
      </c>
      <c r="CV13" s="12" t="s">
        <v>25</v>
      </c>
      <c r="CW13" s="12" t="str">
        <f t="shared" ref="CW13" si="101">CW12</f>
        <v>CPA Ajuste T/C CFSB 1557 06-07-yyy</v>
      </c>
      <c r="CX13" s="3"/>
      <c r="CY13" s="10">
        <f t="shared" ref="CY13" si="102">CX12</f>
        <v>6916.71</v>
      </c>
      <c r="DC13" s="1">
        <v>45424</v>
      </c>
      <c r="DD13" s="26" t="e">
        <f t="shared" si="4"/>
        <v>#VALUE!</v>
      </c>
      <c r="DE13" s="26" t="s">
        <v>70</v>
      </c>
      <c r="DF13" s="39"/>
      <c r="DG13" s="20"/>
      <c r="DH13" s="12">
        <v>430105</v>
      </c>
      <c r="DI13" s="12" t="s">
        <v>25</v>
      </c>
      <c r="DJ13" s="12" t="str">
        <f t="shared" ref="DJ13" si="103">DJ12</f>
        <v xml:space="preserve">CPA Ajuste T/C MBI USD </v>
      </c>
      <c r="DK13" s="3"/>
      <c r="DL13" s="10">
        <f t="shared" ref="DL13" si="104">DK12</f>
        <v>13457500</v>
      </c>
    </row>
    <row r="14" spans="1:117" x14ac:dyDescent="0.25">
      <c r="A14" s="1">
        <v>45120</v>
      </c>
      <c r="B14" s="26"/>
      <c r="C14" s="21"/>
      <c r="D14" s="15">
        <v>45114</v>
      </c>
      <c r="E14">
        <v>110258</v>
      </c>
      <c r="F14" t="s">
        <v>63</v>
      </c>
      <c r="G14" t="str">
        <f>"CPA Ajuste T/C Vector USD " &amp;TEXT(D14,"dd-mm-yyy")</f>
        <v>CPA Ajuste T/C Vector USD 07-07-yyy</v>
      </c>
      <c r="H14" s="16">
        <f>+B8</f>
        <v>0</v>
      </c>
      <c r="I14" s="17"/>
      <c r="J14" s="3"/>
      <c r="L14" s="1">
        <v>45273</v>
      </c>
      <c r="M14" s="26">
        <f t="shared" si="0"/>
        <v>8554</v>
      </c>
      <c r="N14" s="76">
        <v>8554.06</v>
      </c>
      <c r="O14" s="15">
        <v>45267</v>
      </c>
      <c r="P14">
        <v>430105</v>
      </c>
      <c r="Q14" t="s">
        <v>25</v>
      </c>
      <c r="R14" t="str">
        <f>"CPA Ajuste T/C JP Morgan USD " &amp;TEXT(O14,"dd-mm-yyy")</f>
        <v>CPA Ajuste T/C JP Morgan USD 07-12-yyy</v>
      </c>
      <c r="S14" s="16">
        <f>+M8*-1</f>
        <v>950</v>
      </c>
      <c r="T14" s="17"/>
      <c r="W14" s="1">
        <v>45120</v>
      </c>
      <c r="X14" s="26">
        <f t="shared" si="1"/>
        <v>-92155</v>
      </c>
      <c r="Y14" s="76">
        <v>-92154.69</v>
      </c>
      <c r="Z14" s="15">
        <v>45114</v>
      </c>
      <c r="AA14">
        <v>110218</v>
      </c>
      <c r="AB14" t="s">
        <v>61</v>
      </c>
      <c r="AC14" t="str">
        <f>"CPA Ajuste T/C CFSB 1126 USD " &amp;TEXT(Z14,"dd-mm-yyy")</f>
        <v>CPA Ajuste T/C CFSB 1126 USD 07-07-yyy</v>
      </c>
      <c r="AD14" s="16">
        <f>+X8</f>
        <v>97868</v>
      </c>
      <c r="AE14" s="17"/>
      <c r="AH14" s="1">
        <v>45120</v>
      </c>
      <c r="AI14" s="26">
        <f t="shared" si="2"/>
        <v>-251110</v>
      </c>
      <c r="AJ14" s="76">
        <v>-251109.59</v>
      </c>
      <c r="AK14" s="15">
        <v>45114</v>
      </c>
      <c r="AL14">
        <v>110228</v>
      </c>
      <c r="AM14" t="s">
        <v>69</v>
      </c>
      <c r="AN14" t="str">
        <f>"CPA Ajuste T/C CFSB 0809 USD " &amp;TEXT(AK14,"dd-mm-yyy")</f>
        <v>CPA Ajuste T/C CFSB 0809 USD 07-07-yyy</v>
      </c>
      <c r="AO14" s="16">
        <f>+AI8</f>
        <v>233862</v>
      </c>
      <c r="AP14" s="17"/>
      <c r="AT14" s="1">
        <v>45425</v>
      </c>
      <c r="AU14" s="26">
        <f t="shared" si="3"/>
        <v>-4987436</v>
      </c>
      <c r="AV14" s="76">
        <v>-4987436.01</v>
      </c>
      <c r="AW14" s="21"/>
      <c r="AX14" s="15">
        <v>45419</v>
      </c>
      <c r="AY14">
        <v>430105</v>
      </c>
      <c r="AZ14" t="s">
        <v>25</v>
      </c>
      <c r="BA14" t="str">
        <f>"CPA Ajuste T/C Bco. Bice USD " &amp;TEXT(AX14,)</f>
        <v xml:space="preserve">CPA Ajuste T/C Bco. Bice USD </v>
      </c>
      <c r="BB14" s="16">
        <f>+AU8*-1</f>
        <v>18518261</v>
      </c>
      <c r="BC14" s="17"/>
      <c r="BG14" s="1">
        <v>45120</v>
      </c>
      <c r="BH14" s="26">
        <v>-415500</v>
      </c>
      <c r="BI14" s="21"/>
      <c r="BJ14" s="15">
        <v>45114</v>
      </c>
      <c r="BK14">
        <v>110217</v>
      </c>
      <c r="BL14" t="s">
        <v>104</v>
      </c>
      <c r="BM14" t="str">
        <f>"CPA Ajuste T/C CFSB 0947 USD " &amp;TEXT(BJ14,"dd-mm-yyy")</f>
        <v>CPA Ajuste T/C CFSB 0947 USD 07-07-yyy</v>
      </c>
      <c r="BN14" s="16">
        <f>+BH8</f>
        <v>496500</v>
      </c>
      <c r="BO14" s="17"/>
      <c r="BS14" s="1">
        <v>45120</v>
      </c>
      <c r="BT14" s="26"/>
      <c r="BU14" s="21"/>
      <c r="BV14" s="15">
        <v>45114</v>
      </c>
      <c r="BW14">
        <v>110278</v>
      </c>
      <c r="BX14" t="s">
        <v>106</v>
      </c>
      <c r="BY14" t="str">
        <f>"CPA Ajuste T/C Bco. Inter. USD " &amp;TEXT(BV14,"dd-mm-yyy")</f>
        <v>CPA Ajuste T/C Bco. Inter. USD 07-07-yyy</v>
      </c>
      <c r="BZ14" s="16">
        <f>+BT8</f>
        <v>14640000</v>
      </c>
      <c r="CA14" s="17"/>
      <c r="CE14" s="1">
        <v>45120</v>
      </c>
      <c r="CF14" s="26"/>
      <c r="CG14" s="21"/>
      <c r="CH14" s="15">
        <v>45114</v>
      </c>
      <c r="CI14">
        <v>110285</v>
      </c>
      <c r="CJ14" t="s">
        <v>110</v>
      </c>
      <c r="CK14" t="str">
        <f>"CPA Ajuste T/C CFSB 2475 " &amp;TEXT(CH14,"dd-mm-yyy")</f>
        <v>CPA Ajuste T/C CFSB 2475 07-07-yyy</v>
      </c>
      <c r="CL14" s="16">
        <f>+CF8</f>
        <v>1281000</v>
      </c>
      <c r="CM14" s="17"/>
      <c r="CQ14" s="1">
        <v>45120</v>
      </c>
      <c r="CR14" s="26">
        <v>-27675.13</v>
      </c>
      <c r="CS14" s="21"/>
      <c r="CT14" s="15">
        <v>45114</v>
      </c>
      <c r="CU14">
        <v>110282</v>
      </c>
      <c r="CV14" t="s">
        <v>112</v>
      </c>
      <c r="CW14" t="str">
        <f>"CPA Ajuste T/C CFSB 1557 " &amp;TEXT(CT14,"dd-mm-yyy")</f>
        <v>CPA Ajuste T/C CFSB 1557 07-07-yyy</v>
      </c>
      <c r="CX14" s="16">
        <f>+CR8</f>
        <v>32706.18</v>
      </c>
      <c r="CY14" s="17"/>
      <c r="DC14" s="1">
        <v>45425</v>
      </c>
      <c r="DD14" s="26">
        <f t="shared" si="4"/>
        <v>-2575000</v>
      </c>
      <c r="DE14" s="26">
        <v>-2575000</v>
      </c>
      <c r="DF14" s="21"/>
      <c r="DG14" s="15">
        <v>45419</v>
      </c>
      <c r="DH14">
        <v>430105</v>
      </c>
      <c r="DI14" t="s">
        <v>25</v>
      </c>
      <c r="DJ14" t="str">
        <f>"CPA Ajuste T/C MBI USD " &amp;TEXT(DG14,)</f>
        <v xml:space="preserve">CPA Ajuste T/C MBI USD </v>
      </c>
      <c r="DK14" s="16">
        <f>+DD8*-1</f>
        <v>7537500</v>
      </c>
      <c r="DL14" s="17"/>
    </row>
    <row r="15" spans="1:117" x14ac:dyDescent="0.25">
      <c r="A15" s="1">
        <v>45121</v>
      </c>
      <c r="B15" s="26"/>
      <c r="C15" s="40"/>
      <c r="D15" s="20"/>
      <c r="E15" s="12">
        <v>430105</v>
      </c>
      <c r="F15" s="12" t="s">
        <v>25</v>
      </c>
      <c r="G15" s="12" t="str">
        <f t="shared" ref="G15" si="105">G14</f>
        <v>CPA Ajuste T/C Vector USD 07-07-yyy</v>
      </c>
      <c r="H15" s="3"/>
      <c r="I15" s="10">
        <f t="shared" ref="I15" si="106">H14</f>
        <v>0</v>
      </c>
      <c r="J15" s="3"/>
      <c r="L15" s="1">
        <v>45274</v>
      </c>
      <c r="M15" s="26">
        <f t="shared" si="0"/>
        <v>3168</v>
      </c>
      <c r="N15" s="76">
        <v>3167.94</v>
      </c>
      <c r="O15" s="20"/>
      <c r="P15" s="12">
        <v>110212</v>
      </c>
      <c r="Q15" s="12" t="s">
        <v>64</v>
      </c>
      <c r="R15" s="12" t="str">
        <f t="shared" ref="R15" si="107">R14</f>
        <v>CPA Ajuste T/C JP Morgan USD 07-12-yyy</v>
      </c>
      <c r="S15" s="3"/>
      <c r="T15" s="10">
        <f t="shared" ref="T15" si="108">S14</f>
        <v>950</v>
      </c>
      <c r="W15" s="1">
        <v>45121</v>
      </c>
      <c r="X15" s="26">
        <f t="shared" si="1"/>
        <v>-68734</v>
      </c>
      <c r="Y15" s="76">
        <v>-68733.52</v>
      </c>
      <c r="Z15" s="20"/>
      <c r="AA15" s="12">
        <v>430105</v>
      </c>
      <c r="AB15" s="12" t="s">
        <v>25</v>
      </c>
      <c r="AC15" s="12" t="str">
        <f t="shared" ref="AC15" si="109">AC14</f>
        <v>CPA Ajuste T/C CFSB 1126 USD 07-07-yyy</v>
      </c>
      <c r="AD15" s="3"/>
      <c r="AE15" s="10">
        <f t="shared" ref="AE15" si="110">AD14</f>
        <v>97868</v>
      </c>
      <c r="AH15" s="1">
        <v>45121</v>
      </c>
      <c r="AI15" s="26">
        <f t="shared" si="2"/>
        <v>-1386356</v>
      </c>
      <c r="AJ15" s="76">
        <v>-1386356.27</v>
      </c>
      <c r="AK15" s="20"/>
      <c r="AL15" s="12">
        <v>430105</v>
      </c>
      <c r="AM15" s="12" t="s">
        <v>25</v>
      </c>
      <c r="AN15" s="12" t="str">
        <f t="shared" ref="AN15" si="111">AN14</f>
        <v>CPA Ajuste T/C CFSB 0809 USD 07-07-yyy</v>
      </c>
      <c r="AO15" s="3"/>
      <c r="AP15" s="10">
        <f t="shared" ref="AP15" si="112">AO14</f>
        <v>233862</v>
      </c>
      <c r="AT15" s="1">
        <v>45426</v>
      </c>
      <c r="AU15" s="26">
        <f t="shared" si="3"/>
        <v>8085392</v>
      </c>
      <c r="AV15" s="76">
        <v>8085392.4500000002</v>
      </c>
      <c r="AW15" s="40"/>
      <c r="AX15" s="20"/>
      <c r="AY15" s="12">
        <v>110205</v>
      </c>
      <c r="AZ15" s="12" t="s">
        <v>59</v>
      </c>
      <c r="BA15" s="12" t="str">
        <f t="shared" ref="BA15" si="113">BA14</f>
        <v xml:space="preserve">CPA Ajuste T/C Bco. Bice USD </v>
      </c>
      <c r="BB15" s="3"/>
      <c r="BC15" s="10">
        <f t="shared" ref="BC15" si="114">BB14</f>
        <v>18518261</v>
      </c>
      <c r="BG15" s="1">
        <v>45121</v>
      </c>
      <c r="BH15" s="26">
        <v>-197250</v>
      </c>
      <c r="BI15" s="40"/>
      <c r="BJ15" s="20"/>
      <c r="BK15" s="12">
        <v>430105</v>
      </c>
      <c r="BL15" s="12" t="s">
        <v>25</v>
      </c>
      <c r="BM15" s="12" t="str">
        <f t="shared" ref="BM15" si="115">BM14</f>
        <v>CPA Ajuste T/C CFSB 0947 USD 07-07-yyy</v>
      </c>
      <c r="BN15" s="3"/>
      <c r="BO15" s="10">
        <f t="shared" ref="BO15" si="116">BN14</f>
        <v>496500</v>
      </c>
      <c r="BS15" s="1">
        <v>45121</v>
      </c>
      <c r="BT15" s="26"/>
      <c r="BU15" s="40"/>
      <c r="BV15" s="20"/>
      <c r="BW15" s="12">
        <v>430105</v>
      </c>
      <c r="BX15" s="12" t="s">
        <v>25</v>
      </c>
      <c r="BY15" s="12" t="str">
        <f t="shared" ref="BY15" si="117">BY14</f>
        <v>CPA Ajuste T/C Bco. Inter. USD 07-07-yyy</v>
      </c>
      <c r="BZ15" s="3"/>
      <c r="CA15" s="10">
        <f t="shared" ref="CA15" si="118">BZ14</f>
        <v>14640000</v>
      </c>
      <c r="CE15" s="1">
        <v>45121</v>
      </c>
      <c r="CF15" s="26"/>
      <c r="CG15" s="40"/>
      <c r="CH15" s="20"/>
      <c r="CI15" s="12">
        <v>430105</v>
      </c>
      <c r="CJ15" s="12" t="s">
        <v>25</v>
      </c>
      <c r="CK15" s="12" t="str">
        <f t="shared" ref="CK15" si="119">CK14</f>
        <v>CPA Ajuste T/C CFSB 2475 07-07-yyy</v>
      </c>
      <c r="CL15" s="3"/>
      <c r="CM15" s="10">
        <f t="shared" ref="CM15" si="120">CL14</f>
        <v>1281000</v>
      </c>
      <c r="CQ15" s="1">
        <v>45121</v>
      </c>
      <c r="CR15" s="26">
        <v>-13138.19</v>
      </c>
      <c r="CS15" s="40"/>
      <c r="CT15" s="20"/>
      <c r="CU15" s="12">
        <v>430105</v>
      </c>
      <c r="CV15" s="12" t="s">
        <v>25</v>
      </c>
      <c r="CW15" s="12" t="str">
        <f t="shared" ref="CW15" si="121">CW14</f>
        <v>CPA Ajuste T/C CFSB 1557 07-07-yyy</v>
      </c>
      <c r="CX15" s="3"/>
      <c r="CY15" s="10">
        <f t="shared" ref="CY15" si="122">CX14</f>
        <v>32706.18</v>
      </c>
      <c r="DC15" s="1">
        <v>45426</v>
      </c>
      <c r="DD15" s="26" t="e">
        <f t="shared" si="4"/>
        <v>#VALUE!</v>
      </c>
      <c r="DE15" s="26" t="s">
        <v>70</v>
      </c>
      <c r="DF15" s="40"/>
      <c r="DG15" s="20"/>
      <c r="DH15" s="12">
        <v>110296</v>
      </c>
      <c r="DI15" s="12" t="s">
        <v>140</v>
      </c>
      <c r="DJ15" s="12" t="str">
        <f t="shared" ref="DJ15" si="123">DJ14</f>
        <v xml:space="preserve">CPA Ajuste T/C MBI USD </v>
      </c>
      <c r="DK15" s="3"/>
      <c r="DL15" s="10">
        <f t="shared" ref="DL15" si="124">DK14</f>
        <v>7537500</v>
      </c>
    </row>
    <row r="16" spans="1:117" x14ac:dyDescent="0.25">
      <c r="A16" s="1">
        <v>45122</v>
      </c>
      <c r="B16" s="26"/>
      <c r="C16" s="21"/>
      <c r="D16" s="15">
        <v>45115</v>
      </c>
      <c r="E16">
        <v>110258</v>
      </c>
      <c r="F16" t="s">
        <v>63</v>
      </c>
      <c r="G16" t="str">
        <f>"CPA Ajuste T/C Vector USD " &amp;TEXT(D16,"dd-mm-yyy")</f>
        <v>CPA Ajuste T/C Vector USD 08-07-yyy</v>
      </c>
      <c r="H16" s="16">
        <f>+B9</f>
        <v>0</v>
      </c>
      <c r="I16" s="17"/>
      <c r="J16" s="3"/>
      <c r="L16" s="1">
        <v>45275</v>
      </c>
      <c r="M16" s="26">
        <f t="shared" si="0"/>
        <v>-8929</v>
      </c>
      <c r="N16" s="76">
        <v>-8928.9599999999991</v>
      </c>
      <c r="O16" s="15">
        <v>45268</v>
      </c>
      <c r="P16">
        <v>110212</v>
      </c>
      <c r="Q16" t="s">
        <v>64</v>
      </c>
      <c r="R16" t="str">
        <f>"CPA Ajuste T/C JP Morgan USD " &amp;TEXT(O16,"dd-mm-yyy")</f>
        <v>CPA Ajuste T/C JP Morgan USD 08-12-yyy</v>
      </c>
      <c r="S16" s="16">
        <f>+M9</f>
        <v>4061</v>
      </c>
      <c r="T16" s="17"/>
      <c r="W16" s="1">
        <v>45122</v>
      </c>
      <c r="X16" s="26">
        <f t="shared" si="1"/>
        <v>0</v>
      </c>
      <c r="Y16" s="76">
        <v>0</v>
      </c>
      <c r="Z16" s="15">
        <v>45115</v>
      </c>
      <c r="AA16">
        <v>430105</v>
      </c>
      <c r="AB16" t="s">
        <v>25</v>
      </c>
      <c r="AC16" t="str">
        <f>"CPA Ajuste T/C CFSB 1126 USD " &amp;TEXT(Z16,"dd-mm-yyy")</f>
        <v>CPA Ajuste T/C CFSB 1126 USD 08-07-yyy</v>
      </c>
      <c r="AD16" s="16">
        <f>((+X9)*1)*-1</f>
        <v>0</v>
      </c>
      <c r="AE16" s="17"/>
      <c r="AH16" s="1">
        <v>45122</v>
      </c>
      <c r="AI16" s="26">
        <f t="shared" si="2"/>
        <v>0</v>
      </c>
      <c r="AJ16" s="76">
        <v>0</v>
      </c>
      <c r="AK16" s="15">
        <v>45115</v>
      </c>
      <c r="AL16">
        <v>110228</v>
      </c>
      <c r="AM16" t="s">
        <v>69</v>
      </c>
      <c r="AN16" t="str">
        <f>"CPA Ajuste T/C CFSB 0809 USD " &amp;TEXT(AK16,"dd-mm-yyy")</f>
        <v>CPA Ajuste T/C CFSB 0809 USD 08-07-yyy</v>
      </c>
      <c r="AO16" s="16">
        <f>+AI9</f>
        <v>0</v>
      </c>
      <c r="AP16" s="17"/>
      <c r="AT16" s="1">
        <v>45427</v>
      </c>
      <c r="AU16" s="26">
        <f t="shared" si="3"/>
        <v>851475</v>
      </c>
      <c r="AV16" s="76">
        <v>851475.02</v>
      </c>
      <c r="AW16" s="21"/>
      <c r="AX16" s="15">
        <v>45420</v>
      </c>
      <c r="AY16">
        <v>110205</v>
      </c>
      <c r="AZ16" t="s">
        <v>59</v>
      </c>
      <c r="BA16" t="str">
        <f>"CPA Ajuste T/C Bco. Bice USD " &amp;TEXT(AX16,)</f>
        <v xml:space="preserve">CPA Ajuste T/C Bco. Bice USD </v>
      </c>
      <c r="BB16" s="16">
        <f>+AU9</f>
        <v>1894362</v>
      </c>
      <c r="BC16" s="17"/>
      <c r="BG16" s="1">
        <v>45122</v>
      </c>
      <c r="BH16" s="26" t="s">
        <v>70</v>
      </c>
      <c r="BI16" s="21"/>
      <c r="BJ16" s="15">
        <v>45115</v>
      </c>
      <c r="BK16">
        <v>110217</v>
      </c>
      <c r="BL16" t="s">
        <v>104</v>
      </c>
      <c r="BM16" t="str">
        <f>"CPA Ajuste T/C CFSB 0947 USD " &amp;TEXT(BJ16,"dd-mm-yyy")</f>
        <v>CPA Ajuste T/C CFSB 0947 USD 08-07-yyy</v>
      </c>
      <c r="BN16" s="16" t="str">
        <f>+BH9</f>
        <v>-</v>
      </c>
      <c r="BO16" s="17"/>
      <c r="BS16" s="1">
        <v>45122</v>
      </c>
      <c r="BT16" s="26"/>
      <c r="BU16" s="21"/>
      <c r="BV16" s="15">
        <v>45115</v>
      </c>
      <c r="BW16">
        <v>110278</v>
      </c>
      <c r="BX16" t="s">
        <v>106</v>
      </c>
      <c r="BY16" t="str">
        <f>"CPA Ajuste T/C Bco. Inter. USD " &amp;TEXT(BV16,"dd-mm-yyy")</f>
        <v>CPA Ajuste T/C Bco. Inter. USD 08-07-yyy</v>
      </c>
      <c r="BZ16" s="16">
        <f>+BT9</f>
        <v>0</v>
      </c>
      <c r="CA16" s="17"/>
      <c r="CE16" s="1">
        <v>45122</v>
      </c>
      <c r="CF16" s="26"/>
      <c r="CG16" s="21"/>
      <c r="CH16" s="15">
        <v>45115</v>
      </c>
      <c r="CI16">
        <v>110285</v>
      </c>
      <c r="CJ16" t="s">
        <v>110</v>
      </c>
      <c r="CK16" t="str">
        <f>"CPA Ajuste T/C CFSB 2475 " &amp;TEXT(CH16,"dd-mm-yyy")</f>
        <v>CPA Ajuste T/C CFSB 2475 08-07-yyy</v>
      </c>
      <c r="CL16" s="16">
        <f>+CF9</f>
        <v>0</v>
      </c>
      <c r="CM16" s="17"/>
      <c r="CQ16" s="1">
        <v>45122</v>
      </c>
      <c r="CR16" s="26">
        <v>0</v>
      </c>
      <c r="CS16" s="21"/>
      <c r="CT16" s="15">
        <v>45115</v>
      </c>
      <c r="CU16">
        <v>110282</v>
      </c>
      <c r="CV16" t="s">
        <v>112</v>
      </c>
      <c r="CW16" t="str">
        <f>"CPA Ajuste T/C CFSB 1557 " &amp;TEXT(CT16,"dd-mm-yyy")</f>
        <v>CPA Ajuste T/C CFSB 1557 08-07-yyy</v>
      </c>
      <c r="CX16" s="16">
        <f>+CR9</f>
        <v>0</v>
      </c>
      <c r="CY16" s="17"/>
      <c r="DC16" s="1">
        <v>45427</v>
      </c>
      <c r="DD16" s="26">
        <f t="shared" si="4"/>
        <v>8170000</v>
      </c>
      <c r="DE16" s="26">
        <v>8170000</v>
      </c>
      <c r="DF16" s="21"/>
      <c r="DG16" s="15">
        <v>45420</v>
      </c>
      <c r="DH16">
        <v>430105</v>
      </c>
      <c r="DI16" t="s">
        <v>25</v>
      </c>
      <c r="DJ16" t="str">
        <f>"CPA Ajuste T/C MBI USD " &amp;TEXT(DG16,)</f>
        <v xml:space="preserve">CPA Ajuste T/C MBI USD </v>
      </c>
      <c r="DK16" s="16">
        <f>+DD9*-1</f>
        <v>682500</v>
      </c>
      <c r="DL16" s="17"/>
    </row>
    <row r="17" spans="1:116" x14ac:dyDescent="0.25">
      <c r="A17" s="1">
        <v>45123</v>
      </c>
      <c r="B17" s="26"/>
      <c r="C17" s="21"/>
      <c r="D17" s="11"/>
      <c r="E17" s="12">
        <v>430105</v>
      </c>
      <c r="F17" s="12" t="s">
        <v>25</v>
      </c>
      <c r="G17" s="12" t="str">
        <f t="shared" ref="G17" si="125">G16</f>
        <v>CPA Ajuste T/C Vector USD 08-07-yyy</v>
      </c>
      <c r="H17" s="13"/>
      <c r="I17" s="18">
        <f t="shared" ref="I17" si="126">H16</f>
        <v>0</v>
      </c>
      <c r="J17" s="3"/>
      <c r="L17" s="1">
        <v>45276</v>
      </c>
      <c r="M17" s="26">
        <f t="shared" si="0"/>
        <v>-926</v>
      </c>
      <c r="N17" s="76">
        <v>-925.66</v>
      </c>
      <c r="O17" s="11"/>
      <c r="P17" s="12">
        <v>430105</v>
      </c>
      <c r="Q17" s="12" t="s">
        <v>25</v>
      </c>
      <c r="R17" s="12" t="str">
        <f t="shared" ref="R17" si="127">R16</f>
        <v>CPA Ajuste T/C JP Morgan USD 08-12-yyy</v>
      </c>
      <c r="S17" s="13"/>
      <c r="T17" s="18">
        <f t="shared" ref="T17" si="128">S16</f>
        <v>4061</v>
      </c>
      <c r="W17" s="1">
        <v>45123</v>
      </c>
      <c r="X17" s="26">
        <f t="shared" si="1"/>
        <v>0</v>
      </c>
      <c r="Y17" s="76">
        <v>0</v>
      </c>
      <c r="Z17" s="11"/>
      <c r="AA17" s="12">
        <v>110218</v>
      </c>
      <c r="AB17" s="12" t="s">
        <v>61</v>
      </c>
      <c r="AC17" s="12" t="str">
        <f t="shared" ref="AC17" si="129">AC16</f>
        <v>CPA Ajuste T/C CFSB 1126 USD 08-07-yyy</v>
      </c>
      <c r="AD17" s="13">
        <v>0</v>
      </c>
      <c r="AE17" s="18">
        <f t="shared" ref="AE17" si="130">AD16</f>
        <v>0</v>
      </c>
      <c r="AH17" s="1">
        <v>45123</v>
      </c>
      <c r="AI17" s="26">
        <f t="shared" si="2"/>
        <v>0</v>
      </c>
      <c r="AJ17" s="76">
        <v>0</v>
      </c>
      <c r="AK17" s="11"/>
      <c r="AL17" s="12">
        <v>430105</v>
      </c>
      <c r="AM17" s="12" t="s">
        <v>25</v>
      </c>
      <c r="AN17" s="12" t="str">
        <f t="shared" ref="AN17" si="131">AN16</f>
        <v>CPA Ajuste T/C CFSB 0809 USD 08-07-yyy</v>
      </c>
      <c r="AO17" s="13"/>
      <c r="AP17" s="18">
        <f t="shared" ref="AP17" si="132">AO16</f>
        <v>0</v>
      </c>
      <c r="AT17" s="1">
        <v>45428</v>
      </c>
      <c r="AU17" s="26">
        <f t="shared" si="3"/>
        <v>1720785</v>
      </c>
      <c r="AV17" s="76">
        <v>1720784.82</v>
      </c>
      <c r="AW17" s="21"/>
      <c r="AX17" s="11"/>
      <c r="AY17" s="12">
        <v>430105</v>
      </c>
      <c r="AZ17" s="12" t="s">
        <v>25</v>
      </c>
      <c r="BA17" s="12" t="str">
        <f t="shared" ref="BA17" si="133">BA16</f>
        <v xml:space="preserve">CPA Ajuste T/C Bco. Bice USD </v>
      </c>
      <c r="BB17" s="13"/>
      <c r="BC17" s="18">
        <f t="shared" ref="BC17" si="134">BB16</f>
        <v>1894362</v>
      </c>
      <c r="BG17" s="1">
        <v>45123</v>
      </c>
      <c r="BH17" s="26" t="s">
        <v>70</v>
      </c>
      <c r="BI17" s="21"/>
      <c r="BJ17" s="11"/>
      <c r="BK17" s="12">
        <v>430105</v>
      </c>
      <c r="BL17" s="12" t="s">
        <v>25</v>
      </c>
      <c r="BM17" s="12" t="str">
        <f t="shared" ref="BM17" si="135">BM16</f>
        <v>CPA Ajuste T/C CFSB 0947 USD 08-07-yyy</v>
      </c>
      <c r="BN17" s="13"/>
      <c r="BO17" s="18" t="str">
        <f t="shared" ref="BO17" si="136">BN16</f>
        <v>-</v>
      </c>
      <c r="BS17" s="1">
        <v>45123</v>
      </c>
      <c r="BT17" s="26"/>
      <c r="BU17" s="21"/>
      <c r="BV17" s="11"/>
      <c r="BW17" s="12">
        <v>430105</v>
      </c>
      <c r="BX17" s="12" t="s">
        <v>25</v>
      </c>
      <c r="BY17" s="12" t="str">
        <f t="shared" ref="BY17" si="137">BY16</f>
        <v>CPA Ajuste T/C Bco. Inter. USD 08-07-yyy</v>
      </c>
      <c r="BZ17" s="13"/>
      <c r="CA17" s="18">
        <f t="shared" ref="CA17" si="138">BZ16</f>
        <v>0</v>
      </c>
      <c r="CE17" s="1">
        <v>45123</v>
      </c>
      <c r="CF17" s="26"/>
      <c r="CG17" s="21"/>
      <c r="CH17" s="11"/>
      <c r="CI17" s="12">
        <v>430105</v>
      </c>
      <c r="CJ17" s="12" t="s">
        <v>25</v>
      </c>
      <c r="CK17" s="12" t="str">
        <f t="shared" ref="CK17" si="139">CK16</f>
        <v>CPA Ajuste T/C CFSB 2475 08-07-yyy</v>
      </c>
      <c r="CL17" s="13"/>
      <c r="CM17" s="18">
        <f t="shared" ref="CM17" si="140">CL16</f>
        <v>0</v>
      </c>
      <c r="CQ17" s="1">
        <v>45123</v>
      </c>
      <c r="CR17" s="26">
        <v>0</v>
      </c>
      <c r="CS17" s="21"/>
      <c r="CT17" s="11"/>
      <c r="CU17" s="12">
        <v>430105</v>
      </c>
      <c r="CV17" s="12" t="s">
        <v>25</v>
      </c>
      <c r="CW17" s="12" t="str">
        <f t="shared" ref="CW17" si="141">CW16</f>
        <v>CPA Ajuste T/C CFSB 1557 08-07-yyy</v>
      </c>
      <c r="CX17" s="13"/>
      <c r="CY17" s="18">
        <f t="shared" ref="CY17" si="142">CX16</f>
        <v>0</v>
      </c>
      <c r="DC17" s="1">
        <v>45428</v>
      </c>
      <c r="DD17" s="26">
        <f t="shared" si="4"/>
        <v>7860000</v>
      </c>
      <c r="DE17" s="26">
        <v>7860000</v>
      </c>
      <c r="DF17" s="21"/>
      <c r="DG17" s="11"/>
      <c r="DH17" s="12">
        <v>110296</v>
      </c>
      <c r="DI17" s="12" t="s">
        <v>140</v>
      </c>
      <c r="DJ17" s="12" t="str">
        <f t="shared" ref="DJ17" si="143">DJ16</f>
        <v xml:space="preserve">CPA Ajuste T/C MBI USD </v>
      </c>
      <c r="DK17" s="13"/>
      <c r="DL17" s="18">
        <f t="shared" ref="DL17" si="144">DK16</f>
        <v>682500</v>
      </c>
    </row>
    <row r="18" spans="1:116" x14ac:dyDescent="0.25">
      <c r="A18" s="1">
        <v>45124</v>
      </c>
      <c r="B18" s="26"/>
      <c r="C18" s="21"/>
      <c r="D18" s="15">
        <v>45116</v>
      </c>
      <c r="E18">
        <v>110258</v>
      </c>
      <c r="F18" t="s">
        <v>63</v>
      </c>
      <c r="G18" t="str">
        <f>"CPA Ajuste T/C Vector USD " &amp;TEXT(D18,"dd-mm-yyy")</f>
        <v>CPA Ajuste T/C Vector USD 09-07-yyy</v>
      </c>
      <c r="H18" s="16">
        <f>+B10</f>
        <v>0</v>
      </c>
      <c r="I18" s="17"/>
      <c r="J18" s="3"/>
      <c r="L18" s="1">
        <v>45277</v>
      </c>
      <c r="M18" s="26">
        <f t="shared" si="0"/>
        <v>-485</v>
      </c>
      <c r="N18" s="76">
        <v>-485.46</v>
      </c>
      <c r="O18" s="15">
        <v>45269</v>
      </c>
      <c r="P18">
        <v>110212</v>
      </c>
      <c r="Q18" t="s">
        <v>64</v>
      </c>
      <c r="R18" t="str">
        <f>"CPA Ajuste T/C JP Morgan USD " &amp;TEXT(O18,"dd-mm-yyy")</f>
        <v>CPA Ajuste T/C JP Morgan USD 09-12-yyy</v>
      </c>
      <c r="S18" s="16">
        <f>+M10</f>
        <v>6073</v>
      </c>
      <c r="T18" s="17"/>
      <c r="W18" s="1">
        <v>45124</v>
      </c>
      <c r="X18" s="26">
        <f t="shared" si="1"/>
        <v>128137</v>
      </c>
      <c r="Y18" s="76">
        <v>128137.1</v>
      </c>
      <c r="Z18" s="15">
        <v>45116</v>
      </c>
      <c r="AA18">
        <v>430105</v>
      </c>
      <c r="AB18" t="s">
        <v>25</v>
      </c>
      <c r="AC18" t="str">
        <f>"CPA Ajuste T/C CFSB 1126 USD " &amp;TEXT(Z18,"dd-mm-yyy")</f>
        <v>CPA Ajuste T/C CFSB 1126 USD 09-07-yyy</v>
      </c>
      <c r="AD18" s="16">
        <f>((+X10)*1)*-1</f>
        <v>0</v>
      </c>
      <c r="AE18" s="17"/>
      <c r="AH18" s="1">
        <v>45124</v>
      </c>
      <c r="AI18" s="26">
        <f t="shared" si="2"/>
        <v>2546046</v>
      </c>
      <c r="AJ18" s="76">
        <v>2546045.92</v>
      </c>
      <c r="AK18" s="15">
        <v>45116</v>
      </c>
      <c r="AL18">
        <v>110228</v>
      </c>
      <c r="AM18" t="s">
        <v>69</v>
      </c>
      <c r="AN18" t="str">
        <f>"CPA Ajuste T/C CFSB 0809 USD " &amp;TEXT(AK18,"dd-mm-yyy")</f>
        <v>CPA Ajuste T/C CFSB 0809 USD 09-07-yyy</v>
      </c>
      <c r="AO18" s="16">
        <f>+AI10</f>
        <v>0</v>
      </c>
      <c r="AP18" s="17"/>
      <c r="AT18" s="1">
        <v>45429</v>
      </c>
      <c r="AU18" s="26">
        <f t="shared" si="3"/>
        <v>-6513609</v>
      </c>
      <c r="AV18" s="76">
        <v>-6513609.2599999998</v>
      </c>
      <c r="AW18" s="21"/>
      <c r="AX18" s="15">
        <v>45421</v>
      </c>
      <c r="AY18">
        <v>110205</v>
      </c>
      <c r="AZ18" t="s">
        <v>59</v>
      </c>
      <c r="BA18" t="str">
        <f>"CPA Ajuste T/C Bco. Bice USD " &amp;TEXT(AX18,)</f>
        <v xml:space="preserve">CPA Ajuste T/C Bco. Bice USD </v>
      </c>
      <c r="BB18" s="16">
        <f>+AU10</f>
        <v>7410509</v>
      </c>
      <c r="BC18" s="17"/>
      <c r="BG18" s="1">
        <v>45124</v>
      </c>
      <c r="BH18" s="26">
        <v>362250</v>
      </c>
      <c r="BI18" s="21"/>
      <c r="BJ18" s="15">
        <v>45116</v>
      </c>
      <c r="BK18">
        <v>110217</v>
      </c>
      <c r="BL18" t="s">
        <v>104</v>
      </c>
      <c r="BM18" t="str">
        <f>"CPA Ajuste T/C CFSB 0947 USD " &amp;TEXT(BJ18,"dd-mm-yyy")</f>
        <v>CPA Ajuste T/C CFSB 0947 USD 09-07-yyy</v>
      </c>
      <c r="BN18" s="16" t="str">
        <f>+BH10</f>
        <v>-</v>
      </c>
      <c r="BO18" s="17"/>
      <c r="BS18" s="1">
        <v>45124</v>
      </c>
      <c r="BT18" s="26"/>
      <c r="BU18" s="21"/>
      <c r="BV18" s="15">
        <v>45116</v>
      </c>
      <c r="BW18">
        <v>110278</v>
      </c>
      <c r="BX18" t="s">
        <v>106</v>
      </c>
      <c r="BY18" t="str">
        <f>"CPA Ajuste T/C Bco. Inter. USD " &amp;TEXT(BV18,"dd-mm-yyy")</f>
        <v>CPA Ajuste T/C Bco. Inter. USD 09-07-yyy</v>
      </c>
      <c r="BZ18" s="16">
        <f>+BT10</f>
        <v>0</v>
      </c>
      <c r="CA18" s="17"/>
      <c r="CE18" s="1">
        <v>45124</v>
      </c>
      <c r="CF18" s="26"/>
      <c r="CG18" s="21"/>
      <c r="CH18" s="15">
        <v>45116</v>
      </c>
      <c r="CI18">
        <v>110285</v>
      </c>
      <c r="CJ18" t="s">
        <v>110</v>
      </c>
      <c r="CK18" t="str">
        <f>"CPA Ajuste T/C CFSB 2475 " &amp;TEXT(CH18,"dd-mm-yyy")</f>
        <v>CPA Ajuste T/C CFSB 2475 09-07-yyy</v>
      </c>
      <c r="CL18" s="16">
        <f>+CF10</f>
        <v>0</v>
      </c>
      <c r="CM18" s="17"/>
      <c r="CQ18" s="1">
        <v>45124</v>
      </c>
      <c r="CR18" s="26">
        <v>24128.31</v>
      </c>
      <c r="CS18" s="21"/>
      <c r="CT18" s="15">
        <v>45116</v>
      </c>
      <c r="CU18">
        <v>110282</v>
      </c>
      <c r="CV18" t="s">
        <v>112</v>
      </c>
      <c r="CW18" t="str">
        <f>"CPA Ajuste T/C CFSB 1557 " &amp;TEXT(CT18,"dd-mm-yyy")</f>
        <v>CPA Ajuste T/C CFSB 1557 09-07-yyy</v>
      </c>
      <c r="CX18" s="16">
        <f>+CR10</f>
        <v>0</v>
      </c>
      <c r="CY18" s="17"/>
      <c r="DC18" s="1">
        <v>45429</v>
      </c>
      <c r="DD18" s="26">
        <f t="shared" si="4"/>
        <v>16660000</v>
      </c>
      <c r="DE18" s="26">
        <v>16660000</v>
      </c>
      <c r="DF18" s="21"/>
      <c r="DG18" s="15">
        <v>45421</v>
      </c>
      <c r="DH18">
        <v>110296</v>
      </c>
      <c r="DI18" t="s">
        <v>140</v>
      </c>
      <c r="DJ18" t="str">
        <f>"CPA Ajuste T/C MBI USD " &amp;TEXT(DG18,)</f>
        <v xml:space="preserve">CPA Ajuste T/C MBI USD </v>
      </c>
      <c r="DK18" s="16">
        <f>+DD10</f>
        <v>2280000</v>
      </c>
      <c r="DL18" s="17"/>
    </row>
    <row r="19" spans="1:116" x14ac:dyDescent="0.25">
      <c r="A19" s="1">
        <v>45125</v>
      </c>
      <c r="B19" s="26"/>
      <c r="C19" s="21"/>
      <c r="D19" s="11"/>
      <c r="E19" s="12">
        <v>430105</v>
      </c>
      <c r="F19" s="12" t="s">
        <v>25</v>
      </c>
      <c r="G19" s="12" t="str">
        <f t="shared" ref="G19" si="145">G18</f>
        <v>CPA Ajuste T/C Vector USD 09-07-yyy</v>
      </c>
      <c r="H19" s="13"/>
      <c r="I19" s="18">
        <f t="shared" ref="I19" si="146">H18</f>
        <v>0</v>
      </c>
      <c r="J19" s="3"/>
      <c r="L19" s="1">
        <v>45278</v>
      </c>
      <c r="M19" s="26">
        <f t="shared" si="0"/>
        <v>0</v>
      </c>
      <c r="N19" s="76">
        <v>0</v>
      </c>
      <c r="O19" s="11"/>
      <c r="P19" s="12">
        <v>430105</v>
      </c>
      <c r="Q19" s="12" t="s">
        <v>25</v>
      </c>
      <c r="R19" s="12" t="str">
        <f t="shared" ref="R19" si="147">R18</f>
        <v>CPA Ajuste T/C JP Morgan USD 09-12-yyy</v>
      </c>
      <c r="S19" s="13"/>
      <c r="T19" s="18">
        <f t="shared" ref="T19" si="148">S18</f>
        <v>6073</v>
      </c>
      <c r="W19" s="1">
        <v>45125</v>
      </c>
      <c r="X19" s="26">
        <f t="shared" si="1"/>
        <v>235423</v>
      </c>
      <c r="Y19" s="76">
        <v>235423.06</v>
      </c>
      <c r="Z19" s="11"/>
      <c r="AA19" s="12">
        <v>110218</v>
      </c>
      <c r="AB19" s="12" t="s">
        <v>61</v>
      </c>
      <c r="AC19" s="12" t="str">
        <f t="shared" ref="AC19" si="149">AC18</f>
        <v>CPA Ajuste T/C CFSB 1126 USD 09-07-yyy</v>
      </c>
      <c r="AD19" s="13">
        <v>0</v>
      </c>
      <c r="AE19" s="18">
        <f t="shared" ref="AE19" si="150">AD18</f>
        <v>0</v>
      </c>
      <c r="AH19" s="1">
        <v>45125</v>
      </c>
      <c r="AI19" s="26">
        <f t="shared" si="2"/>
        <v>198604</v>
      </c>
      <c r="AJ19" s="76">
        <v>198603.75</v>
      </c>
      <c r="AK19" s="11"/>
      <c r="AL19" s="12">
        <v>430105</v>
      </c>
      <c r="AM19" s="12" t="s">
        <v>25</v>
      </c>
      <c r="AN19" s="12" t="str">
        <f t="shared" ref="AN19" si="151">AN18</f>
        <v>CPA Ajuste T/C CFSB 0809 USD 09-07-yyy</v>
      </c>
      <c r="AO19" s="13"/>
      <c r="AP19" s="18">
        <f t="shared" ref="AP19" si="152">AO18</f>
        <v>0</v>
      </c>
      <c r="AT19" s="1">
        <v>45430</v>
      </c>
      <c r="AU19" s="26" t="e">
        <f t="shared" si="3"/>
        <v>#VALUE!</v>
      </c>
      <c r="AV19" s="76" t="s">
        <v>70</v>
      </c>
      <c r="AW19" s="21"/>
      <c r="AX19" s="11"/>
      <c r="AY19" s="12">
        <v>430105</v>
      </c>
      <c r="AZ19" s="12" t="s">
        <v>25</v>
      </c>
      <c r="BA19" s="12" t="str">
        <f t="shared" ref="BA19" si="153">BA18</f>
        <v xml:space="preserve">CPA Ajuste T/C Bco. Bice USD </v>
      </c>
      <c r="BB19" s="13"/>
      <c r="BC19" s="18">
        <f t="shared" ref="BC19" si="154">BB18</f>
        <v>7410509</v>
      </c>
      <c r="BG19" s="1">
        <v>45125</v>
      </c>
      <c r="BH19" s="26">
        <v>549000</v>
      </c>
      <c r="BI19" s="21"/>
      <c r="BJ19" s="11"/>
      <c r="BK19" s="12">
        <v>430105</v>
      </c>
      <c r="BL19" s="12" t="s">
        <v>25</v>
      </c>
      <c r="BM19" s="12" t="str">
        <f t="shared" ref="BM19" si="155">BM18</f>
        <v>CPA Ajuste T/C CFSB 0947 USD 09-07-yyy</v>
      </c>
      <c r="BN19" s="13"/>
      <c r="BO19" s="18" t="str">
        <f t="shared" ref="BO19" si="156">BN18</f>
        <v>-</v>
      </c>
      <c r="BS19" s="1">
        <v>45125</v>
      </c>
      <c r="BT19" s="26"/>
      <c r="BU19" s="21"/>
      <c r="BV19" s="11"/>
      <c r="BW19" s="12">
        <v>430105</v>
      </c>
      <c r="BX19" s="12" t="s">
        <v>25</v>
      </c>
      <c r="BY19" s="12" t="str">
        <f t="shared" ref="BY19" si="157">BY18</f>
        <v>CPA Ajuste T/C Bco. Inter. USD 09-07-yyy</v>
      </c>
      <c r="BZ19" s="13"/>
      <c r="CA19" s="18">
        <f t="shared" ref="CA19" si="158">BZ18</f>
        <v>0</v>
      </c>
      <c r="CE19" s="1">
        <v>45125</v>
      </c>
      <c r="CF19" s="26"/>
      <c r="CG19" s="21"/>
      <c r="CH19" s="11"/>
      <c r="CI19" s="12">
        <v>430105</v>
      </c>
      <c r="CJ19" s="12" t="s">
        <v>25</v>
      </c>
      <c r="CK19" s="12" t="str">
        <f t="shared" ref="CK19" si="159">CK18</f>
        <v>CPA Ajuste T/C CFSB 2475 09-07-yyy</v>
      </c>
      <c r="CL19" s="13"/>
      <c r="CM19" s="18">
        <f t="shared" ref="CM19" si="160">CL18</f>
        <v>0</v>
      </c>
      <c r="CQ19" s="1">
        <v>45125</v>
      </c>
      <c r="CR19" s="26">
        <v>36574.449999999997</v>
      </c>
      <c r="CS19" s="21"/>
      <c r="CT19" s="11"/>
      <c r="CU19" s="12">
        <v>430105</v>
      </c>
      <c r="CV19" s="12" t="s">
        <v>25</v>
      </c>
      <c r="CW19" s="12" t="str">
        <f t="shared" ref="CW19" si="161">CW18</f>
        <v>CPA Ajuste T/C CFSB 1557 09-07-yyy</v>
      </c>
      <c r="CX19" s="13"/>
      <c r="CY19" s="18">
        <f t="shared" ref="CY19" si="162">CX18</f>
        <v>0</v>
      </c>
      <c r="DC19" s="1">
        <v>45430</v>
      </c>
      <c r="DD19" s="26" t="e">
        <f t="shared" si="4"/>
        <v>#VALUE!</v>
      </c>
      <c r="DE19" s="26" t="s">
        <v>70</v>
      </c>
      <c r="DF19" s="21"/>
      <c r="DG19" s="11"/>
      <c r="DH19" s="12">
        <v>430105</v>
      </c>
      <c r="DI19" s="12" t="s">
        <v>25</v>
      </c>
      <c r="DJ19" s="12" t="str">
        <f t="shared" ref="DJ19" si="163">DJ18</f>
        <v xml:space="preserve">CPA Ajuste T/C MBI USD </v>
      </c>
      <c r="DK19" s="13"/>
      <c r="DL19" s="18">
        <f t="shared" ref="DL19" si="164">DK18</f>
        <v>2280000</v>
      </c>
    </row>
    <row r="20" spans="1:116" x14ac:dyDescent="0.25">
      <c r="A20" s="1">
        <v>45126</v>
      </c>
      <c r="B20" s="26"/>
      <c r="C20" s="21"/>
      <c r="D20" s="15">
        <v>45117</v>
      </c>
      <c r="E20">
        <v>110258</v>
      </c>
      <c r="F20" t="s">
        <v>63</v>
      </c>
      <c r="G20" t="str">
        <f>"CPA Ajuste T/C Vector USD " &amp;TEXT(D20,"dd-mm-yyy")</f>
        <v>CPA Ajuste T/C Vector USD 10-07-yyy</v>
      </c>
      <c r="H20" s="16">
        <f>+B11</f>
        <v>0</v>
      </c>
      <c r="I20" s="17"/>
      <c r="J20" s="3"/>
      <c r="L20" s="1">
        <v>45279</v>
      </c>
      <c r="M20" s="26">
        <f t="shared" si="0"/>
        <v>0</v>
      </c>
      <c r="N20" s="76">
        <v>0</v>
      </c>
      <c r="O20" s="15">
        <v>45270</v>
      </c>
      <c r="P20">
        <v>110212</v>
      </c>
      <c r="Q20" t="s">
        <v>64</v>
      </c>
      <c r="R20" t="str">
        <f>"CPA Ajuste T/C JP Morgan USD " &amp;TEXT(O20,"dd-mm-yyy")</f>
        <v>CPA Ajuste T/C JP Morgan USD 10-12-yyy</v>
      </c>
      <c r="S20" s="16">
        <f>+M11</f>
        <v>4305</v>
      </c>
      <c r="T20" s="17"/>
      <c r="W20" s="1">
        <v>45126</v>
      </c>
      <c r="X20" s="26">
        <f t="shared" si="1"/>
        <v>-235544</v>
      </c>
      <c r="Y20" s="76">
        <v>-235544.44</v>
      </c>
      <c r="Z20" s="15">
        <v>45117</v>
      </c>
      <c r="AA20">
        <v>110218</v>
      </c>
      <c r="AB20" t="s">
        <v>61</v>
      </c>
      <c r="AC20" t="str">
        <f>"CPA Ajuste T/C CFSB 1126 USD " &amp;TEXT(Z20,"dd-mm-yyy")</f>
        <v>CPA Ajuste T/C CFSB 1126 USD 10-07-yyy</v>
      </c>
      <c r="AD20" s="16">
        <f>X11</f>
        <v>30012</v>
      </c>
      <c r="AE20" s="17"/>
      <c r="AH20" s="1">
        <v>45126</v>
      </c>
      <c r="AI20" s="26">
        <f t="shared" si="2"/>
        <v>-140542</v>
      </c>
      <c r="AJ20" s="76">
        <v>-140542</v>
      </c>
      <c r="AK20" s="15">
        <v>45117</v>
      </c>
      <c r="AL20">
        <v>110228</v>
      </c>
      <c r="AM20" t="s">
        <v>69</v>
      </c>
      <c r="AN20" t="str">
        <f>"CPA Ajuste T/C CFSB 0809 USD " &amp;TEXT(AK20,"dd-mm-yyy")</f>
        <v>CPA Ajuste T/C CFSB 0809 USD 10-07-yyy</v>
      </c>
      <c r="AO20" s="16">
        <f>+AI11</f>
        <v>92013</v>
      </c>
      <c r="AP20" s="17"/>
      <c r="AT20" s="1">
        <v>45431</v>
      </c>
      <c r="AU20" s="26" t="e">
        <f t="shared" si="3"/>
        <v>#VALUE!</v>
      </c>
      <c r="AV20" s="76" t="s">
        <v>70</v>
      </c>
      <c r="AW20" s="21"/>
      <c r="AX20" s="15">
        <v>45422</v>
      </c>
      <c r="AY20">
        <v>110205</v>
      </c>
      <c r="AZ20" t="s">
        <v>59</v>
      </c>
      <c r="BA20" t="str">
        <f>"CPA Ajuste T/C Bco. Bice USD " &amp;TEXT(AX20,)</f>
        <v xml:space="preserve">CPA Ajuste T/C Bco. Bice USD </v>
      </c>
      <c r="BB20" s="16">
        <f>+AU11</f>
        <v>5973286</v>
      </c>
      <c r="BC20" s="17"/>
      <c r="BG20" s="1">
        <v>45126</v>
      </c>
      <c r="BH20" s="26">
        <v>-388500</v>
      </c>
      <c r="BI20" s="21"/>
      <c r="BJ20" s="15">
        <v>45117</v>
      </c>
      <c r="BK20">
        <v>110217</v>
      </c>
      <c r="BL20" t="s">
        <v>104</v>
      </c>
      <c r="BM20" t="str">
        <f>"CPA Ajuste T/C CFSB 0947 USD " &amp;TEXT(BJ20,"dd-mm-yyy")</f>
        <v>CPA Ajuste T/C CFSB 0947 USD 10-07-yyy</v>
      </c>
      <c r="BN20" s="16">
        <f>+BH11</f>
        <v>152250</v>
      </c>
      <c r="BO20" s="17"/>
      <c r="BS20" s="1">
        <v>45126</v>
      </c>
      <c r="BT20" s="26"/>
      <c r="BU20" s="21"/>
      <c r="BV20" s="15">
        <v>45117</v>
      </c>
      <c r="BW20">
        <v>110278</v>
      </c>
      <c r="BX20" t="s">
        <v>106</v>
      </c>
      <c r="BY20" t="str">
        <f>"CPA Ajuste T/C Bco. Inter. USD " &amp;TEXT(BV20,"dd-mm-yyy")</f>
        <v>CPA Ajuste T/C Bco. Inter. USD 10-07-yyy</v>
      </c>
      <c r="BZ20" s="16">
        <f>+BT11</f>
        <v>1522500</v>
      </c>
      <c r="CA20" s="17"/>
      <c r="CE20" s="1">
        <v>45126</v>
      </c>
      <c r="CF20" s="26"/>
      <c r="CG20" s="21"/>
      <c r="CH20" s="15">
        <v>45117</v>
      </c>
      <c r="CI20">
        <v>110285</v>
      </c>
      <c r="CJ20" t="s">
        <v>110</v>
      </c>
      <c r="CK20" t="str">
        <f>"CPA Ajuste T/C CFSB 2475 " &amp;TEXT(CH20,"dd-mm-yyy")</f>
        <v>CPA Ajuste T/C CFSB 2475 10-07-yyy</v>
      </c>
      <c r="CL20" s="16">
        <f>+CF11</f>
        <v>0</v>
      </c>
      <c r="CM20" s="17"/>
      <c r="CQ20" s="1">
        <v>45126</v>
      </c>
      <c r="CR20" s="26">
        <v>-25887.62</v>
      </c>
      <c r="CS20" s="21"/>
      <c r="CT20" s="15">
        <v>45117</v>
      </c>
      <c r="CU20">
        <v>110282</v>
      </c>
      <c r="CV20" t="s">
        <v>112</v>
      </c>
      <c r="CW20" t="str">
        <f>"CPA Ajuste T/C CFSB 1557 " &amp;TEXT(CT20,"dd-mm-yyy")</f>
        <v>CPA Ajuste T/C CFSB 1557 10-07-yyy</v>
      </c>
      <c r="CX20" s="16">
        <f>+CR11</f>
        <v>10094.200000000001</v>
      </c>
      <c r="CY20" s="17"/>
      <c r="DC20" s="1">
        <v>45431</v>
      </c>
      <c r="DD20" s="26" t="e">
        <f t="shared" si="4"/>
        <v>#VALUE!</v>
      </c>
      <c r="DE20" s="26" t="s">
        <v>70</v>
      </c>
      <c r="DF20" s="21"/>
      <c r="DG20" s="15">
        <v>45422</v>
      </c>
      <c r="DH20">
        <v>110296</v>
      </c>
      <c r="DI20" t="s">
        <v>140</v>
      </c>
      <c r="DJ20" t="str">
        <f>"CPA Ajuste T/C MBI USD " &amp;TEXT(DG20,)</f>
        <v xml:space="preserve">CPA Ajuste T/C MBI USD </v>
      </c>
      <c r="DK20" s="16">
        <f>+DD11</f>
        <v>4395000</v>
      </c>
      <c r="DL20" s="17"/>
    </row>
    <row r="21" spans="1:116" x14ac:dyDescent="0.25">
      <c r="A21" s="1">
        <v>45127</v>
      </c>
      <c r="B21" s="26"/>
      <c r="C21" s="21"/>
      <c r="D21" s="9"/>
      <c r="E21" s="12">
        <v>430105</v>
      </c>
      <c r="F21" s="12" t="s">
        <v>25</v>
      </c>
      <c r="G21" s="12" t="str">
        <f t="shared" ref="G21" si="165">G20</f>
        <v>CPA Ajuste T/C Vector USD 10-07-yyy</v>
      </c>
      <c r="H21" s="3"/>
      <c r="I21" s="10">
        <f t="shared" ref="I21" si="166">H20</f>
        <v>0</v>
      </c>
      <c r="J21" s="3"/>
      <c r="L21" s="1">
        <v>45280</v>
      </c>
      <c r="M21" s="26">
        <f t="shared" si="0"/>
        <v>172</v>
      </c>
      <c r="N21" s="76">
        <v>171.88</v>
      </c>
      <c r="O21" s="9"/>
      <c r="P21" s="12">
        <v>430105</v>
      </c>
      <c r="Q21" s="12" t="s">
        <v>25</v>
      </c>
      <c r="R21" s="12" t="str">
        <f t="shared" ref="R21" si="167">R20</f>
        <v>CPA Ajuste T/C JP Morgan USD 10-12-yyy</v>
      </c>
      <c r="S21" s="3"/>
      <c r="T21" s="10">
        <f t="shared" ref="T21" si="168">S20</f>
        <v>4305</v>
      </c>
      <c r="W21" s="1">
        <v>45127</v>
      </c>
      <c r="X21" s="26">
        <f t="shared" si="1"/>
        <v>-189953</v>
      </c>
      <c r="Y21" s="76">
        <v>-189953.39</v>
      </c>
      <c r="Z21" s="9"/>
      <c r="AA21" s="12">
        <v>430105</v>
      </c>
      <c r="AB21" s="12" t="s">
        <v>25</v>
      </c>
      <c r="AC21" s="12" t="str">
        <f t="shared" ref="AC21" si="169">AC20</f>
        <v>CPA Ajuste T/C CFSB 1126 USD 10-07-yyy</v>
      </c>
      <c r="AD21" s="3">
        <v>0</v>
      </c>
      <c r="AE21" s="10">
        <f t="shared" ref="AE21" si="170">AD20</f>
        <v>30012</v>
      </c>
      <c r="AH21" s="1">
        <v>45127</v>
      </c>
      <c r="AI21" s="26">
        <f t="shared" si="2"/>
        <v>-112596</v>
      </c>
      <c r="AJ21" s="76">
        <v>-112596.39</v>
      </c>
      <c r="AK21" s="9"/>
      <c r="AL21" s="12">
        <v>430105</v>
      </c>
      <c r="AM21" s="12" t="s">
        <v>25</v>
      </c>
      <c r="AN21" s="12" t="str">
        <f t="shared" ref="AN21" si="171">AN20</f>
        <v>CPA Ajuste T/C CFSB 0809 USD 10-07-yyy</v>
      </c>
      <c r="AO21" s="3"/>
      <c r="AP21" s="10">
        <f t="shared" ref="AP21" si="172">AO20</f>
        <v>92013</v>
      </c>
      <c r="AT21" s="1">
        <v>45432</v>
      </c>
      <c r="AU21" s="26">
        <f t="shared" si="3"/>
        <v>5185398</v>
      </c>
      <c r="AV21" s="76">
        <v>5185398.4800000004</v>
      </c>
      <c r="AW21" s="21"/>
      <c r="AX21" s="9"/>
      <c r="AY21" s="12">
        <v>430105</v>
      </c>
      <c r="AZ21" s="12" t="s">
        <v>25</v>
      </c>
      <c r="BA21" s="12" t="str">
        <f t="shared" ref="BA21" si="173">BA20</f>
        <v xml:space="preserve">CPA Ajuste T/C Bco. Bice USD </v>
      </c>
      <c r="BB21" s="3"/>
      <c r="BC21" s="10">
        <f t="shared" ref="BC21" si="174">BB20</f>
        <v>5973286</v>
      </c>
      <c r="BG21" s="1">
        <v>45127</v>
      </c>
      <c r="BH21" s="26">
        <v>-311250</v>
      </c>
      <c r="BI21" s="21"/>
      <c r="BJ21" s="9"/>
      <c r="BK21" s="12">
        <v>430105</v>
      </c>
      <c r="BL21" s="12" t="s">
        <v>25</v>
      </c>
      <c r="BM21" s="12" t="str">
        <f t="shared" ref="BM21" si="175">BM20</f>
        <v>CPA Ajuste T/C CFSB 0947 USD 10-07-yyy</v>
      </c>
      <c r="BN21" s="3"/>
      <c r="BO21" s="10">
        <f t="shared" ref="BO21" si="176">BN20</f>
        <v>152250</v>
      </c>
      <c r="BS21" s="1">
        <v>45127</v>
      </c>
      <c r="BT21" s="26"/>
      <c r="BU21" s="21"/>
      <c r="BV21" s="9"/>
      <c r="BW21" s="12">
        <v>430105</v>
      </c>
      <c r="BX21" s="12" t="s">
        <v>25</v>
      </c>
      <c r="BY21" s="12" t="str">
        <f t="shared" ref="BY21" si="177">BY20</f>
        <v>CPA Ajuste T/C Bco. Inter. USD 10-07-yyy</v>
      </c>
      <c r="BZ21" s="3"/>
      <c r="CA21" s="10">
        <f t="shared" ref="CA21" si="178">BZ20</f>
        <v>1522500</v>
      </c>
      <c r="CE21" s="1">
        <v>45127</v>
      </c>
      <c r="CF21" s="26"/>
      <c r="CG21" s="21"/>
      <c r="CH21" s="9"/>
      <c r="CI21" s="12">
        <v>430105</v>
      </c>
      <c r="CJ21" s="12" t="s">
        <v>25</v>
      </c>
      <c r="CK21" s="12" t="str">
        <f t="shared" ref="CK21" si="179">CK20</f>
        <v>CPA Ajuste T/C CFSB 2475 10-07-yyy</v>
      </c>
      <c r="CL21" s="3"/>
      <c r="CM21" s="10">
        <f t="shared" ref="CM21" si="180">CL20</f>
        <v>0</v>
      </c>
      <c r="CQ21" s="1">
        <v>45127</v>
      </c>
      <c r="CR21" s="26">
        <v>-20827.23</v>
      </c>
      <c r="CS21" s="21"/>
      <c r="CT21" s="9"/>
      <c r="CU21" s="12">
        <v>430105</v>
      </c>
      <c r="CV21" s="12" t="s">
        <v>25</v>
      </c>
      <c r="CW21" s="12" t="str">
        <f t="shared" ref="CW21" si="181">CW20</f>
        <v>CPA Ajuste T/C CFSB 1557 10-07-yyy</v>
      </c>
      <c r="CX21" s="3"/>
      <c r="CY21" s="10">
        <f t="shared" ref="CY21" si="182">CX20</f>
        <v>10094.200000000001</v>
      </c>
      <c r="DC21" s="1">
        <v>45432</v>
      </c>
      <c r="DD21" s="26">
        <f t="shared" si="4"/>
        <v>20820000</v>
      </c>
      <c r="DE21" s="26">
        <v>20820000</v>
      </c>
      <c r="DF21" s="21"/>
      <c r="DG21" s="9"/>
      <c r="DH21" s="12">
        <v>430105</v>
      </c>
      <c r="DI21" s="12" t="s">
        <v>25</v>
      </c>
      <c r="DJ21" s="12" t="str">
        <f t="shared" ref="DJ21" si="183">DJ20</f>
        <v xml:space="preserve">CPA Ajuste T/C MBI USD </v>
      </c>
      <c r="DK21" s="3"/>
      <c r="DL21" s="10">
        <f t="shared" ref="DL21" si="184">DK20</f>
        <v>4395000</v>
      </c>
    </row>
    <row r="22" spans="1:116" x14ac:dyDescent="0.25">
      <c r="A22" s="1">
        <v>45128</v>
      </c>
      <c r="B22" s="26"/>
      <c r="C22" s="21"/>
      <c r="D22" s="15">
        <v>45118</v>
      </c>
      <c r="E22">
        <v>110258</v>
      </c>
      <c r="F22" t="s">
        <v>63</v>
      </c>
      <c r="G22" t="str">
        <f>"CPA Ajuste T/C Vector USD " &amp;TEXT(D22,"dd-mm-yyy")</f>
        <v>CPA Ajuste T/C Vector USD 11-07-yyy</v>
      </c>
      <c r="H22" s="16">
        <f>+B12</f>
        <v>0</v>
      </c>
      <c r="I22" s="17"/>
      <c r="J22" s="3"/>
      <c r="L22" s="1">
        <v>45281</v>
      </c>
      <c r="M22" s="26">
        <f t="shared" si="0"/>
        <v>-289</v>
      </c>
      <c r="N22" s="76">
        <v>-289.33999999999997</v>
      </c>
      <c r="O22" s="15">
        <v>45271</v>
      </c>
      <c r="P22">
        <v>110212</v>
      </c>
      <c r="Q22" t="s">
        <v>64</v>
      </c>
      <c r="R22" t="str">
        <f>"CPA Ajuste T/C JP Morgan USD " &amp;TEXT(O22,"dd-mm-yyy")</f>
        <v>CPA Ajuste T/C JP Morgan USD 11-12-yyy</v>
      </c>
      <c r="S22" s="16">
        <f>+M12</f>
        <v>0</v>
      </c>
      <c r="T22" s="17"/>
      <c r="W22" s="1">
        <v>45128</v>
      </c>
      <c r="X22" s="26">
        <f t="shared" si="1"/>
        <v>-233465</v>
      </c>
      <c r="Y22" s="76">
        <v>-233464.99</v>
      </c>
      <c r="Z22" s="15">
        <v>45118</v>
      </c>
      <c r="AA22">
        <v>110218</v>
      </c>
      <c r="AB22" t="s">
        <v>61</v>
      </c>
      <c r="AC22" t="str">
        <f>"CPA Ajuste T/C CFSB 1126 USD " &amp;TEXT(Z22,"dd-mm-yyy")</f>
        <v>CPA Ajuste T/C CFSB 1126 USD 11-07-yyy</v>
      </c>
      <c r="AD22" s="16">
        <f>X12</f>
        <v>88938</v>
      </c>
      <c r="AE22" s="17"/>
      <c r="AH22" s="1">
        <v>45128</v>
      </c>
      <c r="AI22" s="26">
        <f t="shared" si="2"/>
        <v>-103372</v>
      </c>
      <c r="AJ22" s="76">
        <v>-103371.62</v>
      </c>
      <c r="AK22" s="15">
        <v>45118</v>
      </c>
      <c r="AL22">
        <v>110228</v>
      </c>
      <c r="AM22" t="s">
        <v>69</v>
      </c>
      <c r="AN22" t="str">
        <f>"CPA Ajuste T/C CFSB 0809 USD " &amp;TEXT(AK22,"dd-mm-yyy")</f>
        <v>CPA Ajuste T/C CFSB 0809 USD 11-07-yyy</v>
      </c>
      <c r="AO22" s="16">
        <f>+AI12</f>
        <v>247483</v>
      </c>
      <c r="AP22" s="17"/>
      <c r="AT22" s="1">
        <v>45433</v>
      </c>
      <c r="AU22" s="26" t="e">
        <f t="shared" si="3"/>
        <v>#VALUE!</v>
      </c>
      <c r="AV22" s="76" t="s">
        <v>70</v>
      </c>
      <c r="AW22" s="21"/>
      <c r="AX22" s="15">
        <v>45423</v>
      </c>
      <c r="AY22">
        <v>430105</v>
      </c>
      <c r="AZ22" t="s">
        <v>25</v>
      </c>
      <c r="BA22" t="str">
        <f>"CPA Ajuste T/C Bco. Bice USD " &amp;TEXT(AX22,)</f>
        <v xml:space="preserve">CPA Ajuste T/C Bco. Bice USD </v>
      </c>
      <c r="BB22" s="16" t="e">
        <f>+AU12*-1</f>
        <v>#VALUE!</v>
      </c>
      <c r="BC22" s="17"/>
      <c r="BG22" s="1">
        <v>45128</v>
      </c>
      <c r="BH22" s="26">
        <v>-285750</v>
      </c>
      <c r="BI22" s="21"/>
      <c r="BJ22" s="15">
        <v>45118</v>
      </c>
      <c r="BK22">
        <v>110217</v>
      </c>
      <c r="BL22" t="s">
        <v>104</v>
      </c>
      <c r="BM22" t="str">
        <f>"CPA Ajuste T/C CFSB 0947 USD " &amp;TEXT(BJ22,"dd-mm-yyy")</f>
        <v>CPA Ajuste T/C CFSB 0947 USD 11-07-yyy</v>
      </c>
      <c r="BN22" s="16">
        <f>+BH12</f>
        <v>409500</v>
      </c>
      <c r="BO22" s="17"/>
      <c r="BS22" s="1">
        <v>45128</v>
      </c>
      <c r="BT22" s="26"/>
      <c r="BU22" s="21"/>
      <c r="BV22" s="15">
        <v>45118</v>
      </c>
      <c r="BW22">
        <v>110278</v>
      </c>
      <c r="BX22" t="s">
        <v>106</v>
      </c>
      <c r="BY22" t="str">
        <f>"CPA Ajuste T/C Bco. Inter. USD " &amp;TEXT(BV22,"dd-mm-yyy")</f>
        <v>CPA Ajuste T/C Bco. Inter. USD 11-07-yyy</v>
      </c>
      <c r="BZ22" s="16">
        <f>+BT12</f>
        <v>1351000</v>
      </c>
      <c r="CA22" s="17"/>
      <c r="CE22" s="1">
        <v>45128</v>
      </c>
      <c r="CF22" s="26"/>
      <c r="CG22" s="21"/>
      <c r="CH22" s="15">
        <v>45118</v>
      </c>
      <c r="CI22">
        <v>110285</v>
      </c>
      <c r="CJ22" t="s">
        <v>110</v>
      </c>
      <c r="CK22" t="str">
        <f>"CPA Ajuste T/C CFSB 2475 " &amp;TEXT(CH22,"dd-mm-yyy")</f>
        <v>CPA Ajuste T/C CFSB 2475 11-07-yyy</v>
      </c>
      <c r="CL22" s="16">
        <f>+CF12</f>
        <v>0</v>
      </c>
      <c r="CM22" s="17"/>
      <c r="CQ22" s="1">
        <v>45128</v>
      </c>
      <c r="CR22" s="26">
        <v>-19304.97</v>
      </c>
      <c r="CS22" s="21"/>
      <c r="CT22" s="15">
        <v>45118</v>
      </c>
      <c r="CU22">
        <v>110282</v>
      </c>
      <c r="CV22" t="s">
        <v>112</v>
      </c>
      <c r="CW22" t="str">
        <f>"CPA Ajuste T/C CFSB 1557 " &amp;TEXT(CT22,"dd-mm-yyy")</f>
        <v>CPA Ajuste T/C CFSB 1557 11-07-yyy</v>
      </c>
      <c r="CX22" s="16">
        <f>+CR12</f>
        <v>27270.02</v>
      </c>
      <c r="CY22" s="17"/>
      <c r="DC22" s="1">
        <v>45433</v>
      </c>
      <c r="DD22" s="26" t="e">
        <f t="shared" si="4"/>
        <v>#VALUE!</v>
      </c>
      <c r="DE22" s="26" t="s">
        <v>70</v>
      </c>
      <c r="DF22" s="21"/>
      <c r="DG22" s="15">
        <v>45423</v>
      </c>
      <c r="DH22">
        <v>110296</v>
      </c>
      <c r="DI22" t="s">
        <v>140</v>
      </c>
      <c r="DJ22" t="str">
        <f>"CPA Ajuste T/C MBI USD " &amp;TEXT(DG22,)</f>
        <v xml:space="preserve">CPA Ajuste T/C MBI USD </v>
      </c>
      <c r="DK22" s="16" t="e">
        <f>+DD12</f>
        <v>#VALUE!</v>
      </c>
      <c r="DL22" s="17"/>
    </row>
    <row r="23" spans="1:116" x14ac:dyDescent="0.25">
      <c r="A23" s="1">
        <v>45129</v>
      </c>
      <c r="B23" s="26"/>
      <c r="C23" s="21"/>
      <c r="D23" s="9"/>
      <c r="E23" s="12">
        <v>430105</v>
      </c>
      <c r="F23" s="12" t="s">
        <v>25</v>
      </c>
      <c r="G23" s="12" t="str">
        <f t="shared" ref="G23" si="185">G22</f>
        <v>CPA Ajuste T/C Vector USD 11-07-yyy</v>
      </c>
      <c r="H23" s="3"/>
      <c r="I23" s="10">
        <f t="shared" ref="I23" si="186">H22</f>
        <v>0</v>
      </c>
      <c r="J23" s="3"/>
      <c r="L23" s="1">
        <v>45282</v>
      </c>
      <c r="M23" s="26">
        <f t="shared" si="0"/>
        <v>-285</v>
      </c>
      <c r="N23" s="76">
        <v>-285.02999999999997</v>
      </c>
      <c r="O23" s="9"/>
      <c r="P23" s="12">
        <v>430105</v>
      </c>
      <c r="Q23" s="12" t="s">
        <v>25</v>
      </c>
      <c r="R23" s="12" t="str">
        <f t="shared" ref="R23" si="187">R22</f>
        <v>CPA Ajuste T/C JP Morgan USD 11-12-yyy</v>
      </c>
      <c r="S23" s="3"/>
      <c r="T23" s="10">
        <f t="shared" ref="T23" si="188">S22</f>
        <v>0</v>
      </c>
      <c r="W23" s="1">
        <v>45129</v>
      </c>
      <c r="X23" s="26">
        <f t="shared" si="1"/>
        <v>0</v>
      </c>
      <c r="Y23" s="76">
        <v>0</v>
      </c>
      <c r="Z23" s="9"/>
      <c r="AA23" s="12">
        <v>430105</v>
      </c>
      <c r="AB23" s="12" t="s">
        <v>25</v>
      </c>
      <c r="AC23" s="12" t="str">
        <f t="shared" ref="AC23" si="189">AC22</f>
        <v>CPA Ajuste T/C CFSB 1126 USD 11-07-yyy</v>
      </c>
      <c r="AD23" s="3">
        <v>0</v>
      </c>
      <c r="AE23" s="10">
        <f t="shared" ref="AE23" si="190">AD22</f>
        <v>88938</v>
      </c>
      <c r="AH23" s="1">
        <v>45129</v>
      </c>
      <c r="AI23" s="26">
        <f t="shared" si="2"/>
        <v>0</v>
      </c>
      <c r="AJ23" s="76">
        <v>0</v>
      </c>
      <c r="AK23" s="9"/>
      <c r="AL23" s="12">
        <v>430105</v>
      </c>
      <c r="AM23" s="12" t="s">
        <v>25</v>
      </c>
      <c r="AN23" s="12" t="str">
        <f t="shared" ref="AN23" si="191">AN22</f>
        <v>CPA Ajuste T/C CFSB 0809 USD 11-07-yyy</v>
      </c>
      <c r="AO23" s="3"/>
      <c r="AP23" s="10">
        <f t="shared" ref="AP23" si="192">AO22</f>
        <v>247483</v>
      </c>
      <c r="AT23" s="1">
        <v>45434</v>
      </c>
      <c r="AU23" s="26">
        <f t="shared" si="3"/>
        <v>-26759909</v>
      </c>
      <c r="AV23" s="76">
        <v>-26759908.52</v>
      </c>
      <c r="AW23" s="21"/>
      <c r="AX23" s="9"/>
      <c r="AY23" s="12">
        <v>110205</v>
      </c>
      <c r="AZ23" s="12" t="s">
        <v>59</v>
      </c>
      <c r="BA23" s="12" t="str">
        <f t="shared" ref="BA23" si="193">BA22</f>
        <v xml:space="preserve">CPA Ajuste T/C Bco. Bice USD </v>
      </c>
      <c r="BB23" s="3"/>
      <c r="BC23" s="10" t="e">
        <f t="shared" ref="BC23" si="194">BB22</f>
        <v>#VALUE!</v>
      </c>
      <c r="BG23" s="1">
        <v>45129</v>
      </c>
      <c r="BH23" s="26" t="s">
        <v>70</v>
      </c>
      <c r="BI23" s="21"/>
      <c r="BJ23" s="9"/>
      <c r="BK23" s="12">
        <v>430105</v>
      </c>
      <c r="BL23" s="12" t="s">
        <v>25</v>
      </c>
      <c r="BM23" s="12" t="str">
        <f t="shared" ref="BM23" si="195">BM22</f>
        <v>CPA Ajuste T/C CFSB 0947 USD 11-07-yyy</v>
      </c>
      <c r="BN23" s="3"/>
      <c r="BO23" s="10">
        <f t="shared" ref="BO23" si="196">BN22</f>
        <v>409500</v>
      </c>
      <c r="BS23" s="1">
        <v>45129</v>
      </c>
      <c r="BT23" s="26"/>
      <c r="BU23" s="21"/>
      <c r="BV23" s="9"/>
      <c r="BW23" s="12">
        <v>430105</v>
      </c>
      <c r="BX23" s="12" t="s">
        <v>25</v>
      </c>
      <c r="BY23" s="12" t="str">
        <f t="shared" ref="BY23" si="197">BY22</f>
        <v>CPA Ajuste T/C Bco. Inter. USD 11-07-yyy</v>
      </c>
      <c r="BZ23" s="3"/>
      <c r="CA23" s="10">
        <f t="shared" ref="CA23" si="198">BZ22</f>
        <v>1351000</v>
      </c>
      <c r="CE23" s="1">
        <v>45129</v>
      </c>
      <c r="CF23" s="26"/>
      <c r="CG23" s="21"/>
      <c r="CH23" s="9"/>
      <c r="CI23" s="12">
        <v>430105</v>
      </c>
      <c r="CJ23" s="12" t="s">
        <v>25</v>
      </c>
      <c r="CK23" s="12" t="str">
        <f t="shared" ref="CK23" si="199">CK22</f>
        <v>CPA Ajuste T/C CFSB 2475 11-07-yyy</v>
      </c>
      <c r="CL23" s="3"/>
      <c r="CM23" s="10">
        <f t="shared" ref="CM23" si="200">CL22</f>
        <v>0</v>
      </c>
      <c r="CQ23" s="1">
        <v>45129</v>
      </c>
      <c r="CR23" s="26">
        <v>0</v>
      </c>
      <c r="CS23" s="21"/>
      <c r="CT23" s="9"/>
      <c r="CU23" s="12">
        <v>430105</v>
      </c>
      <c r="CV23" s="12" t="s">
        <v>25</v>
      </c>
      <c r="CW23" s="12" t="str">
        <f t="shared" ref="CW23" si="201">CW22</f>
        <v>CPA Ajuste T/C CFSB 1557 11-07-yyy</v>
      </c>
      <c r="CX23" s="3"/>
      <c r="CY23" s="10">
        <f t="shared" ref="CY23" si="202">CX22</f>
        <v>27270.02</v>
      </c>
      <c r="DC23" s="1">
        <v>45434</v>
      </c>
      <c r="DD23" s="26">
        <f t="shared" si="4"/>
        <v>-25075000</v>
      </c>
      <c r="DE23" s="26">
        <v>-25075000</v>
      </c>
      <c r="DF23" s="21"/>
      <c r="DG23" s="9"/>
      <c r="DH23" s="12">
        <v>430105</v>
      </c>
      <c r="DI23" s="12" t="s">
        <v>25</v>
      </c>
      <c r="DJ23" s="12" t="str">
        <f t="shared" ref="DJ23" si="203">DJ22</f>
        <v xml:space="preserve">CPA Ajuste T/C MBI USD </v>
      </c>
      <c r="DK23" s="3"/>
      <c r="DL23" s="10" t="e">
        <f t="shared" ref="DL23" si="204">DK22</f>
        <v>#VALUE!</v>
      </c>
    </row>
    <row r="24" spans="1:116" x14ac:dyDescent="0.25">
      <c r="A24" s="1">
        <v>45130</v>
      </c>
      <c r="B24" s="26"/>
      <c r="C24" s="21"/>
      <c r="D24" s="15">
        <v>45119</v>
      </c>
      <c r="E24">
        <v>430105</v>
      </c>
      <c r="F24" t="s">
        <v>25</v>
      </c>
      <c r="G24" t="str">
        <f>"CPA Ajuste T/C Vector USD " &amp;TEXT(D24,"dd-mm-yyy")</f>
        <v>CPA Ajuste T/C Vector USD 12-07-yyy</v>
      </c>
      <c r="H24" s="16">
        <f>+B13*-1</f>
        <v>0</v>
      </c>
      <c r="I24" s="17"/>
      <c r="J24" s="3"/>
      <c r="L24" s="1">
        <v>45283</v>
      </c>
      <c r="M24" s="26">
        <f t="shared" si="0"/>
        <v>63</v>
      </c>
      <c r="N24" s="76">
        <v>62.5</v>
      </c>
      <c r="O24" s="15">
        <v>45272</v>
      </c>
      <c r="P24">
        <v>430105</v>
      </c>
      <c r="Q24" t="s">
        <v>25</v>
      </c>
      <c r="R24" t="str">
        <f>"CPA Ajuste T/C JP Morgan USD " &amp;TEXT(O24,"dd-mm-yyy")</f>
        <v>CPA Ajuste T/C JP Morgan USD 12-12-yyy</v>
      </c>
      <c r="S24" s="16">
        <f>+M13*-1</f>
        <v>0</v>
      </c>
      <c r="T24" s="17"/>
      <c r="W24" s="1">
        <v>45130</v>
      </c>
      <c r="X24" s="26">
        <f t="shared" si="1"/>
        <v>0</v>
      </c>
      <c r="Y24" s="76">
        <v>0</v>
      </c>
      <c r="Z24" s="15">
        <v>45119</v>
      </c>
      <c r="AA24">
        <v>110218</v>
      </c>
      <c r="AB24" t="s">
        <v>61</v>
      </c>
      <c r="AC24" t="str">
        <f>"CPA Ajuste T/C CFSB 1126 USD " &amp;TEXT(Z24,"dd-mm-yyy")</f>
        <v>CPA Ajuste T/C CFSB 1126 USD 12-07-yyy</v>
      </c>
      <c r="AD24" s="16">
        <f>X13</f>
        <v>79845</v>
      </c>
      <c r="AE24" s="17"/>
      <c r="AH24" s="1">
        <v>45130</v>
      </c>
      <c r="AI24" s="26">
        <f t="shared" si="2"/>
        <v>0</v>
      </c>
      <c r="AJ24" s="76">
        <v>0</v>
      </c>
      <c r="AK24" s="15">
        <v>45119</v>
      </c>
      <c r="AL24">
        <v>110228</v>
      </c>
      <c r="AM24" t="s">
        <v>69</v>
      </c>
      <c r="AN24" t="str">
        <f>"CPA Ajuste T/C CFSB 0809 USD " &amp;TEXT(AK24,"dd-mm-yyy")</f>
        <v>CPA Ajuste T/C CFSB 0809 USD 12-07-yyy</v>
      </c>
      <c r="AO24" s="16">
        <f>+AI13</f>
        <v>217568</v>
      </c>
      <c r="AP24" s="17"/>
      <c r="AT24" s="1">
        <v>45435</v>
      </c>
      <c r="AU24" s="26">
        <f t="shared" si="3"/>
        <v>51256917</v>
      </c>
      <c r="AV24" s="76">
        <v>51256916.950000003</v>
      </c>
      <c r="AW24" s="21"/>
      <c r="AX24" s="15">
        <v>45424</v>
      </c>
      <c r="AY24">
        <v>110205</v>
      </c>
      <c r="AZ24" t="s">
        <v>59</v>
      </c>
      <c r="BA24" t="str">
        <f>"CPA Ajuste T/C Bco. Bice USD " &amp;TEXT(AX24,)</f>
        <v xml:space="preserve">CPA Ajuste T/C Bco. Bice USD </v>
      </c>
      <c r="BB24" s="16" t="e">
        <f>+AU13</f>
        <v>#VALUE!</v>
      </c>
      <c r="BC24" s="17"/>
      <c r="BG24" s="1">
        <v>45130</v>
      </c>
      <c r="BH24" s="26" t="s">
        <v>70</v>
      </c>
      <c r="BI24" s="21"/>
      <c r="BJ24" s="15">
        <v>45119</v>
      </c>
      <c r="BK24">
        <v>110217</v>
      </c>
      <c r="BL24" t="s">
        <v>104</v>
      </c>
      <c r="BM24" t="str">
        <f>"CPA Ajuste T/C CFSB 0947 USD " &amp;TEXT(BJ24,"dd-mm-yyy")</f>
        <v>CPA Ajuste T/C CFSB 0947 USD 12-07-yyy</v>
      </c>
      <c r="BN24" s="16">
        <f>+BH13</f>
        <v>360000</v>
      </c>
      <c r="BO24" s="17"/>
      <c r="BS24" s="1">
        <v>45130</v>
      </c>
      <c r="BT24" s="26"/>
      <c r="BU24" s="21"/>
      <c r="BV24" s="15">
        <v>45119</v>
      </c>
      <c r="BW24">
        <v>110278</v>
      </c>
      <c r="BX24" t="s">
        <v>106</v>
      </c>
      <c r="BY24" t="str">
        <f>"CPA Ajuste T/C Bco. Inter. USD " &amp;TEXT(BV24,"dd-mm-yyy")</f>
        <v>CPA Ajuste T/C Bco. Inter. USD 12-07-yyy</v>
      </c>
      <c r="BZ24" s="16">
        <f>+BT13</f>
        <v>0</v>
      </c>
      <c r="CA24" s="17"/>
      <c r="CE24" s="1">
        <v>45130</v>
      </c>
      <c r="CF24" s="26"/>
      <c r="CG24" s="21"/>
      <c r="CH24" s="15">
        <v>45119</v>
      </c>
      <c r="CI24">
        <v>110285</v>
      </c>
      <c r="CJ24" t="s">
        <v>110</v>
      </c>
      <c r="CK24" t="str">
        <f>"CPA Ajuste T/C CFSB 2475 " &amp;TEXT(CH24,"dd-mm-yyy")</f>
        <v>CPA Ajuste T/C CFSB 2475 12-07-yyy</v>
      </c>
      <c r="CL24" s="16">
        <f>+CF13</f>
        <v>0</v>
      </c>
      <c r="CM24" s="17"/>
      <c r="CQ24" s="1">
        <v>45130</v>
      </c>
      <c r="CR24" s="26">
        <v>0</v>
      </c>
      <c r="CS24" s="21"/>
      <c r="CT24" s="15">
        <v>45119</v>
      </c>
      <c r="CU24">
        <v>110282</v>
      </c>
      <c r="CV24" t="s">
        <v>112</v>
      </c>
      <c r="CW24" t="str">
        <f>"CPA Ajuste T/C CFSB 1557 " &amp;TEXT(CT24,"dd-mm-yyy")</f>
        <v>CPA Ajuste T/C CFSB 1557 12-07-yyy</v>
      </c>
      <c r="CX24" s="16">
        <f>+CR13</f>
        <v>23978.45</v>
      </c>
      <c r="CY24" s="17"/>
      <c r="DC24" s="1">
        <v>45435</v>
      </c>
      <c r="DD24" s="26">
        <f t="shared" si="4"/>
        <v>-3162500</v>
      </c>
      <c r="DE24" s="26">
        <v>-3162500</v>
      </c>
      <c r="DF24" s="21"/>
      <c r="DG24" s="15">
        <v>45424</v>
      </c>
      <c r="DH24">
        <v>430105</v>
      </c>
      <c r="DI24" t="s">
        <v>25</v>
      </c>
      <c r="DJ24" t="str">
        <f>"CPA Ajuste T/C MBI USD " &amp;TEXT(DG24,)</f>
        <v xml:space="preserve">CPA Ajuste T/C MBI USD </v>
      </c>
      <c r="DK24" s="16" t="e">
        <f>+DD13*-1</f>
        <v>#VALUE!</v>
      </c>
      <c r="DL24" s="17"/>
    </row>
    <row r="25" spans="1:116" x14ac:dyDescent="0.25">
      <c r="A25" s="1">
        <v>45131</v>
      </c>
      <c r="B25" s="26"/>
      <c r="C25" s="21"/>
      <c r="D25" s="9"/>
      <c r="E25" s="12">
        <v>110258</v>
      </c>
      <c r="F25" s="12" t="s">
        <v>63</v>
      </c>
      <c r="G25" s="12" t="str">
        <f t="shared" ref="G25" si="205">G24</f>
        <v>CPA Ajuste T/C Vector USD 12-07-yyy</v>
      </c>
      <c r="H25" s="3"/>
      <c r="I25" s="10">
        <f t="shared" ref="I25" si="206">H24</f>
        <v>0</v>
      </c>
      <c r="J25" s="3"/>
      <c r="L25" s="1">
        <v>45284</v>
      </c>
      <c r="M25" s="26">
        <f t="shared" si="0"/>
        <v>-188</v>
      </c>
      <c r="N25" s="76">
        <v>-188.04</v>
      </c>
      <c r="O25" s="9"/>
      <c r="P25" s="12">
        <v>110212</v>
      </c>
      <c r="Q25" s="12" t="s">
        <v>64</v>
      </c>
      <c r="R25" s="12" t="str">
        <f t="shared" ref="R25" si="207">R24</f>
        <v>CPA Ajuste T/C JP Morgan USD 12-12-yyy</v>
      </c>
      <c r="S25" s="3"/>
      <c r="T25" s="10">
        <f t="shared" ref="T25" si="208">S24</f>
        <v>0</v>
      </c>
      <c r="W25" s="1">
        <v>45131</v>
      </c>
      <c r="X25" s="26">
        <f t="shared" si="1"/>
        <v>908414</v>
      </c>
      <c r="Y25" s="76">
        <v>908413.95</v>
      </c>
      <c r="Z25" s="9"/>
      <c r="AA25" s="12">
        <v>430105</v>
      </c>
      <c r="AB25" s="12" t="s">
        <v>25</v>
      </c>
      <c r="AC25" s="12" t="str">
        <f t="shared" ref="AC25" si="209">AC24</f>
        <v>CPA Ajuste T/C CFSB 1126 USD 12-07-yyy</v>
      </c>
      <c r="AD25" s="3"/>
      <c r="AE25" s="10">
        <f t="shared" ref="AE25" si="210">AD24</f>
        <v>79845</v>
      </c>
      <c r="AH25" s="1">
        <v>45131</v>
      </c>
      <c r="AI25" s="26">
        <f t="shared" si="2"/>
        <v>388797</v>
      </c>
      <c r="AJ25" s="76">
        <v>388796.69</v>
      </c>
      <c r="AK25" s="9"/>
      <c r="AL25" s="12">
        <v>430105</v>
      </c>
      <c r="AM25" s="12" t="s">
        <v>25</v>
      </c>
      <c r="AN25" s="12" t="str">
        <f t="shared" ref="AN25" si="211">AN24</f>
        <v>CPA Ajuste T/C CFSB 0809 USD 12-07-yyy</v>
      </c>
      <c r="AO25" s="3"/>
      <c r="AP25" s="10">
        <f t="shared" ref="AP25" si="212">AO24</f>
        <v>217568</v>
      </c>
      <c r="AT25" s="1">
        <v>45436</v>
      </c>
      <c r="AU25" s="26">
        <f t="shared" si="3"/>
        <v>5438753</v>
      </c>
      <c r="AV25" s="76">
        <v>5438752.8300000001</v>
      </c>
      <c r="AW25" s="21"/>
      <c r="AX25" s="9"/>
      <c r="AY25" s="12">
        <v>430105</v>
      </c>
      <c r="AZ25" s="12" t="s">
        <v>25</v>
      </c>
      <c r="BA25" s="12" t="str">
        <f t="shared" ref="BA25" si="213">BA24</f>
        <v xml:space="preserve">CPA Ajuste T/C Bco. Bice USD </v>
      </c>
      <c r="BB25" s="3"/>
      <c r="BC25" s="10" t="e">
        <f t="shared" ref="BC25" si="214">BB24</f>
        <v>#VALUE!</v>
      </c>
      <c r="BG25" s="1">
        <v>45131</v>
      </c>
      <c r="BH25" s="26">
        <v>1074750</v>
      </c>
      <c r="BI25" s="21"/>
      <c r="BJ25" s="9"/>
      <c r="BK25" s="12">
        <v>430105</v>
      </c>
      <c r="BL25" s="12" t="s">
        <v>25</v>
      </c>
      <c r="BM25" s="12" t="str">
        <f t="shared" ref="BM25" si="215">BM24</f>
        <v>CPA Ajuste T/C CFSB 0947 USD 12-07-yyy</v>
      </c>
      <c r="BN25" s="3"/>
      <c r="BO25" s="10">
        <f t="shared" ref="BO25" si="216">BN24</f>
        <v>360000</v>
      </c>
      <c r="BS25" s="1">
        <v>45131</v>
      </c>
      <c r="BT25" s="26"/>
      <c r="BU25" s="21"/>
      <c r="BV25" s="9"/>
      <c r="BW25" s="12">
        <v>430105</v>
      </c>
      <c r="BX25" s="12" t="s">
        <v>25</v>
      </c>
      <c r="BY25" s="12" t="str">
        <f t="shared" ref="BY25" si="217">BY24</f>
        <v>CPA Ajuste T/C Bco. Inter. USD 12-07-yyy</v>
      </c>
      <c r="BZ25" s="3"/>
      <c r="CA25" s="10">
        <f t="shared" ref="CA25" si="218">BZ24</f>
        <v>0</v>
      </c>
      <c r="CE25" s="1">
        <v>45131</v>
      </c>
      <c r="CF25" s="26"/>
      <c r="CG25" s="21"/>
      <c r="CH25" s="9"/>
      <c r="CI25" s="12">
        <v>430105</v>
      </c>
      <c r="CJ25" s="12" t="s">
        <v>25</v>
      </c>
      <c r="CK25" s="12" t="str">
        <f t="shared" ref="CK25" si="219">CK24</f>
        <v>CPA Ajuste T/C CFSB 2475 12-07-yyy</v>
      </c>
      <c r="CL25" s="3"/>
      <c r="CM25" s="10">
        <f t="shared" ref="CM25" si="220">CL24</f>
        <v>0</v>
      </c>
      <c r="CQ25" s="1">
        <v>45131</v>
      </c>
      <c r="CR25" s="26">
        <v>74041.960000000006</v>
      </c>
      <c r="CS25" s="21"/>
      <c r="CT25" s="9"/>
      <c r="CU25" s="12">
        <v>430105</v>
      </c>
      <c r="CV25" s="12" t="s">
        <v>25</v>
      </c>
      <c r="CW25" s="12" t="str">
        <f t="shared" ref="CW25" si="221">CW24</f>
        <v>CPA Ajuste T/C CFSB 1557 12-07-yyy</v>
      </c>
      <c r="CX25" s="3"/>
      <c r="CY25" s="10">
        <f t="shared" ref="CY25" si="222">CX24</f>
        <v>23978.45</v>
      </c>
      <c r="DC25" s="1">
        <v>45436</v>
      </c>
      <c r="DD25" s="26">
        <f t="shared" si="4"/>
        <v>5812500</v>
      </c>
      <c r="DE25" s="26">
        <v>5812500</v>
      </c>
      <c r="DF25" s="21"/>
      <c r="DG25" s="9"/>
      <c r="DH25" s="12">
        <v>110296</v>
      </c>
      <c r="DI25" s="12" t="s">
        <v>140</v>
      </c>
      <c r="DJ25" s="12" t="str">
        <f t="shared" ref="DJ25" si="223">DJ24</f>
        <v xml:space="preserve">CPA Ajuste T/C MBI USD </v>
      </c>
      <c r="DK25" s="3"/>
      <c r="DL25" s="10" t="e">
        <f t="shared" ref="DL25" si="224">DK24</f>
        <v>#VALUE!</v>
      </c>
    </row>
    <row r="26" spans="1:116" x14ac:dyDescent="0.25">
      <c r="A26" s="1">
        <v>45132</v>
      </c>
      <c r="B26" s="26"/>
      <c r="C26" s="21"/>
      <c r="D26" s="15">
        <v>45120</v>
      </c>
      <c r="E26">
        <v>110258</v>
      </c>
      <c r="F26" t="s">
        <v>63</v>
      </c>
      <c r="G26" t="str">
        <f>"CPA Ajuste T/C Vector USD " &amp;TEXT(D26,"dd-mm-yyy")</f>
        <v>CPA Ajuste T/C Vector USD 13-07-yyy</v>
      </c>
      <c r="H26" s="16">
        <f>+B14</f>
        <v>0</v>
      </c>
      <c r="I26" s="17"/>
      <c r="J26" s="3"/>
      <c r="L26" s="1">
        <v>45285</v>
      </c>
      <c r="M26" s="26">
        <f t="shared" si="0"/>
        <v>0</v>
      </c>
      <c r="N26" s="76">
        <v>0</v>
      </c>
      <c r="O26" s="15">
        <v>45273</v>
      </c>
      <c r="P26">
        <v>110212</v>
      </c>
      <c r="Q26" t="s">
        <v>64</v>
      </c>
      <c r="R26" t="str">
        <f>"CPA Ajuste T/C JP Morgan USD " &amp;TEXT(O26,"dd-mm-yyy")</f>
        <v>CPA Ajuste T/C JP Morgan USD 13-12-yyy</v>
      </c>
      <c r="S26" s="16">
        <f>+M14</f>
        <v>8554</v>
      </c>
      <c r="T26" s="17"/>
      <c r="W26" s="1">
        <v>45132</v>
      </c>
      <c r="X26" s="26">
        <f t="shared" si="1"/>
        <v>330334</v>
      </c>
      <c r="Y26" s="76">
        <v>330333.67</v>
      </c>
      <c r="Z26" s="15">
        <v>45120</v>
      </c>
      <c r="AA26">
        <v>430105</v>
      </c>
      <c r="AB26" t="s">
        <v>25</v>
      </c>
      <c r="AC26" t="str">
        <f>"CPA Ajuste T/C CFSB 1126 USD " &amp;TEXT(Z26,"dd-mm-yyy")</f>
        <v>CPA Ajuste T/C CFSB 1126 USD 13-07-yyy</v>
      </c>
      <c r="AD26" s="16">
        <f>+X14*-1</f>
        <v>92155</v>
      </c>
      <c r="AE26" s="17"/>
      <c r="AH26" s="1">
        <v>45132</v>
      </c>
      <c r="AI26" s="26">
        <f t="shared" si="2"/>
        <v>139728</v>
      </c>
      <c r="AJ26" s="76">
        <v>139728.04999999999</v>
      </c>
      <c r="AK26" s="15">
        <v>45120</v>
      </c>
      <c r="AL26">
        <v>430105</v>
      </c>
      <c r="AM26" t="s">
        <v>25</v>
      </c>
      <c r="AN26" t="str">
        <f>"CPA Ajuste T/C CFSB 0809 USD " &amp;TEXT(AK26,"dd-mm-yyy")</f>
        <v>CPA Ajuste T/C CFSB 0809 USD 13-07-yyy</v>
      </c>
      <c r="AO26" s="16">
        <f>+AI14*-1</f>
        <v>251110</v>
      </c>
      <c r="AP26" s="17"/>
      <c r="AT26" s="1">
        <v>45437</v>
      </c>
      <c r="AU26" s="26" t="e">
        <f t="shared" si="3"/>
        <v>#VALUE!</v>
      </c>
      <c r="AV26" s="76" t="s">
        <v>70</v>
      </c>
      <c r="AW26" s="21"/>
      <c r="AX26" s="15">
        <v>45425</v>
      </c>
      <c r="AY26">
        <v>430105</v>
      </c>
      <c r="AZ26" t="s">
        <v>25</v>
      </c>
      <c r="BA26" t="str">
        <f>"CPA Ajuste T/C Bco. Bice USD " &amp;TEXT(AX26,)</f>
        <v xml:space="preserve">CPA Ajuste T/C Bco. Bice USD </v>
      </c>
      <c r="BB26" s="16">
        <f>+AU14*-1</f>
        <v>4987436</v>
      </c>
      <c r="BC26" s="17"/>
      <c r="BG26" s="1">
        <v>45132</v>
      </c>
      <c r="BH26" s="26">
        <v>386250</v>
      </c>
      <c r="BI26" s="21"/>
      <c r="BJ26" s="15">
        <v>45120</v>
      </c>
      <c r="BK26">
        <v>430105</v>
      </c>
      <c r="BL26" t="s">
        <v>25</v>
      </c>
      <c r="BM26" t="str">
        <f>"CPA Ajuste T/C CFSB 0947 USD " &amp;TEXT(BJ26,"dd-mm-yyy")</f>
        <v>CPA Ajuste T/C CFSB 0947 USD 13-07-yyy</v>
      </c>
      <c r="BN26" s="16">
        <f>+BH14*-1</f>
        <v>415500</v>
      </c>
      <c r="BO26" s="17"/>
      <c r="BS26" s="1">
        <v>45132</v>
      </c>
      <c r="BT26" s="26"/>
      <c r="BU26" s="21"/>
      <c r="BV26" s="15">
        <v>45120</v>
      </c>
      <c r="BW26">
        <v>430105</v>
      </c>
      <c r="BX26" t="s">
        <v>25</v>
      </c>
      <c r="BY26" t="str">
        <f>"CPA Ajuste T/C Bco. Inter. USD " &amp;TEXT(BV26,"dd-mm-yyy")</f>
        <v>CPA Ajuste T/C Bco. Inter. USD 13-07-yyy</v>
      </c>
      <c r="BZ26" s="16">
        <f>+BT14*-1</f>
        <v>0</v>
      </c>
      <c r="CA26" s="17"/>
      <c r="CE26" s="1">
        <v>45132</v>
      </c>
      <c r="CF26" s="26"/>
      <c r="CG26" s="21"/>
      <c r="CH26" s="15">
        <v>45120</v>
      </c>
      <c r="CI26">
        <v>430105</v>
      </c>
      <c r="CJ26" t="s">
        <v>25</v>
      </c>
      <c r="CK26" t="str">
        <f>"CPA Ajuste T/C CFSB 2475 " &amp;TEXT(CH26,"dd-mm-yyy")</f>
        <v>CPA Ajuste T/C CFSB 2475 13-07-yyy</v>
      </c>
      <c r="CL26" s="16">
        <f>+CF14*-1</f>
        <v>0</v>
      </c>
      <c r="CM26" s="17"/>
      <c r="CQ26" s="1">
        <v>45132</v>
      </c>
      <c r="CR26" s="26">
        <v>24908.59</v>
      </c>
      <c r="CS26" s="21"/>
      <c r="CT26" s="15">
        <v>45120</v>
      </c>
      <c r="CU26">
        <v>430105</v>
      </c>
      <c r="CV26" t="s">
        <v>25</v>
      </c>
      <c r="CW26" t="str">
        <f>"CPA Ajuste T/C CFSB 1557 " &amp;TEXT(CT26,"dd-mm-yyy")</f>
        <v>CPA Ajuste T/C CFSB 1557 13-07-yyy</v>
      </c>
      <c r="CX26" s="16">
        <f>+CR14*-1</f>
        <v>27675.13</v>
      </c>
      <c r="CY26" s="17"/>
      <c r="DC26" s="1">
        <v>45437</v>
      </c>
      <c r="DD26" s="26" t="e">
        <f t="shared" si="4"/>
        <v>#VALUE!</v>
      </c>
      <c r="DE26" s="26" t="s">
        <v>70</v>
      </c>
      <c r="DF26" s="21"/>
      <c r="DG26" s="15">
        <v>45425</v>
      </c>
      <c r="DH26">
        <v>430105</v>
      </c>
      <c r="DI26" t="s">
        <v>25</v>
      </c>
      <c r="DJ26" t="str">
        <f>"CPA Ajuste T/C MBI USD " &amp;TEXT(DG26,)</f>
        <v xml:space="preserve">CPA Ajuste T/C MBI USD </v>
      </c>
      <c r="DK26" s="16">
        <f>+DD14*-1</f>
        <v>2575000</v>
      </c>
      <c r="DL26" s="17"/>
    </row>
    <row r="27" spans="1:116" x14ac:dyDescent="0.25">
      <c r="A27" s="1">
        <v>45133</v>
      </c>
      <c r="B27" s="26"/>
      <c r="C27" s="21"/>
      <c r="D27" s="9"/>
      <c r="E27" s="12">
        <v>430105</v>
      </c>
      <c r="F27" s="12" t="s">
        <v>25</v>
      </c>
      <c r="G27" s="12" t="str">
        <f t="shared" ref="G27" si="225">G26</f>
        <v>CPA Ajuste T/C Vector USD 13-07-yyy</v>
      </c>
      <c r="H27" s="3"/>
      <c r="I27" s="10">
        <f t="shared" ref="I27" si="226">H26</f>
        <v>0</v>
      </c>
      <c r="J27" s="3"/>
      <c r="L27" s="1">
        <v>45286</v>
      </c>
      <c r="M27" s="26">
        <f t="shared" si="0"/>
        <v>0</v>
      </c>
      <c r="N27" s="76">
        <v>0</v>
      </c>
      <c r="O27" s="9"/>
      <c r="P27" s="12">
        <v>430105</v>
      </c>
      <c r="Q27" s="12" t="s">
        <v>25</v>
      </c>
      <c r="R27" s="12" t="str">
        <f t="shared" ref="R27" si="227">R26</f>
        <v>CPA Ajuste T/C JP Morgan USD 13-12-yyy</v>
      </c>
      <c r="S27" s="3"/>
      <c r="T27" s="10">
        <f t="shared" ref="T27" si="228">S26</f>
        <v>8554</v>
      </c>
      <c r="W27" s="1">
        <v>45133</v>
      </c>
      <c r="X27" s="26">
        <f t="shared" si="1"/>
        <v>1415</v>
      </c>
      <c r="Y27" s="76">
        <v>1414.58</v>
      </c>
      <c r="Z27" s="9"/>
      <c r="AA27" s="12">
        <v>110218</v>
      </c>
      <c r="AB27" s="12" t="s">
        <v>61</v>
      </c>
      <c r="AC27" s="12" t="str">
        <f t="shared" ref="AC27" si="229">AC26</f>
        <v>CPA Ajuste T/C CFSB 1126 USD 13-07-yyy</v>
      </c>
      <c r="AD27" s="3"/>
      <c r="AE27" s="10">
        <f t="shared" ref="AE27" si="230">AD26</f>
        <v>92155</v>
      </c>
      <c r="AH27" s="1">
        <v>45133</v>
      </c>
      <c r="AI27" s="26">
        <f t="shared" si="2"/>
        <v>120837</v>
      </c>
      <c r="AJ27" s="76">
        <v>120836.99</v>
      </c>
      <c r="AK27" s="9"/>
      <c r="AL27" s="12">
        <v>110228</v>
      </c>
      <c r="AM27" s="12" t="s">
        <v>69</v>
      </c>
      <c r="AN27" s="12" t="str">
        <f t="shared" ref="AN27" si="231">AN26</f>
        <v>CPA Ajuste T/C CFSB 0809 USD 13-07-yyy</v>
      </c>
      <c r="AO27" s="3"/>
      <c r="AP27" s="10">
        <f t="shared" ref="AP27" si="232">AO26</f>
        <v>251110</v>
      </c>
      <c r="AT27" s="1">
        <v>45438</v>
      </c>
      <c r="AU27" s="26" t="e">
        <f t="shared" si="3"/>
        <v>#VALUE!</v>
      </c>
      <c r="AV27" s="76" t="s">
        <v>70</v>
      </c>
      <c r="AW27" s="21"/>
      <c r="AX27" s="9"/>
      <c r="AY27" s="12">
        <v>110205</v>
      </c>
      <c r="AZ27" s="12" t="s">
        <v>59</v>
      </c>
      <c r="BA27" s="12" t="str">
        <f t="shared" ref="BA27" si="233">BA26</f>
        <v xml:space="preserve">CPA Ajuste T/C Bco. Bice USD </v>
      </c>
      <c r="BB27" s="3"/>
      <c r="BC27" s="10">
        <f t="shared" ref="BC27" si="234">BB26</f>
        <v>4987436</v>
      </c>
      <c r="BG27" s="1">
        <v>45133</v>
      </c>
      <c r="BH27" s="26">
        <v>135000</v>
      </c>
      <c r="BI27" s="21"/>
      <c r="BJ27" s="9"/>
      <c r="BK27" s="12">
        <v>110217</v>
      </c>
      <c r="BL27" s="12" t="s">
        <v>104</v>
      </c>
      <c r="BM27" s="12" t="str">
        <f t="shared" ref="BM27" si="235">BM26</f>
        <v>CPA Ajuste T/C CFSB 0947 USD 13-07-yyy</v>
      </c>
      <c r="BN27" s="3"/>
      <c r="BO27" s="10">
        <f t="shared" ref="BO27" si="236">BN26</f>
        <v>415500</v>
      </c>
      <c r="BS27" s="1">
        <v>45133</v>
      </c>
      <c r="BT27" s="26"/>
      <c r="BU27" s="21"/>
      <c r="BV27" s="9"/>
      <c r="BW27" s="12">
        <v>110278</v>
      </c>
      <c r="BX27" s="12" t="s">
        <v>106</v>
      </c>
      <c r="BY27" s="12" t="str">
        <f t="shared" ref="BY27" si="237">BY26</f>
        <v>CPA Ajuste T/C Bco. Inter. USD 13-07-yyy</v>
      </c>
      <c r="BZ27" s="3"/>
      <c r="CA27" s="10">
        <f t="shared" ref="CA27" si="238">BZ26</f>
        <v>0</v>
      </c>
      <c r="CE27" s="1">
        <v>45133</v>
      </c>
      <c r="CF27" s="26"/>
      <c r="CG27" s="21"/>
      <c r="CH27" s="9"/>
      <c r="CI27" s="12">
        <v>110285</v>
      </c>
      <c r="CJ27" s="12" t="s">
        <v>110</v>
      </c>
      <c r="CK27" s="12" t="str">
        <f t="shared" ref="CK27" si="239">CK26</f>
        <v>CPA Ajuste T/C CFSB 2475 13-07-yyy</v>
      </c>
      <c r="CL27" s="3"/>
      <c r="CM27" s="10">
        <f t="shared" ref="CM27" si="240">CL26</f>
        <v>0</v>
      </c>
      <c r="CQ27" s="1">
        <v>45133</v>
      </c>
      <c r="CR27" s="26">
        <v>35705.919999999998</v>
      </c>
      <c r="CS27" s="21"/>
      <c r="CT27" s="9"/>
      <c r="CU27" s="12">
        <v>110282</v>
      </c>
      <c r="CV27" s="12" t="s">
        <v>112</v>
      </c>
      <c r="CW27" s="12" t="str">
        <f t="shared" ref="CW27" si="241">CW26</f>
        <v>CPA Ajuste T/C CFSB 1557 13-07-yyy</v>
      </c>
      <c r="CX27" s="3"/>
      <c r="CY27" s="10">
        <f t="shared" ref="CY27" si="242">CX26</f>
        <v>27675.13</v>
      </c>
      <c r="DC27" s="1">
        <v>45438</v>
      </c>
      <c r="DD27" s="26" t="e">
        <f t="shared" si="4"/>
        <v>#VALUE!</v>
      </c>
      <c r="DE27" s="26" t="s">
        <v>70</v>
      </c>
      <c r="DF27" s="21"/>
      <c r="DG27" s="9"/>
      <c r="DH27" s="12">
        <v>110296</v>
      </c>
      <c r="DI27" s="12" t="s">
        <v>140</v>
      </c>
      <c r="DJ27" s="12" t="str">
        <f t="shared" ref="DJ27" si="243">DJ26</f>
        <v xml:space="preserve">CPA Ajuste T/C MBI USD </v>
      </c>
      <c r="DK27" s="3"/>
      <c r="DL27" s="10">
        <f t="shared" ref="DL27" si="244">DK26</f>
        <v>2575000</v>
      </c>
    </row>
    <row r="28" spans="1:116" x14ac:dyDescent="0.25">
      <c r="A28" s="1">
        <v>45134</v>
      </c>
      <c r="B28" s="26"/>
      <c r="D28" s="15">
        <v>45121</v>
      </c>
      <c r="E28">
        <v>430105</v>
      </c>
      <c r="F28" t="s">
        <v>25</v>
      </c>
      <c r="G28" t="str">
        <f>"CPA Ajuste T/C Vector USD " &amp;TEXT(D28,"dd-mm-yyy")</f>
        <v>CPA Ajuste T/C Vector USD 14-07-yyy</v>
      </c>
      <c r="H28" s="16">
        <f>+B15*-1</f>
        <v>0</v>
      </c>
      <c r="I28" s="17"/>
      <c r="J28" s="3"/>
      <c r="L28" s="1">
        <v>45287</v>
      </c>
      <c r="M28" s="26">
        <f t="shared" si="0"/>
        <v>136</v>
      </c>
      <c r="N28" s="76">
        <v>135.78</v>
      </c>
      <c r="O28" s="15">
        <v>45274</v>
      </c>
      <c r="P28">
        <v>110212</v>
      </c>
      <c r="Q28" t="s">
        <v>64</v>
      </c>
      <c r="R28" t="str">
        <f>"CPA Ajuste T/C JP Morgan USD " &amp;TEXT(O28,"dd-mm-yyy")</f>
        <v>CPA Ajuste T/C JP Morgan USD 14-12-yyy</v>
      </c>
      <c r="S28" s="16">
        <f>+M15</f>
        <v>3168</v>
      </c>
      <c r="T28" s="17"/>
      <c r="W28" s="1">
        <v>45134</v>
      </c>
      <c r="X28" s="26">
        <f t="shared" si="1"/>
        <v>-2514</v>
      </c>
      <c r="Y28" s="76">
        <v>-2513.73</v>
      </c>
      <c r="Z28" s="15">
        <v>45121</v>
      </c>
      <c r="AA28">
        <v>430105</v>
      </c>
      <c r="AB28" t="s">
        <v>25</v>
      </c>
      <c r="AC28" t="str">
        <f>"CPA Ajuste T/C CFSB 1126 USD " &amp;TEXT(Z28,"dd-mm-yyy")</f>
        <v>CPA Ajuste T/C CFSB 1126 USD 14-07-yyy</v>
      </c>
      <c r="AD28" s="16">
        <f>+X15*-1</f>
        <v>68734</v>
      </c>
      <c r="AE28" s="17"/>
      <c r="AH28" s="1">
        <v>45134</v>
      </c>
      <c r="AI28" s="26">
        <f t="shared" si="2"/>
        <v>-208108</v>
      </c>
      <c r="AJ28" s="76">
        <v>-208108.15</v>
      </c>
      <c r="AK28" s="15">
        <v>45121</v>
      </c>
      <c r="AL28">
        <v>430105</v>
      </c>
      <c r="AM28" t="s">
        <v>25</v>
      </c>
      <c r="AN28" t="str">
        <f>"CPA Ajuste T/C CFSB 0809 USD " &amp;TEXT(AK28,"dd-mm-yyy")</f>
        <v>CPA Ajuste T/C CFSB 0809 USD 14-07-yyy</v>
      </c>
      <c r="AO28" s="16">
        <f>+AI15*-1</f>
        <v>1386356</v>
      </c>
      <c r="AP28" s="17"/>
      <c r="AT28" s="1">
        <v>45439</v>
      </c>
      <c r="AU28" s="26">
        <f t="shared" si="3"/>
        <v>46170</v>
      </c>
      <c r="AV28" s="76">
        <v>46170.25</v>
      </c>
      <c r="AX28" s="15">
        <v>45426</v>
      </c>
      <c r="AY28">
        <v>110205</v>
      </c>
      <c r="AZ28" t="s">
        <v>59</v>
      </c>
      <c r="BA28" t="str">
        <f>"CPA Ajuste T/C Bco. Bice USD " &amp;TEXT(AX28,)</f>
        <v xml:space="preserve">CPA Ajuste T/C Bco. Bice USD </v>
      </c>
      <c r="BB28" s="16">
        <f>+AU15</f>
        <v>8085392</v>
      </c>
      <c r="BC28" s="17"/>
      <c r="BG28" s="1">
        <v>45134</v>
      </c>
      <c r="BH28" s="26">
        <v>-232500</v>
      </c>
      <c r="BJ28" s="15">
        <v>45121</v>
      </c>
      <c r="BK28">
        <v>430105</v>
      </c>
      <c r="BL28" t="s">
        <v>25</v>
      </c>
      <c r="BM28" t="str">
        <f>"CPA Ajuste T/C CFSB 0947 USD " &amp;TEXT(BJ28,"dd-mm-yyy")</f>
        <v>CPA Ajuste T/C CFSB 0947 USD 14-07-yyy</v>
      </c>
      <c r="BN28" s="16">
        <f>+BH15*-1</f>
        <v>197250</v>
      </c>
      <c r="BO28" s="17"/>
      <c r="BS28" s="1">
        <v>45134</v>
      </c>
      <c r="BT28" s="26"/>
      <c r="BV28" s="15">
        <v>45121</v>
      </c>
      <c r="BW28">
        <v>430105</v>
      </c>
      <c r="BX28" t="s">
        <v>25</v>
      </c>
      <c r="BY28" t="str">
        <f>"CPA Ajuste T/C Bco. Inter. USD " &amp;TEXT(BV28,"dd-mm-yyy")</f>
        <v>CPA Ajuste T/C Bco. Inter. USD 14-07-yyy</v>
      </c>
      <c r="BZ28" s="16">
        <f>+BT15*-1</f>
        <v>0</v>
      </c>
      <c r="CA28" s="17"/>
      <c r="CE28" s="1">
        <v>45134</v>
      </c>
      <c r="CF28" s="26"/>
      <c r="CH28" s="15">
        <v>45121</v>
      </c>
      <c r="CI28">
        <v>430105</v>
      </c>
      <c r="CJ28" t="s">
        <v>25</v>
      </c>
      <c r="CK28" t="str">
        <f>"CPA Ajuste T/C CFSB 2475 " &amp;TEXT(CH28,"dd-mm-yyy")</f>
        <v>CPA Ajuste T/C CFSB 2475 14-07-yyy</v>
      </c>
      <c r="CL28" s="16">
        <f>+CF15*-1</f>
        <v>0</v>
      </c>
      <c r="CM28" s="17"/>
      <c r="CQ28" s="1">
        <v>45134</v>
      </c>
      <c r="CR28" s="26">
        <v>-61493.52</v>
      </c>
      <c r="CT28" s="15">
        <v>45121</v>
      </c>
      <c r="CU28">
        <v>430105</v>
      </c>
      <c r="CV28" t="s">
        <v>25</v>
      </c>
      <c r="CW28" t="str">
        <f>"CPA Ajuste T/C CFSB 1557 " &amp;TEXT(CT28,"dd-mm-yyy")</f>
        <v>CPA Ajuste T/C CFSB 1557 14-07-yyy</v>
      </c>
      <c r="CX28" s="16">
        <f>+CR15*-1</f>
        <v>13138.19</v>
      </c>
      <c r="CY28" s="17"/>
      <c r="DC28" s="1">
        <v>45439</v>
      </c>
      <c r="DD28" s="26">
        <f t="shared" si="4"/>
        <v>1697500</v>
      </c>
      <c r="DE28" s="26">
        <v>1697500</v>
      </c>
      <c r="DG28" s="15">
        <v>45426</v>
      </c>
      <c r="DH28">
        <v>110296</v>
      </c>
      <c r="DI28" t="s">
        <v>140</v>
      </c>
      <c r="DJ28" t="str">
        <f>"CPA Ajuste T/C MBI USD " &amp;TEXT(DG28,)</f>
        <v xml:space="preserve">CPA Ajuste T/C MBI USD </v>
      </c>
      <c r="DK28" s="16" t="e">
        <f>+DD15</f>
        <v>#VALUE!</v>
      </c>
      <c r="DL28" s="17"/>
    </row>
    <row r="29" spans="1:116" x14ac:dyDescent="0.25">
      <c r="A29" s="1">
        <v>45135</v>
      </c>
      <c r="B29" s="26"/>
      <c r="C29" s="39"/>
      <c r="D29" s="9"/>
      <c r="E29" s="12">
        <v>110258</v>
      </c>
      <c r="F29" s="12" t="s">
        <v>63</v>
      </c>
      <c r="G29" s="12" t="str">
        <f t="shared" ref="G29" si="245">G28</f>
        <v>CPA Ajuste T/C Vector USD 14-07-yyy</v>
      </c>
      <c r="H29" s="3"/>
      <c r="I29" s="10">
        <f t="shared" ref="I29" si="246">H28</f>
        <v>0</v>
      </c>
      <c r="J29" s="3"/>
      <c r="L29" s="1">
        <v>45288</v>
      </c>
      <c r="M29" s="26">
        <f t="shared" si="0"/>
        <v>-3820</v>
      </c>
      <c r="N29" s="76">
        <v>-3820.22</v>
      </c>
      <c r="O29" s="9"/>
      <c r="P29" s="12">
        <v>430105</v>
      </c>
      <c r="Q29" s="12" t="s">
        <v>25</v>
      </c>
      <c r="R29" s="12" t="str">
        <f t="shared" ref="R29" si="247">R28</f>
        <v>CPA Ajuste T/C JP Morgan USD 14-12-yyy</v>
      </c>
      <c r="S29" s="3"/>
      <c r="T29" s="10">
        <f t="shared" ref="T29" si="248">S28</f>
        <v>3168</v>
      </c>
      <c r="W29" s="1">
        <v>45135</v>
      </c>
      <c r="X29" s="26">
        <f t="shared" si="1"/>
        <v>275</v>
      </c>
      <c r="Y29" s="76">
        <v>275.27999999999997</v>
      </c>
      <c r="Z29" s="9"/>
      <c r="AA29" s="12">
        <v>110218</v>
      </c>
      <c r="AB29" s="12" t="s">
        <v>61</v>
      </c>
      <c r="AC29" s="12" t="str">
        <f t="shared" ref="AC29" si="249">AC28</f>
        <v>CPA Ajuste T/C CFSB 1126 USD 14-07-yyy</v>
      </c>
      <c r="AD29" s="3"/>
      <c r="AE29" s="10">
        <f t="shared" ref="AE29" si="250">AD28</f>
        <v>68734</v>
      </c>
      <c r="AH29" s="1">
        <v>45135</v>
      </c>
      <c r="AI29" s="26">
        <f t="shared" si="2"/>
        <v>14098</v>
      </c>
      <c r="AJ29" s="76">
        <v>14097.65</v>
      </c>
      <c r="AK29" s="9"/>
      <c r="AL29" s="12">
        <v>110228</v>
      </c>
      <c r="AM29" s="12" t="s">
        <v>69</v>
      </c>
      <c r="AN29" s="12" t="str">
        <f t="shared" ref="AN29" si="251">AN28</f>
        <v>CPA Ajuste T/C CFSB 0809 USD 14-07-yyy</v>
      </c>
      <c r="AO29" s="3"/>
      <c r="AP29" s="10">
        <f t="shared" ref="AP29" si="252">AO28</f>
        <v>1386356</v>
      </c>
      <c r="AT29" s="1">
        <v>45440</v>
      </c>
      <c r="AU29" s="26">
        <f t="shared" si="3"/>
        <v>-7677915</v>
      </c>
      <c r="AV29" s="76">
        <v>-7677914.8799999999</v>
      </c>
      <c r="AW29" s="39"/>
      <c r="AX29" s="9"/>
      <c r="AY29" s="12">
        <v>430105</v>
      </c>
      <c r="AZ29" s="12" t="s">
        <v>25</v>
      </c>
      <c r="BA29" s="12" t="str">
        <f t="shared" ref="BA29" si="253">BA28</f>
        <v xml:space="preserve">CPA Ajuste T/C Bco. Bice USD </v>
      </c>
      <c r="BB29" s="3"/>
      <c r="BC29" s="10">
        <f t="shared" ref="BC29" si="254">BB28</f>
        <v>8085392</v>
      </c>
      <c r="BG29" s="1">
        <v>45135</v>
      </c>
      <c r="BH29" s="26">
        <v>15750</v>
      </c>
      <c r="BI29" s="39"/>
      <c r="BJ29" s="9"/>
      <c r="BK29" s="12">
        <v>110217</v>
      </c>
      <c r="BL29" s="12" t="s">
        <v>104</v>
      </c>
      <c r="BM29" s="12" t="str">
        <f t="shared" ref="BM29" si="255">BM28</f>
        <v>CPA Ajuste T/C CFSB 0947 USD 14-07-yyy</v>
      </c>
      <c r="BN29" s="3"/>
      <c r="BO29" s="10">
        <f t="shared" ref="BO29" si="256">BN28</f>
        <v>197250</v>
      </c>
      <c r="BS29" s="1">
        <v>45135</v>
      </c>
      <c r="BT29" s="26"/>
      <c r="BU29" s="39"/>
      <c r="BV29" s="9"/>
      <c r="BW29" s="12">
        <v>110278</v>
      </c>
      <c r="BX29" s="12" t="s">
        <v>106</v>
      </c>
      <c r="BY29" s="12" t="str">
        <f t="shared" ref="BY29" si="257">BY28</f>
        <v>CPA Ajuste T/C Bco. Inter. USD 14-07-yyy</v>
      </c>
      <c r="BZ29" s="3"/>
      <c r="CA29" s="10">
        <f t="shared" ref="CA29" si="258">BZ28</f>
        <v>0</v>
      </c>
      <c r="CE29" s="1">
        <v>45135</v>
      </c>
      <c r="CF29" s="26"/>
      <c r="CG29" s="39"/>
      <c r="CH29" s="9"/>
      <c r="CI29" s="12">
        <v>110285</v>
      </c>
      <c r="CJ29" s="12" t="s">
        <v>110</v>
      </c>
      <c r="CK29" s="12" t="str">
        <f t="shared" ref="CK29" si="259">CK28</f>
        <v>CPA Ajuste T/C CFSB 2475 14-07-yyy</v>
      </c>
      <c r="CL29" s="3"/>
      <c r="CM29" s="10">
        <f t="shared" ref="CM29" si="260">CL28</f>
        <v>0</v>
      </c>
      <c r="CQ29" s="1">
        <v>45135</v>
      </c>
      <c r="CR29" s="26">
        <v>4165.6899999999996</v>
      </c>
      <c r="CS29" s="39"/>
      <c r="CT29" s="9"/>
      <c r="CU29" s="12">
        <v>110282</v>
      </c>
      <c r="CV29" s="12" t="s">
        <v>112</v>
      </c>
      <c r="CW29" s="12" t="str">
        <f t="shared" ref="CW29" si="261">CW28</f>
        <v>CPA Ajuste T/C CFSB 1557 14-07-yyy</v>
      </c>
      <c r="CX29" s="3"/>
      <c r="CY29" s="10">
        <f t="shared" ref="CY29" si="262">CX28</f>
        <v>13138.19</v>
      </c>
      <c r="DC29" s="1">
        <v>45440</v>
      </c>
      <c r="DD29" s="26">
        <f t="shared" si="4"/>
        <v>4620000</v>
      </c>
      <c r="DE29" s="26">
        <v>4620000</v>
      </c>
      <c r="DF29" s="39"/>
      <c r="DG29" s="9"/>
      <c r="DH29" s="12">
        <v>430105</v>
      </c>
      <c r="DI29" s="12" t="s">
        <v>25</v>
      </c>
      <c r="DJ29" s="12" t="str">
        <f t="shared" ref="DJ29" si="263">DJ28</f>
        <v xml:space="preserve">CPA Ajuste T/C MBI USD </v>
      </c>
      <c r="DK29" s="3"/>
      <c r="DL29" s="10" t="e">
        <f t="shared" ref="DL29" si="264">DK28</f>
        <v>#VALUE!</v>
      </c>
    </row>
    <row r="30" spans="1:116" x14ac:dyDescent="0.25">
      <c r="A30" s="1">
        <v>45136</v>
      </c>
      <c r="B30" s="26"/>
      <c r="D30" s="15">
        <v>45122</v>
      </c>
      <c r="E30">
        <v>110258</v>
      </c>
      <c r="F30" t="s">
        <v>63</v>
      </c>
      <c r="G30" t="str">
        <f>"CPA Ajuste T/C Vector USD " &amp;TEXT(D30,"dd-mm-yyy")</f>
        <v>CPA Ajuste T/C Vector USD 15-07-yyy</v>
      </c>
      <c r="H30" s="16">
        <f>+B16</f>
        <v>0</v>
      </c>
      <c r="I30" s="17"/>
      <c r="J30" s="3"/>
      <c r="L30" s="1">
        <v>45289</v>
      </c>
      <c r="M30" s="26">
        <f t="shared" si="0"/>
        <v>-5258</v>
      </c>
      <c r="N30" s="76">
        <v>-5257.93</v>
      </c>
      <c r="O30" s="15">
        <v>45275</v>
      </c>
      <c r="P30">
        <v>430105</v>
      </c>
      <c r="Q30" t="s">
        <v>25</v>
      </c>
      <c r="R30" t="str">
        <f>"CPA Ajuste T/C JP Morgan USD " &amp;TEXT(O30,"dd-mm-yyy")</f>
        <v>CPA Ajuste T/C JP Morgan USD 15-12-yyy</v>
      </c>
      <c r="S30" s="16">
        <f>+M16*-1</f>
        <v>8929</v>
      </c>
      <c r="T30" s="17"/>
      <c r="W30" s="1">
        <v>45136</v>
      </c>
      <c r="X30" s="26">
        <f t="shared" si="1"/>
        <v>0</v>
      </c>
      <c r="Y30" s="76">
        <v>0</v>
      </c>
      <c r="Z30" s="15">
        <v>45122</v>
      </c>
      <c r="AA30">
        <v>430105</v>
      </c>
      <c r="AB30" t="s">
        <v>25</v>
      </c>
      <c r="AC30" t="str">
        <f>"CPA Ajuste T/C CFSB 1126 USD " &amp;TEXT(Z30,"dd-mm-yyy")</f>
        <v>CPA Ajuste T/C CFSB 1126 USD 15-07-yyy</v>
      </c>
      <c r="AD30" s="16">
        <f>((+X16)*1)*-1</f>
        <v>0</v>
      </c>
      <c r="AE30" s="17"/>
      <c r="AH30" s="1">
        <v>45136</v>
      </c>
      <c r="AI30" s="26">
        <f t="shared" si="2"/>
        <v>0</v>
      </c>
      <c r="AJ30" s="76">
        <v>0</v>
      </c>
      <c r="AK30" s="15">
        <v>45122</v>
      </c>
      <c r="AL30">
        <v>110228</v>
      </c>
      <c r="AM30" t="s">
        <v>69</v>
      </c>
      <c r="AN30" t="str">
        <f>"CPA Ajuste T/C CFSB 0809 USD " &amp;TEXT(AK30,"dd-mm-yyy")</f>
        <v>CPA Ajuste T/C CFSB 0809 USD 15-07-yyy</v>
      </c>
      <c r="AO30" s="16">
        <f>+AI16</f>
        <v>0</v>
      </c>
      <c r="AP30" s="17"/>
      <c r="AT30" s="1">
        <v>45441</v>
      </c>
      <c r="AU30" s="26">
        <f t="shared" si="3"/>
        <v>-5150144</v>
      </c>
      <c r="AV30" s="76">
        <v>-5150143.59</v>
      </c>
      <c r="AX30" s="15">
        <v>45427</v>
      </c>
      <c r="AY30">
        <v>110205</v>
      </c>
      <c r="AZ30" t="s">
        <v>59</v>
      </c>
      <c r="BA30" t="str">
        <f>"CPA Ajuste T/C Bco. Bice USD " &amp;TEXT(AX30,)</f>
        <v xml:space="preserve">CPA Ajuste T/C Bco. Bice USD </v>
      </c>
      <c r="BB30" s="16">
        <f>+AU16</f>
        <v>851475</v>
      </c>
      <c r="BC30" s="17"/>
      <c r="BG30" s="1">
        <v>45136</v>
      </c>
      <c r="BH30" s="26" t="s">
        <v>70</v>
      </c>
      <c r="BJ30" s="15">
        <v>45122</v>
      </c>
      <c r="BK30">
        <v>110217</v>
      </c>
      <c r="BL30" t="s">
        <v>104</v>
      </c>
      <c r="BM30" t="str">
        <f>"CPA Ajuste T/C CFSB 0947 USD " &amp;TEXT(BJ30,"dd-mm-yyy")</f>
        <v>CPA Ajuste T/C CFSB 0947 USD 15-07-yyy</v>
      </c>
      <c r="BN30" s="16" t="str">
        <f>+BH16</f>
        <v>-</v>
      </c>
      <c r="BO30" s="17"/>
      <c r="BS30" s="1">
        <v>45136</v>
      </c>
      <c r="BT30" s="26"/>
      <c r="BV30" s="15">
        <v>45122</v>
      </c>
      <c r="BW30">
        <v>110278</v>
      </c>
      <c r="BX30" t="s">
        <v>106</v>
      </c>
      <c r="BY30" t="str">
        <f>"CPA Ajuste T/C Bco. Inter. USD " &amp;TEXT(BV30,"dd-mm-yyy")</f>
        <v>CPA Ajuste T/C Bco. Inter. USD 15-07-yyy</v>
      </c>
      <c r="BZ30" s="16">
        <f>+BT16</f>
        <v>0</v>
      </c>
      <c r="CA30" s="17"/>
      <c r="CE30" s="1">
        <v>45136</v>
      </c>
      <c r="CF30" s="26"/>
      <c r="CH30" s="15">
        <v>45122</v>
      </c>
      <c r="CI30">
        <v>110285</v>
      </c>
      <c r="CJ30" t="s">
        <v>110</v>
      </c>
      <c r="CK30" t="str">
        <f>"CPA Ajuste T/C CFSB 2475 " &amp;TEXT(CH30,"dd-mm-yyy")</f>
        <v>CPA Ajuste T/C CFSB 2475 15-07-yyy</v>
      </c>
      <c r="CL30" s="16">
        <f>+CF16</f>
        <v>0</v>
      </c>
      <c r="CM30" s="17"/>
      <c r="CQ30" s="1">
        <v>45136</v>
      </c>
      <c r="CR30" s="26">
        <v>0</v>
      </c>
      <c r="CT30" s="15">
        <v>45122</v>
      </c>
      <c r="CU30">
        <v>110282</v>
      </c>
      <c r="CV30" t="s">
        <v>112</v>
      </c>
      <c r="CW30" t="str">
        <f>"CPA Ajuste T/C CFSB 1557 " &amp;TEXT(CT30,"dd-mm-yyy")</f>
        <v>CPA Ajuste T/C CFSB 1557 15-07-yyy</v>
      </c>
      <c r="CX30" s="16">
        <f>+CR16</f>
        <v>0</v>
      </c>
      <c r="CY30" s="17"/>
      <c r="DC30" s="1">
        <v>45441</v>
      </c>
      <c r="DD30" s="26">
        <f t="shared" si="4"/>
        <v>-11070000</v>
      </c>
      <c r="DE30" s="26">
        <v>-11070000</v>
      </c>
      <c r="DG30" s="15">
        <v>45427</v>
      </c>
      <c r="DH30">
        <v>110296</v>
      </c>
      <c r="DI30" t="s">
        <v>140</v>
      </c>
      <c r="DJ30" t="str">
        <f>"CPA Ajuste T/C MBI USD " &amp;TEXT(DG30,)</f>
        <v xml:space="preserve">CPA Ajuste T/C MBI USD </v>
      </c>
      <c r="DK30" s="16">
        <f>+DD16</f>
        <v>8170000</v>
      </c>
      <c r="DL30" s="17"/>
    </row>
    <row r="31" spans="1:116" x14ac:dyDescent="0.25">
      <c r="A31" s="1">
        <v>45137</v>
      </c>
      <c r="B31" s="26"/>
      <c r="D31" s="11"/>
      <c r="E31" s="12">
        <v>430105</v>
      </c>
      <c r="F31" s="12" t="s">
        <v>25</v>
      </c>
      <c r="G31" s="12" t="str">
        <f t="shared" ref="G31" si="265">G30</f>
        <v>CPA Ajuste T/C Vector USD 15-07-yyy</v>
      </c>
      <c r="H31" s="13"/>
      <c r="I31" s="18">
        <f t="shared" ref="I31" si="266">H30</f>
        <v>0</v>
      </c>
      <c r="J31" s="3"/>
      <c r="L31" s="1">
        <v>45290</v>
      </c>
      <c r="M31" s="26">
        <f t="shared" si="0"/>
        <v>-3307</v>
      </c>
      <c r="N31" s="76">
        <v>-3306.75</v>
      </c>
      <c r="O31" s="11"/>
      <c r="P31" s="12">
        <v>110212</v>
      </c>
      <c r="Q31" s="12" t="s">
        <v>64</v>
      </c>
      <c r="R31" s="12" t="str">
        <f t="shared" ref="R31" si="267">R30</f>
        <v>CPA Ajuste T/C JP Morgan USD 15-12-yyy</v>
      </c>
      <c r="S31" s="13"/>
      <c r="T31" s="18">
        <f t="shared" ref="T31" si="268">S30</f>
        <v>8929</v>
      </c>
      <c r="W31" s="1">
        <v>45137</v>
      </c>
      <c r="X31" s="26">
        <f t="shared" si="1"/>
        <v>0</v>
      </c>
      <c r="Y31" s="76">
        <v>0</v>
      </c>
      <c r="Z31" s="11"/>
      <c r="AA31" s="12">
        <v>110218</v>
      </c>
      <c r="AB31" s="12" t="s">
        <v>61</v>
      </c>
      <c r="AC31" s="12" t="str">
        <f t="shared" ref="AC31" si="269">AC30</f>
        <v>CPA Ajuste T/C CFSB 1126 USD 15-07-yyy</v>
      </c>
      <c r="AD31" s="13">
        <v>0</v>
      </c>
      <c r="AE31" s="18">
        <f t="shared" ref="AE31" si="270">AD30</f>
        <v>0</v>
      </c>
      <c r="AH31" s="1">
        <v>45137</v>
      </c>
      <c r="AI31" s="26">
        <f t="shared" si="2"/>
        <v>0</v>
      </c>
      <c r="AJ31" s="76">
        <v>0</v>
      </c>
      <c r="AK31" s="11"/>
      <c r="AL31" s="12">
        <v>430105</v>
      </c>
      <c r="AM31" s="12" t="s">
        <v>25</v>
      </c>
      <c r="AN31" s="12" t="str">
        <f t="shared" ref="AN31" si="271">AN30</f>
        <v>CPA Ajuste T/C CFSB 0809 USD 15-07-yyy</v>
      </c>
      <c r="AO31" s="13"/>
      <c r="AP31" s="18">
        <f t="shared" ref="AP31" si="272">AO30</f>
        <v>0</v>
      </c>
      <c r="AT31" s="1">
        <v>45442</v>
      </c>
      <c r="AU31" s="26">
        <f t="shared" si="3"/>
        <v>35469</v>
      </c>
      <c r="AV31" s="76">
        <v>35469.24</v>
      </c>
      <c r="AX31" s="11"/>
      <c r="AY31" s="12">
        <v>430105</v>
      </c>
      <c r="AZ31" s="12" t="s">
        <v>25</v>
      </c>
      <c r="BA31" s="12" t="str">
        <f t="shared" ref="BA31" si="273">BA30</f>
        <v xml:space="preserve">CPA Ajuste T/C Bco. Bice USD </v>
      </c>
      <c r="BB31" s="13"/>
      <c r="BC31" s="18">
        <f t="shared" ref="BC31" si="274">BB30</f>
        <v>851475</v>
      </c>
      <c r="BG31" s="1">
        <v>45137</v>
      </c>
      <c r="BH31" s="26" t="s">
        <v>70</v>
      </c>
      <c r="BJ31" s="11"/>
      <c r="BK31" s="12">
        <v>430105</v>
      </c>
      <c r="BL31" s="12" t="s">
        <v>25</v>
      </c>
      <c r="BM31" s="12" t="str">
        <f t="shared" ref="BM31" si="275">BM30</f>
        <v>CPA Ajuste T/C CFSB 0947 USD 15-07-yyy</v>
      </c>
      <c r="BN31" s="13"/>
      <c r="BO31" s="18" t="str">
        <f t="shared" ref="BO31" si="276">BN30</f>
        <v>-</v>
      </c>
      <c r="BS31" s="1">
        <v>45137</v>
      </c>
      <c r="BT31" s="26"/>
      <c r="BV31" s="11"/>
      <c r="BW31" s="12">
        <v>430105</v>
      </c>
      <c r="BX31" s="12" t="s">
        <v>25</v>
      </c>
      <c r="BY31" s="12" t="str">
        <f t="shared" ref="BY31" si="277">BY30</f>
        <v>CPA Ajuste T/C Bco. Inter. USD 15-07-yyy</v>
      </c>
      <c r="BZ31" s="13"/>
      <c r="CA31" s="18">
        <f t="shared" ref="CA31" si="278">BZ30</f>
        <v>0</v>
      </c>
      <c r="CE31" s="1">
        <v>45137</v>
      </c>
      <c r="CF31" s="26"/>
      <c r="CH31" s="11"/>
      <c r="CI31" s="12">
        <v>430105</v>
      </c>
      <c r="CJ31" s="12" t="s">
        <v>25</v>
      </c>
      <c r="CK31" s="12" t="str">
        <f t="shared" ref="CK31" si="279">CK30</f>
        <v>CPA Ajuste T/C CFSB 2475 15-07-yyy</v>
      </c>
      <c r="CL31" s="13"/>
      <c r="CM31" s="18">
        <f t="shared" ref="CM31" si="280">CL30</f>
        <v>0</v>
      </c>
      <c r="CQ31" s="1">
        <v>45137</v>
      </c>
      <c r="CR31" s="26">
        <v>0</v>
      </c>
      <c r="CT31" s="11"/>
      <c r="CU31" s="12">
        <v>430105</v>
      </c>
      <c r="CV31" s="12" t="s">
        <v>25</v>
      </c>
      <c r="CW31" s="12" t="str">
        <f t="shared" ref="CW31" si="281">CW30</f>
        <v>CPA Ajuste T/C CFSB 1557 15-07-yyy</v>
      </c>
      <c r="CX31" s="13"/>
      <c r="CY31" s="18">
        <f t="shared" ref="CY31" si="282">CX30</f>
        <v>0</v>
      </c>
      <c r="DC31" s="1">
        <v>45442</v>
      </c>
      <c r="DD31" s="26">
        <f t="shared" si="4"/>
        <v>-19060000</v>
      </c>
      <c r="DE31" s="26">
        <v>-19060000</v>
      </c>
      <c r="DG31" s="11"/>
      <c r="DH31" s="12">
        <v>430105</v>
      </c>
      <c r="DI31" s="12" t="s">
        <v>25</v>
      </c>
      <c r="DJ31" s="12" t="str">
        <f t="shared" ref="DJ31" si="283">DJ30</f>
        <v xml:space="preserve">CPA Ajuste T/C MBI USD </v>
      </c>
      <c r="DK31" s="13"/>
      <c r="DL31" s="18">
        <f t="shared" ref="DL31" si="284">DK30</f>
        <v>8170000</v>
      </c>
    </row>
    <row r="32" spans="1:116" x14ac:dyDescent="0.25">
      <c r="A32" s="1">
        <v>45138</v>
      </c>
      <c r="B32" s="26"/>
      <c r="D32" s="15">
        <v>45123</v>
      </c>
      <c r="E32">
        <v>110258</v>
      </c>
      <c r="F32" t="s">
        <v>63</v>
      </c>
      <c r="G32" t="str">
        <f>"CPA Ajuste T/C Vector USD " &amp;TEXT(D32,"dd-mm-yyy")</f>
        <v>CPA Ajuste T/C Vector USD 16-07-yyy</v>
      </c>
      <c r="H32" s="16">
        <f>+B17</f>
        <v>0</v>
      </c>
      <c r="I32" s="17"/>
      <c r="J32" s="3"/>
      <c r="L32" s="1">
        <v>45291</v>
      </c>
      <c r="M32" s="26">
        <f t="shared" si="0"/>
        <v>0</v>
      </c>
      <c r="N32" s="76">
        <v>0</v>
      </c>
      <c r="O32" s="15">
        <v>45276</v>
      </c>
      <c r="P32">
        <v>430105</v>
      </c>
      <c r="Q32" t="s">
        <v>25</v>
      </c>
      <c r="R32" t="str">
        <f>"CPA Ajuste T/C JP Morgan USD " &amp;TEXT(O32,"dd-mm-yyy")</f>
        <v>CPA Ajuste T/C JP Morgan USD 16-12-yyy</v>
      </c>
      <c r="S32" s="16">
        <f>+M17*-1</f>
        <v>926</v>
      </c>
      <c r="T32" s="17"/>
      <c r="W32" s="1">
        <v>45138</v>
      </c>
      <c r="X32" s="26">
        <f t="shared" si="1"/>
        <v>25365</v>
      </c>
      <c r="Y32" s="76">
        <v>25365.41</v>
      </c>
      <c r="Z32" s="15">
        <v>45123</v>
      </c>
      <c r="AA32">
        <v>430105</v>
      </c>
      <c r="AB32" t="s">
        <v>25</v>
      </c>
      <c r="AC32" t="str">
        <f>"CPA Ajuste T/C CFSB 1126 USD " &amp;TEXT(Z32,"dd-mm-yyy")</f>
        <v>CPA Ajuste T/C CFSB 1126 USD 16-07-yyy</v>
      </c>
      <c r="AD32" s="16">
        <f>((+X17)*1)*-1</f>
        <v>0</v>
      </c>
      <c r="AE32" s="17"/>
      <c r="AH32" s="1">
        <v>45138</v>
      </c>
      <c r="AI32" s="26">
        <f t="shared" si="2"/>
        <v>122851</v>
      </c>
      <c r="AJ32" s="76">
        <v>122850.94</v>
      </c>
      <c r="AK32" s="15">
        <v>45123</v>
      </c>
      <c r="AL32">
        <v>110228</v>
      </c>
      <c r="AM32" t="s">
        <v>69</v>
      </c>
      <c r="AN32" t="str">
        <f>"CPA Ajuste T/C CFSB 0809 USD " &amp;TEXT(AK32,"dd-mm-yyy")</f>
        <v>CPA Ajuste T/C CFSB 0809 USD 16-07-yyy</v>
      </c>
      <c r="AO32" s="16">
        <f>+AI17</f>
        <v>0</v>
      </c>
      <c r="AP32" s="17"/>
      <c r="AT32" s="1">
        <v>45443</v>
      </c>
      <c r="AU32" s="26">
        <f>ROUND(AV32,0)</f>
        <v>25332</v>
      </c>
      <c r="AV32" s="76">
        <v>25332.06</v>
      </c>
      <c r="AX32" s="15">
        <v>45428</v>
      </c>
      <c r="AY32">
        <v>110205</v>
      </c>
      <c r="AZ32" t="s">
        <v>59</v>
      </c>
      <c r="BA32" t="str">
        <f>"CPA Ajuste T/C Bco. Bice USD " &amp;TEXT(AX32,)</f>
        <v xml:space="preserve">CPA Ajuste T/C Bco. Bice USD </v>
      </c>
      <c r="BB32" s="16">
        <f>+AU17</f>
        <v>1720785</v>
      </c>
      <c r="BC32" s="17"/>
      <c r="BG32" s="1">
        <v>45138</v>
      </c>
      <c r="BH32" s="26">
        <v>137250</v>
      </c>
      <c r="BJ32" s="15">
        <v>45123</v>
      </c>
      <c r="BK32">
        <v>110217</v>
      </c>
      <c r="BL32" t="s">
        <v>104</v>
      </c>
      <c r="BM32" t="str">
        <f>"CPA Ajuste T/C CFSB 0947 USD " &amp;TEXT(BJ32,"dd-mm-yyy")</f>
        <v>CPA Ajuste T/C CFSB 0947 USD 16-07-yyy</v>
      </c>
      <c r="BN32" s="16" t="str">
        <f>+BH17</f>
        <v>-</v>
      </c>
      <c r="BO32" s="17"/>
      <c r="BS32" s="1">
        <v>45138</v>
      </c>
      <c r="BT32" s="26"/>
      <c r="BV32" s="15">
        <v>45123</v>
      </c>
      <c r="BW32">
        <v>110278</v>
      </c>
      <c r="BX32" t="s">
        <v>106</v>
      </c>
      <c r="BY32" t="str">
        <f>"CPA Ajuste T/C Bco. Inter. USD " &amp;TEXT(BV32,"dd-mm-yyy")</f>
        <v>CPA Ajuste T/C Bco. Inter. USD 16-07-yyy</v>
      </c>
      <c r="BZ32" s="16">
        <f>+BT17</f>
        <v>0</v>
      </c>
      <c r="CA32" s="17"/>
      <c r="CE32" s="1">
        <v>45138</v>
      </c>
      <c r="CF32" s="26"/>
      <c r="CH32" s="15">
        <v>45123</v>
      </c>
      <c r="CI32">
        <v>110285</v>
      </c>
      <c r="CJ32" t="s">
        <v>110</v>
      </c>
      <c r="CK32" t="str">
        <f>"CPA Ajuste T/C CFSB 2475 " &amp;TEXT(CH32,"dd-mm-yyy")</f>
        <v>CPA Ajuste T/C CFSB 2475 16-07-yyy</v>
      </c>
      <c r="CL32" s="16">
        <f>+CF17</f>
        <v>0</v>
      </c>
      <c r="CM32" s="17"/>
      <c r="CQ32" s="1">
        <v>45138</v>
      </c>
      <c r="CR32" s="26">
        <v>36523.050000000003</v>
      </c>
      <c r="CT32" s="15">
        <v>45123</v>
      </c>
      <c r="CU32">
        <v>110282</v>
      </c>
      <c r="CV32" t="s">
        <v>112</v>
      </c>
      <c r="CW32" t="str">
        <f>"CPA Ajuste T/C CFSB 1557 " &amp;TEXT(CT32,"dd-mm-yyy")</f>
        <v>CPA Ajuste T/C CFSB 1557 16-07-yyy</v>
      </c>
      <c r="CX32" s="16">
        <f>+CR17</f>
        <v>0</v>
      </c>
      <c r="CY32" s="17"/>
      <c r="DC32" s="1">
        <v>45443</v>
      </c>
      <c r="DD32" s="26">
        <f t="shared" si="4"/>
        <v>-275000</v>
      </c>
      <c r="DE32" s="26">
        <v>-275000</v>
      </c>
      <c r="DG32" s="15">
        <v>45428</v>
      </c>
      <c r="DH32">
        <v>110296</v>
      </c>
      <c r="DI32" t="s">
        <v>140</v>
      </c>
      <c r="DJ32" t="str">
        <f>"CPA Ajuste T/C MBI USD " &amp;TEXT(DG32,)</f>
        <v xml:space="preserve">CPA Ajuste T/C MBI USD </v>
      </c>
      <c r="DK32" s="16">
        <f>+DD17</f>
        <v>7860000</v>
      </c>
      <c r="DL32" s="17"/>
    </row>
    <row r="33" spans="4:116" x14ac:dyDescent="0.25">
      <c r="D33" s="11"/>
      <c r="E33" s="12">
        <v>430105</v>
      </c>
      <c r="F33" s="12" t="s">
        <v>25</v>
      </c>
      <c r="G33" s="12" t="str">
        <f t="shared" ref="G33" si="285">G32</f>
        <v>CPA Ajuste T/C Vector USD 16-07-yyy</v>
      </c>
      <c r="H33" s="13"/>
      <c r="I33" s="18">
        <f t="shared" ref="I33" si="286">H32</f>
        <v>0</v>
      </c>
      <c r="J33" s="3"/>
      <c r="M33" s="3">
        <f>SUM(M2:M32)</f>
        <v>-16013</v>
      </c>
      <c r="N33" s="76">
        <f>SUM(N2:N32)</f>
        <v>-16012.810000000001</v>
      </c>
      <c r="O33" s="11"/>
      <c r="P33" s="12">
        <v>110212</v>
      </c>
      <c r="Q33" s="12" t="s">
        <v>64</v>
      </c>
      <c r="R33" s="12" t="str">
        <f t="shared" ref="R33" si="287">R32</f>
        <v>CPA Ajuste T/C JP Morgan USD 16-12-yyy</v>
      </c>
      <c r="S33" s="13"/>
      <c r="T33" s="18">
        <f t="shared" ref="T33" si="288">S32</f>
        <v>926</v>
      </c>
      <c r="X33" s="3">
        <f>SUM(X2:X32)</f>
        <v>1055737</v>
      </c>
      <c r="Z33" s="11"/>
      <c r="AA33" s="12">
        <v>110218</v>
      </c>
      <c r="AB33" s="12" t="s">
        <v>61</v>
      </c>
      <c r="AC33" s="12" t="str">
        <f t="shared" ref="AC33" si="289">AC32</f>
        <v>CPA Ajuste T/C CFSB 1126 USD 16-07-yyy</v>
      </c>
      <c r="AD33" s="13">
        <v>0</v>
      </c>
      <c r="AE33" s="18">
        <f t="shared" ref="AE33" si="290">AD32</f>
        <v>0</v>
      </c>
      <c r="AI33" s="3">
        <f>SUM(AI2:AI32)</f>
        <v>1804022</v>
      </c>
      <c r="AK33" s="11"/>
      <c r="AL33" s="12">
        <v>430105</v>
      </c>
      <c r="AM33" s="12" t="s">
        <v>25</v>
      </c>
      <c r="AN33" s="12" t="str">
        <f t="shared" ref="AN33" si="291">AN32</f>
        <v>CPA Ajuste T/C CFSB 0809 USD 16-07-yyy</v>
      </c>
      <c r="AO33" s="13"/>
      <c r="AP33" s="18">
        <f t="shared" ref="AP33" si="292">AO32</f>
        <v>0</v>
      </c>
      <c r="AU33" s="3" t="e">
        <f>SUM(AU2:AU32)</f>
        <v>#VALUE!</v>
      </c>
      <c r="AV33" s="76">
        <f>SUM(AV2:AV32)</f>
        <v>48109631.400000013</v>
      </c>
      <c r="AX33" s="11"/>
      <c r="AY33" s="12">
        <v>430105</v>
      </c>
      <c r="AZ33" s="12" t="s">
        <v>25</v>
      </c>
      <c r="BA33" s="12" t="str">
        <f t="shared" ref="BA33" si="293">BA32</f>
        <v xml:space="preserve">CPA Ajuste T/C Bco. Bice USD </v>
      </c>
      <c r="BB33" s="13"/>
      <c r="BC33" s="18">
        <f t="shared" ref="BC33" si="294">BB32</f>
        <v>1720785</v>
      </c>
      <c r="BH33" s="3">
        <f>SUM(BH2:BH32)</f>
        <v>1887000</v>
      </c>
      <c r="BJ33" s="11"/>
      <c r="BK33" s="12">
        <v>430105</v>
      </c>
      <c r="BL33" s="12" t="s">
        <v>25</v>
      </c>
      <c r="BM33" s="12" t="str">
        <f t="shared" ref="BM33" si="295">BM32</f>
        <v>CPA Ajuste T/C CFSB 0947 USD 16-07-yyy</v>
      </c>
      <c r="BN33" s="13"/>
      <c r="BO33" s="18" t="str">
        <f t="shared" ref="BO33" si="296">BN32</f>
        <v>-</v>
      </c>
      <c r="BT33" s="3">
        <f>SUM(BT2:BT32)</f>
        <v>14651500</v>
      </c>
      <c r="BV33" s="11"/>
      <c r="BW33" s="12">
        <v>430105</v>
      </c>
      <c r="BX33" s="12" t="s">
        <v>25</v>
      </c>
      <c r="BY33" s="12" t="str">
        <f t="shared" ref="BY33" si="297">BY32</f>
        <v>CPA Ajuste T/C Bco. Inter. USD 16-07-yyy</v>
      </c>
      <c r="BZ33" s="13"/>
      <c r="CA33" s="18">
        <f t="shared" ref="CA33" si="298">BZ32</f>
        <v>0</v>
      </c>
      <c r="CF33" s="3">
        <f>SUM(CF2:CF32)</f>
        <v>3537000</v>
      </c>
      <c r="CH33" s="11"/>
      <c r="CI33" s="12">
        <v>430105</v>
      </c>
      <c r="CJ33" s="12" t="s">
        <v>25</v>
      </c>
      <c r="CK33" s="12" t="str">
        <f t="shared" ref="CK33" si="299">CK32</f>
        <v>CPA Ajuste T/C CFSB 2475 16-07-yyy</v>
      </c>
      <c r="CL33" s="13"/>
      <c r="CM33" s="18">
        <f t="shared" ref="CM33" si="300">CL32</f>
        <v>0</v>
      </c>
      <c r="CR33" s="3">
        <f>SUM(CR2:CR32)</f>
        <v>138006.30000000005</v>
      </c>
      <c r="CT33" s="11"/>
      <c r="CU33" s="12">
        <v>430105</v>
      </c>
      <c r="CV33" s="12" t="s">
        <v>25</v>
      </c>
      <c r="CW33" s="12" t="str">
        <f t="shared" ref="CW33" si="301">CW32</f>
        <v>CPA Ajuste T/C CFSB 1557 16-07-yyy</v>
      </c>
      <c r="CX33" s="13"/>
      <c r="CY33" s="18">
        <f t="shared" ref="CY33" si="302">CX32</f>
        <v>0</v>
      </c>
      <c r="DD33" s="3" t="e">
        <f>SUM(DD2:DD32)</f>
        <v>#VALUE!</v>
      </c>
      <c r="DE33" s="3">
        <f>SUM(DE2:DE32)</f>
        <v>22893000</v>
      </c>
      <c r="DG33" s="11"/>
      <c r="DH33" s="12">
        <v>430105</v>
      </c>
      <c r="DI33" s="12" t="s">
        <v>25</v>
      </c>
      <c r="DJ33" s="12" t="str">
        <f t="shared" ref="DJ33" si="303">DJ32</f>
        <v xml:space="preserve">CPA Ajuste T/C MBI USD </v>
      </c>
      <c r="DK33" s="13"/>
      <c r="DL33" s="18">
        <f t="shared" ref="DL33" si="304">DK32</f>
        <v>7860000</v>
      </c>
    </row>
    <row r="34" spans="4:116" x14ac:dyDescent="0.25">
      <c r="D34" s="15">
        <v>45124</v>
      </c>
      <c r="E34">
        <v>430105</v>
      </c>
      <c r="F34" t="s">
        <v>25</v>
      </c>
      <c r="G34" t="str">
        <f>"CPA Ajuste T/C Vector USD " &amp;TEXT(D34,"dd-mm-yyy")</f>
        <v>CPA Ajuste T/C Vector USD 17-07-yyy</v>
      </c>
      <c r="H34" s="16">
        <f>+B18*-1</f>
        <v>0</v>
      </c>
      <c r="I34" s="17"/>
      <c r="J34" s="3"/>
      <c r="O34" s="15">
        <v>45277</v>
      </c>
      <c r="P34">
        <v>430105</v>
      </c>
      <c r="Q34" t="s">
        <v>25</v>
      </c>
      <c r="R34" t="str">
        <f>"CPA Ajuste T/C JP Morgan USD " &amp;TEXT(O34,"dd-mm-yyy")</f>
        <v>CPA Ajuste T/C JP Morgan USD 17-12-yyy</v>
      </c>
      <c r="S34" s="16">
        <f>+M18*-1</f>
        <v>485</v>
      </c>
      <c r="T34" s="17"/>
      <c r="Z34" s="15">
        <v>45124</v>
      </c>
      <c r="AA34">
        <v>110218</v>
      </c>
      <c r="AB34" t="s">
        <v>61</v>
      </c>
      <c r="AC34" t="str">
        <f>"CPA Ajuste T/C CFSB 1126 USD " &amp;TEXT(Z34,"dd-mm-yyy")</f>
        <v>CPA Ajuste T/C CFSB 1126 USD 17-07-yyy</v>
      </c>
      <c r="AD34" s="16">
        <f>X18</f>
        <v>128137</v>
      </c>
      <c r="AE34" s="17"/>
      <c r="AK34" s="15">
        <v>45124</v>
      </c>
      <c r="AL34">
        <v>110228</v>
      </c>
      <c r="AM34" t="s">
        <v>69</v>
      </c>
      <c r="AN34" t="str">
        <f>"CPA Ajuste T/C CFSB 0809 USD " &amp;TEXT(AK34,"dd-mm-yyy")</f>
        <v>CPA Ajuste T/C CFSB 0809 USD 17-07-yyy</v>
      </c>
      <c r="AO34" s="16">
        <f>+AI18</f>
        <v>2546046</v>
      </c>
      <c r="AP34" s="17"/>
      <c r="AX34" s="15">
        <v>45429</v>
      </c>
      <c r="AY34">
        <v>430105</v>
      </c>
      <c r="AZ34" t="s">
        <v>25</v>
      </c>
      <c r="BA34" t="str">
        <f>"CPA Ajuste T/C Bco. Bice USD " &amp;TEXT(AX34,)</f>
        <v xml:space="preserve">CPA Ajuste T/C Bco. Bice USD </v>
      </c>
      <c r="BB34" s="16">
        <f>+AU18*-1</f>
        <v>6513609</v>
      </c>
      <c r="BC34" s="17"/>
      <c r="BJ34" s="15">
        <v>45124</v>
      </c>
      <c r="BK34">
        <v>110217</v>
      </c>
      <c r="BL34" t="s">
        <v>104</v>
      </c>
      <c r="BM34" t="str">
        <f>"CPA Ajuste T/C CFSB 0947 USD " &amp;TEXT(BJ34,"dd-mm-yyy")</f>
        <v>CPA Ajuste T/C CFSB 0947 USD 17-07-yyy</v>
      </c>
      <c r="BN34" s="16">
        <f>+BH18</f>
        <v>362250</v>
      </c>
      <c r="BO34" s="17"/>
      <c r="BV34" s="15">
        <v>45124</v>
      </c>
      <c r="BW34">
        <v>110278</v>
      </c>
      <c r="BX34" t="s">
        <v>106</v>
      </c>
      <c r="BY34" t="str">
        <f>"CPA Ajuste T/C Bco. Inter. USD " &amp;TEXT(BV34,"dd-mm-yyy")</f>
        <v>CPA Ajuste T/C Bco. Inter. USD 17-07-yyy</v>
      </c>
      <c r="BZ34" s="16">
        <f>+BT18</f>
        <v>0</v>
      </c>
      <c r="CA34" s="17"/>
      <c r="CH34" s="15">
        <v>45124</v>
      </c>
      <c r="CI34">
        <v>110285</v>
      </c>
      <c r="CJ34" t="s">
        <v>110</v>
      </c>
      <c r="CK34" t="str">
        <f>"CPA Ajuste T/C CFSB 2475 " &amp;TEXT(CH34,"dd-mm-yyy")</f>
        <v>CPA Ajuste T/C CFSB 2475 17-07-yyy</v>
      </c>
      <c r="CL34" s="16">
        <f>+CF18</f>
        <v>0</v>
      </c>
      <c r="CM34" s="17"/>
      <c r="CT34" s="15">
        <v>45124</v>
      </c>
      <c r="CU34">
        <v>110282</v>
      </c>
      <c r="CV34" t="s">
        <v>112</v>
      </c>
      <c r="CW34" t="str">
        <f>"CPA Ajuste T/C CFSB 1557 " &amp;TEXT(CT34,"dd-mm-yyy")</f>
        <v>CPA Ajuste T/C CFSB 1557 17-07-yyy</v>
      </c>
      <c r="CX34" s="16">
        <f>+CR18</f>
        <v>24128.31</v>
      </c>
      <c r="CY34" s="17"/>
      <c r="DG34" s="15">
        <v>45429</v>
      </c>
      <c r="DH34">
        <v>110296</v>
      </c>
      <c r="DI34" t="s">
        <v>140</v>
      </c>
      <c r="DJ34" t="str">
        <f>"CPA Ajuste T/C MBI USD " &amp;TEXT(DG34,)</f>
        <v xml:space="preserve">CPA Ajuste T/C MBI USD </v>
      </c>
      <c r="DK34" s="16">
        <f>+DD18</f>
        <v>16660000</v>
      </c>
      <c r="DL34" s="17"/>
    </row>
    <row r="35" spans="4:116" x14ac:dyDescent="0.25">
      <c r="D35" s="11"/>
      <c r="E35" s="12">
        <v>110258</v>
      </c>
      <c r="F35" s="12" t="s">
        <v>63</v>
      </c>
      <c r="G35" s="12" t="str">
        <f t="shared" ref="G35" si="305">G34</f>
        <v>CPA Ajuste T/C Vector USD 17-07-yyy</v>
      </c>
      <c r="H35" s="13"/>
      <c r="I35" s="18">
        <f t="shared" ref="I35" si="306">H34</f>
        <v>0</v>
      </c>
      <c r="J35" s="3"/>
      <c r="O35" s="11"/>
      <c r="P35" s="12">
        <v>110212</v>
      </c>
      <c r="Q35" s="12" t="s">
        <v>64</v>
      </c>
      <c r="R35" s="12" t="str">
        <f t="shared" ref="R35" si="307">R34</f>
        <v>CPA Ajuste T/C JP Morgan USD 17-12-yyy</v>
      </c>
      <c r="S35" s="13"/>
      <c r="T35" s="18">
        <f t="shared" ref="T35" si="308">S34</f>
        <v>485</v>
      </c>
      <c r="Z35" s="11"/>
      <c r="AA35" s="12">
        <v>430105</v>
      </c>
      <c r="AB35" s="12" t="s">
        <v>25</v>
      </c>
      <c r="AC35" s="12" t="str">
        <f t="shared" ref="AC35" si="309">AC34</f>
        <v>CPA Ajuste T/C CFSB 1126 USD 17-07-yyy</v>
      </c>
      <c r="AD35" s="13"/>
      <c r="AE35" s="18">
        <f t="shared" ref="AE35" si="310">AD34</f>
        <v>128137</v>
      </c>
      <c r="AK35" s="11"/>
      <c r="AL35" s="12">
        <v>430105</v>
      </c>
      <c r="AM35" s="12" t="s">
        <v>25</v>
      </c>
      <c r="AN35" s="12" t="str">
        <f t="shared" ref="AN35" si="311">AN34</f>
        <v>CPA Ajuste T/C CFSB 0809 USD 17-07-yyy</v>
      </c>
      <c r="AO35" s="13"/>
      <c r="AP35" s="18">
        <f t="shared" ref="AP35" si="312">AO34</f>
        <v>2546046</v>
      </c>
      <c r="AX35" s="11"/>
      <c r="AY35" s="12">
        <v>110205</v>
      </c>
      <c r="AZ35" s="12" t="s">
        <v>59</v>
      </c>
      <c r="BA35" s="12" t="str">
        <f t="shared" ref="BA35" si="313">BA34</f>
        <v xml:space="preserve">CPA Ajuste T/C Bco. Bice USD </v>
      </c>
      <c r="BB35" s="13"/>
      <c r="BC35" s="18">
        <f t="shared" ref="BC35" si="314">BB34</f>
        <v>6513609</v>
      </c>
      <c r="BJ35" s="11"/>
      <c r="BK35" s="12">
        <v>430105</v>
      </c>
      <c r="BL35" s="12" t="s">
        <v>25</v>
      </c>
      <c r="BM35" s="12" t="str">
        <f t="shared" ref="BM35" si="315">BM34</f>
        <v>CPA Ajuste T/C CFSB 0947 USD 17-07-yyy</v>
      </c>
      <c r="BN35" s="13"/>
      <c r="BO35" s="18">
        <f t="shared" ref="BO35" si="316">BN34</f>
        <v>362250</v>
      </c>
      <c r="BV35" s="11"/>
      <c r="BW35" s="12">
        <v>430105</v>
      </c>
      <c r="BX35" s="12" t="s">
        <v>25</v>
      </c>
      <c r="BY35" s="12" t="str">
        <f t="shared" ref="BY35" si="317">BY34</f>
        <v>CPA Ajuste T/C Bco. Inter. USD 17-07-yyy</v>
      </c>
      <c r="BZ35" s="13"/>
      <c r="CA35" s="18">
        <f t="shared" ref="CA35" si="318">BZ34</f>
        <v>0</v>
      </c>
      <c r="CH35" s="11"/>
      <c r="CI35" s="12">
        <v>430105</v>
      </c>
      <c r="CJ35" s="12" t="s">
        <v>25</v>
      </c>
      <c r="CK35" s="12" t="str">
        <f t="shared" ref="CK35" si="319">CK34</f>
        <v>CPA Ajuste T/C CFSB 2475 17-07-yyy</v>
      </c>
      <c r="CL35" s="13"/>
      <c r="CM35" s="18">
        <f t="shared" ref="CM35" si="320">CL34</f>
        <v>0</v>
      </c>
      <c r="CT35" s="11"/>
      <c r="CU35" s="12">
        <v>430105</v>
      </c>
      <c r="CV35" s="12" t="s">
        <v>25</v>
      </c>
      <c r="CW35" s="12" t="str">
        <f t="shared" ref="CW35" si="321">CW34</f>
        <v>CPA Ajuste T/C CFSB 1557 17-07-yyy</v>
      </c>
      <c r="CX35" s="13"/>
      <c r="CY35" s="18">
        <f t="shared" ref="CY35" si="322">CX34</f>
        <v>24128.31</v>
      </c>
      <c r="DG35" s="11"/>
      <c r="DH35" s="12">
        <v>430105</v>
      </c>
      <c r="DI35" s="12" t="s">
        <v>25</v>
      </c>
      <c r="DJ35" s="12" t="str">
        <f t="shared" ref="DJ35" si="323">DJ34</f>
        <v xml:space="preserve">CPA Ajuste T/C MBI USD </v>
      </c>
      <c r="DK35" s="13"/>
      <c r="DL35" s="18">
        <f t="shared" ref="DL35" si="324">DK34</f>
        <v>16660000</v>
      </c>
    </row>
    <row r="36" spans="4:116" x14ac:dyDescent="0.25">
      <c r="D36" s="15">
        <v>45125</v>
      </c>
      <c r="E36">
        <v>110258</v>
      </c>
      <c r="F36" t="s">
        <v>63</v>
      </c>
      <c r="G36" t="str">
        <f>"CPA Ajuste T/C Vector USD " &amp;TEXT(D36,"dd-mm-yyy")</f>
        <v>CPA Ajuste T/C Vector USD 18-07-yyy</v>
      </c>
      <c r="H36" s="16">
        <f>+B19</f>
        <v>0</v>
      </c>
      <c r="I36" s="17"/>
      <c r="J36" s="3"/>
      <c r="O36" s="15">
        <v>45278</v>
      </c>
      <c r="P36">
        <v>110212</v>
      </c>
      <c r="Q36" t="s">
        <v>64</v>
      </c>
      <c r="R36" t="str">
        <f>"CPA Ajuste T/C JP Morgan USD " &amp;TEXT(O36,"dd-mm-yyy")</f>
        <v>CPA Ajuste T/C JP Morgan USD 18-12-yyy</v>
      </c>
      <c r="S36" s="16">
        <f>+M19</f>
        <v>0</v>
      </c>
      <c r="T36" s="17"/>
      <c r="Z36" s="15">
        <v>45125</v>
      </c>
      <c r="AA36">
        <v>110218</v>
      </c>
      <c r="AB36" t="s">
        <v>61</v>
      </c>
      <c r="AC36" t="str">
        <f>"CPA Ajuste T/C CFSB 1126 USD " &amp;TEXT(Z36,"dd-mm-yyy")</f>
        <v>CPA Ajuste T/C CFSB 1126 USD 18-07-yyy</v>
      </c>
      <c r="AD36" s="16">
        <f>+X19</f>
        <v>235423</v>
      </c>
      <c r="AE36" s="17"/>
      <c r="AK36" s="15">
        <v>45125</v>
      </c>
      <c r="AL36">
        <v>110228</v>
      </c>
      <c r="AM36" t="s">
        <v>69</v>
      </c>
      <c r="AN36" t="str">
        <f>"CPA Ajuste T/C CFSB 0809 USD " &amp;TEXT(AK36,"dd-mm-yyy")</f>
        <v>CPA Ajuste T/C CFSB 0809 USD 18-07-yyy</v>
      </c>
      <c r="AO36" s="16">
        <f>+AI19</f>
        <v>198604</v>
      </c>
      <c r="AP36" s="17"/>
      <c r="AX36" s="15">
        <v>45430</v>
      </c>
      <c r="AY36">
        <v>430105</v>
      </c>
      <c r="AZ36" t="s">
        <v>25</v>
      </c>
      <c r="BA36" t="str">
        <f>"CPA Ajuste T/C Bco. Bice USD " &amp;TEXT(AX36,)</f>
        <v xml:space="preserve">CPA Ajuste T/C Bco. Bice USD </v>
      </c>
      <c r="BB36" s="16" t="e">
        <f>+AU19*-1</f>
        <v>#VALUE!</v>
      </c>
      <c r="BC36" s="17"/>
      <c r="BJ36" s="15">
        <v>45125</v>
      </c>
      <c r="BK36">
        <v>110217</v>
      </c>
      <c r="BL36" t="s">
        <v>104</v>
      </c>
      <c r="BM36" t="str">
        <f>"CPA Ajuste T/C CFSB 0947 USD " &amp;TEXT(BJ36,"dd-mm-yyy")</f>
        <v>CPA Ajuste T/C CFSB 0947 USD 18-07-yyy</v>
      </c>
      <c r="BN36" s="16">
        <f>+BH19</f>
        <v>549000</v>
      </c>
      <c r="BO36" s="17"/>
      <c r="BV36" s="15">
        <v>45125</v>
      </c>
      <c r="BW36">
        <v>110278</v>
      </c>
      <c r="BX36" t="s">
        <v>106</v>
      </c>
      <c r="BY36" t="str">
        <f>"CPA Ajuste T/C Bco. Inter. USD " &amp;TEXT(BV36,"dd-mm-yyy")</f>
        <v>CPA Ajuste T/C Bco. Inter. USD 18-07-yyy</v>
      </c>
      <c r="BZ36" s="16">
        <f>+BT19</f>
        <v>0</v>
      </c>
      <c r="CA36" s="17"/>
      <c r="CH36" s="15">
        <v>45125</v>
      </c>
      <c r="CI36">
        <v>110285</v>
      </c>
      <c r="CJ36" t="s">
        <v>110</v>
      </c>
      <c r="CK36" t="str">
        <f>"CPA Ajuste T/C CFSB 2475 " &amp;TEXT(CH36,"dd-mm-yyy")</f>
        <v>CPA Ajuste T/C CFSB 2475 18-07-yyy</v>
      </c>
      <c r="CL36" s="16">
        <f>+CF19</f>
        <v>0</v>
      </c>
      <c r="CM36" s="17"/>
      <c r="CT36" s="15">
        <v>45125</v>
      </c>
      <c r="CU36">
        <v>110282</v>
      </c>
      <c r="CV36" t="s">
        <v>112</v>
      </c>
      <c r="CW36" t="str">
        <f>"CPA Ajuste T/C CFSB 1557 " &amp;TEXT(CT36,"dd-mm-yyy")</f>
        <v>CPA Ajuste T/C CFSB 1557 18-07-yyy</v>
      </c>
      <c r="CX36" s="16">
        <f>+CR19</f>
        <v>36574.449999999997</v>
      </c>
      <c r="CY36" s="17"/>
      <c r="DG36" s="15">
        <v>45430</v>
      </c>
      <c r="DH36">
        <v>110296</v>
      </c>
      <c r="DI36" t="s">
        <v>140</v>
      </c>
      <c r="DJ36" t="str">
        <f>"CPA Ajuste T/C MBI USD " &amp;TEXT(DG36,)</f>
        <v xml:space="preserve">CPA Ajuste T/C MBI USD </v>
      </c>
      <c r="DK36" s="16" t="e">
        <f>+DD19</f>
        <v>#VALUE!</v>
      </c>
      <c r="DL36" s="17"/>
    </row>
    <row r="37" spans="4:116" x14ac:dyDescent="0.25">
      <c r="D37" s="11"/>
      <c r="E37" s="12">
        <v>430105</v>
      </c>
      <c r="F37" s="12" t="s">
        <v>25</v>
      </c>
      <c r="G37" s="12" t="str">
        <f t="shared" ref="G37" si="325">G36</f>
        <v>CPA Ajuste T/C Vector USD 18-07-yyy</v>
      </c>
      <c r="H37" s="13"/>
      <c r="I37" s="18">
        <f t="shared" ref="I37" si="326">H36</f>
        <v>0</v>
      </c>
      <c r="J37" s="3"/>
      <c r="O37" s="11"/>
      <c r="P37" s="12">
        <v>430105</v>
      </c>
      <c r="Q37" s="12" t="s">
        <v>25</v>
      </c>
      <c r="R37" s="12" t="str">
        <f t="shared" ref="R37" si="327">R36</f>
        <v>CPA Ajuste T/C JP Morgan USD 18-12-yyy</v>
      </c>
      <c r="S37" s="13"/>
      <c r="T37" s="18">
        <f t="shared" ref="T37" si="328">S36</f>
        <v>0</v>
      </c>
      <c r="Z37" s="11"/>
      <c r="AA37" s="12">
        <v>430105</v>
      </c>
      <c r="AB37" s="12" t="s">
        <v>25</v>
      </c>
      <c r="AC37" s="12" t="str">
        <f t="shared" ref="AC37" si="329">AC36</f>
        <v>CPA Ajuste T/C CFSB 1126 USD 18-07-yyy</v>
      </c>
      <c r="AD37" s="13"/>
      <c r="AE37" s="18">
        <f t="shared" ref="AE37" si="330">AD36</f>
        <v>235423</v>
      </c>
      <c r="AK37" s="11"/>
      <c r="AL37" s="12">
        <v>430105</v>
      </c>
      <c r="AM37" s="12" t="s">
        <v>25</v>
      </c>
      <c r="AN37" s="12" t="str">
        <f t="shared" ref="AN37" si="331">AN36</f>
        <v>CPA Ajuste T/C CFSB 0809 USD 18-07-yyy</v>
      </c>
      <c r="AO37" s="13"/>
      <c r="AP37" s="18">
        <f t="shared" ref="AP37" si="332">AO36</f>
        <v>198604</v>
      </c>
      <c r="AX37" s="11"/>
      <c r="AY37" s="12">
        <v>110205</v>
      </c>
      <c r="AZ37" s="12" t="s">
        <v>59</v>
      </c>
      <c r="BA37" s="12" t="str">
        <f t="shared" ref="BA37" si="333">BA36</f>
        <v xml:space="preserve">CPA Ajuste T/C Bco. Bice USD </v>
      </c>
      <c r="BB37" s="13"/>
      <c r="BC37" s="18" t="e">
        <f t="shared" ref="BC37" si="334">BB36</f>
        <v>#VALUE!</v>
      </c>
      <c r="BJ37" s="11"/>
      <c r="BK37" s="12">
        <v>430105</v>
      </c>
      <c r="BL37" s="12" t="s">
        <v>25</v>
      </c>
      <c r="BM37" s="12" t="str">
        <f t="shared" ref="BM37" si="335">BM36</f>
        <v>CPA Ajuste T/C CFSB 0947 USD 18-07-yyy</v>
      </c>
      <c r="BN37" s="13"/>
      <c r="BO37" s="18">
        <f t="shared" ref="BO37" si="336">BN36</f>
        <v>549000</v>
      </c>
      <c r="BV37" s="11"/>
      <c r="BW37" s="12">
        <v>430105</v>
      </c>
      <c r="BX37" s="12" t="s">
        <v>25</v>
      </c>
      <c r="BY37" s="12" t="str">
        <f t="shared" ref="BY37" si="337">BY36</f>
        <v>CPA Ajuste T/C Bco. Inter. USD 18-07-yyy</v>
      </c>
      <c r="BZ37" s="13"/>
      <c r="CA37" s="18">
        <f t="shared" ref="CA37" si="338">BZ36</f>
        <v>0</v>
      </c>
      <c r="CH37" s="11"/>
      <c r="CI37" s="12">
        <v>430105</v>
      </c>
      <c r="CJ37" s="12" t="s">
        <v>25</v>
      </c>
      <c r="CK37" s="12" t="str">
        <f t="shared" ref="CK37" si="339">CK36</f>
        <v>CPA Ajuste T/C CFSB 2475 18-07-yyy</v>
      </c>
      <c r="CL37" s="13"/>
      <c r="CM37" s="18">
        <f t="shared" ref="CM37" si="340">CL36</f>
        <v>0</v>
      </c>
      <c r="CT37" s="11"/>
      <c r="CU37" s="12">
        <v>430105</v>
      </c>
      <c r="CV37" s="12" t="s">
        <v>25</v>
      </c>
      <c r="CW37" s="12" t="str">
        <f t="shared" ref="CW37" si="341">CW36</f>
        <v>CPA Ajuste T/C CFSB 1557 18-07-yyy</v>
      </c>
      <c r="CX37" s="13"/>
      <c r="CY37" s="18">
        <f t="shared" ref="CY37" si="342">CX36</f>
        <v>36574.449999999997</v>
      </c>
      <c r="DG37" s="11"/>
      <c r="DH37" s="12">
        <v>430105</v>
      </c>
      <c r="DI37" s="12" t="s">
        <v>25</v>
      </c>
      <c r="DJ37" s="12" t="str">
        <f t="shared" ref="DJ37" si="343">DJ36</f>
        <v xml:space="preserve">CPA Ajuste T/C MBI USD </v>
      </c>
      <c r="DK37" s="13"/>
      <c r="DL37" s="18" t="e">
        <f t="shared" ref="DL37" si="344">DK36</f>
        <v>#VALUE!</v>
      </c>
    </row>
    <row r="38" spans="4:116" x14ac:dyDescent="0.25">
      <c r="D38" s="15">
        <v>45126</v>
      </c>
      <c r="E38">
        <v>430105</v>
      </c>
      <c r="F38" t="s">
        <v>25</v>
      </c>
      <c r="G38" t="str">
        <f>"CPA Ajuste T/C Vector USD " &amp;TEXT(D38,"dd-mm-yyy")</f>
        <v>CPA Ajuste T/C Vector USD 19-07-yyy</v>
      </c>
      <c r="H38" s="16">
        <f>+B20*-1</f>
        <v>0</v>
      </c>
      <c r="I38" s="17"/>
      <c r="J38" s="3"/>
      <c r="O38" s="15">
        <v>45279</v>
      </c>
      <c r="P38">
        <v>430105</v>
      </c>
      <c r="Q38" t="s">
        <v>25</v>
      </c>
      <c r="R38" t="str">
        <f>"CPA Ajuste T/C JP Morgan USD " &amp;TEXT(O38,"dd-mm-yyy")</f>
        <v>CPA Ajuste T/C JP Morgan USD 19-12-yyy</v>
      </c>
      <c r="S38" s="16">
        <f>+M20*-1</f>
        <v>0</v>
      </c>
      <c r="T38" s="17"/>
      <c r="Z38" s="15">
        <v>45126</v>
      </c>
      <c r="AA38">
        <v>430105</v>
      </c>
      <c r="AB38" t="s">
        <v>25</v>
      </c>
      <c r="AC38" t="str">
        <f>"CPA Ajuste T/C CFSB 1126 USD " &amp;TEXT(Z38,"dd-mm-yyy")</f>
        <v>CPA Ajuste T/C CFSB 1126 USD 19-07-yyy</v>
      </c>
      <c r="AD38" s="16">
        <f>+X20*-1</f>
        <v>235544</v>
      </c>
      <c r="AE38" s="17"/>
      <c r="AK38" s="15">
        <v>45126</v>
      </c>
      <c r="AL38">
        <v>430105</v>
      </c>
      <c r="AM38" t="s">
        <v>25</v>
      </c>
      <c r="AN38" t="str">
        <f>"CPA Ajuste T/C CFSB 0809 USD " &amp;TEXT(AK38,"dd-mm-yyy")</f>
        <v>CPA Ajuste T/C CFSB 0809 USD 19-07-yyy</v>
      </c>
      <c r="AO38" s="16">
        <f>+AI20*-1</f>
        <v>140542</v>
      </c>
      <c r="AP38" s="17"/>
      <c r="AX38" s="15">
        <v>45431</v>
      </c>
      <c r="AY38">
        <v>430105</v>
      </c>
      <c r="AZ38" t="s">
        <v>25</v>
      </c>
      <c r="BA38" t="str">
        <f>"CPA Ajuste T/C Bco. Bice USD " &amp;TEXT(AX38,)</f>
        <v xml:space="preserve">CPA Ajuste T/C Bco. Bice USD </v>
      </c>
      <c r="BB38" s="16" t="e">
        <f>+AU20*-1</f>
        <v>#VALUE!</v>
      </c>
      <c r="BC38" s="17"/>
      <c r="BJ38" s="15">
        <v>45126</v>
      </c>
      <c r="BK38">
        <v>430105</v>
      </c>
      <c r="BL38" t="s">
        <v>25</v>
      </c>
      <c r="BM38" t="str">
        <f>"CPA Ajuste T/C CFSB 0947 USD " &amp;TEXT(BJ38,"dd-mm-yyy")</f>
        <v>CPA Ajuste T/C CFSB 0947 USD 19-07-yyy</v>
      </c>
      <c r="BN38" s="16">
        <f>+BH20*-1</f>
        <v>388500</v>
      </c>
      <c r="BO38" s="17"/>
      <c r="BV38" s="15">
        <v>45126</v>
      </c>
      <c r="BW38">
        <v>430105</v>
      </c>
      <c r="BX38" t="s">
        <v>25</v>
      </c>
      <c r="BY38" t="str">
        <f>"CPA Ajuste T/C Bco. Inter. USD " &amp;TEXT(BV38,"dd-mm-yyy")</f>
        <v>CPA Ajuste T/C Bco. Inter. USD 19-07-yyy</v>
      </c>
      <c r="BZ38" s="16">
        <f>+BT20*-1</f>
        <v>0</v>
      </c>
      <c r="CA38" s="17"/>
      <c r="CH38" s="15">
        <v>45126</v>
      </c>
      <c r="CI38">
        <v>430105</v>
      </c>
      <c r="CJ38" t="s">
        <v>25</v>
      </c>
      <c r="CK38" t="str">
        <f>"CPA Ajuste T/C CFSB 2475 " &amp;TEXT(CH38,"dd-mm-yyy")</f>
        <v>CPA Ajuste T/C CFSB 2475 19-07-yyy</v>
      </c>
      <c r="CL38" s="16">
        <f>+CF20*-1</f>
        <v>0</v>
      </c>
      <c r="CM38" s="17"/>
      <c r="CT38" s="15">
        <v>45126</v>
      </c>
      <c r="CU38">
        <v>430105</v>
      </c>
      <c r="CV38" t="s">
        <v>25</v>
      </c>
      <c r="CW38" t="str">
        <f>"CPA Ajuste T/C CFSB 1557 " &amp;TEXT(CT38,"dd-mm-yyy")</f>
        <v>CPA Ajuste T/C CFSB 1557 19-07-yyy</v>
      </c>
      <c r="CX38" s="16">
        <f>+CR20*-1</f>
        <v>25887.62</v>
      </c>
      <c r="CY38" s="17"/>
      <c r="DG38" s="15">
        <v>45431</v>
      </c>
      <c r="DH38">
        <v>110296</v>
      </c>
      <c r="DI38" t="s">
        <v>140</v>
      </c>
      <c r="DJ38" t="str">
        <f>"CPA Ajuste T/C MBI USD " &amp;TEXT(DG38,)</f>
        <v xml:space="preserve">CPA Ajuste T/C MBI USD </v>
      </c>
      <c r="DK38" s="16" t="e">
        <f>+DD20</f>
        <v>#VALUE!</v>
      </c>
      <c r="DL38" s="17"/>
    </row>
    <row r="39" spans="4:116" x14ac:dyDescent="0.25">
      <c r="D39" s="11"/>
      <c r="E39" s="12">
        <v>110258</v>
      </c>
      <c r="F39" s="12" t="s">
        <v>63</v>
      </c>
      <c r="G39" s="12" t="str">
        <f t="shared" ref="G39" si="345">G38</f>
        <v>CPA Ajuste T/C Vector USD 19-07-yyy</v>
      </c>
      <c r="H39" s="13"/>
      <c r="I39" s="18">
        <f t="shared" ref="I39" si="346">H38</f>
        <v>0</v>
      </c>
      <c r="J39" s="3"/>
      <c r="O39" s="11"/>
      <c r="P39" s="12">
        <v>110212</v>
      </c>
      <c r="Q39" s="12" t="s">
        <v>64</v>
      </c>
      <c r="R39" s="12" t="str">
        <f t="shared" ref="R39" si="347">R38</f>
        <v>CPA Ajuste T/C JP Morgan USD 19-12-yyy</v>
      </c>
      <c r="S39" s="13"/>
      <c r="T39" s="18">
        <f t="shared" ref="T39" si="348">S38</f>
        <v>0</v>
      </c>
      <c r="Z39" s="11"/>
      <c r="AA39" s="12">
        <v>110218</v>
      </c>
      <c r="AB39" s="12" t="s">
        <v>61</v>
      </c>
      <c r="AC39" s="12" t="str">
        <f t="shared" ref="AC39" si="349">AC38</f>
        <v>CPA Ajuste T/C CFSB 1126 USD 19-07-yyy</v>
      </c>
      <c r="AD39" s="13"/>
      <c r="AE39" s="18">
        <f t="shared" ref="AE39" si="350">AD38</f>
        <v>235544</v>
      </c>
      <c r="AK39" s="11"/>
      <c r="AL39" s="12">
        <v>110228</v>
      </c>
      <c r="AM39" s="12" t="s">
        <v>69</v>
      </c>
      <c r="AN39" s="12" t="str">
        <f t="shared" ref="AN39" si="351">AN38</f>
        <v>CPA Ajuste T/C CFSB 0809 USD 19-07-yyy</v>
      </c>
      <c r="AO39" s="13"/>
      <c r="AP39" s="18">
        <f t="shared" ref="AP39" si="352">AO38</f>
        <v>140542</v>
      </c>
      <c r="AX39" s="11"/>
      <c r="AY39" s="12">
        <v>110205</v>
      </c>
      <c r="AZ39" s="12" t="s">
        <v>59</v>
      </c>
      <c r="BA39" s="12" t="str">
        <f t="shared" ref="BA39" si="353">BA38</f>
        <v xml:space="preserve">CPA Ajuste T/C Bco. Bice USD </v>
      </c>
      <c r="BB39" s="13"/>
      <c r="BC39" s="18" t="e">
        <f t="shared" ref="BC39" si="354">BB38</f>
        <v>#VALUE!</v>
      </c>
      <c r="BJ39" s="11"/>
      <c r="BK39" s="12">
        <v>110217</v>
      </c>
      <c r="BL39" s="12" t="s">
        <v>104</v>
      </c>
      <c r="BM39" s="12" t="str">
        <f t="shared" ref="BM39" si="355">BM38</f>
        <v>CPA Ajuste T/C CFSB 0947 USD 19-07-yyy</v>
      </c>
      <c r="BN39" s="13"/>
      <c r="BO39" s="18">
        <f t="shared" ref="BO39" si="356">BN38</f>
        <v>388500</v>
      </c>
      <c r="BV39" s="11"/>
      <c r="BW39" s="12">
        <v>110278</v>
      </c>
      <c r="BX39" s="12" t="s">
        <v>106</v>
      </c>
      <c r="BY39" s="12" t="str">
        <f t="shared" ref="BY39" si="357">BY38</f>
        <v>CPA Ajuste T/C Bco. Inter. USD 19-07-yyy</v>
      </c>
      <c r="BZ39" s="13"/>
      <c r="CA39" s="18">
        <f t="shared" ref="CA39" si="358">BZ38</f>
        <v>0</v>
      </c>
      <c r="CH39" s="11"/>
      <c r="CI39" s="12">
        <v>110285</v>
      </c>
      <c r="CJ39" s="12" t="s">
        <v>110</v>
      </c>
      <c r="CK39" s="12" t="str">
        <f t="shared" ref="CK39" si="359">CK38</f>
        <v>CPA Ajuste T/C CFSB 2475 19-07-yyy</v>
      </c>
      <c r="CL39" s="13"/>
      <c r="CM39" s="18">
        <f t="shared" ref="CM39" si="360">CL38</f>
        <v>0</v>
      </c>
      <c r="CT39" s="11"/>
      <c r="CU39" s="12">
        <v>110282</v>
      </c>
      <c r="CV39" s="12" t="s">
        <v>112</v>
      </c>
      <c r="CW39" s="12" t="str">
        <f t="shared" ref="CW39" si="361">CW38</f>
        <v>CPA Ajuste T/C CFSB 1557 19-07-yyy</v>
      </c>
      <c r="CX39" s="13"/>
      <c r="CY39" s="18">
        <f t="shared" ref="CY39" si="362">CX38</f>
        <v>25887.62</v>
      </c>
      <c r="DG39" s="11"/>
      <c r="DH39" s="12">
        <v>430105</v>
      </c>
      <c r="DI39" s="12" t="s">
        <v>25</v>
      </c>
      <c r="DJ39" s="12" t="str">
        <f t="shared" ref="DJ39" si="363">DJ38</f>
        <v xml:space="preserve">CPA Ajuste T/C MBI USD </v>
      </c>
      <c r="DK39" s="13"/>
      <c r="DL39" s="18" t="e">
        <f t="shared" ref="DL39" si="364">DK38</f>
        <v>#VALUE!</v>
      </c>
    </row>
    <row r="40" spans="4:116" x14ac:dyDescent="0.25">
      <c r="D40" s="15">
        <v>45127</v>
      </c>
      <c r="E40">
        <v>110258</v>
      </c>
      <c r="F40" t="s">
        <v>63</v>
      </c>
      <c r="G40" t="str">
        <f>"CPA Ajuste T/C Vector USD " &amp;TEXT(D40,"dd-mm-yyy")</f>
        <v>CPA Ajuste T/C Vector USD 20-07-yyy</v>
      </c>
      <c r="H40" s="16">
        <f>+B21</f>
        <v>0</v>
      </c>
      <c r="I40" s="17"/>
      <c r="J40" s="3"/>
      <c r="O40" s="15">
        <v>45280</v>
      </c>
      <c r="P40">
        <v>110212</v>
      </c>
      <c r="Q40" t="s">
        <v>64</v>
      </c>
      <c r="R40" t="str">
        <f>"CPA Ajuste T/C JP Morgan USD " &amp;TEXT(O40,"dd-mm-yyy")</f>
        <v>CPA Ajuste T/C JP Morgan USD 20-12-yyy</v>
      </c>
      <c r="S40" s="16">
        <f>+M21</f>
        <v>172</v>
      </c>
      <c r="T40" s="17"/>
      <c r="Z40" s="15">
        <v>45127</v>
      </c>
      <c r="AA40">
        <v>430105</v>
      </c>
      <c r="AB40" t="s">
        <v>25</v>
      </c>
      <c r="AC40" t="str">
        <f>"CPA Ajuste T/C CFSB 1126 USD " &amp;TEXT(Z40,"dd-mm-yyy")</f>
        <v>CPA Ajuste T/C CFSB 1126 USD 20-07-yyy</v>
      </c>
      <c r="AD40" s="16">
        <f>+X21*-1</f>
        <v>189953</v>
      </c>
      <c r="AE40" s="17"/>
      <c r="AK40" s="15">
        <v>45127</v>
      </c>
      <c r="AL40">
        <v>430105</v>
      </c>
      <c r="AM40" t="s">
        <v>25</v>
      </c>
      <c r="AN40" t="str">
        <f>"CPA Ajuste T/C CFSB 0809 USD " &amp;TEXT(AK40,"dd-mm-yyy")</f>
        <v>CPA Ajuste T/C CFSB 0809 USD 20-07-yyy</v>
      </c>
      <c r="AO40" s="16">
        <f>+AI21*-1</f>
        <v>112596</v>
      </c>
      <c r="AP40" s="17"/>
      <c r="AX40" s="15">
        <v>45432</v>
      </c>
      <c r="AY40">
        <v>110205</v>
      </c>
      <c r="AZ40" t="s">
        <v>59</v>
      </c>
      <c r="BA40" t="str">
        <f>"CPA Ajuste T/C Bco. Bice USD " &amp;TEXT(AX40,)</f>
        <v xml:space="preserve">CPA Ajuste T/C Bco. Bice USD </v>
      </c>
      <c r="BB40" s="16">
        <f>+AU21</f>
        <v>5185398</v>
      </c>
      <c r="BC40" s="17"/>
      <c r="BJ40" s="15">
        <v>45127</v>
      </c>
      <c r="BK40">
        <v>430105</v>
      </c>
      <c r="BL40" t="s">
        <v>25</v>
      </c>
      <c r="BM40" t="str">
        <f>"CPA Ajuste T/C CFSB 0947 USD " &amp;TEXT(BJ40,"dd-mm-yyy")</f>
        <v>CPA Ajuste T/C CFSB 0947 USD 20-07-yyy</v>
      </c>
      <c r="BN40" s="16">
        <f>+BH21*-1</f>
        <v>311250</v>
      </c>
      <c r="BO40" s="17"/>
      <c r="BV40" s="15">
        <v>45127</v>
      </c>
      <c r="BW40">
        <v>430105</v>
      </c>
      <c r="BX40" t="s">
        <v>25</v>
      </c>
      <c r="BY40" t="str">
        <f>"CPA Ajuste T/C Bco. Inter. USD " &amp;TEXT(BV40,"dd-mm-yyy")</f>
        <v>CPA Ajuste T/C Bco. Inter. USD 20-07-yyy</v>
      </c>
      <c r="BZ40" s="16">
        <f>+BT21*-1</f>
        <v>0</v>
      </c>
      <c r="CA40" s="17"/>
      <c r="CH40" s="15">
        <v>45127</v>
      </c>
      <c r="CI40">
        <v>430105</v>
      </c>
      <c r="CJ40" t="s">
        <v>25</v>
      </c>
      <c r="CK40" t="str">
        <f>"CPA Ajuste T/C CFSB 2475 " &amp;TEXT(CH40,"dd-mm-yyy")</f>
        <v>CPA Ajuste T/C CFSB 2475 20-07-yyy</v>
      </c>
      <c r="CL40" s="16">
        <f>+CF21*-1</f>
        <v>0</v>
      </c>
      <c r="CM40" s="17"/>
      <c r="CT40" s="15">
        <v>45127</v>
      </c>
      <c r="CU40">
        <v>430105</v>
      </c>
      <c r="CV40" t="s">
        <v>25</v>
      </c>
      <c r="CW40" t="str">
        <f>"CPA Ajuste T/C CFSB 1557 " &amp;TEXT(CT40,"dd-mm-yyy")</f>
        <v>CPA Ajuste T/C CFSB 1557 20-07-yyy</v>
      </c>
      <c r="CX40" s="16">
        <f>+CR21*-1</f>
        <v>20827.23</v>
      </c>
      <c r="CY40" s="17"/>
      <c r="DG40" s="15">
        <v>45432</v>
      </c>
      <c r="DH40">
        <v>110296</v>
      </c>
      <c r="DI40" t="s">
        <v>140</v>
      </c>
      <c r="DJ40" t="str">
        <f>"CPA Ajuste T/C MBI USD " &amp;TEXT(DG40,)</f>
        <v xml:space="preserve">CPA Ajuste T/C MBI USD </v>
      </c>
      <c r="DK40" s="16">
        <f>+DD21</f>
        <v>20820000</v>
      </c>
      <c r="DL40" s="17"/>
    </row>
    <row r="41" spans="4:116" x14ac:dyDescent="0.25">
      <c r="D41" s="11"/>
      <c r="E41" s="12">
        <v>430105</v>
      </c>
      <c r="F41" s="12" t="s">
        <v>25</v>
      </c>
      <c r="G41" s="12" t="str">
        <f t="shared" ref="G41" si="365">G40</f>
        <v>CPA Ajuste T/C Vector USD 20-07-yyy</v>
      </c>
      <c r="H41" s="13"/>
      <c r="I41" s="18">
        <f t="shared" ref="I41" si="366">H40</f>
        <v>0</v>
      </c>
      <c r="J41" s="3"/>
      <c r="O41" s="11"/>
      <c r="P41" s="12">
        <v>430105</v>
      </c>
      <c r="Q41" s="12" t="s">
        <v>25</v>
      </c>
      <c r="R41" s="12" t="str">
        <f t="shared" ref="R41" si="367">R40</f>
        <v>CPA Ajuste T/C JP Morgan USD 20-12-yyy</v>
      </c>
      <c r="S41" s="13"/>
      <c r="T41" s="18">
        <f t="shared" ref="T41" si="368">S40</f>
        <v>172</v>
      </c>
      <c r="Z41" s="11"/>
      <c r="AA41" s="12">
        <v>110218</v>
      </c>
      <c r="AB41" s="12" t="s">
        <v>61</v>
      </c>
      <c r="AC41" s="12" t="str">
        <f t="shared" ref="AC41" si="369">AC40</f>
        <v>CPA Ajuste T/C CFSB 1126 USD 20-07-yyy</v>
      </c>
      <c r="AD41" s="13"/>
      <c r="AE41" s="18">
        <f t="shared" ref="AE41" si="370">AD40</f>
        <v>189953</v>
      </c>
      <c r="AK41" s="11"/>
      <c r="AL41" s="12">
        <v>110228</v>
      </c>
      <c r="AM41" s="12" t="s">
        <v>69</v>
      </c>
      <c r="AN41" s="12" t="str">
        <f t="shared" ref="AN41" si="371">AN40</f>
        <v>CPA Ajuste T/C CFSB 0809 USD 20-07-yyy</v>
      </c>
      <c r="AO41" s="13"/>
      <c r="AP41" s="18">
        <f t="shared" ref="AP41" si="372">AO40</f>
        <v>112596</v>
      </c>
      <c r="AX41" s="11"/>
      <c r="AY41" s="12">
        <v>430105</v>
      </c>
      <c r="AZ41" s="12" t="s">
        <v>25</v>
      </c>
      <c r="BA41" s="12" t="str">
        <f t="shared" ref="BA41" si="373">BA40</f>
        <v xml:space="preserve">CPA Ajuste T/C Bco. Bice USD </v>
      </c>
      <c r="BB41" s="13"/>
      <c r="BC41" s="18">
        <f t="shared" ref="BC41" si="374">BB40</f>
        <v>5185398</v>
      </c>
      <c r="BJ41" s="11"/>
      <c r="BK41" s="12">
        <v>110217</v>
      </c>
      <c r="BL41" s="12" t="s">
        <v>104</v>
      </c>
      <c r="BM41" s="12" t="str">
        <f t="shared" ref="BM41" si="375">BM40</f>
        <v>CPA Ajuste T/C CFSB 0947 USD 20-07-yyy</v>
      </c>
      <c r="BN41" s="13"/>
      <c r="BO41" s="18">
        <f t="shared" ref="BO41" si="376">BN40</f>
        <v>311250</v>
      </c>
      <c r="BV41" s="11"/>
      <c r="BW41" s="12">
        <v>110278</v>
      </c>
      <c r="BX41" s="12" t="s">
        <v>106</v>
      </c>
      <c r="BY41" s="12" t="str">
        <f t="shared" ref="BY41" si="377">BY40</f>
        <v>CPA Ajuste T/C Bco. Inter. USD 20-07-yyy</v>
      </c>
      <c r="BZ41" s="13"/>
      <c r="CA41" s="18">
        <f t="shared" ref="CA41" si="378">BZ40</f>
        <v>0</v>
      </c>
      <c r="CH41" s="11"/>
      <c r="CI41" s="12">
        <v>110285</v>
      </c>
      <c r="CJ41" s="12" t="s">
        <v>110</v>
      </c>
      <c r="CK41" s="12" t="str">
        <f t="shared" ref="CK41" si="379">CK40</f>
        <v>CPA Ajuste T/C CFSB 2475 20-07-yyy</v>
      </c>
      <c r="CL41" s="13"/>
      <c r="CM41" s="18">
        <f t="shared" ref="CM41" si="380">CL40</f>
        <v>0</v>
      </c>
      <c r="CT41" s="11"/>
      <c r="CU41" s="12">
        <v>110282</v>
      </c>
      <c r="CV41" s="12" t="s">
        <v>112</v>
      </c>
      <c r="CW41" s="12" t="str">
        <f t="shared" ref="CW41" si="381">CW40</f>
        <v>CPA Ajuste T/C CFSB 1557 20-07-yyy</v>
      </c>
      <c r="CX41" s="13"/>
      <c r="CY41" s="18">
        <f t="shared" ref="CY41" si="382">CX40</f>
        <v>20827.23</v>
      </c>
      <c r="DG41" s="11"/>
      <c r="DH41" s="12">
        <v>430105</v>
      </c>
      <c r="DI41" s="12" t="s">
        <v>25</v>
      </c>
      <c r="DJ41" s="12" t="str">
        <f t="shared" ref="DJ41" si="383">DJ40</f>
        <v xml:space="preserve">CPA Ajuste T/C MBI USD </v>
      </c>
      <c r="DK41" s="13"/>
      <c r="DL41" s="18">
        <f t="shared" ref="DL41" si="384">DK40</f>
        <v>20820000</v>
      </c>
    </row>
    <row r="42" spans="4:116" x14ac:dyDescent="0.25">
      <c r="D42" s="15">
        <v>45128</v>
      </c>
      <c r="E42">
        <v>430105</v>
      </c>
      <c r="F42" t="s">
        <v>25</v>
      </c>
      <c r="G42" t="str">
        <f>"CPA Ajuste T/C Vector USD " &amp;TEXT(D42,"dd-mm-yyy")</f>
        <v>CPA Ajuste T/C Vector USD 21-07-yyy</v>
      </c>
      <c r="H42" s="16">
        <f>+B22*-1</f>
        <v>0</v>
      </c>
      <c r="I42" s="17"/>
      <c r="J42" s="3"/>
      <c r="O42" s="15">
        <v>45281</v>
      </c>
      <c r="P42">
        <v>430105</v>
      </c>
      <c r="Q42" t="s">
        <v>25</v>
      </c>
      <c r="R42" t="str">
        <f>"CPA Ajuste T/C JP Morgan USD " &amp;TEXT(O42,"dd-mm-yyy")</f>
        <v>CPA Ajuste T/C JP Morgan USD 21-12-yyy</v>
      </c>
      <c r="S42" s="16">
        <f>+M22*-1</f>
        <v>289</v>
      </c>
      <c r="T42" s="17"/>
      <c r="Z42" s="15">
        <v>45128</v>
      </c>
      <c r="AA42">
        <v>430105</v>
      </c>
      <c r="AB42" t="s">
        <v>25</v>
      </c>
      <c r="AC42" t="str">
        <f>"CPA Ajuste T/C CFSB 1126 USD " &amp;TEXT(Z42,"dd-mm-yyy")</f>
        <v>CPA Ajuste T/C CFSB 1126 USD 21-07-yyy</v>
      </c>
      <c r="AD42" s="16">
        <f>+X22*-1</f>
        <v>233465</v>
      </c>
      <c r="AE42" s="17"/>
      <c r="AK42" s="15">
        <v>45128</v>
      </c>
      <c r="AL42">
        <v>430105</v>
      </c>
      <c r="AM42" t="s">
        <v>25</v>
      </c>
      <c r="AN42" t="str">
        <f>"CPA Ajuste T/C CFSB 0809 USD " &amp;TEXT(AK42,"dd-mm-yyy")</f>
        <v>CPA Ajuste T/C CFSB 0809 USD 21-07-yyy</v>
      </c>
      <c r="AO42" s="16">
        <f>+AI22*-1</f>
        <v>103372</v>
      </c>
      <c r="AP42" s="17"/>
      <c r="AX42" s="15">
        <v>45433</v>
      </c>
      <c r="AY42">
        <v>110205</v>
      </c>
      <c r="AZ42" t="s">
        <v>59</v>
      </c>
      <c r="BA42" t="str">
        <f>"CPA Ajuste T/C Bco. Bice USD " &amp;TEXT(AX42,)</f>
        <v xml:space="preserve">CPA Ajuste T/C Bco. Bice USD </v>
      </c>
      <c r="BB42" s="16" t="e">
        <f>+AU22</f>
        <v>#VALUE!</v>
      </c>
      <c r="BC42" s="17"/>
      <c r="BJ42" s="15">
        <v>45128</v>
      </c>
      <c r="BK42">
        <v>430105</v>
      </c>
      <c r="BL42" t="s">
        <v>25</v>
      </c>
      <c r="BM42" t="str">
        <f>"CPA Ajuste T/C CFSB 0947 USD " &amp;TEXT(BJ42,"dd-mm-yyy")</f>
        <v>CPA Ajuste T/C CFSB 0947 USD 21-07-yyy</v>
      </c>
      <c r="BN42" s="16">
        <f>+BH22*-1</f>
        <v>285750</v>
      </c>
      <c r="BO42" s="17"/>
      <c r="BV42" s="15">
        <v>45128</v>
      </c>
      <c r="BW42">
        <v>430105</v>
      </c>
      <c r="BX42" t="s">
        <v>25</v>
      </c>
      <c r="BY42" t="str">
        <f>"CPA Ajuste T/C Bco. Inter. USD " &amp;TEXT(BV42,"dd-mm-yyy")</f>
        <v>CPA Ajuste T/C Bco. Inter. USD 21-07-yyy</v>
      </c>
      <c r="BZ42" s="16">
        <f>+BT22*-1</f>
        <v>0</v>
      </c>
      <c r="CA42" s="17"/>
      <c r="CH42" s="15">
        <v>45128</v>
      </c>
      <c r="CI42">
        <v>430105</v>
      </c>
      <c r="CJ42" t="s">
        <v>25</v>
      </c>
      <c r="CK42" t="str">
        <f>"CPA Ajuste T/C CFSB 2475 " &amp;TEXT(CH42,"dd-mm-yyy")</f>
        <v>CPA Ajuste T/C CFSB 2475 21-07-yyy</v>
      </c>
      <c r="CL42" s="16">
        <f>+CF22*-1</f>
        <v>0</v>
      </c>
      <c r="CM42" s="17"/>
      <c r="CT42" s="15">
        <v>45128</v>
      </c>
      <c r="CU42">
        <v>430105</v>
      </c>
      <c r="CV42" t="s">
        <v>25</v>
      </c>
      <c r="CW42" t="str">
        <f>"CPA Ajuste T/C CFSB 1557 " &amp;TEXT(CT42,"dd-mm-yyy")</f>
        <v>CPA Ajuste T/C CFSB 1557 21-07-yyy</v>
      </c>
      <c r="CX42" s="16">
        <f>+CR22*-1</f>
        <v>19304.97</v>
      </c>
      <c r="CY42" s="17"/>
      <c r="DG42" s="15">
        <v>45433</v>
      </c>
      <c r="DH42">
        <v>430105</v>
      </c>
      <c r="DI42" t="s">
        <v>25</v>
      </c>
      <c r="DJ42" t="str">
        <f>"CPA Ajuste T/C MBI USD " &amp;TEXT(DG42,)</f>
        <v xml:space="preserve">CPA Ajuste T/C MBI USD </v>
      </c>
      <c r="DK42" s="16" t="e">
        <f>+DD22*-1</f>
        <v>#VALUE!</v>
      </c>
      <c r="DL42" s="17"/>
    </row>
    <row r="43" spans="4:116" x14ac:dyDescent="0.25">
      <c r="D43" s="11"/>
      <c r="E43" s="12">
        <v>110258</v>
      </c>
      <c r="F43" s="12" t="s">
        <v>63</v>
      </c>
      <c r="G43" s="12" t="str">
        <f t="shared" ref="G43" si="385">G42</f>
        <v>CPA Ajuste T/C Vector USD 21-07-yyy</v>
      </c>
      <c r="H43" s="13"/>
      <c r="I43" s="18">
        <f t="shared" ref="I43" si="386">H42</f>
        <v>0</v>
      </c>
      <c r="J43" s="3"/>
      <c r="O43" s="11"/>
      <c r="P43" s="12">
        <v>110212</v>
      </c>
      <c r="Q43" s="12" t="s">
        <v>64</v>
      </c>
      <c r="R43" s="12" t="str">
        <f t="shared" ref="R43" si="387">R42</f>
        <v>CPA Ajuste T/C JP Morgan USD 21-12-yyy</v>
      </c>
      <c r="S43" s="13"/>
      <c r="T43" s="18">
        <f t="shared" ref="T43" si="388">S42</f>
        <v>289</v>
      </c>
      <c r="Z43" s="11"/>
      <c r="AA43" s="12">
        <v>110218</v>
      </c>
      <c r="AB43" s="12" t="s">
        <v>61</v>
      </c>
      <c r="AC43" s="12" t="str">
        <f t="shared" ref="AC43" si="389">AC42</f>
        <v>CPA Ajuste T/C CFSB 1126 USD 21-07-yyy</v>
      </c>
      <c r="AD43" s="13"/>
      <c r="AE43" s="18">
        <f t="shared" ref="AE43" si="390">AD42</f>
        <v>233465</v>
      </c>
      <c r="AK43" s="11"/>
      <c r="AL43" s="12">
        <v>110228</v>
      </c>
      <c r="AM43" s="12" t="s">
        <v>69</v>
      </c>
      <c r="AN43" s="12" t="str">
        <f t="shared" ref="AN43" si="391">AN42</f>
        <v>CPA Ajuste T/C CFSB 0809 USD 21-07-yyy</v>
      </c>
      <c r="AO43" s="13"/>
      <c r="AP43" s="18">
        <f t="shared" ref="AP43" si="392">AO42</f>
        <v>103372</v>
      </c>
      <c r="AX43" s="11"/>
      <c r="AY43" s="12">
        <v>430105</v>
      </c>
      <c r="AZ43" s="12" t="s">
        <v>25</v>
      </c>
      <c r="BA43" s="12" t="str">
        <f t="shared" ref="BA43" si="393">BA42</f>
        <v xml:space="preserve">CPA Ajuste T/C Bco. Bice USD </v>
      </c>
      <c r="BB43" s="13"/>
      <c r="BC43" s="18" t="e">
        <f t="shared" ref="BC43" si="394">BB42</f>
        <v>#VALUE!</v>
      </c>
      <c r="BJ43" s="11"/>
      <c r="BK43" s="12">
        <v>110217</v>
      </c>
      <c r="BL43" s="12" t="s">
        <v>104</v>
      </c>
      <c r="BM43" s="12" t="str">
        <f t="shared" ref="BM43" si="395">BM42</f>
        <v>CPA Ajuste T/C CFSB 0947 USD 21-07-yyy</v>
      </c>
      <c r="BN43" s="13"/>
      <c r="BO43" s="18">
        <f t="shared" ref="BO43" si="396">BN42</f>
        <v>285750</v>
      </c>
      <c r="BV43" s="11"/>
      <c r="BW43" s="12">
        <v>110278</v>
      </c>
      <c r="BX43" s="12" t="s">
        <v>106</v>
      </c>
      <c r="BY43" s="12" t="str">
        <f t="shared" ref="BY43" si="397">BY42</f>
        <v>CPA Ajuste T/C Bco. Inter. USD 21-07-yyy</v>
      </c>
      <c r="BZ43" s="13"/>
      <c r="CA43" s="18">
        <f t="shared" ref="CA43" si="398">BZ42</f>
        <v>0</v>
      </c>
      <c r="CH43" s="11"/>
      <c r="CI43" s="12">
        <v>110285</v>
      </c>
      <c r="CJ43" s="12" t="s">
        <v>110</v>
      </c>
      <c r="CK43" s="12" t="str">
        <f t="shared" ref="CK43" si="399">CK42</f>
        <v>CPA Ajuste T/C CFSB 2475 21-07-yyy</v>
      </c>
      <c r="CL43" s="13"/>
      <c r="CM43" s="18">
        <f t="shared" ref="CM43" si="400">CL42</f>
        <v>0</v>
      </c>
      <c r="CT43" s="11"/>
      <c r="CU43" s="12">
        <v>110282</v>
      </c>
      <c r="CV43" s="12" t="s">
        <v>112</v>
      </c>
      <c r="CW43" s="12" t="str">
        <f t="shared" ref="CW43" si="401">CW42</f>
        <v>CPA Ajuste T/C CFSB 1557 21-07-yyy</v>
      </c>
      <c r="CX43" s="13"/>
      <c r="CY43" s="18">
        <f t="shared" ref="CY43" si="402">CX42</f>
        <v>19304.97</v>
      </c>
      <c r="DG43" s="11"/>
      <c r="DH43" s="12">
        <v>110296</v>
      </c>
      <c r="DI43" s="12" t="s">
        <v>140</v>
      </c>
      <c r="DJ43" s="12" t="str">
        <f t="shared" ref="DJ43" si="403">DJ42</f>
        <v xml:space="preserve">CPA Ajuste T/C MBI USD </v>
      </c>
      <c r="DK43" s="13"/>
      <c r="DL43" s="18" t="e">
        <f t="shared" ref="DL43" si="404">DK42</f>
        <v>#VALUE!</v>
      </c>
    </row>
    <row r="44" spans="4:116" x14ac:dyDescent="0.25">
      <c r="D44" s="15">
        <v>45129</v>
      </c>
      <c r="E44">
        <v>110258</v>
      </c>
      <c r="F44" t="s">
        <v>63</v>
      </c>
      <c r="G44" t="str">
        <f>"CPA Ajuste T/C Vector USD " &amp;TEXT(D44,"dd-mm-yyy")</f>
        <v>CPA Ajuste T/C Vector USD 22-07-yyy</v>
      </c>
      <c r="H44" s="16">
        <f>+B23</f>
        <v>0</v>
      </c>
      <c r="I44" s="17"/>
      <c r="J44" s="3"/>
      <c r="O44" s="15">
        <v>45282</v>
      </c>
      <c r="P44">
        <v>430105</v>
      </c>
      <c r="Q44" t="s">
        <v>25</v>
      </c>
      <c r="R44" t="str">
        <f>"CPA Ajuste T/C JP Morgan USD " &amp;TEXT(O44,"dd-mm-yyy")</f>
        <v>CPA Ajuste T/C JP Morgan USD 22-12-yyy</v>
      </c>
      <c r="S44" s="16">
        <f>+M23*-1</f>
        <v>285</v>
      </c>
      <c r="T44" s="17"/>
      <c r="Z44" s="15">
        <v>45129</v>
      </c>
      <c r="AA44">
        <v>110218</v>
      </c>
      <c r="AB44" t="s">
        <v>61</v>
      </c>
      <c r="AC44" t="str">
        <f>"CPA Ajuste T/C CFSB 1126 USD " &amp;TEXT(Z44,"dd-mm-yyy")</f>
        <v>CPA Ajuste T/C CFSB 1126 USD 22-07-yyy</v>
      </c>
      <c r="AD44" s="16">
        <f>+X23</f>
        <v>0</v>
      </c>
      <c r="AE44" s="17"/>
      <c r="AK44" s="15">
        <v>45129</v>
      </c>
      <c r="AL44">
        <v>110228</v>
      </c>
      <c r="AM44" t="s">
        <v>69</v>
      </c>
      <c r="AN44" t="str">
        <f>"CPA Ajuste T/C CFSB 0809 USD " &amp;TEXT(AK44,"dd-mm-yyy")</f>
        <v>CPA Ajuste T/C CFSB 0809 USD 22-07-yyy</v>
      </c>
      <c r="AO44" s="16">
        <f>+AI23</f>
        <v>0</v>
      </c>
      <c r="AP44" s="17"/>
      <c r="AX44" s="15">
        <v>45434</v>
      </c>
      <c r="AY44">
        <v>430105</v>
      </c>
      <c r="AZ44" t="s">
        <v>25</v>
      </c>
      <c r="BA44" t="str">
        <f>"CPA Ajuste T/C Bco. Bice USD " &amp;TEXT(AX44,)</f>
        <v xml:space="preserve">CPA Ajuste T/C Bco. Bice USD </v>
      </c>
      <c r="BB44" s="16">
        <f>+AU23*-1</f>
        <v>26759909</v>
      </c>
      <c r="BC44" s="17"/>
      <c r="BJ44" s="15">
        <v>45129</v>
      </c>
      <c r="BK44">
        <v>110217</v>
      </c>
      <c r="BL44" t="s">
        <v>104</v>
      </c>
      <c r="BM44" t="str">
        <f>"CPA Ajuste T/C CFSB 0947 USD " &amp;TEXT(BJ44,"dd-mm-yyy")</f>
        <v>CPA Ajuste T/C CFSB 0947 USD 22-07-yyy</v>
      </c>
      <c r="BN44" s="16" t="str">
        <f>+BH23</f>
        <v>-</v>
      </c>
      <c r="BO44" s="17"/>
      <c r="BV44" s="15">
        <v>45129</v>
      </c>
      <c r="BW44">
        <v>110278</v>
      </c>
      <c r="BX44" t="s">
        <v>106</v>
      </c>
      <c r="BY44" t="str">
        <f>"CPA Ajuste T/C Bco. Inter. USD " &amp;TEXT(BV44,"dd-mm-yyy")</f>
        <v>CPA Ajuste T/C Bco. Inter. USD 22-07-yyy</v>
      </c>
      <c r="BZ44" s="16">
        <f>+BT23</f>
        <v>0</v>
      </c>
      <c r="CA44" s="17"/>
      <c r="CH44" s="15">
        <v>45129</v>
      </c>
      <c r="CI44">
        <v>110285</v>
      </c>
      <c r="CJ44" t="s">
        <v>110</v>
      </c>
      <c r="CK44" t="str">
        <f>"CPA Ajuste T/C CFSB 2475 " &amp;TEXT(CH44,"dd-mm-yyy")</f>
        <v>CPA Ajuste T/C CFSB 2475 22-07-yyy</v>
      </c>
      <c r="CL44" s="16">
        <f>+CF23</f>
        <v>0</v>
      </c>
      <c r="CM44" s="17"/>
      <c r="CT44" s="15">
        <v>45129</v>
      </c>
      <c r="CU44">
        <v>110282</v>
      </c>
      <c r="CV44" t="s">
        <v>112</v>
      </c>
      <c r="CW44" t="str">
        <f>"CPA Ajuste T/C CFSB 1557 " &amp;TEXT(CT44,"dd-mm-yyy")</f>
        <v>CPA Ajuste T/C CFSB 1557 22-07-yyy</v>
      </c>
      <c r="CX44" s="16">
        <f>+CR23</f>
        <v>0</v>
      </c>
      <c r="CY44" s="17"/>
      <c r="DG44" s="15">
        <v>45434</v>
      </c>
      <c r="DH44">
        <v>430105</v>
      </c>
      <c r="DI44" t="s">
        <v>25</v>
      </c>
      <c r="DJ44" t="str">
        <f>"CPA Ajuste T/C MBI USD " &amp;TEXT(DG44,)</f>
        <v xml:space="preserve">CPA Ajuste T/C MBI USD </v>
      </c>
      <c r="DK44" s="16">
        <f>+DD23*-1</f>
        <v>25075000</v>
      </c>
      <c r="DL44" s="17"/>
    </row>
    <row r="45" spans="4:116" x14ac:dyDescent="0.25">
      <c r="D45" s="11"/>
      <c r="E45" s="12">
        <v>430105</v>
      </c>
      <c r="F45" s="12" t="s">
        <v>25</v>
      </c>
      <c r="G45" s="12" t="str">
        <f t="shared" ref="G45" si="405">G44</f>
        <v>CPA Ajuste T/C Vector USD 22-07-yyy</v>
      </c>
      <c r="H45" s="13"/>
      <c r="I45" s="18">
        <f t="shared" ref="I45" si="406">H44</f>
        <v>0</v>
      </c>
      <c r="J45" s="3"/>
      <c r="O45" s="11"/>
      <c r="P45" s="12">
        <v>110212</v>
      </c>
      <c r="Q45" s="12" t="s">
        <v>64</v>
      </c>
      <c r="R45" s="12" t="str">
        <f t="shared" ref="R45" si="407">R44</f>
        <v>CPA Ajuste T/C JP Morgan USD 22-12-yyy</v>
      </c>
      <c r="S45" s="13"/>
      <c r="T45" s="18">
        <f t="shared" ref="T45" si="408">S44</f>
        <v>285</v>
      </c>
      <c r="Z45" s="11"/>
      <c r="AA45" s="12">
        <v>430105</v>
      </c>
      <c r="AB45" s="12" t="s">
        <v>25</v>
      </c>
      <c r="AC45" s="12" t="str">
        <f t="shared" ref="AC45" si="409">AC44</f>
        <v>CPA Ajuste T/C CFSB 1126 USD 22-07-yyy</v>
      </c>
      <c r="AD45" s="13"/>
      <c r="AE45" s="18">
        <f t="shared" ref="AE45" si="410">AD44</f>
        <v>0</v>
      </c>
      <c r="AK45" s="11"/>
      <c r="AL45" s="12">
        <v>430105</v>
      </c>
      <c r="AM45" s="12" t="s">
        <v>25</v>
      </c>
      <c r="AN45" s="12" t="str">
        <f t="shared" ref="AN45" si="411">AN44</f>
        <v>CPA Ajuste T/C CFSB 0809 USD 22-07-yyy</v>
      </c>
      <c r="AO45" s="13"/>
      <c r="AP45" s="18">
        <f t="shared" ref="AP45" si="412">AO44</f>
        <v>0</v>
      </c>
      <c r="AX45" s="11"/>
      <c r="AY45" s="12">
        <v>110205</v>
      </c>
      <c r="AZ45" s="12" t="s">
        <v>59</v>
      </c>
      <c r="BA45" s="12" t="str">
        <f t="shared" ref="BA45" si="413">BA44</f>
        <v xml:space="preserve">CPA Ajuste T/C Bco. Bice USD </v>
      </c>
      <c r="BB45" s="13"/>
      <c r="BC45" s="18">
        <f t="shared" ref="BC45" si="414">BB44</f>
        <v>26759909</v>
      </c>
      <c r="BJ45" s="11"/>
      <c r="BK45" s="12">
        <v>430105</v>
      </c>
      <c r="BL45" s="12" t="s">
        <v>25</v>
      </c>
      <c r="BM45" s="12" t="str">
        <f t="shared" ref="BM45" si="415">BM44</f>
        <v>CPA Ajuste T/C CFSB 0947 USD 22-07-yyy</v>
      </c>
      <c r="BN45" s="13"/>
      <c r="BO45" s="18" t="str">
        <f t="shared" ref="BO45" si="416">BN44</f>
        <v>-</v>
      </c>
      <c r="BV45" s="11"/>
      <c r="BW45" s="12">
        <v>430105</v>
      </c>
      <c r="BX45" s="12" t="s">
        <v>25</v>
      </c>
      <c r="BY45" s="12" t="str">
        <f t="shared" ref="BY45" si="417">BY44</f>
        <v>CPA Ajuste T/C Bco. Inter. USD 22-07-yyy</v>
      </c>
      <c r="BZ45" s="13"/>
      <c r="CA45" s="18">
        <f t="shared" ref="CA45" si="418">BZ44</f>
        <v>0</v>
      </c>
      <c r="CH45" s="11"/>
      <c r="CI45" s="12">
        <v>430105</v>
      </c>
      <c r="CJ45" s="12" t="s">
        <v>25</v>
      </c>
      <c r="CK45" s="12" t="str">
        <f t="shared" ref="CK45" si="419">CK44</f>
        <v>CPA Ajuste T/C CFSB 2475 22-07-yyy</v>
      </c>
      <c r="CL45" s="13"/>
      <c r="CM45" s="18">
        <f t="shared" ref="CM45" si="420">CL44</f>
        <v>0</v>
      </c>
      <c r="CT45" s="11"/>
      <c r="CU45" s="12">
        <v>430105</v>
      </c>
      <c r="CV45" s="12" t="s">
        <v>25</v>
      </c>
      <c r="CW45" s="12" t="str">
        <f t="shared" ref="CW45" si="421">CW44</f>
        <v>CPA Ajuste T/C CFSB 1557 22-07-yyy</v>
      </c>
      <c r="CX45" s="13"/>
      <c r="CY45" s="18">
        <f t="shared" ref="CY45" si="422">CX44</f>
        <v>0</v>
      </c>
      <c r="DG45" s="11"/>
      <c r="DH45" s="12">
        <v>110296</v>
      </c>
      <c r="DI45" s="12" t="s">
        <v>140</v>
      </c>
      <c r="DJ45" s="12" t="str">
        <f t="shared" ref="DJ45" si="423">DJ44</f>
        <v xml:space="preserve">CPA Ajuste T/C MBI USD </v>
      </c>
      <c r="DK45" s="13"/>
      <c r="DL45" s="18">
        <f t="shared" ref="DL45" si="424">DK44</f>
        <v>25075000</v>
      </c>
    </row>
    <row r="46" spans="4:116" x14ac:dyDescent="0.25">
      <c r="D46" s="15">
        <v>45130</v>
      </c>
      <c r="E46">
        <v>110258</v>
      </c>
      <c r="F46" t="s">
        <v>63</v>
      </c>
      <c r="G46" t="str">
        <f>"CPA Ajuste T/C Vector USD " &amp;TEXT(D46,"dd-mm-yyy")</f>
        <v>CPA Ajuste T/C Vector USD 23-07-yyy</v>
      </c>
      <c r="H46" s="16">
        <f>+B24</f>
        <v>0</v>
      </c>
      <c r="I46" s="17"/>
      <c r="J46" s="3"/>
      <c r="O46" s="15">
        <v>45283</v>
      </c>
      <c r="P46">
        <v>110212</v>
      </c>
      <c r="Q46" t="s">
        <v>64</v>
      </c>
      <c r="R46" t="str">
        <f>"CPA Ajuste T/C JP Morgan USD " &amp;TEXT(O46,"dd-mm-yyy")</f>
        <v>CPA Ajuste T/C JP Morgan USD 23-12-yyy</v>
      </c>
      <c r="S46" s="16">
        <f>+M24</f>
        <v>63</v>
      </c>
      <c r="T46" s="17"/>
      <c r="Z46" s="15">
        <v>45130</v>
      </c>
      <c r="AA46">
        <v>110218</v>
      </c>
      <c r="AB46" t="s">
        <v>61</v>
      </c>
      <c r="AC46" t="str">
        <f>"CPA Ajuste T/C CFSB 1126 USD " &amp;TEXT(Z46,"dd-mm-yyy")</f>
        <v>CPA Ajuste T/C CFSB 1126 USD 23-07-yyy</v>
      </c>
      <c r="AD46" s="16">
        <f>+X24</f>
        <v>0</v>
      </c>
      <c r="AE46" s="17"/>
      <c r="AK46" s="15">
        <v>45130</v>
      </c>
      <c r="AL46">
        <v>110228</v>
      </c>
      <c r="AM46" t="s">
        <v>69</v>
      </c>
      <c r="AN46" t="str">
        <f>"CPA Ajuste T/C CFSB 0809 USD " &amp;TEXT(AK46,"dd-mm-yyy")</f>
        <v>CPA Ajuste T/C CFSB 0809 USD 23-07-yyy</v>
      </c>
      <c r="AO46" s="16">
        <f>+AI24</f>
        <v>0</v>
      </c>
      <c r="AP46" s="17"/>
      <c r="AX46" s="15">
        <v>45435</v>
      </c>
      <c r="AY46">
        <v>110205</v>
      </c>
      <c r="AZ46" t="s">
        <v>59</v>
      </c>
      <c r="BA46" t="str">
        <f>"CPA Ajuste T/C Bco. Bice USD " &amp;TEXT(AX46,)</f>
        <v xml:space="preserve">CPA Ajuste T/C Bco. Bice USD </v>
      </c>
      <c r="BB46" s="16">
        <f>+AU24</f>
        <v>51256917</v>
      </c>
      <c r="BC46" s="17"/>
      <c r="BJ46" s="15">
        <v>45130</v>
      </c>
      <c r="BK46">
        <v>110217</v>
      </c>
      <c r="BL46" t="s">
        <v>104</v>
      </c>
      <c r="BM46" t="str">
        <f>"CPA Ajuste T/C CFSB 0947 USD " &amp;TEXT(BJ46,"dd-mm-yyy")</f>
        <v>CPA Ajuste T/C CFSB 0947 USD 23-07-yyy</v>
      </c>
      <c r="BN46" s="16" t="str">
        <f>+BH24</f>
        <v>-</v>
      </c>
      <c r="BO46" s="17"/>
      <c r="BV46" s="15">
        <v>45130</v>
      </c>
      <c r="BW46">
        <v>110278</v>
      </c>
      <c r="BX46" t="s">
        <v>106</v>
      </c>
      <c r="BY46" t="str">
        <f>"CPA Ajuste T/C Bco. Inter. USD " &amp;TEXT(BV46,"dd-mm-yyy")</f>
        <v>CPA Ajuste T/C Bco. Inter. USD 23-07-yyy</v>
      </c>
      <c r="BZ46" s="16">
        <f>+BT24</f>
        <v>0</v>
      </c>
      <c r="CA46" s="17"/>
      <c r="CH46" s="15">
        <v>45130</v>
      </c>
      <c r="CI46">
        <v>110285</v>
      </c>
      <c r="CJ46" t="s">
        <v>110</v>
      </c>
      <c r="CK46" t="str">
        <f>"CPA Ajuste T/C CFSB 2475 " &amp;TEXT(CH46,"dd-mm-yyy")</f>
        <v>CPA Ajuste T/C CFSB 2475 23-07-yyy</v>
      </c>
      <c r="CL46" s="16">
        <f>+CF24</f>
        <v>0</v>
      </c>
      <c r="CM46" s="17"/>
      <c r="CT46" s="15">
        <v>45130</v>
      </c>
      <c r="CU46">
        <v>110282</v>
      </c>
      <c r="CV46" t="s">
        <v>112</v>
      </c>
      <c r="CW46" t="str">
        <f>"CPA Ajuste T/C CFSB 1557 " &amp;TEXT(CT46,"dd-mm-yyy")</f>
        <v>CPA Ajuste T/C CFSB 1557 23-07-yyy</v>
      </c>
      <c r="CX46" s="16">
        <f>+CR24</f>
        <v>0</v>
      </c>
      <c r="CY46" s="17"/>
      <c r="DG46" s="15">
        <v>45435</v>
      </c>
      <c r="DH46">
        <v>430105</v>
      </c>
      <c r="DI46" t="s">
        <v>25</v>
      </c>
      <c r="DJ46" t="str">
        <f>"CPA Ajuste T/C MBI USD " &amp;TEXT(DG46,)</f>
        <v xml:space="preserve">CPA Ajuste T/C MBI USD </v>
      </c>
      <c r="DK46" s="16">
        <f>+DD24*-1</f>
        <v>3162500</v>
      </c>
      <c r="DL46" s="17"/>
    </row>
    <row r="47" spans="4:116" x14ac:dyDescent="0.25">
      <c r="D47" s="11"/>
      <c r="E47" s="12">
        <v>430105</v>
      </c>
      <c r="F47" s="12" t="s">
        <v>25</v>
      </c>
      <c r="G47" s="12" t="str">
        <f t="shared" ref="G47" si="425">G46</f>
        <v>CPA Ajuste T/C Vector USD 23-07-yyy</v>
      </c>
      <c r="H47" s="13"/>
      <c r="I47" s="18">
        <f t="shared" ref="I47" si="426">H46</f>
        <v>0</v>
      </c>
      <c r="J47" s="3"/>
      <c r="O47" s="11"/>
      <c r="P47" s="12">
        <v>430105</v>
      </c>
      <c r="Q47" s="12" t="s">
        <v>25</v>
      </c>
      <c r="R47" s="12" t="str">
        <f t="shared" ref="R47" si="427">R46</f>
        <v>CPA Ajuste T/C JP Morgan USD 23-12-yyy</v>
      </c>
      <c r="S47" s="13"/>
      <c r="T47" s="18">
        <f t="shared" ref="T47" si="428">S46</f>
        <v>63</v>
      </c>
      <c r="Z47" s="11"/>
      <c r="AA47" s="12">
        <v>430105</v>
      </c>
      <c r="AB47" s="12" t="s">
        <v>25</v>
      </c>
      <c r="AC47" s="12" t="str">
        <f t="shared" ref="AC47" si="429">AC46</f>
        <v>CPA Ajuste T/C CFSB 1126 USD 23-07-yyy</v>
      </c>
      <c r="AD47" s="13"/>
      <c r="AE47" s="18">
        <f t="shared" ref="AE47" si="430">AD46</f>
        <v>0</v>
      </c>
      <c r="AK47" s="11"/>
      <c r="AL47" s="12">
        <v>430105</v>
      </c>
      <c r="AM47" s="12" t="s">
        <v>25</v>
      </c>
      <c r="AN47" s="12" t="str">
        <f t="shared" ref="AN47" si="431">AN46</f>
        <v>CPA Ajuste T/C CFSB 0809 USD 23-07-yyy</v>
      </c>
      <c r="AO47" s="13"/>
      <c r="AP47" s="18">
        <f t="shared" ref="AP47" si="432">AO46</f>
        <v>0</v>
      </c>
      <c r="AX47" s="11"/>
      <c r="AY47" s="12">
        <v>430105</v>
      </c>
      <c r="AZ47" s="12" t="s">
        <v>25</v>
      </c>
      <c r="BA47" s="12" t="str">
        <f t="shared" ref="BA47" si="433">BA46</f>
        <v xml:space="preserve">CPA Ajuste T/C Bco. Bice USD </v>
      </c>
      <c r="BB47" s="13"/>
      <c r="BC47" s="18">
        <f t="shared" ref="BC47" si="434">BB46</f>
        <v>51256917</v>
      </c>
      <c r="BJ47" s="11"/>
      <c r="BK47" s="12">
        <v>430105</v>
      </c>
      <c r="BL47" s="12" t="s">
        <v>25</v>
      </c>
      <c r="BM47" s="12" t="str">
        <f t="shared" ref="BM47" si="435">BM46</f>
        <v>CPA Ajuste T/C CFSB 0947 USD 23-07-yyy</v>
      </c>
      <c r="BN47" s="13"/>
      <c r="BO47" s="18" t="str">
        <f t="shared" ref="BO47" si="436">BN46</f>
        <v>-</v>
      </c>
      <c r="BV47" s="11"/>
      <c r="BW47" s="12">
        <v>430105</v>
      </c>
      <c r="BX47" s="12" t="s">
        <v>25</v>
      </c>
      <c r="BY47" s="12" t="str">
        <f t="shared" ref="BY47" si="437">BY46</f>
        <v>CPA Ajuste T/C Bco. Inter. USD 23-07-yyy</v>
      </c>
      <c r="BZ47" s="13"/>
      <c r="CA47" s="18">
        <f t="shared" ref="CA47" si="438">BZ46</f>
        <v>0</v>
      </c>
      <c r="CH47" s="11"/>
      <c r="CI47" s="12">
        <v>430105</v>
      </c>
      <c r="CJ47" s="12" t="s">
        <v>25</v>
      </c>
      <c r="CK47" s="12" t="str">
        <f t="shared" ref="CK47" si="439">CK46</f>
        <v>CPA Ajuste T/C CFSB 2475 23-07-yyy</v>
      </c>
      <c r="CL47" s="13"/>
      <c r="CM47" s="18">
        <f t="shared" ref="CM47" si="440">CL46</f>
        <v>0</v>
      </c>
      <c r="CT47" s="11"/>
      <c r="CU47" s="12">
        <v>430105</v>
      </c>
      <c r="CV47" s="12" t="s">
        <v>25</v>
      </c>
      <c r="CW47" s="12" t="str">
        <f t="shared" ref="CW47" si="441">CW46</f>
        <v>CPA Ajuste T/C CFSB 1557 23-07-yyy</v>
      </c>
      <c r="CX47" s="13"/>
      <c r="CY47" s="18">
        <f t="shared" ref="CY47" si="442">CX46</f>
        <v>0</v>
      </c>
      <c r="DG47" s="11"/>
      <c r="DH47" s="12">
        <v>110296</v>
      </c>
      <c r="DI47" s="12" t="s">
        <v>140</v>
      </c>
      <c r="DJ47" s="12" t="str">
        <f t="shared" ref="DJ47" si="443">DJ46</f>
        <v xml:space="preserve">CPA Ajuste T/C MBI USD </v>
      </c>
      <c r="DK47" s="13"/>
      <c r="DL47" s="18">
        <f t="shared" ref="DL47" si="444">DK46</f>
        <v>3162500</v>
      </c>
    </row>
    <row r="48" spans="4:116" x14ac:dyDescent="0.25">
      <c r="D48" s="15">
        <v>45131</v>
      </c>
      <c r="E48">
        <v>110258</v>
      </c>
      <c r="F48" t="s">
        <v>63</v>
      </c>
      <c r="G48" t="str">
        <f>"CPA Ajuste T/C Vector USD " &amp;TEXT(D48,"dd-mm-yyy")</f>
        <v>CPA Ajuste T/C Vector USD 24-07-yyy</v>
      </c>
      <c r="H48" s="16">
        <f>+B25</f>
        <v>0</v>
      </c>
      <c r="I48" s="17"/>
      <c r="J48" s="3"/>
      <c r="O48" s="15">
        <v>45284</v>
      </c>
      <c r="P48">
        <v>430105</v>
      </c>
      <c r="Q48" t="s">
        <v>25</v>
      </c>
      <c r="R48" t="str">
        <f>"CPA Ajuste T/C JP Morgan USD " &amp;TEXT(O48,"dd-mm-yyy")</f>
        <v>CPA Ajuste T/C JP Morgan USD 24-12-yyy</v>
      </c>
      <c r="S48" s="16">
        <f>+M25*-1</f>
        <v>188</v>
      </c>
      <c r="T48" s="17"/>
      <c r="Z48" s="15">
        <v>45131</v>
      </c>
      <c r="AA48">
        <v>110218</v>
      </c>
      <c r="AB48" t="s">
        <v>61</v>
      </c>
      <c r="AC48" t="str">
        <f>"CPA Ajuste T/C CFSB 1126 USD " &amp;TEXT(Z48,"dd-mm-yyy")</f>
        <v>CPA Ajuste T/C CFSB 1126 USD 24-07-yyy</v>
      </c>
      <c r="AD48" s="16">
        <f>+X25</f>
        <v>908414</v>
      </c>
      <c r="AE48" s="17"/>
      <c r="AK48" s="15">
        <v>45131</v>
      </c>
      <c r="AL48">
        <v>110228</v>
      </c>
      <c r="AM48" t="s">
        <v>69</v>
      </c>
      <c r="AN48" t="str">
        <f>"CPA Ajuste T/C CFSB 0809 USD " &amp;TEXT(AK48,"dd-mm-yyy")</f>
        <v>CPA Ajuste T/C CFSB 0809 USD 24-07-yyy</v>
      </c>
      <c r="AO48" s="16">
        <f>+AI25</f>
        <v>388797</v>
      </c>
      <c r="AP48" s="17"/>
      <c r="AX48" s="15">
        <v>45436</v>
      </c>
      <c r="AY48">
        <v>110205</v>
      </c>
      <c r="AZ48" t="s">
        <v>59</v>
      </c>
      <c r="BA48" t="str">
        <f>"CPA Ajuste T/C Bco. Bice USD " &amp;TEXT(AX48,)</f>
        <v xml:space="preserve">CPA Ajuste T/C Bco. Bice USD </v>
      </c>
      <c r="BB48" s="16">
        <f>+AU25</f>
        <v>5438753</v>
      </c>
      <c r="BC48" s="17"/>
      <c r="BJ48" s="15">
        <v>45131</v>
      </c>
      <c r="BK48">
        <v>110217</v>
      </c>
      <c r="BL48" t="s">
        <v>104</v>
      </c>
      <c r="BM48" t="str">
        <f>"CPA Ajuste T/C CFSB 0947 USD " &amp;TEXT(BJ48,"dd-mm-yyy")</f>
        <v>CPA Ajuste T/C CFSB 0947 USD 24-07-yyy</v>
      </c>
      <c r="BN48" s="16">
        <f>+BH25</f>
        <v>1074750</v>
      </c>
      <c r="BO48" s="17"/>
      <c r="BV48" s="15">
        <v>45131</v>
      </c>
      <c r="BW48">
        <v>110278</v>
      </c>
      <c r="BX48" t="s">
        <v>106</v>
      </c>
      <c r="BY48" t="str">
        <f>"CPA Ajuste T/C Bco. Inter. USD " &amp;TEXT(BV48,"dd-mm-yyy")</f>
        <v>CPA Ajuste T/C Bco. Inter. USD 24-07-yyy</v>
      </c>
      <c r="BZ48" s="16">
        <f>+BT25</f>
        <v>0</v>
      </c>
      <c r="CA48" s="17"/>
      <c r="CH48" s="15">
        <v>45131</v>
      </c>
      <c r="CI48">
        <v>110285</v>
      </c>
      <c r="CJ48" t="s">
        <v>110</v>
      </c>
      <c r="CK48" t="str">
        <f>"CPA Ajuste T/C CFSB 2475 " &amp;TEXT(CH48,"dd-mm-yyy")</f>
        <v>CPA Ajuste T/C CFSB 2475 24-07-yyy</v>
      </c>
      <c r="CL48" s="16">
        <f>+CF25</f>
        <v>0</v>
      </c>
      <c r="CM48" s="17"/>
      <c r="CT48" s="15">
        <v>45131</v>
      </c>
      <c r="CU48">
        <v>110282</v>
      </c>
      <c r="CV48" t="s">
        <v>112</v>
      </c>
      <c r="CW48" t="str">
        <f>"CPA Ajuste T/C CFSB 1557 " &amp;TEXT(CT48,"dd-mm-yyy")</f>
        <v>CPA Ajuste T/C CFSB 1557 24-07-yyy</v>
      </c>
      <c r="CX48" s="16">
        <f>+CR25</f>
        <v>74041.960000000006</v>
      </c>
      <c r="CY48" s="17"/>
      <c r="DG48" s="15">
        <v>45436</v>
      </c>
      <c r="DH48">
        <v>110296</v>
      </c>
      <c r="DI48" t="s">
        <v>140</v>
      </c>
      <c r="DJ48" t="str">
        <f>"CPA Ajuste T/C MBI USD " &amp;TEXT(DG48,)</f>
        <v xml:space="preserve">CPA Ajuste T/C MBI USD </v>
      </c>
      <c r="DK48" s="16">
        <f>+DD25</f>
        <v>5812500</v>
      </c>
      <c r="DL48" s="17"/>
    </row>
    <row r="49" spans="4:116" x14ac:dyDescent="0.25">
      <c r="D49" s="11"/>
      <c r="E49" s="12">
        <v>430105</v>
      </c>
      <c r="F49" s="12" t="s">
        <v>25</v>
      </c>
      <c r="G49" s="12" t="str">
        <f t="shared" ref="G49" si="445">G48</f>
        <v>CPA Ajuste T/C Vector USD 24-07-yyy</v>
      </c>
      <c r="H49" s="13"/>
      <c r="I49" s="18">
        <f t="shared" ref="I49" si="446">H48</f>
        <v>0</v>
      </c>
      <c r="J49" s="3"/>
      <c r="O49" s="11"/>
      <c r="P49" s="12">
        <v>110212</v>
      </c>
      <c r="Q49" s="12" t="s">
        <v>64</v>
      </c>
      <c r="R49" s="12" t="str">
        <f t="shared" ref="R49" si="447">R48</f>
        <v>CPA Ajuste T/C JP Morgan USD 24-12-yyy</v>
      </c>
      <c r="S49" s="13"/>
      <c r="T49" s="18">
        <f t="shared" ref="T49" si="448">S48</f>
        <v>188</v>
      </c>
      <c r="Z49" s="11"/>
      <c r="AA49" s="12">
        <v>430105</v>
      </c>
      <c r="AB49" s="12" t="s">
        <v>25</v>
      </c>
      <c r="AC49" s="12" t="str">
        <f t="shared" ref="AC49" si="449">AC48</f>
        <v>CPA Ajuste T/C CFSB 1126 USD 24-07-yyy</v>
      </c>
      <c r="AD49" s="13"/>
      <c r="AE49" s="18">
        <f t="shared" ref="AE49" si="450">AD48</f>
        <v>908414</v>
      </c>
      <c r="AK49" s="11"/>
      <c r="AL49" s="12">
        <v>430105</v>
      </c>
      <c r="AM49" s="12" t="s">
        <v>25</v>
      </c>
      <c r="AN49" s="12" t="str">
        <f t="shared" ref="AN49" si="451">AN48</f>
        <v>CPA Ajuste T/C CFSB 0809 USD 24-07-yyy</v>
      </c>
      <c r="AO49" s="13"/>
      <c r="AP49" s="18">
        <f t="shared" ref="AP49" si="452">AO48</f>
        <v>388797</v>
      </c>
      <c r="AX49" s="11"/>
      <c r="AY49" s="12">
        <v>430105</v>
      </c>
      <c r="AZ49" s="12" t="s">
        <v>25</v>
      </c>
      <c r="BA49" s="12" t="str">
        <f t="shared" ref="BA49" si="453">BA48</f>
        <v xml:space="preserve">CPA Ajuste T/C Bco. Bice USD </v>
      </c>
      <c r="BB49" s="13"/>
      <c r="BC49" s="18">
        <f t="shared" ref="BC49" si="454">BB48</f>
        <v>5438753</v>
      </c>
      <c r="BJ49" s="11"/>
      <c r="BK49" s="12">
        <v>430105</v>
      </c>
      <c r="BL49" s="12" t="s">
        <v>25</v>
      </c>
      <c r="BM49" s="12" t="str">
        <f t="shared" ref="BM49" si="455">BM48</f>
        <v>CPA Ajuste T/C CFSB 0947 USD 24-07-yyy</v>
      </c>
      <c r="BN49" s="13"/>
      <c r="BO49" s="18">
        <f t="shared" ref="BO49" si="456">BN48</f>
        <v>1074750</v>
      </c>
      <c r="BV49" s="11"/>
      <c r="BW49" s="12">
        <v>430105</v>
      </c>
      <c r="BX49" s="12" t="s">
        <v>25</v>
      </c>
      <c r="BY49" s="12" t="str">
        <f t="shared" ref="BY49" si="457">BY48</f>
        <v>CPA Ajuste T/C Bco. Inter. USD 24-07-yyy</v>
      </c>
      <c r="BZ49" s="13"/>
      <c r="CA49" s="18">
        <f t="shared" ref="CA49" si="458">BZ48</f>
        <v>0</v>
      </c>
      <c r="CH49" s="11"/>
      <c r="CI49" s="12">
        <v>430105</v>
      </c>
      <c r="CJ49" s="12" t="s">
        <v>25</v>
      </c>
      <c r="CK49" s="12" t="str">
        <f t="shared" ref="CK49" si="459">CK48</f>
        <v>CPA Ajuste T/C CFSB 2475 24-07-yyy</v>
      </c>
      <c r="CL49" s="13"/>
      <c r="CM49" s="18">
        <f t="shared" ref="CM49" si="460">CL48</f>
        <v>0</v>
      </c>
      <c r="CT49" s="11"/>
      <c r="CU49" s="12">
        <v>430105</v>
      </c>
      <c r="CV49" s="12" t="s">
        <v>25</v>
      </c>
      <c r="CW49" s="12" t="str">
        <f t="shared" ref="CW49" si="461">CW48</f>
        <v>CPA Ajuste T/C CFSB 1557 24-07-yyy</v>
      </c>
      <c r="CX49" s="13"/>
      <c r="CY49" s="18">
        <f t="shared" ref="CY49" si="462">CX48</f>
        <v>74041.960000000006</v>
      </c>
      <c r="DG49" s="11"/>
      <c r="DH49" s="12">
        <v>430105</v>
      </c>
      <c r="DI49" s="12" t="s">
        <v>25</v>
      </c>
      <c r="DJ49" s="12" t="str">
        <f t="shared" ref="DJ49" si="463">DJ48</f>
        <v xml:space="preserve">CPA Ajuste T/C MBI USD </v>
      </c>
      <c r="DK49" s="13"/>
      <c r="DL49" s="18">
        <f t="shared" ref="DL49" si="464">DK48</f>
        <v>5812500</v>
      </c>
    </row>
    <row r="50" spans="4:116" x14ac:dyDescent="0.25">
      <c r="D50" s="15">
        <v>45132</v>
      </c>
      <c r="E50">
        <v>110258</v>
      </c>
      <c r="F50" t="s">
        <v>63</v>
      </c>
      <c r="G50" t="str">
        <f>"CPA Ajuste T/C Vector USD " &amp;TEXT(D50,"dd-mm-yyy")</f>
        <v>CPA Ajuste T/C Vector USD 25-07-yyy</v>
      </c>
      <c r="H50" s="16">
        <f>+B26</f>
        <v>0</v>
      </c>
      <c r="I50" s="17"/>
      <c r="J50" s="3"/>
      <c r="O50" s="15">
        <v>45285</v>
      </c>
      <c r="P50">
        <v>430105</v>
      </c>
      <c r="Q50" t="s">
        <v>25</v>
      </c>
      <c r="R50" t="str">
        <f>"CPA Ajuste T/C JP Morgan USD " &amp;TEXT(O50,"dd-mm-yyy")</f>
        <v>CPA Ajuste T/C JP Morgan USD 25-12-yyy</v>
      </c>
      <c r="S50" s="16">
        <f>+M26*-1</f>
        <v>0</v>
      </c>
      <c r="T50" s="17"/>
      <c r="Z50" s="15">
        <v>45132</v>
      </c>
      <c r="AA50">
        <v>110218</v>
      </c>
      <c r="AB50" t="s">
        <v>61</v>
      </c>
      <c r="AC50" t="str">
        <f>"CPA Ajuste T/C CFSB 1126 USD " &amp;TEXT(Z50,"dd-mm-yyy")</f>
        <v>CPA Ajuste T/C CFSB 1126 USD 25-07-yyy</v>
      </c>
      <c r="AD50" s="16">
        <f>+X26</f>
        <v>330334</v>
      </c>
      <c r="AE50" s="17"/>
      <c r="AK50" s="15">
        <v>45132</v>
      </c>
      <c r="AL50">
        <v>110228</v>
      </c>
      <c r="AM50" t="s">
        <v>69</v>
      </c>
      <c r="AN50" t="str">
        <f>"CPA Ajuste T/C CFSB 0809 USD " &amp;TEXT(AK50,"dd-mm-yyy")</f>
        <v>CPA Ajuste T/C CFSB 0809 USD 25-07-yyy</v>
      </c>
      <c r="AO50" s="16">
        <f>+AI26</f>
        <v>139728</v>
      </c>
      <c r="AP50" s="17"/>
      <c r="AX50" s="15">
        <v>45437</v>
      </c>
      <c r="AY50">
        <v>110205</v>
      </c>
      <c r="AZ50" t="s">
        <v>59</v>
      </c>
      <c r="BA50" t="str">
        <f>"CPA Ajuste T/C Bco. Bice USD " &amp;TEXT(AX50,)</f>
        <v xml:space="preserve">CPA Ajuste T/C Bco. Bice USD </v>
      </c>
      <c r="BB50" s="16" t="e">
        <f>+AU26</f>
        <v>#VALUE!</v>
      </c>
      <c r="BC50" s="17"/>
      <c r="BJ50" s="15">
        <v>45132</v>
      </c>
      <c r="BK50">
        <v>110217</v>
      </c>
      <c r="BL50" t="s">
        <v>104</v>
      </c>
      <c r="BM50" t="str">
        <f>"CPA Ajuste T/C CFSB 0947 USD " &amp;TEXT(BJ50,"dd-mm-yyy")</f>
        <v>CPA Ajuste T/C CFSB 0947 USD 25-07-yyy</v>
      </c>
      <c r="BN50" s="16">
        <f>+BH26</f>
        <v>386250</v>
      </c>
      <c r="BO50" s="17"/>
      <c r="BV50" s="15">
        <v>45132</v>
      </c>
      <c r="BW50">
        <v>110278</v>
      </c>
      <c r="BX50" t="s">
        <v>106</v>
      </c>
      <c r="BY50" t="str">
        <f>"CPA Ajuste T/C Bco. Inter. USD " &amp;TEXT(BV50,"dd-mm-yyy")</f>
        <v>CPA Ajuste T/C Bco. Inter. USD 25-07-yyy</v>
      </c>
      <c r="BZ50" s="16">
        <f>+BT26</f>
        <v>0</v>
      </c>
      <c r="CA50" s="17"/>
      <c r="CH50" s="15">
        <v>45132</v>
      </c>
      <c r="CI50">
        <v>110285</v>
      </c>
      <c r="CJ50" t="s">
        <v>110</v>
      </c>
      <c r="CK50" t="str">
        <f>"CPA Ajuste T/C CFSB 2475 " &amp;TEXT(CH50,"dd-mm-yyy")</f>
        <v>CPA Ajuste T/C CFSB 2475 25-07-yyy</v>
      </c>
      <c r="CL50" s="16">
        <f>+CF26</f>
        <v>0</v>
      </c>
      <c r="CM50" s="17"/>
      <c r="CT50" s="15">
        <v>45132</v>
      </c>
      <c r="CU50">
        <v>110282</v>
      </c>
      <c r="CV50" t="s">
        <v>112</v>
      </c>
      <c r="CW50" t="str">
        <f>"CPA Ajuste T/C CFSB 1557 " &amp;TEXT(CT50,"dd-mm-yyy")</f>
        <v>CPA Ajuste T/C CFSB 1557 25-07-yyy</v>
      </c>
      <c r="CX50" s="16">
        <f>+CR26</f>
        <v>24908.59</v>
      </c>
      <c r="CY50" s="17"/>
      <c r="DG50" s="15">
        <v>45437</v>
      </c>
      <c r="DH50">
        <v>110296</v>
      </c>
      <c r="DI50" t="s">
        <v>140</v>
      </c>
      <c r="DJ50" t="str">
        <f>"CPA Ajuste T/C MBI USD " &amp;TEXT(DG50,)</f>
        <v xml:space="preserve">CPA Ajuste T/C MBI USD </v>
      </c>
      <c r="DK50" s="16" t="e">
        <f>+DD26</f>
        <v>#VALUE!</v>
      </c>
      <c r="DL50" s="17"/>
    </row>
    <row r="51" spans="4:116" x14ac:dyDescent="0.25">
      <c r="D51" s="11"/>
      <c r="E51" s="12">
        <v>430105</v>
      </c>
      <c r="F51" s="12" t="s">
        <v>25</v>
      </c>
      <c r="G51" s="12" t="str">
        <f t="shared" ref="G51" si="465">G50</f>
        <v>CPA Ajuste T/C Vector USD 25-07-yyy</v>
      </c>
      <c r="H51" s="13"/>
      <c r="I51" s="18">
        <f t="shared" ref="I51" si="466">H50</f>
        <v>0</v>
      </c>
      <c r="J51" s="3"/>
      <c r="O51" s="11"/>
      <c r="P51" s="12">
        <v>110212</v>
      </c>
      <c r="Q51" s="12" t="s">
        <v>64</v>
      </c>
      <c r="R51" s="12" t="str">
        <f t="shared" ref="R51" si="467">R50</f>
        <v>CPA Ajuste T/C JP Morgan USD 25-12-yyy</v>
      </c>
      <c r="S51" s="13"/>
      <c r="T51" s="18">
        <f t="shared" ref="T51" si="468">S50</f>
        <v>0</v>
      </c>
      <c r="Z51" s="11"/>
      <c r="AA51" s="12">
        <v>430105</v>
      </c>
      <c r="AB51" s="12" t="s">
        <v>25</v>
      </c>
      <c r="AC51" s="12" t="str">
        <f t="shared" ref="AC51" si="469">AC50</f>
        <v>CPA Ajuste T/C CFSB 1126 USD 25-07-yyy</v>
      </c>
      <c r="AD51" s="13"/>
      <c r="AE51" s="18">
        <f t="shared" ref="AE51" si="470">AD50</f>
        <v>330334</v>
      </c>
      <c r="AK51" s="11"/>
      <c r="AL51" s="12">
        <v>430105</v>
      </c>
      <c r="AM51" s="12" t="s">
        <v>25</v>
      </c>
      <c r="AN51" s="12" t="str">
        <f t="shared" ref="AN51" si="471">AN50</f>
        <v>CPA Ajuste T/C CFSB 0809 USD 25-07-yyy</v>
      </c>
      <c r="AO51" s="13"/>
      <c r="AP51" s="18">
        <f t="shared" ref="AP51" si="472">AO50</f>
        <v>139728</v>
      </c>
      <c r="AX51" s="11"/>
      <c r="AY51" s="12">
        <v>430105</v>
      </c>
      <c r="AZ51" s="12" t="s">
        <v>25</v>
      </c>
      <c r="BA51" s="12" t="str">
        <f t="shared" ref="BA51" si="473">BA50</f>
        <v xml:space="preserve">CPA Ajuste T/C Bco. Bice USD </v>
      </c>
      <c r="BB51" s="13"/>
      <c r="BC51" s="18" t="e">
        <f t="shared" ref="BC51" si="474">BB50</f>
        <v>#VALUE!</v>
      </c>
      <c r="BJ51" s="11"/>
      <c r="BK51" s="12">
        <v>430105</v>
      </c>
      <c r="BL51" s="12" t="s">
        <v>25</v>
      </c>
      <c r="BM51" s="12" t="str">
        <f t="shared" ref="BM51" si="475">BM50</f>
        <v>CPA Ajuste T/C CFSB 0947 USD 25-07-yyy</v>
      </c>
      <c r="BN51" s="13"/>
      <c r="BO51" s="18">
        <f t="shared" ref="BO51" si="476">BN50</f>
        <v>386250</v>
      </c>
      <c r="BV51" s="11"/>
      <c r="BW51" s="12">
        <v>430105</v>
      </c>
      <c r="BX51" s="12" t="s">
        <v>25</v>
      </c>
      <c r="BY51" s="12" t="str">
        <f t="shared" ref="BY51" si="477">BY50</f>
        <v>CPA Ajuste T/C Bco. Inter. USD 25-07-yyy</v>
      </c>
      <c r="BZ51" s="13"/>
      <c r="CA51" s="18">
        <f t="shared" ref="CA51" si="478">BZ50</f>
        <v>0</v>
      </c>
      <c r="CH51" s="11"/>
      <c r="CI51" s="12">
        <v>430105</v>
      </c>
      <c r="CJ51" s="12" t="s">
        <v>25</v>
      </c>
      <c r="CK51" s="12" t="str">
        <f t="shared" ref="CK51" si="479">CK50</f>
        <v>CPA Ajuste T/C CFSB 2475 25-07-yyy</v>
      </c>
      <c r="CL51" s="13"/>
      <c r="CM51" s="18">
        <f t="shared" ref="CM51" si="480">CL50</f>
        <v>0</v>
      </c>
      <c r="CT51" s="11"/>
      <c r="CU51" s="12">
        <v>430105</v>
      </c>
      <c r="CV51" s="12" t="s">
        <v>25</v>
      </c>
      <c r="CW51" s="12" t="str">
        <f t="shared" ref="CW51" si="481">CW50</f>
        <v>CPA Ajuste T/C CFSB 1557 25-07-yyy</v>
      </c>
      <c r="CX51" s="13"/>
      <c r="CY51" s="18">
        <f t="shared" ref="CY51" si="482">CX50</f>
        <v>24908.59</v>
      </c>
      <c r="DG51" s="11"/>
      <c r="DH51" s="12">
        <v>430105</v>
      </c>
      <c r="DI51" s="12" t="s">
        <v>25</v>
      </c>
      <c r="DJ51" s="12" t="str">
        <f t="shared" ref="DJ51" si="483">DJ50</f>
        <v xml:space="preserve">CPA Ajuste T/C MBI USD </v>
      </c>
      <c r="DK51" s="13"/>
      <c r="DL51" s="18" t="e">
        <f t="shared" ref="DL51" si="484">DK50</f>
        <v>#VALUE!</v>
      </c>
    </row>
    <row r="52" spans="4:116" x14ac:dyDescent="0.25">
      <c r="D52" s="15">
        <v>45133</v>
      </c>
      <c r="E52">
        <v>430105</v>
      </c>
      <c r="F52" t="s">
        <v>25</v>
      </c>
      <c r="G52" t="str">
        <f>"CPA Ajuste T/C Vector USD " &amp;TEXT(D52,"dd-mm-yyy")</f>
        <v>CPA Ajuste T/C Vector USD 26-07-yyy</v>
      </c>
      <c r="H52" s="16">
        <f>+B27*-1</f>
        <v>0</v>
      </c>
      <c r="I52" s="17"/>
      <c r="J52" s="3"/>
      <c r="O52" s="15">
        <v>45286</v>
      </c>
      <c r="P52">
        <v>110212</v>
      </c>
      <c r="Q52" t="s">
        <v>64</v>
      </c>
      <c r="R52" t="str">
        <f>"CPA Ajuste T/C JP Morgan USD " &amp;TEXT(O52,"dd-mm-yyy")</f>
        <v>CPA Ajuste T/C JP Morgan USD 26-12-yyy</v>
      </c>
      <c r="S52" s="16">
        <f>+M27</f>
        <v>0</v>
      </c>
      <c r="T52" s="17"/>
      <c r="Z52" s="15">
        <v>45133</v>
      </c>
      <c r="AA52">
        <v>110218</v>
      </c>
      <c r="AB52" t="s">
        <v>61</v>
      </c>
      <c r="AC52" t="str">
        <f>"CPA Ajuste T/C CFSB 1126 USD " &amp;TEXT(Z52,"dd-mm-yyy")</f>
        <v>CPA Ajuste T/C CFSB 1126 USD 26-07-yyy</v>
      </c>
      <c r="AD52" s="16">
        <f>((+X27*-1)*1)*-1</f>
        <v>1415</v>
      </c>
      <c r="AE52" s="17"/>
      <c r="AK52" s="15">
        <v>45133</v>
      </c>
      <c r="AL52">
        <v>110228</v>
      </c>
      <c r="AM52" t="s">
        <v>69</v>
      </c>
      <c r="AN52" t="str">
        <f>"CPA Ajuste T/C CFSB 0809 USD " &amp;TEXT(AK52,"dd-mm-yyy")</f>
        <v>CPA Ajuste T/C CFSB 0809 USD 26-07-yyy</v>
      </c>
      <c r="AO52" s="16">
        <f>+AI27</f>
        <v>120837</v>
      </c>
      <c r="AP52" s="17"/>
      <c r="AX52" s="15">
        <v>45438</v>
      </c>
      <c r="AY52">
        <v>430105</v>
      </c>
      <c r="AZ52" t="s">
        <v>25</v>
      </c>
      <c r="BA52" t="str">
        <f>"CPA Ajuste T/C Bco. Bice USD " &amp;TEXT(AX52,)</f>
        <v xml:space="preserve">CPA Ajuste T/C Bco. Bice USD </v>
      </c>
      <c r="BB52" s="16" t="e">
        <f>+AU27*-1</f>
        <v>#VALUE!</v>
      </c>
      <c r="BC52" s="17"/>
      <c r="BJ52" s="15">
        <v>45133</v>
      </c>
      <c r="BK52">
        <v>110217</v>
      </c>
      <c r="BL52" t="s">
        <v>104</v>
      </c>
      <c r="BM52" t="str">
        <f>"CPA Ajuste T/C CFSB 0947 USD " &amp;TEXT(BJ52,"dd-mm-yyy")</f>
        <v>CPA Ajuste T/C CFSB 0947 USD 26-07-yyy</v>
      </c>
      <c r="BN52" s="16">
        <f>+BH27</f>
        <v>135000</v>
      </c>
      <c r="BO52" s="17"/>
      <c r="BV52" s="15">
        <v>45133</v>
      </c>
      <c r="BW52">
        <v>110278</v>
      </c>
      <c r="BX52" t="s">
        <v>106</v>
      </c>
      <c r="BY52" t="str">
        <f>"CPA Ajuste T/C Bco. Inter. USD " &amp;TEXT(BV52,"dd-mm-yyy")</f>
        <v>CPA Ajuste T/C Bco. Inter. USD 26-07-yyy</v>
      </c>
      <c r="BZ52" s="16">
        <f>+BT27</f>
        <v>0</v>
      </c>
      <c r="CA52" s="17"/>
      <c r="CH52" s="15">
        <v>45133</v>
      </c>
      <c r="CI52">
        <v>110285</v>
      </c>
      <c r="CJ52" t="s">
        <v>110</v>
      </c>
      <c r="CK52" t="str">
        <f>"CPA Ajuste T/C CFSB 2475 " &amp;TEXT(CH52,"dd-mm-yyy")</f>
        <v>CPA Ajuste T/C CFSB 2475 26-07-yyy</v>
      </c>
      <c r="CL52" s="16">
        <f>+CF27</f>
        <v>0</v>
      </c>
      <c r="CM52" s="17"/>
      <c r="CT52" s="15">
        <v>45133</v>
      </c>
      <c r="CU52">
        <v>110282</v>
      </c>
      <c r="CV52" t="s">
        <v>112</v>
      </c>
      <c r="CW52" t="str">
        <f>"CPA Ajuste T/C CFSB 1557 " &amp;TEXT(CT52,"dd-mm-yyy")</f>
        <v>CPA Ajuste T/C CFSB 1557 26-07-yyy</v>
      </c>
      <c r="CX52" s="16">
        <f>+CR27</f>
        <v>35705.919999999998</v>
      </c>
      <c r="CY52" s="17"/>
      <c r="DG52" s="15">
        <v>45438</v>
      </c>
      <c r="DH52">
        <v>110296</v>
      </c>
      <c r="DI52" t="s">
        <v>140</v>
      </c>
      <c r="DJ52" t="str">
        <f>"CPA Ajuste T/C MBI USD " &amp;TEXT(DG52,)</f>
        <v xml:space="preserve">CPA Ajuste T/C MBI USD </v>
      </c>
      <c r="DK52" s="16" t="e">
        <f>+DD27</f>
        <v>#VALUE!</v>
      </c>
      <c r="DL52" s="17"/>
    </row>
    <row r="53" spans="4:116" x14ac:dyDescent="0.25">
      <c r="D53" s="11"/>
      <c r="E53" s="12">
        <v>110258</v>
      </c>
      <c r="F53" s="12" t="s">
        <v>63</v>
      </c>
      <c r="G53" s="12" t="str">
        <f t="shared" ref="G53" si="485">G52</f>
        <v>CPA Ajuste T/C Vector USD 26-07-yyy</v>
      </c>
      <c r="H53" s="13"/>
      <c r="I53" s="18">
        <f t="shared" ref="I53" si="486">H52</f>
        <v>0</v>
      </c>
      <c r="J53" s="3"/>
      <c r="O53" s="11"/>
      <c r="P53" s="12">
        <v>430105</v>
      </c>
      <c r="Q53" s="12" t="s">
        <v>25</v>
      </c>
      <c r="R53" s="12" t="str">
        <f t="shared" ref="R53" si="487">R52</f>
        <v>CPA Ajuste T/C JP Morgan USD 26-12-yyy</v>
      </c>
      <c r="S53" s="13"/>
      <c r="T53" s="18">
        <f t="shared" ref="T53" si="488">S52</f>
        <v>0</v>
      </c>
      <c r="Z53" s="11"/>
      <c r="AA53" s="12">
        <v>430105</v>
      </c>
      <c r="AB53" s="12" t="s">
        <v>25</v>
      </c>
      <c r="AC53" s="12" t="str">
        <f t="shared" ref="AC53" si="489">AC52</f>
        <v>CPA Ajuste T/C CFSB 1126 USD 26-07-yyy</v>
      </c>
      <c r="AD53" s="13"/>
      <c r="AE53" s="18">
        <f t="shared" ref="AE53" si="490">AD52</f>
        <v>1415</v>
      </c>
      <c r="AK53" s="11"/>
      <c r="AL53" s="12">
        <v>430105</v>
      </c>
      <c r="AM53" s="12" t="s">
        <v>25</v>
      </c>
      <c r="AN53" s="12" t="str">
        <f t="shared" ref="AN53" si="491">AN52</f>
        <v>CPA Ajuste T/C CFSB 0809 USD 26-07-yyy</v>
      </c>
      <c r="AO53" s="13"/>
      <c r="AP53" s="18">
        <f t="shared" ref="AP53" si="492">AO52</f>
        <v>120837</v>
      </c>
      <c r="AX53" s="11"/>
      <c r="AY53" s="12">
        <v>110205</v>
      </c>
      <c r="AZ53" s="12" t="s">
        <v>59</v>
      </c>
      <c r="BA53" s="12" t="str">
        <f t="shared" ref="BA53" si="493">BA52</f>
        <v xml:space="preserve">CPA Ajuste T/C Bco. Bice USD </v>
      </c>
      <c r="BB53" s="13"/>
      <c r="BC53" s="18" t="e">
        <f t="shared" ref="BC53" si="494">BB52</f>
        <v>#VALUE!</v>
      </c>
      <c r="BJ53" s="11"/>
      <c r="BK53" s="12">
        <v>430105</v>
      </c>
      <c r="BL53" s="12" t="s">
        <v>25</v>
      </c>
      <c r="BM53" s="12" t="str">
        <f t="shared" ref="BM53" si="495">BM52</f>
        <v>CPA Ajuste T/C CFSB 0947 USD 26-07-yyy</v>
      </c>
      <c r="BN53" s="13"/>
      <c r="BO53" s="18">
        <f t="shared" ref="BO53" si="496">BN52</f>
        <v>135000</v>
      </c>
      <c r="BV53" s="11"/>
      <c r="BW53" s="12">
        <v>430105</v>
      </c>
      <c r="BX53" s="12" t="s">
        <v>25</v>
      </c>
      <c r="BY53" s="12" t="str">
        <f t="shared" ref="BY53" si="497">BY52</f>
        <v>CPA Ajuste T/C Bco. Inter. USD 26-07-yyy</v>
      </c>
      <c r="BZ53" s="13"/>
      <c r="CA53" s="18">
        <f t="shared" ref="CA53" si="498">BZ52</f>
        <v>0</v>
      </c>
      <c r="CH53" s="11"/>
      <c r="CI53" s="12">
        <v>430105</v>
      </c>
      <c r="CJ53" s="12" t="s">
        <v>25</v>
      </c>
      <c r="CK53" s="12" t="str">
        <f t="shared" ref="CK53" si="499">CK52</f>
        <v>CPA Ajuste T/C CFSB 2475 26-07-yyy</v>
      </c>
      <c r="CL53" s="13"/>
      <c r="CM53" s="18">
        <f t="shared" ref="CM53" si="500">CL52</f>
        <v>0</v>
      </c>
      <c r="CT53" s="11"/>
      <c r="CU53" s="12">
        <v>430105</v>
      </c>
      <c r="CV53" s="12" t="s">
        <v>25</v>
      </c>
      <c r="CW53" s="12" t="str">
        <f t="shared" ref="CW53" si="501">CW52</f>
        <v>CPA Ajuste T/C CFSB 1557 26-07-yyy</v>
      </c>
      <c r="CX53" s="13"/>
      <c r="CY53" s="18">
        <f t="shared" ref="CY53" si="502">CX52</f>
        <v>35705.919999999998</v>
      </c>
      <c r="DG53" s="11"/>
      <c r="DH53" s="12">
        <v>430105</v>
      </c>
      <c r="DI53" s="12" t="s">
        <v>25</v>
      </c>
      <c r="DJ53" s="12" t="str">
        <f t="shared" ref="DJ53" si="503">DJ52</f>
        <v xml:space="preserve">CPA Ajuste T/C MBI USD </v>
      </c>
      <c r="DK53" s="13"/>
      <c r="DL53" s="18" t="e">
        <f t="shared" ref="DL53" si="504">DK52</f>
        <v>#VALUE!</v>
      </c>
    </row>
    <row r="54" spans="4:116" x14ac:dyDescent="0.25">
      <c r="D54" s="15">
        <v>45134</v>
      </c>
      <c r="E54">
        <v>430105</v>
      </c>
      <c r="F54" t="s">
        <v>25</v>
      </c>
      <c r="G54" t="str">
        <f>"CPA Ajuste T/C Vector USD " &amp;TEXT(D54,"dd-mm-yyy")</f>
        <v>CPA Ajuste T/C Vector USD 27-07-yyy</v>
      </c>
      <c r="H54" s="16">
        <f>+B28*-1</f>
        <v>0</v>
      </c>
      <c r="I54" s="17"/>
      <c r="J54" s="3"/>
      <c r="O54" s="15">
        <v>45287</v>
      </c>
      <c r="P54">
        <v>110212</v>
      </c>
      <c r="Q54" t="s">
        <v>64</v>
      </c>
      <c r="R54" t="str">
        <f>"CPA Ajuste T/C JP Morgan USD " &amp;TEXT(O54,"dd-mm-yyy")</f>
        <v>CPA Ajuste T/C JP Morgan USD 27-12-yyy</v>
      </c>
      <c r="S54" s="16">
        <f>+M28</f>
        <v>136</v>
      </c>
      <c r="T54" s="17"/>
      <c r="Z54" s="15">
        <v>45134</v>
      </c>
      <c r="AA54">
        <v>430105</v>
      </c>
      <c r="AB54" t="s">
        <v>25</v>
      </c>
      <c r="AC54" t="str">
        <f>"CPA Ajuste T/C CFSB 1126 USD " &amp;TEXT(Z54,"dd-mm-yyy")</f>
        <v>CPA Ajuste T/C CFSB 1126 USD 27-07-yyy</v>
      </c>
      <c r="AD54" s="16">
        <f>+X28*-1</f>
        <v>2514</v>
      </c>
      <c r="AE54" s="17"/>
      <c r="AK54" s="15">
        <v>45134</v>
      </c>
      <c r="AL54">
        <v>430105</v>
      </c>
      <c r="AM54" t="s">
        <v>25</v>
      </c>
      <c r="AN54" t="str">
        <f>"CPA Ajuste T/C CFSB 0809 USD " &amp;TEXT(AK54,"dd-mm-yyy")</f>
        <v>CPA Ajuste T/C CFSB 0809 USD 27-07-yyy</v>
      </c>
      <c r="AO54" s="16">
        <f>+AI28*-1</f>
        <v>208108</v>
      </c>
      <c r="AP54" s="17"/>
      <c r="AX54" s="15">
        <v>45439</v>
      </c>
      <c r="AY54">
        <v>110205</v>
      </c>
      <c r="AZ54" t="s">
        <v>59</v>
      </c>
      <c r="BA54" t="str">
        <f>"CPA Ajuste T/C Bco. Bice USD " &amp;TEXT(AX54,)</f>
        <v xml:space="preserve">CPA Ajuste T/C Bco. Bice USD </v>
      </c>
      <c r="BB54" s="16">
        <f>+AU28</f>
        <v>46170</v>
      </c>
      <c r="BC54" s="17"/>
      <c r="BJ54" s="15">
        <v>45134</v>
      </c>
      <c r="BK54">
        <v>430105</v>
      </c>
      <c r="BL54" t="s">
        <v>25</v>
      </c>
      <c r="BM54" t="str">
        <f>"CPA Ajuste T/C CFSB 0947 USD " &amp;TEXT(BJ54,"dd-mm-yyy")</f>
        <v>CPA Ajuste T/C CFSB 0947 USD 27-07-yyy</v>
      </c>
      <c r="BN54" s="16">
        <f>+BH28*-1</f>
        <v>232500</v>
      </c>
      <c r="BO54" s="17"/>
      <c r="BV54" s="15">
        <v>45134</v>
      </c>
      <c r="BW54">
        <v>430105</v>
      </c>
      <c r="BX54" t="s">
        <v>25</v>
      </c>
      <c r="BY54" t="str">
        <f>"CPA Ajuste T/C Bco. Inter. USD " &amp;TEXT(BV54,"dd-mm-yyy")</f>
        <v>CPA Ajuste T/C Bco. Inter. USD 27-07-yyy</v>
      </c>
      <c r="BZ54" s="16">
        <f>+BT28*-1</f>
        <v>0</v>
      </c>
      <c r="CA54" s="17"/>
      <c r="CH54" s="15">
        <v>45134</v>
      </c>
      <c r="CI54">
        <v>430105</v>
      </c>
      <c r="CJ54" t="s">
        <v>25</v>
      </c>
      <c r="CK54" t="str">
        <f>"CPA Ajuste T/C CFSB 2475 " &amp;TEXT(CH54,"dd-mm-yyy")</f>
        <v>CPA Ajuste T/C CFSB 2475 27-07-yyy</v>
      </c>
      <c r="CL54" s="16">
        <f>+CF28*-1</f>
        <v>0</v>
      </c>
      <c r="CM54" s="17"/>
      <c r="CT54" s="15">
        <v>45134</v>
      </c>
      <c r="CU54">
        <v>430105</v>
      </c>
      <c r="CV54" t="s">
        <v>25</v>
      </c>
      <c r="CW54" t="str">
        <f>"CPA Ajuste T/C CFSB 1557 " &amp;TEXT(CT54,"dd-mm-yyy")</f>
        <v>CPA Ajuste T/C CFSB 1557 27-07-yyy</v>
      </c>
      <c r="CX54" s="16">
        <f>+CR28*-1</f>
        <v>61493.52</v>
      </c>
      <c r="CY54" s="17"/>
      <c r="DG54" s="15">
        <v>45439</v>
      </c>
      <c r="DH54">
        <v>110296</v>
      </c>
      <c r="DI54" t="s">
        <v>140</v>
      </c>
      <c r="DJ54" t="str">
        <f>"CPA Ajuste T/C MBI USD " &amp;TEXT(DG54,)</f>
        <v xml:space="preserve">CPA Ajuste T/C MBI USD </v>
      </c>
      <c r="DK54" s="16">
        <f>+DD28</f>
        <v>1697500</v>
      </c>
      <c r="DL54" s="17"/>
    </row>
    <row r="55" spans="4:116" x14ac:dyDescent="0.25">
      <c r="D55" s="11"/>
      <c r="E55" s="12">
        <v>110258</v>
      </c>
      <c r="F55" s="12" t="s">
        <v>63</v>
      </c>
      <c r="G55" s="12" t="str">
        <f t="shared" ref="G55" si="505">G54</f>
        <v>CPA Ajuste T/C Vector USD 27-07-yyy</v>
      </c>
      <c r="H55" s="13"/>
      <c r="I55" s="18">
        <f t="shared" ref="I55" si="506">H54</f>
        <v>0</v>
      </c>
      <c r="J55" s="3"/>
      <c r="O55" s="11"/>
      <c r="P55" s="12">
        <v>430105</v>
      </c>
      <c r="Q55" s="12" t="s">
        <v>25</v>
      </c>
      <c r="R55" s="12" t="str">
        <f t="shared" ref="R55" si="507">R54</f>
        <v>CPA Ajuste T/C JP Morgan USD 27-12-yyy</v>
      </c>
      <c r="S55" s="13"/>
      <c r="T55" s="18">
        <f t="shared" ref="T55" si="508">S54</f>
        <v>136</v>
      </c>
      <c r="Z55" s="11"/>
      <c r="AA55" s="12">
        <v>110218</v>
      </c>
      <c r="AB55" s="12" t="s">
        <v>61</v>
      </c>
      <c r="AC55" s="12" t="str">
        <f t="shared" ref="AC55" si="509">AC54</f>
        <v>CPA Ajuste T/C CFSB 1126 USD 27-07-yyy</v>
      </c>
      <c r="AD55" s="13"/>
      <c r="AE55" s="18">
        <f t="shared" ref="AE55" si="510">AD54</f>
        <v>2514</v>
      </c>
      <c r="AK55" s="11"/>
      <c r="AL55" s="12">
        <v>110228</v>
      </c>
      <c r="AM55" s="12" t="s">
        <v>69</v>
      </c>
      <c r="AN55" s="12" t="str">
        <f t="shared" ref="AN55" si="511">AN54</f>
        <v>CPA Ajuste T/C CFSB 0809 USD 27-07-yyy</v>
      </c>
      <c r="AO55" s="13"/>
      <c r="AP55" s="18">
        <f t="shared" ref="AP55" si="512">AO54</f>
        <v>208108</v>
      </c>
      <c r="AX55" s="11"/>
      <c r="AY55" s="12">
        <v>430105</v>
      </c>
      <c r="AZ55" s="12" t="s">
        <v>25</v>
      </c>
      <c r="BA55" s="12" t="str">
        <f t="shared" ref="BA55" si="513">BA54</f>
        <v xml:space="preserve">CPA Ajuste T/C Bco. Bice USD </v>
      </c>
      <c r="BB55" s="13"/>
      <c r="BC55" s="18">
        <f t="shared" ref="BC55" si="514">BB54</f>
        <v>46170</v>
      </c>
      <c r="BJ55" s="11"/>
      <c r="BK55" s="12">
        <v>110217</v>
      </c>
      <c r="BL55" s="12" t="s">
        <v>104</v>
      </c>
      <c r="BM55" s="12" t="str">
        <f t="shared" ref="BM55" si="515">BM54</f>
        <v>CPA Ajuste T/C CFSB 0947 USD 27-07-yyy</v>
      </c>
      <c r="BN55" s="13"/>
      <c r="BO55" s="18">
        <f t="shared" ref="BO55" si="516">BN54</f>
        <v>232500</v>
      </c>
      <c r="BV55" s="11"/>
      <c r="BW55" s="12">
        <v>110278</v>
      </c>
      <c r="BX55" s="12" t="s">
        <v>106</v>
      </c>
      <c r="BY55" s="12" t="str">
        <f t="shared" ref="BY55" si="517">BY54</f>
        <v>CPA Ajuste T/C Bco. Inter. USD 27-07-yyy</v>
      </c>
      <c r="BZ55" s="13"/>
      <c r="CA55" s="18">
        <f t="shared" ref="CA55" si="518">BZ54</f>
        <v>0</v>
      </c>
      <c r="CH55" s="11"/>
      <c r="CI55" s="12">
        <v>110285</v>
      </c>
      <c r="CJ55" s="12" t="s">
        <v>110</v>
      </c>
      <c r="CK55" s="12" t="str">
        <f t="shared" ref="CK55" si="519">CK54</f>
        <v>CPA Ajuste T/C CFSB 2475 27-07-yyy</v>
      </c>
      <c r="CL55" s="13"/>
      <c r="CM55" s="18">
        <f t="shared" ref="CM55" si="520">CL54</f>
        <v>0</v>
      </c>
      <c r="CT55" s="11"/>
      <c r="CU55" s="12">
        <v>110282</v>
      </c>
      <c r="CV55" s="12" t="s">
        <v>112</v>
      </c>
      <c r="CW55" s="12" t="str">
        <f t="shared" ref="CW55" si="521">CW54</f>
        <v>CPA Ajuste T/C CFSB 1557 27-07-yyy</v>
      </c>
      <c r="CX55" s="13"/>
      <c r="CY55" s="18">
        <f t="shared" ref="CY55" si="522">CX54</f>
        <v>61493.52</v>
      </c>
      <c r="DG55" s="11"/>
      <c r="DH55" s="12">
        <v>430105</v>
      </c>
      <c r="DI55" s="12" t="s">
        <v>25</v>
      </c>
      <c r="DJ55" s="12" t="str">
        <f t="shared" ref="DJ55" si="523">DJ54</f>
        <v xml:space="preserve">CPA Ajuste T/C MBI USD </v>
      </c>
      <c r="DK55" s="13"/>
      <c r="DL55" s="18">
        <f t="shared" ref="DL55" si="524">DK54</f>
        <v>1697500</v>
      </c>
    </row>
    <row r="56" spans="4:116" x14ac:dyDescent="0.25">
      <c r="D56" s="15">
        <v>45135</v>
      </c>
      <c r="E56">
        <v>430105</v>
      </c>
      <c r="F56" t="s">
        <v>25</v>
      </c>
      <c r="G56" t="str">
        <f>"CPA Ajuste T/C Vector USD " &amp;TEXT(D56,"dd-mm-yyy")</f>
        <v>CPA Ajuste T/C Vector USD 28-07-yyy</v>
      </c>
      <c r="H56" s="16">
        <f>+B29*-1</f>
        <v>0</v>
      </c>
      <c r="I56" s="17"/>
      <c r="J56" s="3"/>
      <c r="O56" s="15">
        <v>45288</v>
      </c>
      <c r="P56">
        <v>430105</v>
      </c>
      <c r="Q56" t="s">
        <v>25</v>
      </c>
      <c r="R56" t="str">
        <f>"CPA Ajuste T/C JP Morgan USD " &amp;TEXT(O56,"dd-mm-yyy")</f>
        <v>CPA Ajuste T/C JP Morgan USD 28-12-yyy</v>
      </c>
      <c r="S56" s="16">
        <f>+M29*-1</f>
        <v>3820</v>
      </c>
      <c r="T56" s="17"/>
      <c r="Z56" s="15">
        <v>45135</v>
      </c>
      <c r="AA56">
        <v>110218</v>
      </c>
      <c r="AB56" t="s">
        <v>61</v>
      </c>
      <c r="AC56" t="str">
        <f>"CPA Ajuste T/C CFSB 1126 USD " &amp;TEXT(Z56,"dd-mm-yyy")</f>
        <v>CPA Ajuste T/C CFSB 1126 USD 28-07-yyy</v>
      </c>
      <c r="AD56" s="16">
        <f>+X29</f>
        <v>275</v>
      </c>
      <c r="AE56" s="17"/>
      <c r="AK56" s="15">
        <v>45135</v>
      </c>
      <c r="AL56">
        <v>110228</v>
      </c>
      <c r="AM56" t="s">
        <v>69</v>
      </c>
      <c r="AN56" t="str">
        <f>"CPA Ajuste T/C CFSB 0809 USD " &amp;TEXT(AK56,"dd-mm-yyy")</f>
        <v>CPA Ajuste T/C CFSB 0809 USD 28-07-yyy</v>
      </c>
      <c r="AO56" s="16">
        <f>+AI29</f>
        <v>14098</v>
      </c>
      <c r="AP56" s="17"/>
      <c r="AX56" s="15">
        <v>45440</v>
      </c>
      <c r="AY56">
        <v>430105</v>
      </c>
      <c r="AZ56" t="s">
        <v>25</v>
      </c>
      <c r="BA56" t="str">
        <f>"CPA Ajuste T/C Bco. Bice USD " &amp;TEXT(AX56,)</f>
        <v xml:space="preserve">CPA Ajuste T/C Bco. Bice USD </v>
      </c>
      <c r="BB56" s="16">
        <f>+AU29*-1</f>
        <v>7677915</v>
      </c>
      <c r="BC56" s="17"/>
      <c r="BJ56" s="15">
        <v>45135</v>
      </c>
      <c r="BK56">
        <v>110217</v>
      </c>
      <c r="BL56" t="s">
        <v>104</v>
      </c>
      <c r="BM56" t="str">
        <f>"CPA Ajuste T/C CFSB 0947 USD " &amp;TEXT(BJ56,"dd-mm-yyy")</f>
        <v>CPA Ajuste T/C CFSB 0947 USD 28-07-yyy</v>
      </c>
      <c r="BN56" s="16">
        <f>+BH29</f>
        <v>15750</v>
      </c>
      <c r="BO56" s="17"/>
      <c r="BV56" s="15">
        <v>45135</v>
      </c>
      <c r="BW56">
        <v>110278</v>
      </c>
      <c r="BX56" t="s">
        <v>106</v>
      </c>
      <c r="BY56" t="str">
        <f>"CPA Ajuste T/C Bco. Inter. USD " &amp;TEXT(BV56,"dd-mm-yyy")</f>
        <v>CPA Ajuste T/C Bco. Inter. USD 28-07-yyy</v>
      </c>
      <c r="BZ56" s="16">
        <f>+BT29</f>
        <v>0</v>
      </c>
      <c r="CA56" s="17"/>
      <c r="CH56" s="15">
        <v>45135</v>
      </c>
      <c r="CI56">
        <v>110285</v>
      </c>
      <c r="CJ56" t="s">
        <v>110</v>
      </c>
      <c r="CK56" t="str">
        <f>"CPA Ajuste T/C CFSB 2475 " &amp;TEXT(CH56,"dd-mm-yyy")</f>
        <v>CPA Ajuste T/C CFSB 2475 28-07-yyy</v>
      </c>
      <c r="CL56" s="16">
        <f>+CF29</f>
        <v>0</v>
      </c>
      <c r="CM56" s="17"/>
      <c r="CT56" s="15">
        <v>45135</v>
      </c>
      <c r="CU56">
        <v>110282</v>
      </c>
      <c r="CV56" t="s">
        <v>112</v>
      </c>
      <c r="CW56" t="str">
        <f>"CPA Ajuste T/C CFSB 1557 " &amp;TEXT(CT56,"dd-mm-yyy")</f>
        <v>CPA Ajuste T/C CFSB 1557 28-07-yyy</v>
      </c>
      <c r="CX56" s="16">
        <f>+CR29</f>
        <v>4165.6899999999996</v>
      </c>
      <c r="CY56" s="17"/>
      <c r="DG56" s="15">
        <v>45440</v>
      </c>
      <c r="DH56">
        <v>110296</v>
      </c>
      <c r="DI56" t="s">
        <v>140</v>
      </c>
      <c r="DJ56" t="str">
        <f>"CPA Ajuste T/C MBI USD " &amp;TEXT(DG56,)</f>
        <v xml:space="preserve">CPA Ajuste T/C MBI USD </v>
      </c>
      <c r="DK56" s="16">
        <f>+DD29</f>
        <v>4620000</v>
      </c>
      <c r="DL56" s="17"/>
    </row>
    <row r="57" spans="4:116" x14ac:dyDescent="0.25">
      <c r="D57" s="11"/>
      <c r="E57" s="12">
        <v>110258</v>
      </c>
      <c r="F57" s="12" t="s">
        <v>63</v>
      </c>
      <c r="G57" s="12" t="str">
        <f t="shared" ref="G57" si="525">G56</f>
        <v>CPA Ajuste T/C Vector USD 28-07-yyy</v>
      </c>
      <c r="H57" s="13"/>
      <c r="I57" s="18">
        <f t="shared" ref="I57" si="526">H56</f>
        <v>0</v>
      </c>
      <c r="J57" s="3"/>
      <c r="O57" s="11"/>
      <c r="P57" s="12">
        <v>110212</v>
      </c>
      <c r="Q57" s="12" t="s">
        <v>64</v>
      </c>
      <c r="R57" s="12" t="str">
        <f t="shared" ref="R57" si="527">R56</f>
        <v>CPA Ajuste T/C JP Morgan USD 28-12-yyy</v>
      </c>
      <c r="S57" s="13"/>
      <c r="T57" s="18">
        <f t="shared" ref="T57" si="528">S56</f>
        <v>3820</v>
      </c>
      <c r="Z57" s="11"/>
      <c r="AA57" s="12">
        <v>430105</v>
      </c>
      <c r="AB57" s="12" t="s">
        <v>25</v>
      </c>
      <c r="AC57" s="12" t="str">
        <f t="shared" ref="AC57" si="529">AC56</f>
        <v>CPA Ajuste T/C CFSB 1126 USD 28-07-yyy</v>
      </c>
      <c r="AD57" s="13"/>
      <c r="AE57" s="18">
        <f t="shared" ref="AE57" si="530">AD56</f>
        <v>275</v>
      </c>
      <c r="AK57" s="11"/>
      <c r="AL57" s="12">
        <v>430105</v>
      </c>
      <c r="AM57" s="12" t="s">
        <v>25</v>
      </c>
      <c r="AN57" s="12" t="str">
        <f t="shared" ref="AN57" si="531">AN56</f>
        <v>CPA Ajuste T/C CFSB 0809 USD 28-07-yyy</v>
      </c>
      <c r="AO57" s="13"/>
      <c r="AP57" s="18">
        <f t="shared" ref="AP57" si="532">AO56</f>
        <v>14098</v>
      </c>
      <c r="AX57" s="11"/>
      <c r="AY57" s="12">
        <v>110205</v>
      </c>
      <c r="AZ57" s="12" t="s">
        <v>59</v>
      </c>
      <c r="BA57" s="12" t="str">
        <f t="shared" ref="BA57" si="533">BA56</f>
        <v xml:space="preserve">CPA Ajuste T/C Bco. Bice USD </v>
      </c>
      <c r="BB57" s="13"/>
      <c r="BC57" s="18">
        <f t="shared" ref="BC57" si="534">BB56</f>
        <v>7677915</v>
      </c>
      <c r="BJ57" s="11"/>
      <c r="BK57" s="12">
        <v>430105</v>
      </c>
      <c r="BL57" s="12" t="s">
        <v>25</v>
      </c>
      <c r="BM57" s="12" t="str">
        <f t="shared" ref="BM57" si="535">BM56</f>
        <v>CPA Ajuste T/C CFSB 0947 USD 28-07-yyy</v>
      </c>
      <c r="BN57" s="13"/>
      <c r="BO57" s="18">
        <f t="shared" ref="BO57" si="536">BN56</f>
        <v>15750</v>
      </c>
      <c r="BV57" s="11"/>
      <c r="BW57" s="12">
        <v>430105</v>
      </c>
      <c r="BX57" s="12" t="s">
        <v>25</v>
      </c>
      <c r="BY57" s="12" t="str">
        <f t="shared" ref="BY57" si="537">BY56</f>
        <v>CPA Ajuste T/C Bco. Inter. USD 28-07-yyy</v>
      </c>
      <c r="BZ57" s="13"/>
      <c r="CA57" s="18">
        <f t="shared" ref="CA57" si="538">BZ56</f>
        <v>0</v>
      </c>
      <c r="CH57" s="11"/>
      <c r="CI57" s="12">
        <v>430105</v>
      </c>
      <c r="CJ57" s="12" t="s">
        <v>25</v>
      </c>
      <c r="CK57" s="12" t="str">
        <f t="shared" ref="CK57" si="539">CK56</f>
        <v>CPA Ajuste T/C CFSB 2475 28-07-yyy</v>
      </c>
      <c r="CL57" s="13"/>
      <c r="CM57" s="18">
        <f t="shared" ref="CM57" si="540">CL56</f>
        <v>0</v>
      </c>
      <c r="CT57" s="11"/>
      <c r="CU57" s="12">
        <v>430105</v>
      </c>
      <c r="CV57" s="12" t="s">
        <v>25</v>
      </c>
      <c r="CW57" s="12" t="str">
        <f t="shared" ref="CW57" si="541">CW56</f>
        <v>CPA Ajuste T/C CFSB 1557 28-07-yyy</v>
      </c>
      <c r="CX57" s="13"/>
      <c r="CY57" s="18">
        <f t="shared" ref="CY57" si="542">CX56</f>
        <v>4165.6899999999996</v>
      </c>
      <c r="DG57" s="11"/>
      <c r="DH57" s="12">
        <v>430105</v>
      </c>
      <c r="DI57" s="12" t="s">
        <v>25</v>
      </c>
      <c r="DJ57" s="12" t="str">
        <f t="shared" ref="DJ57" si="543">DJ56</f>
        <v xml:space="preserve">CPA Ajuste T/C MBI USD </v>
      </c>
      <c r="DK57" s="13"/>
      <c r="DL57" s="18">
        <f t="shared" ref="DL57" si="544">DK56</f>
        <v>4620000</v>
      </c>
    </row>
    <row r="58" spans="4:116" x14ac:dyDescent="0.25">
      <c r="D58" s="15">
        <v>45136</v>
      </c>
      <c r="E58">
        <v>110258</v>
      </c>
      <c r="F58" t="s">
        <v>63</v>
      </c>
      <c r="G58" t="str">
        <f>"CPA Ajuste T/C Vector USD " &amp;TEXT(D58,"dd-mm-yyy")</f>
        <v>CPA Ajuste T/C Vector USD 29-07-yyy</v>
      </c>
      <c r="H58" s="16">
        <f>+B30</f>
        <v>0</v>
      </c>
      <c r="I58" s="17"/>
      <c r="J58" s="3"/>
      <c r="O58" s="15">
        <v>45289</v>
      </c>
      <c r="P58">
        <v>430105</v>
      </c>
      <c r="Q58" t="s">
        <v>25</v>
      </c>
      <c r="R58" t="str">
        <f>"CPA Ajuste T/C JP Morgan USD " &amp;TEXT(O58,"dd-mm-yyy")</f>
        <v>CPA Ajuste T/C JP Morgan USD 29-12-yyy</v>
      </c>
      <c r="S58" s="16">
        <f>+M30*-1</f>
        <v>5258</v>
      </c>
      <c r="T58" s="17"/>
      <c r="Z58" s="15">
        <v>45136</v>
      </c>
      <c r="AA58">
        <v>110218</v>
      </c>
      <c r="AB58" t="s">
        <v>61</v>
      </c>
      <c r="AC58" t="str">
        <f>"CPA Ajuste T/C CFSB 1126 USD " &amp;TEXT(Z58,"dd-mm-yyy")</f>
        <v>CPA Ajuste T/C CFSB 1126 USD 29-07-yyy</v>
      </c>
      <c r="AD58" s="16">
        <f>((+X30)*1)</f>
        <v>0</v>
      </c>
      <c r="AE58" s="17"/>
      <c r="AK58" s="15">
        <v>45136</v>
      </c>
      <c r="AL58">
        <v>110228</v>
      </c>
      <c r="AM58" t="s">
        <v>69</v>
      </c>
      <c r="AN58" t="str">
        <f>"CPA Ajuste T/C CFSB 0809 USD " &amp;TEXT(AK58,"dd-mm-yyy")</f>
        <v>CPA Ajuste T/C CFSB 0809 USD 29-07-yyy</v>
      </c>
      <c r="AO58" s="16">
        <f>+AI30</f>
        <v>0</v>
      </c>
      <c r="AP58" s="17"/>
      <c r="AX58" s="15">
        <v>45441</v>
      </c>
      <c r="AY58">
        <v>430105</v>
      </c>
      <c r="AZ58" t="s">
        <v>25</v>
      </c>
      <c r="BA58" t="str">
        <f>"CPA Ajuste T/C Bco. Bice USD " &amp;TEXT(AX58,)</f>
        <v xml:space="preserve">CPA Ajuste T/C Bco. Bice USD </v>
      </c>
      <c r="BB58" s="16">
        <f>+AU30*-1</f>
        <v>5150144</v>
      </c>
      <c r="BC58" s="17"/>
      <c r="BJ58" s="15">
        <v>45136</v>
      </c>
      <c r="BK58">
        <v>110217</v>
      </c>
      <c r="BL58" t="s">
        <v>104</v>
      </c>
      <c r="BM58" t="str">
        <f>"CPA Ajuste T/C CFSB 0947 USD " &amp;TEXT(BJ58,"dd-mm-yyy")</f>
        <v>CPA Ajuste T/C CFSB 0947 USD 29-07-yyy</v>
      </c>
      <c r="BN58" s="16" t="str">
        <f>+BH30</f>
        <v>-</v>
      </c>
      <c r="BO58" s="17"/>
      <c r="BV58" s="15">
        <v>45136</v>
      </c>
      <c r="BW58">
        <v>110278</v>
      </c>
      <c r="BX58" t="s">
        <v>106</v>
      </c>
      <c r="BY58" t="str">
        <f>"CPA Ajuste T/C Bco. Inter. USD " &amp;TEXT(BV58,"dd-mm-yyy")</f>
        <v>CPA Ajuste T/C Bco. Inter. USD 29-07-yyy</v>
      </c>
      <c r="BZ58" s="16">
        <f>+BT30</f>
        <v>0</v>
      </c>
      <c r="CA58" s="17"/>
      <c r="CH58" s="15">
        <v>45136</v>
      </c>
      <c r="CI58">
        <v>110285</v>
      </c>
      <c r="CJ58" t="s">
        <v>110</v>
      </c>
      <c r="CK58" t="str">
        <f>"CPA Ajuste T/C CFSB 2475 " &amp;TEXT(CH58,"dd-mm-yyy")</f>
        <v>CPA Ajuste T/C CFSB 2475 29-07-yyy</v>
      </c>
      <c r="CL58" s="16">
        <f>+CF30</f>
        <v>0</v>
      </c>
      <c r="CM58" s="17"/>
      <c r="CT58" s="15">
        <v>45136</v>
      </c>
      <c r="CU58">
        <v>110282</v>
      </c>
      <c r="CV58" t="s">
        <v>112</v>
      </c>
      <c r="CW58" t="str">
        <f>"CPA Ajuste T/C CFSB 1557 " &amp;TEXT(CT58,"dd-mm-yyy")</f>
        <v>CPA Ajuste T/C CFSB 1557 29-07-yyy</v>
      </c>
      <c r="CX58" s="16">
        <f>+CR30</f>
        <v>0</v>
      </c>
      <c r="CY58" s="17"/>
      <c r="DG58" s="15">
        <v>45441</v>
      </c>
      <c r="DH58">
        <v>430105</v>
      </c>
      <c r="DI58" t="s">
        <v>25</v>
      </c>
      <c r="DJ58" t="str">
        <f>"CPA Ajuste T/C MBI USD " &amp;TEXT(DG58,)</f>
        <v xml:space="preserve">CPA Ajuste T/C MBI USD </v>
      </c>
      <c r="DK58" s="16">
        <f>+DD30*-1</f>
        <v>11070000</v>
      </c>
      <c r="DL58" s="17"/>
    </row>
    <row r="59" spans="4:116" x14ac:dyDescent="0.25">
      <c r="D59" s="11"/>
      <c r="E59" s="12">
        <v>430105</v>
      </c>
      <c r="F59" s="12" t="s">
        <v>25</v>
      </c>
      <c r="G59" s="12" t="str">
        <f t="shared" ref="G59" si="545">G58</f>
        <v>CPA Ajuste T/C Vector USD 29-07-yyy</v>
      </c>
      <c r="H59" s="13"/>
      <c r="I59" s="18">
        <f t="shared" ref="I59" si="546">H58</f>
        <v>0</v>
      </c>
      <c r="J59" s="3"/>
      <c r="O59" s="11"/>
      <c r="P59" s="12">
        <v>110212</v>
      </c>
      <c r="Q59" s="12" t="s">
        <v>64</v>
      </c>
      <c r="R59" s="12" t="str">
        <f t="shared" ref="R59" si="547">R58</f>
        <v>CPA Ajuste T/C JP Morgan USD 29-12-yyy</v>
      </c>
      <c r="S59" s="13"/>
      <c r="T59" s="18">
        <f t="shared" ref="T59" si="548">S58</f>
        <v>5258</v>
      </c>
      <c r="Z59" s="11"/>
      <c r="AA59" s="12">
        <v>430105</v>
      </c>
      <c r="AB59" s="12" t="s">
        <v>25</v>
      </c>
      <c r="AC59" s="12" t="str">
        <f t="shared" ref="AC59" si="549">AC58</f>
        <v>CPA Ajuste T/C CFSB 1126 USD 29-07-yyy</v>
      </c>
      <c r="AD59" s="13">
        <v>0</v>
      </c>
      <c r="AE59" s="18">
        <f t="shared" ref="AE59" si="550">AD58</f>
        <v>0</v>
      </c>
      <c r="AK59" s="11"/>
      <c r="AL59" s="12">
        <v>430105</v>
      </c>
      <c r="AM59" s="12" t="s">
        <v>25</v>
      </c>
      <c r="AN59" s="12" t="str">
        <f t="shared" ref="AN59" si="551">AN58</f>
        <v>CPA Ajuste T/C CFSB 0809 USD 29-07-yyy</v>
      </c>
      <c r="AO59" s="13"/>
      <c r="AP59" s="18">
        <f t="shared" ref="AP59" si="552">AO58</f>
        <v>0</v>
      </c>
      <c r="AX59" s="11"/>
      <c r="AY59" s="12">
        <v>110205</v>
      </c>
      <c r="AZ59" s="12" t="s">
        <v>59</v>
      </c>
      <c r="BA59" s="12" t="str">
        <f t="shared" ref="BA59" si="553">BA58</f>
        <v xml:space="preserve">CPA Ajuste T/C Bco. Bice USD </v>
      </c>
      <c r="BB59" s="13"/>
      <c r="BC59" s="18">
        <f t="shared" ref="BC59" si="554">BB58</f>
        <v>5150144</v>
      </c>
      <c r="BJ59" s="11"/>
      <c r="BK59" s="12">
        <v>430105</v>
      </c>
      <c r="BL59" s="12" t="s">
        <v>25</v>
      </c>
      <c r="BM59" s="12" t="str">
        <f t="shared" ref="BM59" si="555">BM58</f>
        <v>CPA Ajuste T/C CFSB 0947 USD 29-07-yyy</v>
      </c>
      <c r="BN59" s="13"/>
      <c r="BO59" s="18" t="str">
        <f t="shared" ref="BO59" si="556">BN58</f>
        <v>-</v>
      </c>
      <c r="BV59" s="11"/>
      <c r="BW59" s="12">
        <v>430105</v>
      </c>
      <c r="BX59" s="12" t="s">
        <v>25</v>
      </c>
      <c r="BY59" s="12" t="str">
        <f t="shared" ref="BY59" si="557">BY58</f>
        <v>CPA Ajuste T/C Bco. Inter. USD 29-07-yyy</v>
      </c>
      <c r="BZ59" s="13"/>
      <c r="CA59" s="18">
        <f t="shared" ref="CA59" si="558">BZ58</f>
        <v>0</v>
      </c>
      <c r="CH59" s="11"/>
      <c r="CI59" s="12">
        <v>430105</v>
      </c>
      <c r="CJ59" s="12" t="s">
        <v>25</v>
      </c>
      <c r="CK59" s="12" t="str">
        <f t="shared" ref="CK59" si="559">CK58</f>
        <v>CPA Ajuste T/C CFSB 2475 29-07-yyy</v>
      </c>
      <c r="CL59" s="13"/>
      <c r="CM59" s="18">
        <f t="shared" ref="CM59" si="560">CL58</f>
        <v>0</v>
      </c>
      <c r="CT59" s="11"/>
      <c r="CU59" s="12">
        <v>430105</v>
      </c>
      <c r="CV59" s="12" t="s">
        <v>25</v>
      </c>
      <c r="CW59" s="12" t="str">
        <f t="shared" ref="CW59" si="561">CW58</f>
        <v>CPA Ajuste T/C CFSB 1557 29-07-yyy</v>
      </c>
      <c r="CX59" s="13"/>
      <c r="CY59" s="18">
        <f t="shared" ref="CY59" si="562">CX58</f>
        <v>0</v>
      </c>
      <c r="DG59" s="11"/>
      <c r="DH59" s="12">
        <v>110296</v>
      </c>
      <c r="DI59" s="12" t="s">
        <v>140</v>
      </c>
      <c r="DJ59" s="12" t="str">
        <f t="shared" ref="DJ59" si="563">DJ58</f>
        <v xml:space="preserve">CPA Ajuste T/C MBI USD </v>
      </c>
      <c r="DK59" s="13"/>
      <c r="DL59" s="18">
        <f t="shared" ref="DL59" si="564">DK58</f>
        <v>11070000</v>
      </c>
    </row>
    <row r="60" spans="4:116" x14ac:dyDescent="0.25">
      <c r="D60" s="15">
        <v>45137</v>
      </c>
      <c r="E60">
        <v>110258</v>
      </c>
      <c r="F60" t="s">
        <v>63</v>
      </c>
      <c r="G60" t="str">
        <f>"CPA Ajuste T/C Vector USD " &amp;TEXT(D60,"dd-mm-yyy")</f>
        <v>CPA Ajuste T/C Vector USD 30-07-yyy</v>
      </c>
      <c r="H60" s="16">
        <f>+B31</f>
        <v>0</v>
      </c>
      <c r="I60" s="17"/>
      <c r="J60" s="3"/>
      <c r="O60" s="15">
        <v>45290</v>
      </c>
      <c r="P60">
        <v>430105</v>
      </c>
      <c r="Q60" t="s">
        <v>25</v>
      </c>
      <c r="R60" t="str">
        <f>"CPA Ajuste T/C JP Morgan USD " &amp;TEXT(O60,"dd-mm-yyy")</f>
        <v>CPA Ajuste T/C JP Morgan USD 30-12-yyy</v>
      </c>
      <c r="S60" s="16">
        <f>+M31*-1</f>
        <v>3307</v>
      </c>
      <c r="T60" s="17"/>
      <c r="Z60" s="15">
        <v>45137</v>
      </c>
      <c r="AA60">
        <v>110218</v>
      </c>
      <c r="AB60" t="s">
        <v>61</v>
      </c>
      <c r="AC60" t="str">
        <f>"CPA Ajuste T/C CFSB 1126 USD " &amp;TEXT(Z60,"dd-mm-yyy")</f>
        <v>CPA Ajuste T/C CFSB 1126 USD 30-07-yyy</v>
      </c>
      <c r="AD60" s="16">
        <f>((+X31)*1)</f>
        <v>0</v>
      </c>
      <c r="AE60" s="17"/>
      <c r="AK60" s="15">
        <v>45137</v>
      </c>
      <c r="AL60">
        <v>110228</v>
      </c>
      <c r="AM60" t="s">
        <v>69</v>
      </c>
      <c r="AN60" t="str">
        <f>"CPA Ajuste T/C CFSB 0809 USD " &amp;TEXT(AK60,"dd-mm-yyy")</f>
        <v>CPA Ajuste T/C CFSB 0809 USD 30-07-yyy</v>
      </c>
      <c r="AO60" s="16">
        <f>+AI31</f>
        <v>0</v>
      </c>
      <c r="AP60" s="17"/>
      <c r="AX60" s="15">
        <v>45442</v>
      </c>
      <c r="AY60">
        <v>110205</v>
      </c>
      <c r="AZ60" t="s">
        <v>59</v>
      </c>
      <c r="BA60" t="str">
        <f>"CPA Ajuste T/C Bco. Bice USD " &amp;TEXT(AX60,)</f>
        <v xml:space="preserve">CPA Ajuste T/C Bco. Bice USD </v>
      </c>
      <c r="BB60" s="16">
        <f>+AU31</f>
        <v>35469</v>
      </c>
      <c r="BC60" s="17"/>
      <c r="BJ60" s="15">
        <v>45137</v>
      </c>
      <c r="BK60">
        <v>110217</v>
      </c>
      <c r="BL60" t="s">
        <v>104</v>
      </c>
      <c r="BM60" t="str">
        <f>"CPA Ajuste T/C CFSB 0947 USD " &amp;TEXT(BJ60,"dd-mm-yyy")</f>
        <v>CPA Ajuste T/C CFSB 0947 USD 30-07-yyy</v>
      </c>
      <c r="BN60" s="16" t="str">
        <f>+BH31</f>
        <v>-</v>
      </c>
      <c r="BO60" s="17"/>
      <c r="BV60" s="15">
        <v>45137</v>
      </c>
      <c r="BW60">
        <v>110278</v>
      </c>
      <c r="BX60" t="s">
        <v>106</v>
      </c>
      <c r="BY60" t="str">
        <f>"CPA Ajuste T/C Bco. Inter. USD " &amp;TEXT(BV60,"dd-mm-yyy")</f>
        <v>CPA Ajuste T/C Bco. Inter. USD 30-07-yyy</v>
      </c>
      <c r="BZ60" s="16">
        <f>+BT31</f>
        <v>0</v>
      </c>
      <c r="CA60" s="17"/>
      <c r="CH60" s="15">
        <v>45137</v>
      </c>
      <c r="CI60">
        <v>110285</v>
      </c>
      <c r="CJ60" t="s">
        <v>110</v>
      </c>
      <c r="CK60" t="str">
        <f>"CPA Ajuste T/C CFSB 2475 " &amp;TEXT(CH60,"dd-mm-yyy")</f>
        <v>CPA Ajuste T/C CFSB 2475 30-07-yyy</v>
      </c>
      <c r="CL60" s="16">
        <f>+CF31</f>
        <v>0</v>
      </c>
      <c r="CM60" s="17"/>
      <c r="CT60" s="15">
        <v>45137</v>
      </c>
      <c r="CU60">
        <v>110282</v>
      </c>
      <c r="CV60" t="s">
        <v>112</v>
      </c>
      <c r="CW60" t="str">
        <f>"CPA Ajuste T/C CFSB 1557 " &amp;TEXT(CT60,"dd-mm-yyy")</f>
        <v>CPA Ajuste T/C CFSB 1557 30-07-yyy</v>
      </c>
      <c r="CX60" s="16">
        <f>+CR31</f>
        <v>0</v>
      </c>
      <c r="CY60" s="17"/>
      <c r="DG60" s="15">
        <v>45442</v>
      </c>
      <c r="DH60">
        <v>430105</v>
      </c>
      <c r="DI60" t="s">
        <v>25</v>
      </c>
      <c r="DJ60" t="str">
        <f>"CPA Ajuste T/C MBI USD " &amp;TEXT(DG60,)</f>
        <v xml:space="preserve">CPA Ajuste T/C MBI USD </v>
      </c>
      <c r="DK60" s="16">
        <f>+DD31*-1</f>
        <v>19060000</v>
      </c>
      <c r="DL60" s="17"/>
    </row>
    <row r="61" spans="4:116" x14ac:dyDescent="0.25">
      <c r="D61" s="11"/>
      <c r="E61" s="12">
        <v>430105</v>
      </c>
      <c r="F61" s="12" t="s">
        <v>25</v>
      </c>
      <c r="G61" s="12" t="str">
        <f t="shared" ref="G61" si="565">G60</f>
        <v>CPA Ajuste T/C Vector USD 30-07-yyy</v>
      </c>
      <c r="H61" s="13"/>
      <c r="I61" s="18">
        <f t="shared" ref="I61" si="566">H60</f>
        <v>0</v>
      </c>
      <c r="J61" s="3"/>
      <c r="O61" s="11"/>
      <c r="P61" s="12">
        <v>110212</v>
      </c>
      <c r="Q61" s="12" t="s">
        <v>64</v>
      </c>
      <c r="R61" s="12" t="str">
        <f t="shared" ref="R61" si="567">R60</f>
        <v>CPA Ajuste T/C JP Morgan USD 30-12-yyy</v>
      </c>
      <c r="S61" s="13"/>
      <c r="T61" s="18">
        <f t="shared" ref="T61" si="568">S60</f>
        <v>3307</v>
      </c>
      <c r="Z61" s="11"/>
      <c r="AA61" s="12">
        <v>430105</v>
      </c>
      <c r="AB61" s="12" t="s">
        <v>25</v>
      </c>
      <c r="AC61" s="12" t="str">
        <f t="shared" ref="AC61" si="569">AC60</f>
        <v>CPA Ajuste T/C CFSB 1126 USD 30-07-yyy</v>
      </c>
      <c r="AD61" s="13"/>
      <c r="AE61" s="18">
        <f t="shared" ref="AE61" si="570">AD60</f>
        <v>0</v>
      </c>
      <c r="AK61" s="11"/>
      <c r="AL61" s="12">
        <v>430105</v>
      </c>
      <c r="AM61" s="12" t="s">
        <v>25</v>
      </c>
      <c r="AN61" s="12" t="str">
        <f t="shared" ref="AN61" si="571">AN60</f>
        <v>CPA Ajuste T/C CFSB 0809 USD 30-07-yyy</v>
      </c>
      <c r="AO61" s="13"/>
      <c r="AP61" s="18">
        <f t="shared" ref="AP61" si="572">AO60</f>
        <v>0</v>
      </c>
      <c r="AX61" s="11"/>
      <c r="AY61" s="12">
        <v>430105</v>
      </c>
      <c r="AZ61" s="12" t="s">
        <v>25</v>
      </c>
      <c r="BA61" s="12" t="str">
        <f t="shared" ref="BA61" si="573">BA60</f>
        <v xml:space="preserve">CPA Ajuste T/C Bco. Bice USD </v>
      </c>
      <c r="BB61" s="13"/>
      <c r="BC61" s="18">
        <f t="shared" ref="BC61" si="574">BB60</f>
        <v>35469</v>
      </c>
      <c r="BJ61" s="11"/>
      <c r="BK61" s="12">
        <v>430105</v>
      </c>
      <c r="BL61" s="12" t="s">
        <v>25</v>
      </c>
      <c r="BM61" s="12" t="str">
        <f t="shared" ref="BM61" si="575">BM60</f>
        <v>CPA Ajuste T/C CFSB 0947 USD 30-07-yyy</v>
      </c>
      <c r="BN61" s="13"/>
      <c r="BO61" s="18" t="str">
        <f t="shared" ref="BO61" si="576">BN60</f>
        <v>-</v>
      </c>
      <c r="BV61" s="11"/>
      <c r="BW61" s="12">
        <v>430105</v>
      </c>
      <c r="BX61" s="12" t="s">
        <v>25</v>
      </c>
      <c r="BY61" s="12" t="str">
        <f t="shared" ref="BY61" si="577">BY60</f>
        <v>CPA Ajuste T/C Bco. Inter. USD 30-07-yyy</v>
      </c>
      <c r="BZ61" s="13"/>
      <c r="CA61" s="18">
        <f t="shared" ref="CA61" si="578">BZ60</f>
        <v>0</v>
      </c>
      <c r="CH61" s="11"/>
      <c r="CI61" s="12">
        <v>430105</v>
      </c>
      <c r="CJ61" s="12" t="s">
        <v>25</v>
      </c>
      <c r="CK61" s="12" t="str">
        <f t="shared" ref="CK61" si="579">CK60</f>
        <v>CPA Ajuste T/C CFSB 2475 30-07-yyy</v>
      </c>
      <c r="CL61" s="13"/>
      <c r="CM61" s="18">
        <f t="shared" ref="CM61" si="580">CL60</f>
        <v>0</v>
      </c>
      <c r="CT61" s="11"/>
      <c r="CU61" s="12">
        <v>430105</v>
      </c>
      <c r="CV61" s="12" t="s">
        <v>25</v>
      </c>
      <c r="CW61" s="12" t="str">
        <f t="shared" ref="CW61" si="581">CW60</f>
        <v>CPA Ajuste T/C CFSB 1557 30-07-yyy</v>
      </c>
      <c r="CX61" s="13"/>
      <c r="CY61" s="18">
        <f t="shared" ref="CY61" si="582">CX60</f>
        <v>0</v>
      </c>
      <c r="DG61" s="11"/>
      <c r="DH61" s="12">
        <v>110296</v>
      </c>
      <c r="DI61" s="12" t="s">
        <v>140</v>
      </c>
      <c r="DJ61" s="12" t="str">
        <f t="shared" ref="DJ61" si="583">DJ60</f>
        <v xml:space="preserve">CPA Ajuste T/C MBI USD </v>
      </c>
      <c r="DK61" s="13"/>
      <c r="DL61" s="18">
        <f t="shared" ref="DL61" si="584">DK60</f>
        <v>19060000</v>
      </c>
    </row>
    <row r="62" spans="4:116" x14ac:dyDescent="0.25">
      <c r="D62" s="15">
        <v>45138</v>
      </c>
      <c r="E62">
        <v>110258</v>
      </c>
      <c r="F62" t="s">
        <v>63</v>
      </c>
      <c r="G62" t="str">
        <f>"CPA Ajuste T/C Vector USD " &amp;TEXT(D62,"dd-mm-yyy")</f>
        <v>CPA Ajuste T/C Vector USD 31-07-yyy</v>
      </c>
      <c r="H62" s="16">
        <f>+B32</f>
        <v>0</v>
      </c>
      <c r="I62" s="17"/>
      <c r="J62" s="3"/>
      <c r="O62" s="15">
        <v>45291</v>
      </c>
      <c r="P62">
        <v>430105</v>
      </c>
      <c r="Q62" t="s">
        <v>25</v>
      </c>
      <c r="R62" t="str">
        <f>"CPA Ajuste T/C JP Morgan USD " &amp;TEXT(O62,"dd-mm-yyy")</f>
        <v>CPA Ajuste T/C JP Morgan USD 31-12-yyy</v>
      </c>
      <c r="S62" s="16">
        <f>+M32*-1</f>
        <v>0</v>
      </c>
      <c r="T62" s="17"/>
      <c r="Z62" s="15">
        <v>45138</v>
      </c>
      <c r="AA62">
        <v>110218</v>
      </c>
      <c r="AB62" t="s">
        <v>61</v>
      </c>
      <c r="AC62" t="str">
        <f>"CPA Ajuste T/C CFSB 1126 USD " &amp;TEXT(Z62,"dd-mm-yyy")</f>
        <v>CPA Ajuste T/C CFSB 1126 USD 31-07-yyy</v>
      </c>
      <c r="AD62" s="16">
        <f>+X32</f>
        <v>25365</v>
      </c>
      <c r="AE62" s="17"/>
      <c r="AK62" s="15">
        <v>45138</v>
      </c>
      <c r="AL62">
        <v>110228</v>
      </c>
      <c r="AM62" t="s">
        <v>69</v>
      </c>
      <c r="AN62" t="str">
        <f>"CPA Ajuste T/C CFSB 0809 USD " &amp;TEXT(AK62,"dd-mm-yyy")</f>
        <v>CPA Ajuste T/C CFSB 0809 USD 31-07-yyy</v>
      </c>
      <c r="AO62" s="16">
        <f>+AI32</f>
        <v>122851</v>
      </c>
      <c r="AP62" s="17"/>
      <c r="AX62" s="15">
        <v>45443</v>
      </c>
      <c r="AY62">
        <v>110205</v>
      </c>
      <c r="AZ62" t="s">
        <v>59</v>
      </c>
      <c r="BA62" t="str">
        <f>"CPA Ajuste T/C Bco. Bice USD " &amp;TEXT(AX62,)</f>
        <v xml:space="preserve">CPA Ajuste T/C Bco. Bice USD </v>
      </c>
      <c r="BB62" s="16">
        <f>+AU32</f>
        <v>25332</v>
      </c>
      <c r="BC62" s="17"/>
      <c r="BJ62" s="15">
        <v>45138</v>
      </c>
      <c r="BK62">
        <v>110217</v>
      </c>
      <c r="BL62" t="s">
        <v>104</v>
      </c>
      <c r="BM62" t="str">
        <f>"CPA Ajuste T/C CFSB 0947 USD " &amp;TEXT(BJ62,"dd-mm-yyy")</f>
        <v>CPA Ajuste T/C CFSB 0947 USD 31-07-yyy</v>
      </c>
      <c r="BN62" s="16">
        <f>+BH32</f>
        <v>137250</v>
      </c>
      <c r="BO62" s="17"/>
      <c r="BV62" s="15">
        <v>45138</v>
      </c>
      <c r="BW62">
        <v>110278</v>
      </c>
      <c r="BX62" t="s">
        <v>106</v>
      </c>
      <c r="BY62" t="str">
        <f>"CPA Ajuste T/C Bco. Inter. USD " &amp;TEXT(BV62,"dd-mm-yyy")</f>
        <v>CPA Ajuste T/C Bco. Inter. USD 31-07-yyy</v>
      </c>
      <c r="BZ62" s="16">
        <f>+BT32</f>
        <v>0</v>
      </c>
      <c r="CA62" s="17"/>
      <c r="CH62" s="15">
        <v>45138</v>
      </c>
      <c r="CI62">
        <v>110285</v>
      </c>
      <c r="CJ62" t="s">
        <v>110</v>
      </c>
      <c r="CK62" t="str">
        <f>"CPA Ajuste T/C CFSB 2475 " &amp;TEXT(CH62,"dd-mm-yyy")</f>
        <v>CPA Ajuste T/C CFSB 2475 31-07-yyy</v>
      </c>
      <c r="CL62" s="16">
        <f>+CF32</f>
        <v>0</v>
      </c>
      <c r="CM62" s="17"/>
      <c r="CT62" s="15">
        <v>45138</v>
      </c>
      <c r="CU62">
        <v>110282</v>
      </c>
      <c r="CV62" t="s">
        <v>112</v>
      </c>
      <c r="CW62" t="str">
        <f>"CPA Ajuste T/C CFSB 1557 " &amp;TEXT(CT62,"dd-mm-yyy")</f>
        <v>CPA Ajuste T/C CFSB 1557 31-07-yyy</v>
      </c>
      <c r="CX62" s="16">
        <f>+CR32</f>
        <v>36523.050000000003</v>
      </c>
      <c r="CY62" s="17"/>
      <c r="DG62" s="15">
        <v>45443</v>
      </c>
      <c r="DH62">
        <v>430105</v>
      </c>
      <c r="DI62" t="s">
        <v>25</v>
      </c>
      <c r="DJ62" t="str">
        <f>"CPA Ajuste T/C MBI USD " &amp;TEXT(DG62,)</f>
        <v xml:space="preserve">CPA Ajuste T/C MBI USD </v>
      </c>
      <c r="DK62" s="16">
        <f>+DD32*-1</f>
        <v>275000</v>
      </c>
      <c r="DL62" s="17"/>
    </row>
    <row r="63" spans="4:116" x14ac:dyDescent="0.25">
      <c r="D63" s="11"/>
      <c r="E63" s="12">
        <v>430105</v>
      </c>
      <c r="F63" s="12" t="s">
        <v>25</v>
      </c>
      <c r="G63" s="12" t="str">
        <f t="shared" ref="G63" si="585">G62</f>
        <v>CPA Ajuste T/C Vector USD 31-07-yyy</v>
      </c>
      <c r="H63" s="13"/>
      <c r="I63" s="18">
        <f t="shared" ref="I63" si="586">H62</f>
        <v>0</v>
      </c>
      <c r="J63" s="3"/>
      <c r="O63" s="11"/>
      <c r="P63" s="12">
        <v>110212</v>
      </c>
      <c r="Q63" s="12" t="s">
        <v>64</v>
      </c>
      <c r="R63" s="12" t="str">
        <f t="shared" ref="R63" si="587">R62</f>
        <v>CPA Ajuste T/C JP Morgan USD 31-12-yyy</v>
      </c>
      <c r="S63" s="13"/>
      <c r="T63" s="18">
        <f t="shared" ref="T63" si="588">S62</f>
        <v>0</v>
      </c>
      <c r="Z63" s="11"/>
      <c r="AA63" s="12">
        <v>430105</v>
      </c>
      <c r="AB63" s="12" t="s">
        <v>25</v>
      </c>
      <c r="AC63" s="12" t="str">
        <f t="shared" ref="AC63" si="589">AC62</f>
        <v>CPA Ajuste T/C CFSB 1126 USD 31-07-yyy</v>
      </c>
      <c r="AD63" s="13"/>
      <c r="AE63" s="18">
        <f t="shared" ref="AE63" si="590">AD62</f>
        <v>25365</v>
      </c>
      <c r="AK63" s="11"/>
      <c r="AL63" s="12">
        <v>430105</v>
      </c>
      <c r="AM63" s="12" t="s">
        <v>25</v>
      </c>
      <c r="AN63" s="12" t="str">
        <f t="shared" ref="AN63" si="591">AN62</f>
        <v>CPA Ajuste T/C CFSB 0809 USD 31-07-yyy</v>
      </c>
      <c r="AO63" s="13"/>
      <c r="AP63" s="18">
        <f t="shared" ref="AP63" si="592">AO62</f>
        <v>122851</v>
      </c>
      <c r="AX63" s="11"/>
      <c r="AY63" s="12">
        <v>430105</v>
      </c>
      <c r="AZ63" s="12" t="s">
        <v>25</v>
      </c>
      <c r="BA63" s="12" t="str">
        <f t="shared" ref="BA63" si="593">BA62</f>
        <v xml:space="preserve">CPA Ajuste T/C Bco. Bice USD </v>
      </c>
      <c r="BB63" s="13"/>
      <c r="BC63" s="18">
        <f t="shared" ref="BC63" si="594">BB62</f>
        <v>25332</v>
      </c>
      <c r="BJ63" s="11"/>
      <c r="BK63" s="12">
        <v>430105</v>
      </c>
      <c r="BL63" s="12" t="s">
        <v>25</v>
      </c>
      <c r="BM63" s="12" t="str">
        <f t="shared" ref="BM63" si="595">BM62</f>
        <v>CPA Ajuste T/C CFSB 0947 USD 31-07-yyy</v>
      </c>
      <c r="BN63" s="13"/>
      <c r="BO63" s="18">
        <f t="shared" ref="BO63" si="596">BN62</f>
        <v>137250</v>
      </c>
      <c r="BV63" s="11"/>
      <c r="BW63" s="12">
        <v>430105</v>
      </c>
      <c r="BX63" s="12" t="s">
        <v>25</v>
      </c>
      <c r="BY63" s="12" t="str">
        <f t="shared" ref="BY63" si="597">BY62</f>
        <v>CPA Ajuste T/C Bco. Inter. USD 31-07-yyy</v>
      </c>
      <c r="BZ63" s="13"/>
      <c r="CA63" s="18">
        <f t="shared" ref="CA63" si="598">BZ62</f>
        <v>0</v>
      </c>
      <c r="CH63" s="11"/>
      <c r="CI63" s="12">
        <v>430105</v>
      </c>
      <c r="CJ63" s="12" t="s">
        <v>25</v>
      </c>
      <c r="CK63" s="12" t="str">
        <f t="shared" ref="CK63" si="599">CK62</f>
        <v>CPA Ajuste T/C CFSB 2475 31-07-yyy</v>
      </c>
      <c r="CL63" s="13"/>
      <c r="CM63" s="18">
        <f t="shared" ref="CM63" si="600">CL62</f>
        <v>0</v>
      </c>
      <c r="CT63" s="11"/>
      <c r="CU63" s="12">
        <v>430105</v>
      </c>
      <c r="CV63" s="12" t="s">
        <v>25</v>
      </c>
      <c r="CW63" s="12" t="str">
        <f t="shared" ref="CW63" si="601">CW62</f>
        <v>CPA Ajuste T/C CFSB 1557 31-07-yyy</v>
      </c>
      <c r="CX63" s="13"/>
      <c r="CY63" s="18">
        <f t="shared" ref="CY63" si="602">CX62</f>
        <v>36523.050000000003</v>
      </c>
      <c r="DG63" s="11"/>
      <c r="DH63" s="12">
        <v>110296</v>
      </c>
      <c r="DI63" s="12" t="s">
        <v>140</v>
      </c>
      <c r="DJ63" s="12" t="str">
        <f t="shared" ref="DJ63" si="603">DJ62</f>
        <v xml:space="preserve">CPA Ajuste T/C MBI USD </v>
      </c>
      <c r="DK63" s="13"/>
      <c r="DL63" s="18">
        <f t="shared" ref="DL63" si="604">DK62</f>
        <v>275000</v>
      </c>
    </row>
    <row r="64" spans="4:116" x14ac:dyDescent="0.25">
      <c r="H64" s="3">
        <f>SUM(H2:H63)</f>
        <v>0</v>
      </c>
      <c r="S64" s="3">
        <f>SUM(S2:S63)</f>
        <v>69077</v>
      </c>
      <c r="AD64" s="3">
        <f>SUM(AD2:AD63)</f>
        <v>2826513</v>
      </c>
      <c r="AO64" s="3">
        <f>SUM(AO2:AO63)</f>
        <v>6938666</v>
      </c>
      <c r="BB64" s="3" t="e">
        <f>SUM(BB2:BB63)</f>
        <v>#VALUE!</v>
      </c>
      <c r="BN64" s="3">
        <f>SUM(BN2:BN63)</f>
        <v>6480000</v>
      </c>
      <c r="BZ64" s="3">
        <f>SUM(BZ2:BZ63)</f>
        <v>24715500</v>
      </c>
      <c r="CL64" s="3">
        <f>SUM(CL2:CL63)</f>
        <v>7257000</v>
      </c>
      <c r="CX64" s="3">
        <f>SUM(CX2:CX63)</f>
        <v>536020.76000000013</v>
      </c>
      <c r="DK64" s="3" t="e">
        <f>SUM(DK2:DK63)</f>
        <v>#VALUE!</v>
      </c>
    </row>
    <row r="74" spans="3:116" x14ac:dyDescent="0.25">
      <c r="C74" s="76"/>
      <c r="E74" s="76"/>
      <c r="H74" s="76"/>
      <c r="I74" s="76"/>
      <c r="J74" s="76"/>
      <c r="N74" s="76"/>
      <c r="P74" s="76"/>
      <c r="S74" s="76"/>
      <c r="T74" s="76"/>
      <c r="Y74" s="76"/>
      <c r="AA74" s="76"/>
      <c r="AD74" s="76"/>
      <c r="AE74" s="76"/>
      <c r="AJ74" s="76"/>
      <c r="AL74" s="76"/>
      <c r="AO74" s="76"/>
      <c r="AP74" s="76"/>
      <c r="AV74" s="76"/>
      <c r="AW74" s="76"/>
      <c r="AY74" s="76"/>
      <c r="BB74" s="76"/>
      <c r="BC74" s="76"/>
      <c r="BI74" s="76"/>
      <c r="BK74" s="76"/>
      <c r="BN74" s="76"/>
      <c r="BO74" s="76"/>
      <c r="BU74" s="76"/>
      <c r="BW74" s="76"/>
      <c r="BZ74" s="76"/>
      <c r="CA74" s="76"/>
      <c r="CG74" s="76"/>
      <c r="CI74" s="76"/>
      <c r="CL74" s="76"/>
      <c r="CM74" s="76"/>
      <c r="CS74" s="76"/>
      <c r="CU74" s="76"/>
      <c r="CX74" s="76"/>
      <c r="CY74" s="76"/>
      <c r="DF74" s="76"/>
      <c r="DH74" s="76"/>
      <c r="DK74" s="76"/>
      <c r="DL74" s="76"/>
    </row>
  </sheetData>
  <autoFilter ref="DG1:DM64" xr:uid="{9E29439F-E3A1-4264-8B8C-9690F30578C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2AE-D08D-4A68-9275-002AF4252F24}">
  <dimension ref="A1:BP97"/>
  <sheetViews>
    <sheetView showGridLines="0" tabSelected="1" workbookViewId="0">
      <pane xSplit="17" ySplit="2" topLeftCell="R3" activePane="bottomRight" state="frozen"/>
      <selection activeCell="H1" sqref="H1"/>
      <selection pane="topRight" activeCell="R1" sqref="R1"/>
      <selection pane="bottomLeft" activeCell="H3" sqref="H3"/>
      <selection pane="bottomRight" activeCell="AH23" sqref="AH23"/>
    </sheetView>
  </sheetViews>
  <sheetFormatPr baseColWidth="10" defaultRowHeight="15" outlineLevelCol="1" x14ac:dyDescent="0.25"/>
  <cols>
    <col min="1" max="1" width="12.7109375" hidden="1" customWidth="1" outlineLevel="1"/>
    <col min="2" max="4" width="11.42578125" hidden="1" customWidth="1" outlineLevel="1"/>
    <col min="5" max="5" width="14.28515625" style="60" hidden="1" customWidth="1" outlineLevel="1"/>
    <col min="6" max="7" width="11.42578125" hidden="1" customWidth="1" outlineLevel="1"/>
    <col min="8" max="8" width="11.42578125" collapsed="1"/>
    <col min="10" max="10" width="12" hidden="1" customWidth="1" outlineLevel="1"/>
    <col min="11" max="12" width="11.42578125" hidden="1" customWidth="1" outlineLevel="1"/>
    <col min="13" max="13" width="12" hidden="1" customWidth="1" outlineLevel="1"/>
    <col min="14" max="14" width="11.42578125" hidden="1" customWidth="1" outlineLevel="1"/>
    <col min="15" max="15" width="11.42578125" collapsed="1"/>
    <col min="16" max="16" width="14.5703125" bestFit="1" customWidth="1"/>
    <col min="17" max="17" width="38.42578125" bestFit="1" customWidth="1"/>
    <col min="18" max="18" width="14.28515625" bestFit="1" customWidth="1"/>
    <col min="19" max="19" width="15.5703125" bestFit="1" customWidth="1"/>
    <col min="20" max="21" width="14.28515625" bestFit="1" customWidth="1"/>
    <col min="22" max="23" width="13.5703125" bestFit="1" customWidth="1"/>
    <col min="24" max="25" width="14.28515625" bestFit="1" customWidth="1"/>
    <col min="26" max="37" width="13.5703125" bestFit="1" customWidth="1"/>
    <col min="38" max="38" width="13.85546875" bestFit="1" customWidth="1"/>
    <col min="39" max="41" width="13.5703125" bestFit="1" customWidth="1"/>
    <col min="42" max="42" width="13.7109375" customWidth="1"/>
    <col min="43" max="43" width="13.5703125" bestFit="1" customWidth="1"/>
    <col min="44" max="44" width="14.28515625" bestFit="1" customWidth="1"/>
    <col min="45" max="48" width="13.5703125" bestFit="1" customWidth="1"/>
    <col min="49" max="49" width="14.5703125" bestFit="1" customWidth="1"/>
  </cols>
  <sheetData>
    <row r="1" spans="1:49" x14ac:dyDescent="0.25">
      <c r="A1" s="78" t="s">
        <v>1</v>
      </c>
      <c r="B1" s="78" t="s">
        <v>72</v>
      </c>
      <c r="J1" s="78" t="s">
        <v>1</v>
      </c>
      <c r="P1">
        <v>-1</v>
      </c>
      <c r="R1" t="s">
        <v>73</v>
      </c>
    </row>
    <row r="2" spans="1:49" x14ac:dyDescent="0.25">
      <c r="A2" s="79" t="s">
        <v>70</v>
      </c>
      <c r="B2" s="80">
        <v>44986</v>
      </c>
      <c r="E2" s="60" t="str">
        <f>+A2</f>
        <v>-</v>
      </c>
      <c r="F2" s="21">
        <v>0</v>
      </c>
      <c r="G2" s="1">
        <v>45108</v>
      </c>
      <c r="J2" s="88">
        <v>-1853596.515172984</v>
      </c>
      <c r="M2" s="3">
        <f>+J2</f>
        <v>-1853596.515172984</v>
      </c>
      <c r="R2" s="110">
        <v>45444</v>
      </c>
      <c r="S2" s="110">
        <v>45445</v>
      </c>
      <c r="T2" s="110">
        <v>45446</v>
      </c>
      <c r="U2" s="110">
        <v>45447</v>
      </c>
      <c r="V2" s="110">
        <v>45448</v>
      </c>
      <c r="W2" s="110">
        <v>45449</v>
      </c>
      <c r="X2" s="110">
        <v>45450</v>
      </c>
      <c r="Y2" s="110">
        <v>45451</v>
      </c>
      <c r="Z2" s="110">
        <v>45452</v>
      </c>
      <c r="AA2" s="110">
        <v>45453</v>
      </c>
      <c r="AB2" s="110">
        <v>45454</v>
      </c>
      <c r="AC2" s="110">
        <v>45455</v>
      </c>
      <c r="AD2" s="110">
        <v>45456</v>
      </c>
      <c r="AE2" s="110">
        <v>45457</v>
      </c>
      <c r="AF2" s="110">
        <v>45458</v>
      </c>
      <c r="AG2" s="110">
        <v>45459</v>
      </c>
      <c r="AH2" s="110">
        <v>45460</v>
      </c>
      <c r="AI2" s="110">
        <v>45461</v>
      </c>
      <c r="AJ2" s="110">
        <v>45462</v>
      </c>
      <c r="AK2" s="110">
        <v>45463</v>
      </c>
      <c r="AL2" s="110">
        <v>45464</v>
      </c>
      <c r="AM2" s="110">
        <v>45465</v>
      </c>
      <c r="AN2" s="110">
        <v>45466</v>
      </c>
      <c r="AO2" s="110">
        <v>45467</v>
      </c>
      <c r="AP2" s="110">
        <v>45468</v>
      </c>
      <c r="AQ2" s="110">
        <v>45469</v>
      </c>
      <c r="AR2" s="110">
        <v>45470</v>
      </c>
      <c r="AS2" s="110">
        <v>45471</v>
      </c>
      <c r="AT2" s="110">
        <v>45472</v>
      </c>
      <c r="AU2" s="110">
        <v>45473</v>
      </c>
      <c r="AV2" s="110">
        <v>45474</v>
      </c>
    </row>
    <row r="3" spans="1:49" x14ac:dyDescent="0.25">
      <c r="A3" s="81" t="s">
        <v>70</v>
      </c>
      <c r="B3" s="82"/>
      <c r="E3" s="60">
        <f>+A4</f>
        <v>-950000</v>
      </c>
      <c r="F3" s="21">
        <f>+A5</f>
        <v>-0.95</v>
      </c>
      <c r="G3" s="1">
        <v>45109</v>
      </c>
      <c r="J3" s="87">
        <v>-1.0354899388928231</v>
      </c>
      <c r="M3" s="3">
        <f>+J4</f>
        <v>-1853596.515172984</v>
      </c>
      <c r="O3" s="76"/>
      <c r="P3" s="76"/>
      <c r="Q3" t="s">
        <v>47</v>
      </c>
      <c r="R3" s="92"/>
      <c r="S3" s="92"/>
      <c r="T3" s="92">
        <v>2216012270</v>
      </c>
      <c r="U3" s="92">
        <v>1119345317</v>
      </c>
      <c r="V3" s="92">
        <v>1030540961</v>
      </c>
      <c r="W3" s="92">
        <v>1015474271</v>
      </c>
      <c r="X3" s="92">
        <v>1279087250</v>
      </c>
      <c r="Y3" s="92" t="s">
        <v>70</v>
      </c>
      <c r="Z3" s="92" t="s">
        <v>70</v>
      </c>
      <c r="AA3" s="92">
        <v>1158567349</v>
      </c>
      <c r="AB3" s="92">
        <v>797903116</v>
      </c>
      <c r="AC3" s="92">
        <v>797085897</v>
      </c>
      <c r="AD3" s="92">
        <v>1014712313</v>
      </c>
      <c r="AE3" s="92">
        <v>861327216</v>
      </c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26">
        <f>SUM(T3:AV3)</f>
        <v>11290055960</v>
      </c>
    </row>
    <row r="4" spans="1:49" x14ac:dyDescent="0.25">
      <c r="A4" s="79">
        <v>-950000</v>
      </c>
      <c r="B4" s="80">
        <v>44987</v>
      </c>
      <c r="E4" s="60">
        <f>+A6</f>
        <v>7508000</v>
      </c>
      <c r="F4" s="21">
        <f>+A7</f>
        <v>5.78</v>
      </c>
      <c r="G4" s="1">
        <v>45110</v>
      </c>
      <c r="J4" s="88">
        <v>-1853596.515172984</v>
      </c>
      <c r="M4" s="3">
        <f>+J6</f>
        <v>-1853596.515172984</v>
      </c>
      <c r="Q4" s="75" t="s">
        <v>48</v>
      </c>
      <c r="R4" s="92"/>
      <c r="S4" s="92"/>
      <c r="T4" s="92">
        <v>2875378</v>
      </c>
      <c r="U4" s="92">
        <v>4267575</v>
      </c>
      <c r="V4" s="92">
        <v>128790</v>
      </c>
      <c r="W4" s="93">
        <v>160221</v>
      </c>
      <c r="X4" s="93">
        <v>39347</v>
      </c>
      <c r="Y4" s="93" t="s">
        <v>70</v>
      </c>
      <c r="Z4" s="93" t="s">
        <v>70</v>
      </c>
      <c r="AA4" s="93">
        <v>2453223</v>
      </c>
      <c r="AB4" s="92">
        <v>51755</v>
      </c>
      <c r="AC4" s="92">
        <v>7459778</v>
      </c>
      <c r="AD4" s="93">
        <v>15767</v>
      </c>
      <c r="AE4" s="93">
        <v>949790</v>
      </c>
      <c r="AF4" s="93"/>
      <c r="AG4" s="92"/>
      <c r="AH4" s="92"/>
      <c r="AI4" s="92"/>
      <c r="AJ4" s="92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26">
        <f>SUM(T4:AV4)</f>
        <v>18401624</v>
      </c>
    </row>
    <row r="5" spans="1:49" x14ac:dyDescent="0.25">
      <c r="A5" s="81">
        <v>-0.95</v>
      </c>
      <c r="B5" s="82"/>
      <c r="E5" s="60" t="str">
        <f>+A8</f>
        <v>-</v>
      </c>
      <c r="F5" s="21">
        <f>+A9</f>
        <v>954.36</v>
      </c>
      <c r="G5" s="1">
        <v>45111</v>
      </c>
      <c r="J5" s="87">
        <v>-1.0354899388928231</v>
      </c>
      <c r="M5" s="3">
        <f>+J8</f>
        <v>-1853596.515172984</v>
      </c>
      <c r="Q5" s="75" t="s">
        <v>49</v>
      </c>
      <c r="R5" s="92"/>
      <c r="S5" s="93"/>
      <c r="T5" s="93">
        <v>108000000</v>
      </c>
      <c r="U5" s="93" t="s">
        <v>70</v>
      </c>
      <c r="V5" s="93">
        <v>181000000</v>
      </c>
      <c r="W5" s="93">
        <v>76000000</v>
      </c>
      <c r="X5" s="93" t="s">
        <v>70</v>
      </c>
      <c r="Y5" s="93" t="s">
        <v>70</v>
      </c>
      <c r="Z5" s="93" t="s">
        <v>70</v>
      </c>
      <c r="AA5" s="94" t="s">
        <v>70</v>
      </c>
      <c r="AB5" s="93">
        <v>82000000</v>
      </c>
      <c r="AC5" s="93">
        <v>148000000</v>
      </c>
      <c r="AD5" s="93" t="s">
        <v>70</v>
      </c>
      <c r="AE5" s="93" t="s">
        <v>70</v>
      </c>
      <c r="AF5" s="94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26">
        <f t="shared" ref="AW4:AW16" si="0">SUM(R5:AV5)</f>
        <v>595000000</v>
      </c>
    </row>
    <row r="6" spans="1:49" x14ac:dyDescent="0.25">
      <c r="A6" s="83">
        <v>7508000</v>
      </c>
      <c r="B6" s="80">
        <v>44988</v>
      </c>
      <c r="E6" s="60" t="str">
        <f>+A10</f>
        <v>-</v>
      </c>
      <c r="F6" s="21">
        <f>+A11</f>
        <v>954.36</v>
      </c>
      <c r="G6" s="1">
        <v>45112</v>
      </c>
      <c r="J6" s="88">
        <v>-1853596.515172984</v>
      </c>
      <c r="M6" s="3">
        <f>+J10</f>
        <v>-1853596.515172984</v>
      </c>
      <c r="Q6" s="75" t="s">
        <v>50</v>
      </c>
      <c r="R6" s="92" t="s">
        <v>70</v>
      </c>
      <c r="S6" s="92" t="s">
        <v>70</v>
      </c>
      <c r="T6" s="92" t="s">
        <v>70</v>
      </c>
      <c r="U6" s="93" t="s">
        <v>70</v>
      </c>
      <c r="V6" s="93">
        <v>77000000</v>
      </c>
      <c r="W6" s="93" t="s">
        <v>70</v>
      </c>
      <c r="X6" s="93" t="s">
        <v>70</v>
      </c>
      <c r="Y6" s="93" t="s">
        <v>70</v>
      </c>
      <c r="Z6" s="92" t="s">
        <v>70</v>
      </c>
      <c r="AA6" s="92" t="s">
        <v>70</v>
      </c>
      <c r="AB6" s="93" t="s">
        <v>70</v>
      </c>
      <c r="AC6" s="93">
        <v>690000000</v>
      </c>
      <c r="AD6" s="92">
        <v>70000000</v>
      </c>
      <c r="AE6" s="42" t="s">
        <v>70</v>
      </c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26">
        <f t="shared" si="0"/>
        <v>837000000</v>
      </c>
    </row>
    <row r="7" spans="1:49" x14ac:dyDescent="0.25">
      <c r="A7" s="81">
        <v>5.78</v>
      </c>
      <c r="B7" s="82"/>
      <c r="E7" s="60">
        <f>+A12</f>
        <v>13457500</v>
      </c>
      <c r="F7" s="21">
        <f>+A13</f>
        <v>7.69</v>
      </c>
      <c r="G7" s="1">
        <v>45113</v>
      </c>
      <c r="J7" s="87">
        <v>-1.0354899388928231</v>
      </c>
      <c r="M7" s="3">
        <f>+J12</f>
        <v>-1853596.515172984</v>
      </c>
      <c r="Q7" s="75" t="s">
        <v>52</v>
      </c>
      <c r="R7" s="92"/>
      <c r="S7" s="92"/>
      <c r="T7" s="92">
        <v>176342589</v>
      </c>
      <c r="U7" s="93">
        <v>101368807</v>
      </c>
      <c r="V7" s="93">
        <v>86603709</v>
      </c>
      <c r="W7" s="93">
        <v>35682457</v>
      </c>
      <c r="X7" s="93">
        <v>134721601</v>
      </c>
      <c r="Y7" s="93" t="s">
        <v>70</v>
      </c>
      <c r="Z7" s="92" t="s">
        <v>70</v>
      </c>
      <c r="AA7" s="92">
        <v>121478199</v>
      </c>
      <c r="AB7" s="93">
        <v>61882120</v>
      </c>
      <c r="AC7" s="93">
        <v>91176825</v>
      </c>
      <c r="AD7" s="93">
        <v>8554229</v>
      </c>
      <c r="AE7" s="93">
        <v>105294880</v>
      </c>
      <c r="AF7" s="93"/>
      <c r="AG7" s="42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26">
        <f t="shared" si="0"/>
        <v>923105416</v>
      </c>
    </row>
    <row r="8" spans="1:49" x14ac:dyDescent="0.25">
      <c r="A8" s="83" t="s">
        <v>70</v>
      </c>
      <c r="B8" s="80">
        <v>44930</v>
      </c>
      <c r="E8" s="60">
        <f>+A14</f>
        <v>-7537500</v>
      </c>
      <c r="F8" s="21">
        <f>+A15</f>
        <v>-6.03</v>
      </c>
      <c r="G8" s="1">
        <v>45114</v>
      </c>
      <c r="J8" s="88">
        <v>-1853596.515172984</v>
      </c>
      <c r="M8" s="3">
        <f>+J14</f>
        <v>-1853596.515172984</v>
      </c>
      <c r="Q8" s="75" t="s">
        <v>131</v>
      </c>
      <c r="R8" s="92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26">
        <f t="shared" si="0"/>
        <v>0</v>
      </c>
    </row>
    <row r="9" spans="1:49" ht="15.75" thickBot="1" x14ac:dyDescent="0.3">
      <c r="A9" s="81">
        <v>954.36</v>
      </c>
      <c r="B9" s="82"/>
      <c r="E9" s="60">
        <f>+A16</f>
        <v>-682500</v>
      </c>
      <c r="F9" s="21">
        <f>+A17</f>
        <v>-0.91</v>
      </c>
      <c r="G9" s="1">
        <v>45115</v>
      </c>
      <c r="J9" s="87">
        <v>-1.0354899388928231</v>
      </c>
      <c r="M9" s="3">
        <f>+J16</f>
        <v>-1348442.3702099726</v>
      </c>
      <c r="Q9" s="75" t="s">
        <v>76</v>
      </c>
      <c r="R9" s="99"/>
      <c r="S9" s="105"/>
      <c r="T9" s="104"/>
      <c r="U9" s="105"/>
      <c r="V9" s="105"/>
      <c r="W9" s="105"/>
      <c r="X9" s="105"/>
      <c r="Y9" s="105"/>
      <c r="Z9" s="105"/>
      <c r="AA9" s="105">
        <v>5000000</v>
      </c>
      <c r="AB9" s="105"/>
      <c r="AC9" s="105"/>
      <c r="AD9" s="105"/>
      <c r="AE9" s="105"/>
      <c r="AF9" s="105"/>
      <c r="AG9" s="105"/>
      <c r="AH9" s="105"/>
      <c r="AI9" s="105"/>
      <c r="AJ9" s="104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26">
        <f t="shared" si="0"/>
        <v>5000000</v>
      </c>
    </row>
    <row r="10" spans="1:49" x14ac:dyDescent="0.25">
      <c r="A10" s="83" t="s">
        <v>70</v>
      </c>
      <c r="B10" s="80">
        <v>44931</v>
      </c>
      <c r="E10" s="60">
        <f>+A18</f>
        <v>2280000</v>
      </c>
      <c r="F10" s="21">
        <f>+A19</f>
        <v>4.5599999999999996</v>
      </c>
      <c r="G10" s="1">
        <v>45116</v>
      </c>
      <c r="J10" s="88">
        <v>-1853596.515172984</v>
      </c>
      <c r="M10" s="3">
        <f>+J18</f>
        <v>1313118.9463719616</v>
      </c>
      <c r="Q10" t="s">
        <v>74</v>
      </c>
      <c r="R10" s="92" t="s">
        <v>70</v>
      </c>
      <c r="S10" s="92" t="s">
        <v>70</v>
      </c>
      <c r="T10" s="92">
        <v>360000</v>
      </c>
      <c r="U10" s="92">
        <v>300000</v>
      </c>
      <c r="V10" s="92">
        <v>652000</v>
      </c>
      <c r="W10" s="92">
        <v>760000</v>
      </c>
      <c r="X10" s="92">
        <v>560322</v>
      </c>
      <c r="Y10" s="102" t="s">
        <v>70</v>
      </c>
      <c r="Z10" s="102" t="s">
        <v>70</v>
      </c>
      <c r="AA10" s="102">
        <v>355000</v>
      </c>
      <c r="AB10" s="102">
        <v>50000</v>
      </c>
      <c r="AC10" s="102"/>
      <c r="AD10" s="102"/>
      <c r="AE10" s="102"/>
      <c r="AF10" s="102"/>
      <c r="AG10" s="102"/>
      <c r="AH10" s="92"/>
      <c r="AI10" s="92"/>
      <c r="AJ10" s="92"/>
      <c r="AK10" s="92"/>
      <c r="AL10" s="92"/>
      <c r="AM10" s="92"/>
      <c r="AN10" s="102"/>
      <c r="AO10" s="102"/>
      <c r="AP10" s="102"/>
      <c r="AQ10" s="102"/>
      <c r="AR10" s="102"/>
      <c r="AS10" s="102"/>
      <c r="AT10" s="102"/>
      <c r="AU10" s="102"/>
      <c r="AV10" s="102"/>
      <c r="AW10" s="26">
        <f t="shared" si="0"/>
        <v>3037322</v>
      </c>
    </row>
    <row r="11" spans="1:49" x14ac:dyDescent="0.25">
      <c r="A11" s="81">
        <v>954.36</v>
      </c>
      <c r="B11" s="82"/>
      <c r="E11" s="60">
        <f>+A20</f>
        <v>4395000</v>
      </c>
      <c r="F11" s="21">
        <f>+A21</f>
        <v>8.7899999999999991</v>
      </c>
      <c r="G11" s="1">
        <v>45117</v>
      </c>
      <c r="J11" s="87">
        <v>-1.0354899388928231</v>
      </c>
      <c r="M11" s="3">
        <f>+J20</f>
        <v>-386703.62996097893</v>
      </c>
      <c r="Q11" t="s">
        <v>75</v>
      </c>
      <c r="R11" s="92"/>
      <c r="S11" s="92"/>
      <c r="T11" s="92"/>
      <c r="U11" s="92"/>
      <c r="V11" s="92"/>
      <c r="W11" s="93"/>
      <c r="X11" s="93"/>
      <c r="Y11" s="93"/>
      <c r="Z11" s="93"/>
      <c r="AA11" s="93"/>
      <c r="AB11" s="93"/>
      <c r="AC11" s="93"/>
      <c r="AD11" s="93"/>
      <c r="AE11" s="93"/>
      <c r="AF11" s="94"/>
      <c r="AG11" s="94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26">
        <f t="shared" si="0"/>
        <v>0</v>
      </c>
    </row>
    <row r="12" spans="1:49" x14ac:dyDescent="0.25">
      <c r="A12" s="83">
        <v>13457500</v>
      </c>
      <c r="B12" s="80">
        <v>44932</v>
      </c>
      <c r="E12" s="60" t="str">
        <f>+A22</f>
        <v>-</v>
      </c>
      <c r="F12">
        <f>+A23</f>
        <v>930.99</v>
      </c>
      <c r="G12" s="1">
        <v>45118</v>
      </c>
      <c r="J12" s="88">
        <v>-1853596.515172984</v>
      </c>
      <c r="M12" s="3">
        <f>+J22</f>
        <v>0</v>
      </c>
      <c r="Q12" s="75" t="s">
        <v>78</v>
      </c>
      <c r="R12" s="92"/>
      <c r="S12" s="92"/>
      <c r="T12" s="92">
        <v>108414007</v>
      </c>
      <c r="U12" s="92">
        <v>145015606</v>
      </c>
      <c r="V12" s="92">
        <v>181388452</v>
      </c>
      <c r="W12" s="93">
        <v>75775910</v>
      </c>
      <c r="X12" s="93">
        <v>86052741</v>
      </c>
      <c r="Y12" s="93" t="s">
        <v>70</v>
      </c>
      <c r="Z12" s="93" t="s">
        <v>70</v>
      </c>
      <c r="AA12" s="93">
        <v>80919795</v>
      </c>
      <c r="AB12" s="93">
        <v>84790836</v>
      </c>
      <c r="AC12" s="93">
        <v>177897395</v>
      </c>
      <c r="AD12" s="93">
        <v>62524160</v>
      </c>
      <c r="AE12" s="93">
        <v>45906791</v>
      </c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26">
        <f>SUM(R12:AV12)</f>
        <v>1048685693</v>
      </c>
    </row>
    <row r="13" spans="1:49" x14ac:dyDescent="0.25">
      <c r="A13" s="81">
        <v>7.69</v>
      </c>
      <c r="B13" s="82"/>
      <c r="E13" s="60" t="str">
        <f>+A24</f>
        <v>-</v>
      </c>
      <c r="F13" s="21">
        <f>+A25</f>
        <v>930.99</v>
      </c>
      <c r="G13" s="1">
        <v>45119</v>
      </c>
      <c r="J13" s="87">
        <v>-1.0354899388928231</v>
      </c>
      <c r="M13" s="3">
        <f>+J24</f>
        <v>0</v>
      </c>
      <c r="Q13" t="s">
        <v>79</v>
      </c>
      <c r="R13" s="92"/>
      <c r="S13" s="94"/>
      <c r="T13" s="93"/>
      <c r="U13" s="93"/>
      <c r="V13" s="93"/>
      <c r="W13" s="93"/>
      <c r="X13" s="93"/>
      <c r="Y13" s="94"/>
      <c r="Z13" s="94"/>
      <c r="AA13" s="93"/>
      <c r="AB13" s="93"/>
      <c r="AC13" s="93"/>
      <c r="AD13" s="93"/>
      <c r="AE13" s="93"/>
      <c r="AF13" s="94"/>
      <c r="AG13" s="94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26">
        <f t="shared" si="0"/>
        <v>0</v>
      </c>
    </row>
    <row r="14" spans="1:49" ht="15.75" thickBot="1" x14ac:dyDescent="0.3">
      <c r="A14" s="83">
        <v>-7537500</v>
      </c>
      <c r="B14" s="80">
        <v>44933</v>
      </c>
      <c r="E14" s="60">
        <f>+A26</f>
        <v>-2575000</v>
      </c>
      <c r="F14" s="21">
        <f>+A27</f>
        <v>-2.06</v>
      </c>
      <c r="G14" s="1">
        <v>45120</v>
      </c>
      <c r="J14" s="88">
        <v>-1853596.515172984</v>
      </c>
      <c r="M14" s="3">
        <f>+J26</f>
        <v>0</v>
      </c>
      <c r="Q14" s="101" t="s">
        <v>115</v>
      </c>
      <c r="R14" s="99"/>
      <c r="S14" s="105"/>
      <c r="T14" s="105"/>
      <c r="U14" s="105"/>
      <c r="V14" s="105"/>
      <c r="W14" s="105"/>
      <c r="X14" s="105"/>
      <c r="Y14" s="104"/>
      <c r="Z14" s="105"/>
      <c r="AA14" s="105"/>
      <c r="AB14" s="105"/>
      <c r="AC14" s="105"/>
      <c r="AD14" s="105"/>
      <c r="AE14" s="105"/>
      <c r="AF14" s="104"/>
      <c r="AG14" s="104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26">
        <f t="shared" si="0"/>
        <v>0</v>
      </c>
    </row>
    <row r="15" spans="1:49" x14ac:dyDescent="0.25">
      <c r="A15" s="81">
        <v>-6.03</v>
      </c>
      <c r="B15" s="84"/>
      <c r="E15" s="60" t="str">
        <f>+A28</f>
        <v>-</v>
      </c>
      <c r="F15" s="21">
        <f>+A29</f>
        <v>922.1</v>
      </c>
      <c r="G15" s="1">
        <v>45121</v>
      </c>
      <c r="J15" s="87">
        <v>-1.0354899388928231</v>
      </c>
      <c r="M15" s="3">
        <f>+J28</f>
        <v>0</v>
      </c>
      <c r="Q15" t="s">
        <v>80</v>
      </c>
      <c r="R15" s="98"/>
      <c r="S15" s="92"/>
      <c r="T15" s="9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26">
        <f>SUM(R15:AV15)</f>
        <v>0</v>
      </c>
    </row>
    <row r="16" spans="1:49" x14ac:dyDescent="0.25">
      <c r="A16" s="83">
        <v>-682500</v>
      </c>
      <c r="B16" s="80">
        <v>44993</v>
      </c>
      <c r="E16" s="60">
        <f>+A30</f>
        <v>8170000</v>
      </c>
      <c r="F16" s="21">
        <f>+A31</f>
        <v>8.17</v>
      </c>
      <c r="G16" s="1">
        <v>45122</v>
      </c>
      <c r="J16" s="88">
        <v>-1348442.3702099726</v>
      </c>
      <c r="M16" s="3">
        <f>+J30</f>
        <v>0</v>
      </c>
      <c r="Q16" t="s">
        <v>81</v>
      </c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26">
        <f t="shared" si="0"/>
        <v>0</v>
      </c>
    </row>
    <row r="17" spans="1:49" ht="15.75" thickBot="1" x14ac:dyDescent="0.3">
      <c r="A17" s="81">
        <v>-0.91</v>
      </c>
      <c r="B17" s="84"/>
      <c r="E17" s="60">
        <f>+A32</f>
        <v>7860000</v>
      </c>
      <c r="F17" s="21">
        <f>+A33</f>
        <v>7.86</v>
      </c>
      <c r="G17" s="1">
        <v>45123</v>
      </c>
      <c r="J17" s="87">
        <v>-0.73880515190384699</v>
      </c>
      <c r="M17" s="3">
        <f>+J32</f>
        <v>0</v>
      </c>
      <c r="Q17" s="101" t="s">
        <v>82</v>
      </c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</row>
    <row r="18" spans="1:49" x14ac:dyDescent="0.25">
      <c r="A18" s="83">
        <v>2280000</v>
      </c>
      <c r="B18" s="80">
        <v>44994</v>
      </c>
      <c r="E18" s="60">
        <f>+A34</f>
        <v>16660000</v>
      </c>
      <c r="F18" s="21">
        <f>+A35</f>
        <v>8.33</v>
      </c>
      <c r="G18" s="1">
        <v>45124</v>
      </c>
      <c r="J18" s="88">
        <v>1313118.9463719616</v>
      </c>
      <c r="M18" s="3">
        <f>+J34</f>
        <v>3367093.5378519734</v>
      </c>
      <c r="Q18" t="s">
        <v>83</v>
      </c>
      <c r="R18" s="98"/>
      <c r="S18" s="92"/>
      <c r="T18" s="92"/>
      <c r="U18" s="98"/>
      <c r="V18" s="92"/>
      <c r="W18" s="98"/>
      <c r="X18" s="98"/>
      <c r="Y18" s="98"/>
      <c r="Z18" s="98"/>
      <c r="AA18" s="98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</row>
    <row r="19" spans="1:49" x14ac:dyDescent="0.25">
      <c r="A19" s="81">
        <v>4.5599999999999996</v>
      </c>
      <c r="B19" s="84"/>
      <c r="E19" s="60" t="str">
        <f>+A36</f>
        <v>-</v>
      </c>
      <c r="F19" s="21">
        <f>+A37</f>
        <v>901.53</v>
      </c>
      <c r="G19" s="1">
        <v>45125</v>
      </c>
      <c r="J19" s="87">
        <v>0.67001189096177427</v>
      </c>
      <c r="M19" s="3">
        <f>+J35</f>
        <v>0</v>
      </c>
      <c r="Q19" t="s">
        <v>85</v>
      </c>
      <c r="R19" s="96"/>
      <c r="S19" s="96"/>
      <c r="T19" s="111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</row>
    <row r="20" spans="1:49" x14ac:dyDescent="0.25">
      <c r="A20" s="83">
        <v>4395000</v>
      </c>
      <c r="B20" s="80">
        <v>44936</v>
      </c>
      <c r="E20" s="60" t="str">
        <f>+A38</f>
        <v>-</v>
      </c>
      <c r="F20">
        <f>+A39</f>
        <v>901.53</v>
      </c>
      <c r="G20" s="1">
        <v>45126</v>
      </c>
      <c r="J20" s="88">
        <v>-386703.62996097893</v>
      </c>
      <c r="M20" s="3">
        <f>+J37</f>
        <v>0</v>
      </c>
      <c r="Q20" t="s">
        <v>82</v>
      </c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</row>
    <row r="21" spans="1:49" ht="15.75" thickBot="1" x14ac:dyDescent="0.3">
      <c r="A21" s="81">
        <v>8.7899999999999991</v>
      </c>
      <c r="B21" s="84"/>
      <c r="E21" s="60">
        <f>+A40</f>
        <v>20820000</v>
      </c>
      <c r="F21">
        <f>+A41</f>
        <v>10.41</v>
      </c>
      <c r="G21" s="1">
        <v>45127</v>
      </c>
      <c r="J21" s="87">
        <v>-0.22665440355490318</v>
      </c>
      <c r="M21" s="3">
        <f>+J39</f>
        <v>2061236.9020951241</v>
      </c>
      <c r="Q21" s="101" t="s">
        <v>86</v>
      </c>
      <c r="R21" s="99">
        <f>R18*R19</f>
        <v>0</v>
      </c>
      <c r="S21" s="99">
        <f t="shared" ref="S21:AV21" si="1">S18*S19</f>
        <v>0</v>
      </c>
      <c r="T21" s="99">
        <f t="shared" si="1"/>
        <v>0</v>
      </c>
      <c r="U21" s="99">
        <f>U18*U19</f>
        <v>0</v>
      </c>
      <c r="V21" s="99">
        <f t="shared" si="1"/>
        <v>0</v>
      </c>
      <c r="W21" s="99">
        <f t="shared" si="1"/>
        <v>0</v>
      </c>
      <c r="X21" s="99">
        <f t="shared" si="1"/>
        <v>0</v>
      </c>
      <c r="Y21" s="99">
        <f t="shared" si="1"/>
        <v>0</v>
      </c>
      <c r="Z21" s="99">
        <f t="shared" si="1"/>
        <v>0</v>
      </c>
      <c r="AA21" s="99">
        <f t="shared" si="1"/>
        <v>0</v>
      </c>
      <c r="AB21" s="99">
        <f t="shared" si="1"/>
        <v>0</v>
      </c>
      <c r="AC21" s="99">
        <f t="shared" si="1"/>
        <v>0</v>
      </c>
      <c r="AD21" s="99">
        <f t="shared" si="1"/>
        <v>0</v>
      </c>
      <c r="AE21" s="99">
        <f t="shared" si="1"/>
        <v>0</v>
      </c>
      <c r="AF21" s="99">
        <f t="shared" si="1"/>
        <v>0</v>
      </c>
      <c r="AG21" s="99">
        <f>AG18*AG19</f>
        <v>0</v>
      </c>
      <c r="AH21" s="99">
        <f t="shared" si="1"/>
        <v>0</v>
      </c>
      <c r="AI21" s="99">
        <f t="shared" si="1"/>
        <v>0</v>
      </c>
      <c r="AJ21" s="99">
        <f t="shared" si="1"/>
        <v>0</v>
      </c>
      <c r="AK21" s="99">
        <f t="shared" si="1"/>
        <v>0</v>
      </c>
      <c r="AL21" s="99">
        <f t="shared" si="1"/>
        <v>0</v>
      </c>
      <c r="AM21" s="99">
        <f t="shared" si="1"/>
        <v>0</v>
      </c>
      <c r="AN21" s="99">
        <f t="shared" si="1"/>
        <v>0</v>
      </c>
      <c r="AO21" s="99">
        <f t="shared" si="1"/>
        <v>0</v>
      </c>
      <c r="AP21" s="99">
        <f t="shared" si="1"/>
        <v>0</v>
      </c>
      <c r="AQ21" s="99">
        <f t="shared" si="1"/>
        <v>0</v>
      </c>
      <c r="AR21" s="99">
        <f t="shared" si="1"/>
        <v>0</v>
      </c>
      <c r="AS21" s="99">
        <f t="shared" si="1"/>
        <v>0</v>
      </c>
      <c r="AT21" s="99">
        <f t="shared" si="1"/>
        <v>0</v>
      </c>
      <c r="AU21" s="99">
        <f t="shared" si="1"/>
        <v>0</v>
      </c>
      <c r="AV21" s="99">
        <f t="shared" si="1"/>
        <v>0</v>
      </c>
      <c r="AW21" s="26">
        <f t="shared" ref="AW21" si="2">SUM(R21:AV21)</f>
        <v>0</v>
      </c>
    </row>
    <row r="22" spans="1:49" x14ac:dyDescent="0.25">
      <c r="A22" s="83" t="s">
        <v>70</v>
      </c>
      <c r="B22" s="80">
        <v>44937</v>
      </c>
      <c r="E22" s="60" t="str">
        <f>+A42</f>
        <v>-</v>
      </c>
      <c r="F22" s="21">
        <f>+A43</f>
        <v>897.11</v>
      </c>
      <c r="G22" s="1">
        <v>45128</v>
      </c>
      <c r="J22" s="88">
        <v>0</v>
      </c>
      <c r="M22" s="3">
        <f>+J41</f>
        <v>-221379.89545506882</v>
      </c>
      <c r="Q22" t="s">
        <v>92</v>
      </c>
      <c r="R22" s="98"/>
      <c r="S22" s="92"/>
      <c r="T22" s="92"/>
      <c r="U22" s="98"/>
      <c r="V22" s="92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102"/>
      <c r="AM22" s="98"/>
      <c r="AN22" s="98"/>
      <c r="AO22" s="98"/>
      <c r="AP22" s="98"/>
      <c r="AQ22" s="98"/>
      <c r="AR22" s="98"/>
      <c r="AS22" s="98"/>
      <c r="AT22" s="98"/>
      <c r="AU22" s="98"/>
      <c r="AV22" s="98"/>
    </row>
    <row r="23" spans="1:49" x14ac:dyDescent="0.25">
      <c r="A23" s="81">
        <v>930.99</v>
      </c>
      <c r="B23" s="84"/>
      <c r="E23" s="60">
        <f>+A44</f>
        <v>-25075000</v>
      </c>
      <c r="F23" s="21">
        <f>+A45</f>
        <v>-20.059999999999999</v>
      </c>
      <c r="G23" s="1">
        <v>45129</v>
      </c>
      <c r="J23" s="89">
        <v>0</v>
      </c>
      <c r="M23" s="3">
        <f>+J43</f>
        <v>-1190845.4496999506</v>
      </c>
      <c r="Q23" t="s">
        <v>90</v>
      </c>
      <c r="R23" s="96"/>
      <c r="S23" s="96"/>
      <c r="T23" s="11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</row>
    <row r="24" spans="1:49" x14ac:dyDescent="0.25">
      <c r="A24" s="83" t="s">
        <v>70</v>
      </c>
      <c r="B24" s="80">
        <v>44938</v>
      </c>
      <c r="E24" s="60">
        <f>+A46</f>
        <v>-3162500</v>
      </c>
      <c r="F24" s="21">
        <f>+A47</f>
        <v>-2.5299999999999998</v>
      </c>
      <c r="G24" s="1">
        <v>45130</v>
      </c>
      <c r="J24" s="88">
        <v>0</v>
      </c>
      <c r="M24" s="3">
        <f>+J45</f>
        <v>2061236.9020951241</v>
      </c>
      <c r="Q24" t="s">
        <v>82</v>
      </c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</row>
    <row r="25" spans="1:49" ht="15.75" thickBot="1" x14ac:dyDescent="0.3">
      <c r="A25" s="81">
        <v>930.99</v>
      </c>
      <c r="B25" s="84"/>
      <c r="E25" s="60">
        <f>+A48</f>
        <v>5812500</v>
      </c>
      <c r="F25" s="21">
        <f>+A49</f>
        <v>7.75</v>
      </c>
      <c r="G25" s="1">
        <v>45131</v>
      </c>
      <c r="J25" s="87">
        <v>0</v>
      </c>
      <c r="M25" s="3">
        <f>+J47</f>
        <v>-221379.89545506882</v>
      </c>
      <c r="Q25" s="100" t="s">
        <v>91</v>
      </c>
      <c r="R25" s="99">
        <f>R22*R23</f>
        <v>0</v>
      </c>
      <c r="S25" s="99">
        <f t="shared" ref="S25:AL25" si="3">S22*S23</f>
        <v>0</v>
      </c>
      <c r="T25" s="99">
        <f t="shared" si="3"/>
        <v>0</v>
      </c>
      <c r="U25" s="99">
        <f t="shared" si="3"/>
        <v>0</v>
      </c>
      <c r="V25" s="99">
        <f t="shared" si="3"/>
        <v>0</v>
      </c>
      <c r="W25" s="99">
        <f t="shared" si="3"/>
        <v>0</v>
      </c>
      <c r="X25" s="99">
        <f t="shared" ref="X25" si="4">X22*X23</f>
        <v>0</v>
      </c>
      <c r="Y25" s="99">
        <f t="shared" si="3"/>
        <v>0</v>
      </c>
      <c r="Z25" s="99">
        <f t="shared" si="3"/>
        <v>0</v>
      </c>
      <c r="AA25" s="99">
        <f t="shared" si="3"/>
        <v>0</v>
      </c>
      <c r="AB25" s="99">
        <f t="shared" si="3"/>
        <v>0</v>
      </c>
      <c r="AC25" s="99">
        <f t="shared" si="3"/>
        <v>0</v>
      </c>
      <c r="AD25" s="99">
        <f t="shared" si="3"/>
        <v>0</v>
      </c>
      <c r="AE25" s="99">
        <f t="shared" si="3"/>
        <v>0</v>
      </c>
      <c r="AF25" s="99">
        <f t="shared" si="3"/>
        <v>0</v>
      </c>
      <c r="AG25" s="99">
        <f t="shared" si="3"/>
        <v>0</v>
      </c>
      <c r="AH25" s="99">
        <f t="shared" si="3"/>
        <v>0</v>
      </c>
      <c r="AI25" s="99">
        <f t="shared" si="3"/>
        <v>0</v>
      </c>
      <c r="AJ25" s="99">
        <f t="shared" si="3"/>
        <v>0</v>
      </c>
      <c r="AK25" s="99">
        <f t="shared" si="3"/>
        <v>0</v>
      </c>
      <c r="AL25" s="99">
        <f t="shared" si="3"/>
        <v>0</v>
      </c>
      <c r="AM25" s="99">
        <f t="shared" ref="AM25:AO25" si="5">AM22*AM23</f>
        <v>0</v>
      </c>
      <c r="AN25" s="99">
        <f t="shared" si="5"/>
        <v>0</v>
      </c>
      <c r="AO25" s="99">
        <f t="shared" si="5"/>
        <v>0</v>
      </c>
      <c r="AP25" s="99">
        <f>AP22*AP23</f>
        <v>0</v>
      </c>
      <c r="AQ25" s="99">
        <f t="shared" ref="AQ25" si="6">AQ22*AQ23</f>
        <v>0</v>
      </c>
      <c r="AR25" s="99">
        <f>AR22*AR23</f>
        <v>0</v>
      </c>
      <c r="AS25" s="99">
        <f>AS22*AS23</f>
        <v>0</v>
      </c>
      <c r="AT25" s="99">
        <f>AT22*AT23</f>
        <v>0</v>
      </c>
      <c r="AU25" s="99">
        <f t="shared" ref="AU25:AV25" si="7">AU22*AU23</f>
        <v>0</v>
      </c>
      <c r="AV25" s="99">
        <f t="shared" si="7"/>
        <v>0</v>
      </c>
      <c r="AW25" s="26">
        <f t="shared" ref="AW25" si="8">SUM(R25:AV25)</f>
        <v>0</v>
      </c>
    </row>
    <row r="26" spans="1:49" x14ac:dyDescent="0.25">
      <c r="A26" s="83">
        <v>-2575000</v>
      </c>
      <c r="B26" s="80">
        <v>44939</v>
      </c>
      <c r="E26" s="60" t="str">
        <f>+A50</f>
        <v>-</v>
      </c>
      <c r="F26" s="21">
        <f>+A47</f>
        <v>-2.5299999999999998</v>
      </c>
      <c r="G26" s="1">
        <v>45132</v>
      </c>
      <c r="J26" s="88">
        <v>0</v>
      </c>
      <c r="M26" s="3">
        <f>+J45</f>
        <v>2061236.9020951241</v>
      </c>
      <c r="Q26" t="s">
        <v>94</v>
      </c>
      <c r="R26" s="98"/>
      <c r="S26" s="92"/>
      <c r="T26" s="92"/>
      <c r="U26" s="92"/>
      <c r="V26" s="98"/>
      <c r="W26" s="92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</row>
    <row r="27" spans="1:49" x14ac:dyDescent="0.25">
      <c r="A27" s="81">
        <v>-2.06</v>
      </c>
      <c r="B27" s="84"/>
      <c r="E27" s="60" t="str">
        <f>+A52</f>
        <v>-</v>
      </c>
      <c r="F27" s="21">
        <f>+A49</f>
        <v>7.75</v>
      </c>
      <c r="G27" s="1">
        <v>45133</v>
      </c>
      <c r="J27" s="89">
        <v>0</v>
      </c>
      <c r="M27" s="3">
        <f>+J47</f>
        <v>-221379.89545506882</v>
      </c>
      <c r="Q27" t="s">
        <v>95</v>
      </c>
      <c r="R27" s="96"/>
      <c r="S27" s="96"/>
      <c r="T27" s="111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</row>
    <row r="28" spans="1:49" x14ac:dyDescent="0.25">
      <c r="A28" s="83" t="s">
        <v>70</v>
      </c>
      <c r="B28" s="80">
        <v>44940</v>
      </c>
      <c r="E28" s="60">
        <f>+A54</f>
        <v>1697500</v>
      </c>
      <c r="F28" s="21">
        <f>+A51</f>
        <v>908.95</v>
      </c>
      <c r="G28" s="1">
        <v>45134</v>
      </c>
      <c r="J28" s="88">
        <v>0</v>
      </c>
      <c r="M28" s="3">
        <f>+J49</f>
        <v>2061236.9020951241</v>
      </c>
      <c r="Q28" t="s">
        <v>82</v>
      </c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</row>
    <row r="29" spans="1:49" ht="15.75" thickBot="1" x14ac:dyDescent="0.3">
      <c r="A29" s="81">
        <v>922.1</v>
      </c>
      <c r="B29" s="84"/>
      <c r="E29" s="60">
        <f>+A56</f>
        <v>4620000</v>
      </c>
      <c r="F29" s="21">
        <f>+A53</f>
        <v>908.95</v>
      </c>
      <c r="G29" s="1">
        <v>45135</v>
      </c>
      <c r="J29" s="87">
        <v>0</v>
      </c>
      <c r="M29" s="3">
        <f>+J51</f>
        <v>-221379.89545506882</v>
      </c>
      <c r="Q29" s="100" t="s">
        <v>96</v>
      </c>
      <c r="R29" s="99">
        <f>R26*R27</f>
        <v>0</v>
      </c>
      <c r="S29" s="99">
        <f t="shared" ref="S29:AM29" si="9">S26*S27</f>
        <v>0</v>
      </c>
      <c r="T29" s="99">
        <f t="shared" si="9"/>
        <v>0</v>
      </c>
      <c r="U29" s="99">
        <f t="shared" si="9"/>
        <v>0</v>
      </c>
      <c r="V29" s="99">
        <f t="shared" si="9"/>
        <v>0</v>
      </c>
      <c r="W29" s="99">
        <f t="shared" si="9"/>
        <v>0</v>
      </c>
      <c r="X29" s="99">
        <f t="shared" ref="X29" si="10">X26*X27</f>
        <v>0</v>
      </c>
      <c r="Y29" s="99">
        <f t="shared" si="9"/>
        <v>0</v>
      </c>
      <c r="Z29" s="99">
        <f t="shared" si="9"/>
        <v>0</v>
      </c>
      <c r="AA29" s="99">
        <f t="shared" si="9"/>
        <v>0</v>
      </c>
      <c r="AB29" s="99">
        <f t="shared" si="9"/>
        <v>0</v>
      </c>
      <c r="AC29" s="99">
        <f t="shared" si="9"/>
        <v>0</v>
      </c>
      <c r="AD29" s="99">
        <f t="shared" si="9"/>
        <v>0</v>
      </c>
      <c r="AE29" s="99">
        <f t="shared" si="9"/>
        <v>0</v>
      </c>
      <c r="AF29" s="99">
        <f t="shared" si="9"/>
        <v>0</v>
      </c>
      <c r="AG29" s="99">
        <f t="shared" si="9"/>
        <v>0</v>
      </c>
      <c r="AH29" s="99">
        <f t="shared" si="9"/>
        <v>0</v>
      </c>
      <c r="AI29" s="99">
        <f>AI26*AI27</f>
        <v>0</v>
      </c>
      <c r="AJ29" s="99">
        <f t="shared" si="9"/>
        <v>0</v>
      </c>
      <c r="AK29" s="99">
        <f t="shared" si="9"/>
        <v>0</v>
      </c>
      <c r="AL29" s="99">
        <f t="shared" si="9"/>
        <v>0</v>
      </c>
      <c r="AM29" s="99">
        <f t="shared" si="9"/>
        <v>0</v>
      </c>
      <c r="AN29" s="99">
        <f>AN26*AN27</f>
        <v>0</v>
      </c>
      <c r="AO29" s="99">
        <f>AO26*AO27</f>
        <v>0</v>
      </c>
      <c r="AP29" s="99">
        <f t="shared" ref="AP29" si="11">AP26*AP27</f>
        <v>0</v>
      </c>
      <c r="AQ29" s="99">
        <f t="shared" ref="AQ29:AV29" si="12">AQ26*AQ27</f>
        <v>0</v>
      </c>
      <c r="AR29" s="99">
        <f t="shared" si="12"/>
        <v>0</v>
      </c>
      <c r="AS29" s="99">
        <f t="shared" ref="AS29:AT29" si="13">AS26*AS27</f>
        <v>0</v>
      </c>
      <c r="AT29" s="99">
        <f t="shared" si="13"/>
        <v>0</v>
      </c>
      <c r="AU29" s="99">
        <f t="shared" si="12"/>
        <v>0</v>
      </c>
      <c r="AV29" s="99">
        <f t="shared" si="12"/>
        <v>0</v>
      </c>
      <c r="AW29" s="26">
        <f t="shared" ref="AW29" si="14">SUM(R29:AV29)</f>
        <v>0</v>
      </c>
    </row>
    <row r="30" spans="1:49" x14ac:dyDescent="0.25">
      <c r="A30" s="83">
        <v>8170000</v>
      </c>
      <c r="B30" s="80">
        <v>44941</v>
      </c>
      <c r="E30" s="60">
        <f>+A58</f>
        <v>-11070000</v>
      </c>
      <c r="F30" s="21">
        <f>+A51</f>
        <v>908.95</v>
      </c>
      <c r="G30" s="1">
        <v>45136</v>
      </c>
      <c r="J30" s="88">
        <v>0</v>
      </c>
      <c r="M30" s="3">
        <f>+J49</f>
        <v>2061236.9020951241</v>
      </c>
      <c r="Q30" t="s">
        <v>98</v>
      </c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</row>
    <row r="31" spans="1:49" x14ac:dyDescent="0.25">
      <c r="A31" s="81">
        <v>8.17</v>
      </c>
      <c r="B31" s="84"/>
      <c r="E31" s="60">
        <f>+A60</f>
        <v>-19060000</v>
      </c>
      <c r="F31" s="21">
        <f>+A53</f>
        <v>908.95</v>
      </c>
      <c r="G31" s="1">
        <v>45137</v>
      </c>
      <c r="J31" s="89">
        <v>0</v>
      </c>
      <c r="M31" s="3">
        <f>+J51</f>
        <v>-221379.89545506882</v>
      </c>
      <c r="Q31" t="s">
        <v>99</v>
      </c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</row>
    <row r="32" spans="1:49" x14ac:dyDescent="0.25">
      <c r="A32" s="83">
        <v>7860000</v>
      </c>
      <c r="B32" s="80">
        <v>44942</v>
      </c>
      <c r="E32" s="60">
        <f>+A62</f>
        <v>-275000</v>
      </c>
      <c r="F32" s="21">
        <f>+A55</f>
        <v>0.97</v>
      </c>
      <c r="G32" s="1">
        <v>45138</v>
      </c>
      <c r="J32" s="88">
        <v>0</v>
      </c>
      <c r="M32" s="3">
        <f>+J53</f>
        <v>1809882.5201380395</v>
      </c>
      <c r="Q32" t="s">
        <v>82</v>
      </c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</row>
    <row r="33" spans="1:49" ht="15.75" thickBot="1" x14ac:dyDescent="0.3">
      <c r="A33" s="81">
        <v>7.86</v>
      </c>
      <c r="B33" s="84"/>
      <c r="E33" s="60">
        <f>SUM(E2:E32)</f>
        <v>22893000</v>
      </c>
      <c r="F33" s="21"/>
      <c r="G33" s="1"/>
      <c r="J33" s="87">
        <v>0</v>
      </c>
      <c r="M33" s="3">
        <f>+J55</f>
        <v>-1470104.3330459972</v>
      </c>
      <c r="Q33" s="100" t="s">
        <v>100</v>
      </c>
      <c r="R33" s="99">
        <f>R30*R31</f>
        <v>0</v>
      </c>
      <c r="S33" s="99">
        <f t="shared" ref="S33:Y33" si="15">S30*S31</f>
        <v>0</v>
      </c>
      <c r="T33" s="99">
        <f t="shared" si="15"/>
        <v>0</v>
      </c>
      <c r="U33" s="99">
        <f t="shared" si="15"/>
        <v>0</v>
      </c>
      <c r="V33" s="99">
        <f t="shared" si="15"/>
        <v>0</v>
      </c>
      <c r="W33" s="99">
        <f t="shared" si="15"/>
        <v>0</v>
      </c>
      <c r="X33" s="99">
        <f t="shared" si="15"/>
        <v>0</v>
      </c>
      <c r="Y33" s="99">
        <f t="shared" si="15"/>
        <v>0</v>
      </c>
      <c r="Z33" s="99">
        <f t="shared" ref="Z33:AF33" si="16">Z30*Z31</f>
        <v>0</v>
      </c>
      <c r="AA33" s="99">
        <f t="shared" si="16"/>
        <v>0</v>
      </c>
      <c r="AB33" s="99">
        <f t="shared" si="16"/>
        <v>0</v>
      </c>
      <c r="AC33" s="99">
        <f t="shared" si="16"/>
        <v>0</v>
      </c>
      <c r="AD33" s="99">
        <f t="shared" si="16"/>
        <v>0</v>
      </c>
      <c r="AE33" s="99">
        <f t="shared" si="16"/>
        <v>0</v>
      </c>
      <c r="AF33" s="99">
        <f t="shared" si="16"/>
        <v>0</v>
      </c>
      <c r="AG33" s="99">
        <f t="shared" ref="AG33" si="17">AG30*AG31</f>
        <v>0</v>
      </c>
      <c r="AH33" s="99">
        <f t="shared" ref="AH33:AO33" si="18">AH30*AH31</f>
        <v>0</v>
      </c>
      <c r="AI33" s="99">
        <f t="shared" si="18"/>
        <v>0</v>
      </c>
      <c r="AJ33" s="99">
        <f t="shared" si="18"/>
        <v>0</v>
      </c>
      <c r="AK33" s="99">
        <f t="shared" si="18"/>
        <v>0</v>
      </c>
      <c r="AL33" s="99">
        <f t="shared" si="18"/>
        <v>0</v>
      </c>
      <c r="AM33" s="99">
        <f t="shared" si="18"/>
        <v>0</v>
      </c>
      <c r="AN33" s="99">
        <f t="shared" si="18"/>
        <v>0</v>
      </c>
      <c r="AO33" s="99">
        <f t="shared" si="18"/>
        <v>0</v>
      </c>
      <c r="AP33" s="99">
        <f t="shared" ref="AP33:AU33" si="19">AP30*AP31</f>
        <v>0</v>
      </c>
      <c r="AQ33" s="99">
        <f t="shared" si="19"/>
        <v>0</v>
      </c>
      <c r="AR33" s="99">
        <f t="shared" si="19"/>
        <v>0</v>
      </c>
      <c r="AS33" s="99">
        <f t="shared" si="19"/>
        <v>0</v>
      </c>
      <c r="AT33" s="99">
        <f t="shared" si="19"/>
        <v>0</v>
      </c>
      <c r="AU33" s="99">
        <f t="shared" si="19"/>
        <v>0</v>
      </c>
      <c r="AV33" s="99"/>
    </row>
    <row r="34" spans="1:49" ht="15.75" thickBot="1" x14ac:dyDescent="0.3">
      <c r="A34" s="83">
        <v>16660000</v>
      </c>
      <c r="B34" s="80">
        <v>44943</v>
      </c>
      <c r="G34" s="1"/>
      <c r="J34" s="88">
        <v>3367093.5378519734</v>
      </c>
      <c r="Q34" s="106" t="s">
        <v>114</v>
      </c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9" x14ac:dyDescent="0.25">
      <c r="A35" s="81">
        <v>8.33</v>
      </c>
      <c r="B35" s="84"/>
      <c r="G35" s="1"/>
      <c r="J35" s="88">
        <v>0</v>
      </c>
      <c r="Q35" t="s">
        <v>156</v>
      </c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</row>
    <row r="36" spans="1:49" x14ac:dyDescent="0.25">
      <c r="A36" s="83" t="s">
        <v>70</v>
      </c>
      <c r="B36" s="86">
        <v>44944</v>
      </c>
      <c r="G36" s="1"/>
      <c r="J36" s="87">
        <v>0</v>
      </c>
      <c r="Q36" t="s">
        <v>157</v>
      </c>
      <c r="R36" s="96"/>
      <c r="S36" s="96"/>
      <c r="T36" s="111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</row>
    <row r="37" spans="1:49" x14ac:dyDescent="0.25">
      <c r="A37" s="81">
        <v>901.53</v>
      </c>
      <c r="B37" s="84"/>
      <c r="G37" s="1"/>
      <c r="J37" s="88">
        <v>0</v>
      </c>
      <c r="Q37" t="s">
        <v>82</v>
      </c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</row>
    <row r="38" spans="1:49" ht="15.75" thickBot="1" x14ac:dyDescent="0.3">
      <c r="A38" s="83" t="s">
        <v>70</v>
      </c>
      <c r="B38" s="86">
        <v>44945</v>
      </c>
      <c r="G38" s="1"/>
      <c r="J38" s="89">
        <v>0</v>
      </c>
      <c r="Q38" s="100" t="s">
        <v>156</v>
      </c>
      <c r="R38" s="99">
        <f>R35*R36</f>
        <v>0</v>
      </c>
      <c r="S38" s="99">
        <f t="shared" ref="S38:AO38" si="20">S35*S36</f>
        <v>0</v>
      </c>
      <c r="T38" s="99">
        <f t="shared" si="20"/>
        <v>0</v>
      </c>
      <c r="U38" s="99">
        <f t="shared" si="20"/>
        <v>0</v>
      </c>
      <c r="V38" s="99">
        <f t="shared" si="20"/>
        <v>0</v>
      </c>
      <c r="W38" s="99">
        <f t="shared" si="20"/>
        <v>0</v>
      </c>
      <c r="X38" s="99">
        <f t="shared" si="20"/>
        <v>0</v>
      </c>
      <c r="Y38" s="99">
        <f t="shared" si="20"/>
        <v>0</v>
      </c>
      <c r="Z38" s="99">
        <f t="shared" si="20"/>
        <v>0</v>
      </c>
      <c r="AA38" s="99">
        <f t="shared" si="20"/>
        <v>0</v>
      </c>
      <c r="AB38" s="99">
        <f t="shared" si="20"/>
        <v>0</v>
      </c>
      <c r="AC38" s="99">
        <f t="shared" si="20"/>
        <v>0</v>
      </c>
      <c r="AD38" s="99">
        <f t="shared" si="20"/>
        <v>0</v>
      </c>
      <c r="AE38" s="99">
        <f t="shared" si="20"/>
        <v>0</v>
      </c>
      <c r="AF38" s="99">
        <f t="shared" si="20"/>
        <v>0</v>
      </c>
      <c r="AG38" s="99">
        <f t="shared" si="20"/>
        <v>0</v>
      </c>
      <c r="AH38" s="99">
        <f t="shared" si="20"/>
        <v>0</v>
      </c>
      <c r="AI38" s="99">
        <f t="shared" si="20"/>
        <v>0</v>
      </c>
      <c r="AJ38" s="99">
        <f t="shared" si="20"/>
        <v>0</v>
      </c>
      <c r="AK38" s="99">
        <f t="shared" si="20"/>
        <v>0</v>
      </c>
      <c r="AL38" s="99">
        <f t="shared" si="20"/>
        <v>0</v>
      </c>
      <c r="AM38" s="99">
        <f t="shared" si="20"/>
        <v>0</v>
      </c>
      <c r="AN38" s="99">
        <f t="shared" si="20"/>
        <v>0</v>
      </c>
      <c r="AO38" s="99">
        <f t="shared" si="20"/>
        <v>0</v>
      </c>
      <c r="AP38" s="99">
        <f>AP35*AP36</f>
        <v>0</v>
      </c>
      <c r="AQ38" s="99">
        <f t="shared" ref="AQ38:AU38" si="21">AQ35*AQ36</f>
        <v>0</v>
      </c>
      <c r="AR38" s="99">
        <f t="shared" si="21"/>
        <v>0</v>
      </c>
      <c r="AS38" s="99">
        <f t="shared" si="21"/>
        <v>0</v>
      </c>
      <c r="AT38" s="99">
        <f t="shared" si="21"/>
        <v>0</v>
      </c>
      <c r="AU38" s="99">
        <f t="shared" si="21"/>
        <v>0</v>
      </c>
      <c r="AV38" s="99">
        <f t="shared" ref="AV38" si="22">AV35*AV36</f>
        <v>0</v>
      </c>
    </row>
    <row r="39" spans="1:49" x14ac:dyDescent="0.25">
      <c r="A39" s="85">
        <v>901.53</v>
      </c>
      <c r="B39" s="84"/>
      <c r="G39" s="1"/>
      <c r="J39" s="88">
        <v>2061236.9020951241</v>
      </c>
      <c r="Q39" t="s">
        <v>158</v>
      </c>
      <c r="R39" s="98"/>
      <c r="S39" s="98"/>
      <c r="T39" s="96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</row>
    <row r="40" spans="1:49" x14ac:dyDescent="0.25">
      <c r="A40" s="83">
        <v>20820000</v>
      </c>
      <c r="B40" s="86">
        <v>44946</v>
      </c>
      <c r="G40" s="1"/>
      <c r="J40" s="89">
        <v>0.77493774623866329</v>
      </c>
      <c r="Q40" t="s">
        <v>159</v>
      </c>
      <c r="R40" s="96"/>
      <c r="S40" s="96"/>
      <c r="T40" s="111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</row>
    <row r="41" spans="1:49" x14ac:dyDescent="0.25">
      <c r="A41" s="85">
        <v>10.41</v>
      </c>
      <c r="B41" s="84"/>
      <c r="G41" s="1"/>
      <c r="J41" s="88">
        <v>-221379.89545506882</v>
      </c>
      <c r="Q41" t="s">
        <v>82</v>
      </c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</row>
    <row r="42" spans="1:49" ht="15.75" thickBot="1" x14ac:dyDescent="0.3">
      <c r="A42" s="83" t="s">
        <v>70</v>
      </c>
      <c r="B42" s="86">
        <v>44947</v>
      </c>
      <c r="G42" s="1"/>
      <c r="J42" s="87">
        <v>-9.5269456747786307E-2</v>
      </c>
      <c r="Q42" s="100" t="s">
        <v>158</v>
      </c>
      <c r="R42" s="99">
        <f t="shared" ref="R42:AO42" si="23">R39*R40</f>
        <v>0</v>
      </c>
      <c r="S42" s="99">
        <f t="shared" si="23"/>
        <v>0</v>
      </c>
      <c r="T42" s="99">
        <f t="shared" si="23"/>
        <v>0</v>
      </c>
      <c r="U42" s="99">
        <f t="shared" si="23"/>
        <v>0</v>
      </c>
      <c r="V42" s="99">
        <f t="shared" si="23"/>
        <v>0</v>
      </c>
      <c r="W42" s="99">
        <f t="shared" si="23"/>
        <v>0</v>
      </c>
      <c r="X42" s="99">
        <f t="shared" si="23"/>
        <v>0</v>
      </c>
      <c r="Y42" s="99">
        <f t="shared" si="23"/>
        <v>0</v>
      </c>
      <c r="Z42" s="99">
        <f t="shared" si="23"/>
        <v>0</v>
      </c>
      <c r="AA42" s="99">
        <f t="shared" si="23"/>
        <v>0</v>
      </c>
      <c r="AB42" s="99">
        <f t="shared" si="23"/>
        <v>0</v>
      </c>
      <c r="AC42" s="99">
        <f t="shared" si="23"/>
        <v>0</v>
      </c>
      <c r="AD42" s="99">
        <f t="shared" si="23"/>
        <v>0</v>
      </c>
      <c r="AE42" s="99">
        <f t="shared" si="23"/>
        <v>0</v>
      </c>
      <c r="AF42" s="99">
        <f t="shared" si="23"/>
        <v>0</v>
      </c>
      <c r="AG42" s="99">
        <f t="shared" si="23"/>
        <v>0</v>
      </c>
      <c r="AH42" s="99">
        <f t="shared" si="23"/>
        <v>0</v>
      </c>
      <c r="AI42" s="99">
        <f t="shared" si="23"/>
        <v>0</v>
      </c>
      <c r="AJ42" s="99">
        <f t="shared" si="23"/>
        <v>0</v>
      </c>
      <c r="AK42" s="99">
        <f t="shared" si="23"/>
        <v>0</v>
      </c>
      <c r="AL42" s="99">
        <f t="shared" si="23"/>
        <v>0</v>
      </c>
      <c r="AM42" s="99">
        <f t="shared" si="23"/>
        <v>0</v>
      </c>
      <c r="AN42" s="99">
        <f t="shared" si="23"/>
        <v>0</v>
      </c>
      <c r="AO42" s="99">
        <f t="shared" si="23"/>
        <v>0</v>
      </c>
      <c r="AP42" s="99">
        <f>AP39*AP40</f>
        <v>0</v>
      </c>
      <c r="AQ42" s="99">
        <f t="shared" ref="AQ42:AS42" si="24">AQ39*AQ40</f>
        <v>0</v>
      </c>
      <c r="AR42" s="99">
        <f t="shared" si="24"/>
        <v>0</v>
      </c>
      <c r="AS42" s="99">
        <f t="shared" si="24"/>
        <v>0</v>
      </c>
      <c r="AT42" s="99"/>
      <c r="AU42" s="99"/>
      <c r="AV42" s="99">
        <f t="shared" ref="AV42" si="25">AV39*AV40</f>
        <v>0</v>
      </c>
    </row>
    <row r="43" spans="1:49" ht="15.75" thickBot="1" x14ac:dyDescent="0.3">
      <c r="A43" s="81">
        <v>897.11</v>
      </c>
      <c r="B43" s="84"/>
      <c r="G43" s="1"/>
      <c r="J43" s="88">
        <v>-1190845.4496999506</v>
      </c>
      <c r="Q43" s="106" t="s">
        <v>116</v>
      </c>
      <c r="R43" s="112"/>
      <c r="S43" s="112"/>
      <c r="T43" s="112"/>
      <c r="U43" s="112"/>
      <c r="V43" s="112"/>
      <c r="W43" s="113"/>
      <c r="X43" s="113"/>
      <c r="Y43" s="114"/>
      <c r="Z43" s="113"/>
      <c r="AA43" s="113"/>
      <c r="AB43" s="113"/>
      <c r="AC43" s="113"/>
      <c r="AD43" s="113"/>
      <c r="AE43" s="113"/>
      <c r="AF43" s="114"/>
      <c r="AG43" s="114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26">
        <f t="shared" ref="AW43" si="26">SUM(R43:AV43)</f>
        <v>0</v>
      </c>
    </row>
    <row r="44" spans="1:49" ht="15.75" thickBot="1" x14ac:dyDescent="0.3">
      <c r="A44" s="83">
        <v>-25075000</v>
      </c>
      <c r="B44" s="86">
        <v>45007</v>
      </c>
      <c r="G44" s="1"/>
      <c r="J44" s="87">
        <v>-0.58885543228993242</v>
      </c>
      <c r="Q44" s="106" t="s">
        <v>118</v>
      </c>
      <c r="R44" s="112" t="s">
        <v>70</v>
      </c>
      <c r="S44" s="112" t="s">
        <v>70</v>
      </c>
      <c r="T44" s="112" t="s">
        <v>70</v>
      </c>
      <c r="U44" s="112">
        <v>145000000</v>
      </c>
      <c r="V44" s="112" t="s">
        <v>70</v>
      </c>
      <c r="W44" s="113" t="s">
        <v>70</v>
      </c>
      <c r="X44" s="113">
        <v>85000000</v>
      </c>
      <c r="Y44" s="114" t="s">
        <v>70</v>
      </c>
      <c r="Z44" s="113" t="s">
        <v>70</v>
      </c>
      <c r="AA44" s="113" t="s">
        <v>70</v>
      </c>
      <c r="AB44" s="113" t="s">
        <v>70</v>
      </c>
      <c r="AC44" s="113" t="s">
        <v>70</v>
      </c>
      <c r="AD44" s="113">
        <v>60000000</v>
      </c>
      <c r="AE44" s="113">
        <v>44000000</v>
      </c>
      <c r="AF44" s="114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</row>
    <row r="45" spans="1:49" x14ac:dyDescent="0.25">
      <c r="A45" s="85">
        <v>-20.059999999999999</v>
      </c>
      <c r="B45" s="84"/>
      <c r="G45" s="1"/>
      <c r="J45" s="88">
        <v>2061236.9020951241</v>
      </c>
      <c r="Q45" t="s">
        <v>121</v>
      </c>
      <c r="R45" s="98"/>
      <c r="S45" s="98"/>
      <c r="T45" s="96"/>
      <c r="U45" s="116"/>
      <c r="V45" s="116"/>
      <c r="W45" s="117"/>
      <c r="X45" s="11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</row>
    <row r="46" spans="1:49" x14ac:dyDescent="0.25">
      <c r="A46" s="83">
        <v>-3162500</v>
      </c>
      <c r="B46" s="86">
        <v>45314</v>
      </c>
      <c r="G46" s="1"/>
      <c r="J46" s="89">
        <v>0.77493774623866329</v>
      </c>
      <c r="Q46" t="s">
        <v>122</v>
      </c>
      <c r="R46" s="96"/>
      <c r="S46" s="96"/>
      <c r="T46" s="111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</row>
    <row r="47" spans="1:49" x14ac:dyDescent="0.25">
      <c r="A47" s="85">
        <v>-2.5299999999999998</v>
      </c>
      <c r="B47" s="84"/>
      <c r="G47" s="1"/>
      <c r="J47" s="88">
        <v>-221379.89545506882</v>
      </c>
      <c r="Q47" t="s">
        <v>82</v>
      </c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</row>
    <row r="48" spans="1:49" ht="15.75" thickBot="1" x14ac:dyDescent="0.3">
      <c r="A48" s="83">
        <v>5812500</v>
      </c>
      <c r="B48" s="86">
        <v>45315</v>
      </c>
      <c r="G48" s="1"/>
      <c r="J48" s="87">
        <v>-9.5269456747786307E-2</v>
      </c>
      <c r="Q48" s="100" t="s">
        <v>121</v>
      </c>
      <c r="R48" s="99">
        <f t="shared" ref="R48:AO48" si="27">R45*R46</f>
        <v>0</v>
      </c>
      <c r="S48" s="99">
        <f t="shared" si="27"/>
        <v>0</v>
      </c>
      <c r="T48" s="99">
        <f t="shared" si="27"/>
        <v>0</v>
      </c>
      <c r="U48" s="99">
        <f t="shared" si="27"/>
        <v>0</v>
      </c>
      <c r="V48" s="99">
        <f t="shared" si="27"/>
        <v>0</v>
      </c>
      <c r="W48" s="99">
        <f t="shared" si="27"/>
        <v>0</v>
      </c>
      <c r="X48" s="99">
        <f t="shared" si="27"/>
        <v>0</v>
      </c>
      <c r="Y48" s="99">
        <f t="shared" si="27"/>
        <v>0</v>
      </c>
      <c r="Z48" s="99">
        <f t="shared" si="27"/>
        <v>0</v>
      </c>
      <c r="AA48" s="99">
        <f t="shared" si="27"/>
        <v>0</v>
      </c>
      <c r="AB48" s="99">
        <f t="shared" si="27"/>
        <v>0</v>
      </c>
      <c r="AC48" s="99">
        <f t="shared" si="27"/>
        <v>0</v>
      </c>
      <c r="AD48" s="99">
        <f t="shared" si="27"/>
        <v>0</v>
      </c>
      <c r="AE48" s="99">
        <f t="shared" si="27"/>
        <v>0</v>
      </c>
      <c r="AF48" s="99">
        <f t="shared" si="27"/>
        <v>0</v>
      </c>
      <c r="AG48" s="99">
        <f t="shared" si="27"/>
        <v>0</v>
      </c>
      <c r="AH48" s="99">
        <f t="shared" si="27"/>
        <v>0</v>
      </c>
      <c r="AI48" s="99">
        <f t="shared" si="27"/>
        <v>0</v>
      </c>
      <c r="AJ48" s="99">
        <f t="shared" si="27"/>
        <v>0</v>
      </c>
      <c r="AK48" s="99">
        <f t="shared" si="27"/>
        <v>0</v>
      </c>
      <c r="AL48" s="99">
        <f t="shared" si="27"/>
        <v>0</v>
      </c>
      <c r="AM48" s="99">
        <f t="shared" si="27"/>
        <v>0</v>
      </c>
      <c r="AN48" s="99">
        <f t="shared" si="27"/>
        <v>0</v>
      </c>
      <c r="AO48" s="99">
        <f t="shared" si="27"/>
        <v>0</v>
      </c>
      <c r="AP48" s="99">
        <f>AP45*AP46</f>
        <v>0</v>
      </c>
      <c r="AQ48" s="99">
        <f t="shared" ref="AQ48:AU48" si="28">AQ45*AQ46</f>
        <v>0</v>
      </c>
      <c r="AR48" s="99">
        <f t="shared" si="28"/>
        <v>0</v>
      </c>
      <c r="AS48" s="99">
        <f t="shared" si="28"/>
        <v>0</v>
      </c>
      <c r="AT48" s="99">
        <f t="shared" si="28"/>
        <v>0</v>
      </c>
      <c r="AU48" s="99">
        <f t="shared" si="28"/>
        <v>0</v>
      </c>
      <c r="AV48" s="99">
        <f t="shared" ref="AV48" si="29">AV45*AV46</f>
        <v>0</v>
      </c>
    </row>
    <row r="49" spans="1:49" x14ac:dyDescent="0.25">
      <c r="A49" s="85">
        <v>7.75</v>
      </c>
      <c r="B49" s="84"/>
      <c r="G49" s="1"/>
      <c r="J49" s="88">
        <v>2061236.9020951241</v>
      </c>
      <c r="Q49" t="s">
        <v>123</v>
      </c>
      <c r="R49" s="98"/>
      <c r="S49" s="98"/>
      <c r="T49" s="96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</row>
    <row r="50" spans="1:49" x14ac:dyDescent="0.25">
      <c r="A50" s="83" t="s">
        <v>70</v>
      </c>
      <c r="B50" s="86">
        <v>45316</v>
      </c>
      <c r="G50" s="1"/>
      <c r="J50" s="89">
        <v>0.77493774623866329</v>
      </c>
      <c r="Q50" t="s">
        <v>124</v>
      </c>
      <c r="R50" s="96"/>
      <c r="S50" s="96"/>
      <c r="T50" s="111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</row>
    <row r="51" spans="1:49" x14ac:dyDescent="0.25">
      <c r="A51" s="85">
        <v>908.95</v>
      </c>
      <c r="B51" s="84"/>
      <c r="G51" s="1"/>
      <c r="J51" s="88">
        <v>-221379.89545506882</v>
      </c>
      <c r="Q51" t="s">
        <v>82</v>
      </c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</row>
    <row r="52" spans="1:49" ht="15.75" thickBot="1" x14ac:dyDescent="0.3">
      <c r="A52" s="83" t="s">
        <v>70</v>
      </c>
      <c r="B52" s="86">
        <v>45317</v>
      </c>
      <c r="G52" s="1"/>
      <c r="J52" s="87">
        <v>-9.5269456747786307E-2</v>
      </c>
      <c r="Q52" s="100" t="s">
        <v>123</v>
      </c>
      <c r="R52" s="99">
        <f t="shared" ref="R52:AO52" si="30">R49*R50</f>
        <v>0</v>
      </c>
      <c r="S52" s="99">
        <f t="shared" si="30"/>
        <v>0</v>
      </c>
      <c r="T52" s="99">
        <f t="shared" si="30"/>
        <v>0</v>
      </c>
      <c r="U52" s="99">
        <f t="shared" si="30"/>
        <v>0</v>
      </c>
      <c r="V52" s="99">
        <f t="shared" si="30"/>
        <v>0</v>
      </c>
      <c r="W52" s="99">
        <f t="shared" si="30"/>
        <v>0</v>
      </c>
      <c r="X52" s="99">
        <f t="shared" si="30"/>
        <v>0</v>
      </c>
      <c r="Y52" s="99">
        <f t="shared" si="30"/>
        <v>0</v>
      </c>
      <c r="Z52" s="99">
        <f t="shared" si="30"/>
        <v>0</v>
      </c>
      <c r="AA52" s="99">
        <f t="shared" si="30"/>
        <v>0</v>
      </c>
      <c r="AB52" s="99">
        <f t="shared" si="30"/>
        <v>0</v>
      </c>
      <c r="AC52" s="99">
        <f t="shared" si="30"/>
        <v>0</v>
      </c>
      <c r="AD52" s="99">
        <f t="shared" si="30"/>
        <v>0</v>
      </c>
      <c r="AE52" s="99">
        <f t="shared" si="30"/>
        <v>0</v>
      </c>
      <c r="AF52" s="99">
        <f t="shared" si="30"/>
        <v>0</v>
      </c>
      <c r="AG52" s="99">
        <f t="shared" si="30"/>
        <v>0</v>
      </c>
      <c r="AH52" s="99">
        <f t="shared" si="30"/>
        <v>0</v>
      </c>
      <c r="AI52" s="99">
        <f t="shared" si="30"/>
        <v>0</v>
      </c>
      <c r="AJ52" s="99">
        <f t="shared" si="30"/>
        <v>0</v>
      </c>
      <c r="AK52" s="99">
        <f t="shared" si="30"/>
        <v>0</v>
      </c>
      <c r="AL52" s="99">
        <f t="shared" si="30"/>
        <v>0</v>
      </c>
      <c r="AM52" s="99">
        <f t="shared" si="30"/>
        <v>0</v>
      </c>
      <c r="AN52" s="99">
        <f t="shared" si="30"/>
        <v>0</v>
      </c>
      <c r="AO52" s="99">
        <f t="shared" si="30"/>
        <v>0</v>
      </c>
      <c r="AP52" s="99">
        <f>AP49*AP50</f>
        <v>0</v>
      </c>
      <c r="AQ52" s="99">
        <f t="shared" ref="AQ52:AS52" si="31">AQ49*AQ50</f>
        <v>0</v>
      </c>
      <c r="AR52" s="99">
        <f t="shared" si="31"/>
        <v>0</v>
      </c>
      <c r="AS52" s="99">
        <f t="shared" si="31"/>
        <v>0</v>
      </c>
      <c r="AT52" s="99"/>
      <c r="AU52" s="99"/>
      <c r="AV52" s="99">
        <f t="shared" ref="AV52" si="32">AV49*AV50</f>
        <v>0</v>
      </c>
    </row>
    <row r="53" spans="1:49" x14ac:dyDescent="0.25">
      <c r="A53" s="81">
        <v>908.95</v>
      </c>
      <c r="B53" s="84"/>
      <c r="G53" s="1"/>
      <c r="J53" s="88">
        <v>1809882.5201380395</v>
      </c>
      <c r="Q53" t="s">
        <v>127</v>
      </c>
      <c r="R53" s="98"/>
      <c r="S53" s="98"/>
      <c r="T53" s="96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</row>
    <row r="54" spans="1:49" x14ac:dyDescent="0.25">
      <c r="A54" s="83">
        <v>1697500</v>
      </c>
      <c r="B54" s="86">
        <v>44953</v>
      </c>
      <c r="G54" s="1"/>
      <c r="J54" s="87">
        <v>0.87041816900855906</v>
      </c>
      <c r="Q54" t="s">
        <v>128</v>
      </c>
      <c r="R54" s="96"/>
      <c r="S54" s="96"/>
      <c r="T54" s="111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</row>
    <row r="55" spans="1:49" x14ac:dyDescent="0.25">
      <c r="A55" s="81">
        <v>0.97</v>
      </c>
      <c r="B55" s="84"/>
      <c r="G55" s="1"/>
      <c r="J55" s="88">
        <v>-1470104.3330459972</v>
      </c>
      <c r="Q55" t="s">
        <v>82</v>
      </c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</row>
    <row r="56" spans="1:49" ht="15.75" thickBot="1" x14ac:dyDescent="0.3">
      <c r="A56" s="83">
        <v>4620000</v>
      </c>
      <c r="B56" s="86">
        <v>44954</v>
      </c>
      <c r="G56" s="1"/>
      <c r="J56" s="87">
        <v>-0.66932213895475456</v>
      </c>
      <c r="Q56" s="100" t="s">
        <v>127</v>
      </c>
      <c r="R56" s="99">
        <f t="shared" ref="R56:AO56" si="33">R53*R54</f>
        <v>0</v>
      </c>
      <c r="S56" s="99">
        <f t="shared" si="33"/>
        <v>0</v>
      </c>
      <c r="T56" s="99">
        <f t="shared" si="33"/>
        <v>0</v>
      </c>
      <c r="U56" s="99">
        <f t="shared" si="33"/>
        <v>0</v>
      </c>
      <c r="V56" s="99">
        <f t="shared" si="33"/>
        <v>0</v>
      </c>
      <c r="W56" s="99">
        <f t="shared" si="33"/>
        <v>0</v>
      </c>
      <c r="X56" s="99">
        <f t="shared" si="33"/>
        <v>0</v>
      </c>
      <c r="Y56" s="99">
        <f t="shared" si="33"/>
        <v>0</v>
      </c>
      <c r="Z56" s="99">
        <f t="shared" si="33"/>
        <v>0</v>
      </c>
      <c r="AA56" s="99">
        <f t="shared" si="33"/>
        <v>0</v>
      </c>
      <c r="AB56" s="99">
        <f t="shared" si="33"/>
        <v>0</v>
      </c>
      <c r="AC56" s="99">
        <f t="shared" si="33"/>
        <v>0</v>
      </c>
      <c r="AD56" s="99">
        <f t="shared" si="33"/>
        <v>0</v>
      </c>
      <c r="AE56" s="99">
        <f t="shared" si="33"/>
        <v>0</v>
      </c>
      <c r="AF56" s="99">
        <f t="shared" si="33"/>
        <v>0</v>
      </c>
      <c r="AG56" s="99">
        <f t="shared" si="33"/>
        <v>0</v>
      </c>
      <c r="AH56" s="99">
        <f t="shared" si="33"/>
        <v>0</v>
      </c>
      <c r="AI56" s="99">
        <f t="shared" si="33"/>
        <v>0</v>
      </c>
      <c r="AJ56" s="99">
        <f t="shared" si="33"/>
        <v>0</v>
      </c>
      <c r="AK56" s="99">
        <f t="shared" si="33"/>
        <v>0</v>
      </c>
      <c r="AL56" s="99">
        <f t="shared" si="33"/>
        <v>0</v>
      </c>
      <c r="AM56" s="99">
        <f t="shared" si="33"/>
        <v>0</v>
      </c>
      <c r="AN56" s="99">
        <f t="shared" si="33"/>
        <v>0</v>
      </c>
      <c r="AO56" s="99">
        <f t="shared" si="33"/>
        <v>0</v>
      </c>
      <c r="AP56" s="99">
        <f>AP53*AP54</f>
        <v>0</v>
      </c>
      <c r="AQ56" s="99">
        <f t="shared" ref="AQ56:AU56" si="34">AQ53*AQ54</f>
        <v>0</v>
      </c>
      <c r="AR56" s="99">
        <f t="shared" si="34"/>
        <v>0</v>
      </c>
      <c r="AS56" s="99">
        <f t="shared" si="34"/>
        <v>0</v>
      </c>
      <c r="AT56" s="99">
        <f t="shared" si="34"/>
        <v>0</v>
      </c>
      <c r="AU56" s="99">
        <f t="shared" si="34"/>
        <v>0</v>
      </c>
      <c r="AV56" s="99">
        <f t="shared" ref="AV56" si="35">AV53*AV54</f>
        <v>0</v>
      </c>
    </row>
    <row r="57" spans="1:49" x14ac:dyDescent="0.25">
      <c r="A57" s="81">
        <v>3.08</v>
      </c>
      <c r="B57" s="84"/>
      <c r="G57" s="1"/>
      <c r="J57" s="88">
        <v>-604792.72427197779</v>
      </c>
      <c r="Q57" t="s">
        <v>130</v>
      </c>
      <c r="R57" s="98"/>
      <c r="S57" s="98"/>
      <c r="T57" s="96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</row>
    <row r="58" spans="1:49" x14ac:dyDescent="0.25">
      <c r="A58" s="83">
        <v>-11070000</v>
      </c>
      <c r="B58" s="86">
        <v>44955</v>
      </c>
      <c r="G58" s="1"/>
      <c r="J58" s="87">
        <v>-0.42935995908308655</v>
      </c>
      <c r="Q58" t="s">
        <v>128</v>
      </c>
      <c r="R58" s="96"/>
      <c r="S58" s="96"/>
      <c r="T58" s="111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</row>
    <row r="59" spans="1:49" x14ac:dyDescent="0.25">
      <c r="A59" s="81">
        <v>-11.07</v>
      </c>
      <c r="B59" s="84"/>
      <c r="G59" s="1"/>
      <c r="J59" s="90">
        <v>-401928.11064896989</v>
      </c>
      <c r="Q59" t="s">
        <v>82</v>
      </c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</row>
    <row r="60" spans="1:49" ht="15.75" thickBot="1" x14ac:dyDescent="0.3">
      <c r="A60" s="83">
        <v>-19060000</v>
      </c>
      <c r="B60" s="86">
        <v>44956</v>
      </c>
      <c r="G60" s="1"/>
      <c r="J60" s="91">
        <v>-0.3215397027763629</v>
      </c>
      <c r="Q60" s="100" t="s">
        <v>127</v>
      </c>
      <c r="R60" s="99">
        <f t="shared" ref="R60:AO60" si="36">R57*R58</f>
        <v>0</v>
      </c>
      <c r="S60" s="99">
        <f t="shared" si="36"/>
        <v>0</v>
      </c>
      <c r="T60" s="99">
        <f t="shared" si="36"/>
        <v>0</v>
      </c>
      <c r="U60" s="99">
        <f t="shared" si="36"/>
        <v>0</v>
      </c>
      <c r="V60" s="99">
        <f t="shared" si="36"/>
        <v>0</v>
      </c>
      <c r="W60" s="99">
        <f t="shared" si="36"/>
        <v>0</v>
      </c>
      <c r="X60" s="99">
        <f t="shared" si="36"/>
        <v>0</v>
      </c>
      <c r="Y60" s="99">
        <f t="shared" si="36"/>
        <v>0</v>
      </c>
      <c r="Z60" s="99">
        <f t="shared" si="36"/>
        <v>0</v>
      </c>
      <c r="AA60" s="99">
        <f t="shared" si="36"/>
        <v>0</v>
      </c>
      <c r="AB60" s="99">
        <f t="shared" si="36"/>
        <v>0</v>
      </c>
      <c r="AC60" s="99">
        <f t="shared" si="36"/>
        <v>0</v>
      </c>
      <c r="AD60" s="99">
        <f t="shared" si="36"/>
        <v>0</v>
      </c>
      <c r="AE60" s="99">
        <f t="shared" si="36"/>
        <v>0</v>
      </c>
      <c r="AF60" s="99">
        <f t="shared" si="36"/>
        <v>0</v>
      </c>
      <c r="AG60" s="99">
        <f t="shared" si="36"/>
        <v>0</v>
      </c>
      <c r="AH60" s="99">
        <f t="shared" si="36"/>
        <v>0</v>
      </c>
      <c r="AI60" s="99">
        <f t="shared" si="36"/>
        <v>0</v>
      </c>
      <c r="AJ60" s="99">
        <f t="shared" si="36"/>
        <v>0</v>
      </c>
      <c r="AK60" s="99">
        <f t="shared" si="36"/>
        <v>0</v>
      </c>
      <c r="AL60" s="99">
        <f t="shared" si="36"/>
        <v>0</v>
      </c>
      <c r="AM60" s="99">
        <f t="shared" si="36"/>
        <v>0</v>
      </c>
      <c r="AN60" s="99">
        <f t="shared" si="36"/>
        <v>0</v>
      </c>
      <c r="AO60" s="99">
        <f t="shared" si="36"/>
        <v>0</v>
      </c>
      <c r="AP60" s="99">
        <f>AP57*AP58</f>
        <v>0</v>
      </c>
      <c r="AQ60" s="99">
        <f t="shared" ref="AQ60:AV60" si="37">AQ57*AQ58</f>
        <v>0</v>
      </c>
      <c r="AR60" s="99">
        <f t="shared" si="37"/>
        <v>0</v>
      </c>
      <c r="AS60" s="99">
        <f t="shared" si="37"/>
        <v>0</v>
      </c>
      <c r="AT60" s="99">
        <f t="shared" si="37"/>
        <v>0</v>
      </c>
      <c r="AU60" s="99">
        <f t="shared" si="37"/>
        <v>0</v>
      </c>
      <c r="AV60" s="99">
        <f t="shared" si="37"/>
        <v>0</v>
      </c>
    </row>
    <row r="61" spans="1:49" ht="15.75" thickBot="1" x14ac:dyDescent="0.3">
      <c r="A61" s="81">
        <v>-9.5299999999999994</v>
      </c>
      <c r="B61" s="84"/>
      <c r="G61" s="1"/>
      <c r="J61" s="88">
        <v>-604792.72427197779</v>
      </c>
      <c r="Q61" s="106" t="s">
        <v>132</v>
      </c>
      <c r="R61" s="112">
        <v>0</v>
      </c>
      <c r="S61" s="112">
        <v>0</v>
      </c>
      <c r="T61" s="112">
        <v>2047950000</v>
      </c>
      <c r="U61" s="112">
        <v>1129000000</v>
      </c>
      <c r="V61" s="112">
        <v>908200000</v>
      </c>
      <c r="W61" s="113">
        <v>908200000</v>
      </c>
      <c r="X61" s="113">
        <v>1378575000</v>
      </c>
      <c r="Y61" s="113" t="s">
        <v>70</v>
      </c>
      <c r="Z61" s="113" t="s">
        <v>70</v>
      </c>
      <c r="AA61" s="113">
        <v>1155250000</v>
      </c>
      <c r="AB61" s="113">
        <v>1384800000</v>
      </c>
      <c r="AC61" s="113" t="s">
        <v>70</v>
      </c>
      <c r="AD61" s="113">
        <v>919200000</v>
      </c>
      <c r="AE61" s="113">
        <v>651315000</v>
      </c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</row>
    <row r="62" spans="1:49" x14ac:dyDescent="0.25">
      <c r="A62" s="83">
        <v>-275000</v>
      </c>
      <c r="B62" s="86">
        <v>44957</v>
      </c>
      <c r="G62" s="1"/>
      <c r="J62" s="87">
        <v>-0.42935995908308655</v>
      </c>
      <c r="Q62" t="s">
        <v>134</v>
      </c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2">
        <f t="shared" ref="AW62" si="38">SUM(R62:AV62)</f>
        <v>0</v>
      </c>
    </row>
    <row r="63" spans="1:49" x14ac:dyDescent="0.25">
      <c r="A63" s="81">
        <v>-0.22</v>
      </c>
      <c r="B63" s="84"/>
      <c r="G63" s="1"/>
      <c r="J63" s="90">
        <v>-401928.11064896989</v>
      </c>
      <c r="Q63" t="s">
        <v>133</v>
      </c>
      <c r="R63" s="96"/>
      <c r="S63" s="96"/>
      <c r="T63" s="111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</row>
    <row r="64" spans="1:49" x14ac:dyDescent="0.25">
      <c r="A64" s="83"/>
      <c r="G64" s="1"/>
      <c r="J64" s="91">
        <v>-0.3215397027763629</v>
      </c>
      <c r="Q64" t="s">
        <v>82</v>
      </c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</row>
    <row r="65" spans="1:49" ht="15.75" thickBot="1" x14ac:dyDescent="0.3">
      <c r="Q65" s="100" t="s">
        <v>135</v>
      </c>
      <c r="R65" s="99">
        <f>R62*R63</f>
        <v>0</v>
      </c>
      <c r="S65" s="99">
        <f t="shared" ref="S65:AL65" si="39">S62*S63</f>
        <v>0</v>
      </c>
      <c r="T65" s="99">
        <f t="shared" si="39"/>
        <v>0</v>
      </c>
      <c r="U65" s="99">
        <f t="shared" si="39"/>
        <v>0</v>
      </c>
      <c r="V65" s="99">
        <f t="shared" si="39"/>
        <v>0</v>
      </c>
      <c r="W65" s="99">
        <f t="shared" si="39"/>
        <v>0</v>
      </c>
      <c r="X65" s="99">
        <f t="shared" si="39"/>
        <v>0</v>
      </c>
      <c r="Y65" s="99">
        <f t="shared" si="39"/>
        <v>0</v>
      </c>
      <c r="Z65" s="99">
        <f t="shared" si="39"/>
        <v>0</v>
      </c>
      <c r="AA65" s="99">
        <f t="shared" si="39"/>
        <v>0</v>
      </c>
      <c r="AB65" s="99">
        <f t="shared" si="39"/>
        <v>0</v>
      </c>
      <c r="AC65" s="99">
        <f t="shared" si="39"/>
        <v>0</v>
      </c>
      <c r="AD65" s="99">
        <f t="shared" si="39"/>
        <v>0</v>
      </c>
      <c r="AE65" s="99">
        <f t="shared" si="39"/>
        <v>0</v>
      </c>
      <c r="AF65" s="99">
        <f t="shared" si="39"/>
        <v>0</v>
      </c>
      <c r="AG65" s="99">
        <f t="shared" si="39"/>
        <v>0</v>
      </c>
      <c r="AH65" s="99">
        <f t="shared" si="39"/>
        <v>0</v>
      </c>
      <c r="AI65" s="99">
        <f t="shared" si="39"/>
        <v>0</v>
      </c>
      <c r="AJ65" s="99">
        <f>AJ62*AJ63</f>
        <v>0</v>
      </c>
      <c r="AK65" s="99">
        <f t="shared" si="39"/>
        <v>0</v>
      </c>
      <c r="AL65" s="99">
        <f t="shared" si="39"/>
        <v>0</v>
      </c>
      <c r="AM65" s="99">
        <f>AM62*AM63</f>
        <v>0</v>
      </c>
      <c r="AN65" s="99">
        <f>AN62*AN63</f>
        <v>0</v>
      </c>
      <c r="AO65" s="99">
        <f>AO62*AO63</f>
        <v>0</v>
      </c>
      <c r="AP65" s="99">
        <f>AP62*AP63</f>
        <v>0</v>
      </c>
      <c r="AQ65" s="99">
        <f t="shared" ref="AQ65:AV65" si="40">AQ62*AQ63</f>
        <v>0</v>
      </c>
      <c r="AR65" s="99">
        <f t="shared" si="40"/>
        <v>0</v>
      </c>
      <c r="AS65" s="99">
        <f t="shared" si="40"/>
        <v>0</v>
      </c>
      <c r="AT65" s="99">
        <f t="shared" si="40"/>
        <v>0</v>
      </c>
      <c r="AU65" s="99">
        <f t="shared" si="40"/>
        <v>0</v>
      </c>
      <c r="AV65" s="99">
        <f t="shared" si="40"/>
        <v>0</v>
      </c>
    </row>
    <row r="66" spans="1:49" x14ac:dyDescent="0.25">
      <c r="A66" s="76"/>
      <c r="B66" s="76"/>
      <c r="C66" s="76"/>
      <c r="D66" s="76"/>
      <c r="F66" s="76"/>
      <c r="G66" s="76"/>
      <c r="H66" s="76"/>
      <c r="I66" s="76"/>
      <c r="J66" s="76"/>
      <c r="K66" s="76"/>
      <c r="L66" s="76"/>
      <c r="Q66" t="s">
        <v>136</v>
      </c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2">
        <f>SUM(R66:AV66)</f>
        <v>0</v>
      </c>
    </row>
    <row r="67" spans="1:49" x14ac:dyDescent="0.25">
      <c r="A67" s="76"/>
      <c r="B67" s="76"/>
      <c r="C67" s="76"/>
      <c r="D67" s="76"/>
      <c r="E67" s="76"/>
      <c r="F67" s="60"/>
      <c r="G67" s="76"/>
      <c r="I67" s="76"/>
      <c r="K67" s="76"/>
      <c r="M67" s="76"/>
      <c r="O67" s="76"/>
      <c r="Q67" t="s">
        <v>137</v>
      </c>
      <c r="R67" s="96"/>
      <c r="S67" s="96"/>
      <c r="T67" s="111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76"/>
    </row>
    <row r="68" spans="1:49" x14ac:dyDescent="0.25">
      <c r="B68" s="76"/>
      <c r="C68" s="76"/>
      <c r="D68" s="60"/>
      <c r="F68" s="76"/>
      <c r="G68" s="76"/>
      <c r="I68" s="76"/>
      <c r="Q68" t="s">
        <v>82</v>
      </c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</row>
    <row r="69" spans="1:49" ht="15.75" thickBot="1" x14ac:dyDescent="0.3">
      <c r="A69" s="76"/>
      <c r="B69" s="76"/>
      <c r="C69" s="60"/>
      <c r="D69" s="76"/>
      <c r="E69" s="76"/>
      <c r="F69" s="76"/>
      <c r="G69" s="76"/>
      <c r="Q69" s="100" t="s">
        <v>138</v>
      </c>
      <c r="R69" s="99">
        <f t="shared" ref="R69:AO69" si="41">R66*R67</f>
        <v>0</v>
      </c>
      <c r="S69" s="99">
        <f t="shared" si="41"/>
        <v>0</v>
      </c>
      <c r="T69" s="99">
        <f t="shared" si="41"/>
        <v>0</v>
      </c>
      <c r="U69" s="99">
        <f t="shared" si="41"/>
        <v>0</v>
      </c>
      <c r="V69" s="99">
        <f t="shared" si="41"/>
        <v>0</v>
      </c>
      <c r="W69" s="99">
        <f t="shared" si="41"/>
        <v>0</v>
      </c>
      <c r="X69" s="99">
        <f t="shared" si="41"/>
        <v>0</v>
      </c>
      <c r="Y69" s="99">
        <f t="shared" si="41"/>
        <v>0</v>
      </c>
      <c r="Z69" s="99">
        <f t="shared" si="41"/>
        <v>0</v>
      </c>
      <c r="AA69" s="99">
        <f t="shared" si="41"/>
        <v>0</v>
      </c>
      <c r="AB69" s="99">
        <f t="shared" si="41"/>
        <v>0</v>
      </c>
      <c r="AC69" s="99">
        <f t="shared" si="41"/>
        <v>0</v>
      </c>
      <c r="AD69" s="99">
        <f t="shared" si="41"/>
        <v>0</v>
      </c>
      <c r="AE69" s="99">
        <f t="shared" si="41"/>
        <v>0</v>
      </c>
      <c r="AF69" s="99">
        <f t="shared" si="41"/>
        <v>0</v>
      </c>
      <c r="AG69" s="99">
        <f t="shared" si="41"/>
        <v>0</v>
      </c>
      <c r="AH69" s="99">
        <f t="shared" si="41"/>
        <v>0</v>
      </c>
      <c r="AI69" s="99">
        <f t="shared" si="41"/>
        <v>0</v>
      </c>
      <c r="AJ69" s="99">
        <f t="shared" si="41"/>
        <v>0</v>
      </c>
      <c r="AK69" s="99">
        <f t="shared" si="41"/>
        <v>0</v>
      </c>
      <c r="AL69" s="99">
        <f t="shared" si="41"/>
        <v>0</v>
      </c>
      <c r="AM69" s="99">
        <f t="shared" si="41"/>
        <v>0</v>
      </c>
      <c r="AN69" s="99">
        <f t="shared" si="41"/>
        <v>0</v>
      </c>
      <c r="AO69" s="99">
        <f t="shared" si="41"/>
        <v>0</v>
      </c>
      <c r="AP69" s="99">
        <f>AP66*AP67</f>
        <v>0</v>
      </c>
      <c r="AQ69" s="99">
        <f t="shared" ref="AQ69:AV69" si="42">AQ66*AQ67</f>
        <v>0</v>
      </c>
      <c r="AR69" s="99">
        <f t="shared" si="42"/>
        <v>0</v>
      </c>
      <c r="AS69" s="99">
        <f t="shared" si="42"/>
        <v>0</v>
      </c>
      <c r="AT69" s="99">
        <f t="shared" si="42"/>
        <v>0</v>
      </c>
      <c r="AU69" s="99">
        <f t="shared" si="42"/>
        <v>0</v>
      </c>
      <c r="AV69" s="99">
        <f t="shared" si="42"/>
        <v>0</v>
      </c>
    </row>
    <row r="70" spans="1:49" x14ac:dyDescent="0.25">
      <c r="B70" s="60"/>
      <c r="C70" s="76"/>
      <c r="D70" s="76"/>
      <c r="E70" s="76"/>
      <c r="F70" s="76"/>
      <c r="Q70" t="s">
        <v>141</v>
      </c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2">
        <f>SUM(R70:AV70)</f>
        <v>0</v>
      </c>
    </row>
    <row r="71" spans="1:49" x14ac:dyDescent="0.25">
      <c r="A71" s="60"/>
      <c r="B71" s="76"/>
      <c r="C71" s="76"/>
      <c r="D71" s="76"/>
      <c r="E71" s="76"/>
      <c r="F71" s="76"/>
      <c r="G71" s="76"/>
      <c r="Q71" t="s">
        <v>142</v>
      </c>
      <c r="R71" s="96"/>
      <c r="S71" s="96"/>
      <c r="T71" s="111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</row>
    <row r="72" spans="1:49" x14ac:dyDescent="0.25">
      <c r="A72" s="76"/>
      <c r="B72" s="76"/>
      <c r="C72" s="76"/>
      <c r="D72" s="76"/>
      <c r="E72" s="76"/>
      <c r="F72" s="76"/>
      <c r="G72" s="76"/>
      <c r="I72" s="76"/>
      <c r="Q72" t="s">
        <v>82</v>
      </c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</row>
    <row r="73" spans="1:49" ht="15.75" thickBot="1" x14ac:dyDescent="0.3">
      <c r="A73" s="76"/>
      <c r="B73" s="76"/>
      <c r="C73" s="76"/>
      <c r="D73" s="76"/>
      <c r="E73" s="76"/>
      <c r="F73" s="76"/>
      <c r="Q73" s="100" t="s">
        <v>143</v>
      </c>
      <c r="R73" s="99">
        <f t="shared" ref="R73:AO73" si="43">R70*R71</f>
        <v>0</v>
      </c>
      <c r="S73" s="99">
        <f t="shared" si="43"/>
        <v>0</v>
      </c>
      <c r="T73" s="99">
        <f t="shared" si="43"/>
        <v>0</v>
      </c>
      <c r="U73" s="99">
        <f t="shared" si="43"/>
        <v>0</v>
      </c>
      <c r="V73" s="99">
        <f t="shared" si="43"/>
        <v>0</v>
      </c>
      <c r="W73" s="99">
        <f t="shared" si="43"/>
        <v>0</v>
      </c>
      <c r="X73" s="99">
        <f t="shared" si="43"/>
        <v>0</v>
      </c>
      <c r="Y73" s="99">
        <f t="shared" si="43"/>
        <v>0</v>
      </c>
      <c r="Z73" s="99">
        <f t="shared" si="43"/>
        <v>0</v>
      </c>
      <c r="AA73" s="99">
        <f t="shared" si="43"/>
        <v>0</v>
      </c>
      <c r="AB73" s="99">
        <f t="shared" si="43"/>
        <v>0</v>
      </c>
      <c r="AC73" s="99">
        <f t="shared" si="43"/>
        <v>0</v>
      </c>
      <c r="AD73" s="99">
        <f t="shared" si="43"/>
        <v>0</v>
      </c>
      <c r="AE73" s="99">
        <f t="shared" si="43"/>
        <v>0</v>
      </c>
      <c r="AF73" s="99">
        <f t="shared" si="43"/>
        <v>0</v>
      </c>
      <c r="AG73" s="99">
        <f t="shared" si="43"/>
        <v>0</v>
      </c>
      <c r="AH73" s="99">
        <f t="shared" si="43"/>
        <v>0</v>
      </c>
      <c r="AI73" s="99">
        <f t="shared" si="43"/>
        <v>0</v>
      </c>
      <c r="AJ73" s="99">
        <f t="shared" si="43"/>
        <v>0</v>
      </c>
      <c r="AK73" s="99">
        <f t="shared" si="43"/>
        <v>0</v>
      </c>
      <c r="AL73" s="99">
        <f t="shared" si="43"/>
        <v>0</v>
      </c>
      <c r="AM73" s="99">
        <f t="shared" si="43"/>
        <v>0</v>
      </c>
      <c r="AN73" s="99">
        <f t="shared" si="43"/>
        <v>0</v>
      </c>
      <c r="AO73" s="99">
        <f t="shared" si="43"/>
        <v>0</v>
      </c>
      <c r="AP73" s="99">
        <f>AP70*AP71</f>
        <v>0</v>
      </c>
      <c r="AQ73" s="99">
        <f t="shared" ref="AQ73:AV73" si="44">AQ70*AQ71</f>
        <v>0</v>
      </c>
      <c r="AR73" s="99">
        <f t="shared" si="44"/>
        <v>0</v>
      </c>
      <c r="AS73" s="99">
        <f t="shared" si="44"/>
        <v>0</v>
      </c>
      <c r="AT73" s="99">
        <f t="shared" si="44"/>
        <v>0</v>
      </c>
      <c r="AU73" s="99">
        <f t="shared" si="44"/>
        <v>0</v>
      </c>
      <c r="AV73" s="99">
        <f t="shared" si="44"/>
        <v>0</v>
      </c>
    </row>
    <row r="74" spans="1:49" x14ac:dyDescent="0.25">
      <c r="A74" s="76"/>
      <c r="B74" s="76"/>
      <c r="C74" s="76"/>
      <c r="D74" s="76"/>
      <c r="E74" s="76"/>
      <c r="F74" s="76"/>
      <c r="G74" s="76"/>
      <c r="Q74" t="s">
        <v>146</v>
      </c>
      <c r="R74" s="98"/>
      <c r="S74" s="98"/>
      <c r="T74" s="96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</row>
    <row r="75" spans="1:49" x14ac:dyDescent="0.25">
      <c r="B75" s="76"/>
      <c r="C75" s="76"/>
      <c r="D75" s="76"/>
      <c r="E75" s="76"/>
      <c r="Q75" t="s">
        <v>147</v>
      </c>
      <c r="R75" s="96"/>
      <c r="S75" s="96"/>
      <c r="T75" s="111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</row>
    <row r="76" spans="1:49" x14ac:dyDescent="0.25">
      <c r="B76" s="76"/>
      <c r="E76"/>
      <c r="Q76" t="s">
        <v>82</v>
      </c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</row>
    <row r="77" spans="1:49" ht="15.75" thickBot="1" x14ac:dyDescent="0.3">
      <c r="Q77" s="100" t="s">
        <v>148</v>
      </c>
      <c r="R77" s="99">
        <f t="shared" ref="R77:AO77" si="45">R74*R75</f>
        <v>0</v>
      </c>
      <c r="S77" s="99">
        <f t="shared" si="45"/>
        <v>0</v>
      </c>
      <c r="T77" s="99">
        <f t="shared" si="45"/>
        <v>0</v>
      </c>
      <c r="U77" s="99">
        <f t="shared" si="45"/>
        <v>0</v>
      </c>
      <c r="V77" s="99">
        <f t="shared" si="45"/>
        <v>0</v>
      </c>
      <c r="W77" s="99">
        <f t="shared" si="45"/>
        <v>0</v>
      </c>
      <c r="X77" s="99">
        <f t="shared" si="45"/>
        <v>0</v>
      </c>
      <c r="Y77" s="99">
        <f t="shared" si="45"/>
        <v>0</v>
      </c>
      <c r="Z77" s="99">
        <f t="shared" si="45"/>
        <v>0</v>
      </c>
      <c r="AA77" s="99">
        <f t="shared" si="45"/>
        <v>0</v>
      </c>
      <c r="AB77" s="99">
        <f t="shared" si="45"/>
        <v>0</v>
      </c>
      <c r="AC77" s="99">
        <f t="shared" si="45"/>
        <v>0</v>
      </c>
      <c r="AD77" s="99">
        <f t="shared" si="45"/>
        <v>0</v>
      </c>
      <c r="AE77" s="99">
        <f t="shared" si="45"/>
        <v>0</v>
      </c>
      <c r="AF77" s="99">
        <f t="shared" si="45"/>
        <v>0</v>
      </c>
      <c r="AG77" s="99">
        <f t="shared" si="45"/>
        <v>0</v>
      </c>
      <c r="AH77" s="99">
        <f t="shared" si="45"/>
        <v>0</v>
      </c>
      <c r="AI77" s="99">
        <f t="shared" si="45"/>
        <v>0</v>
      </c>
      <c r="AJ77" s="99">
        <f t="shared" si="45"/>
        <v>0</v>
      </c>
      <c r="AK77" s="99">
        <f t="shared" si="45"/>
        <v>0</v>
      </c>
      <c r="AL77" s="99">
        <f t="shared" si="45"/>
        <v>0</v>
      </c>
      <c r="AM77" s="99">
        <f t="shared" si="45"/>
        <v>0</v>
      </c>
      <c r="AN77" s="99">
        <f t="shared" si="45"/>
        <v>0</v>
      </c>
      <c r="AO77" s="99">
        <f t="shared" si="45"/>
        <v>0</v>
      </c>
      <c r="AP77" s="99">
        <f>AP74*AP75</f>
        <v>0</v>
      </c>
      <c r="AQ77" s="99">
        <f t="shared" ref="AQ77:AV77" si="46">AQ74*AQ75</f>
        <v>0</v>
      </c>
      <c r="AR77" s="99">
        <f t="shared" si="46"/>
        <v>0</v>
      </c>
      <c r="AS77" s="99">
        <f t="shared" si="46"/>
        <v>0</v>
      </c>
      <c r="AT77" s="99">
        <f t="shared" si="46"/>
        <v>0</v>
      </c>
      <c r="AU77" s="99">
        <f t="shared" si="46"/>
        <v>0</v>
      </c>
      <c r="AV77" s="99">
        <f t="shared" si="46"/>
        <v>0</v>
      </c>
    </row>
    <row r="78" spans="1:49" x14ac:dyDescent="0.25">
      <c r="Q78" t="s">
        <v>152</v>
      </c>
      <c r="R78" s="98"/>
      <c r="S78" s="98"/>
      <c r="T78" s="96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</row>
    <row r="79" spans="1:49" x14ac:dyDescent="0.25">
      <c r="Q79" t="s">
        <v>153</v>
      </c>
      <c r="R79" s="96"/>
      <c r="S79" s="96"/>
      <c r="T79" s="111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</row>
    <row r="80" spans="1:49" x14ac:dyDescent="0.25">
      <c r="Q80" t="s">
        <v>82</v>
      </c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</row>
    <row r="81" spans="1:68" ht="15.75" thickBot="1" x14ac:dyDescent="0.3">
      <c r="A81" s="42"/>
      <c r="C81" s="42"/>
      <c r="G81" s="42"/>
      <c r="I81" s="42"/>
      <c r="O81" s="42"/>
      <c r="Q81" s="100" t="s">
        <v>154</v>
      </c>
      <c r="R81" s="99">
        <f t="shared" ref="R81:AO81" si="47">R78*R79</f>
        <v>0</v>
      </c>
      <c r="S81" s="99">
        <f t="shared" si="47"/>
        <v>0</v>
      </c>
      <c r="T81" s="99">
        <f t="shared" si="47"/>
        <v>0</v>
      </c>
      <c r="U81" s="99">
        <f t="shared" si="47"/>
        <v>0</v>
      </c>
      <c r="V81" s="99">
        <f t="shared" si="47"/>
        <v>0</v>
      </c>
      <c r="W81" s="99">
        <f t="shared" si="47"/>
        <v>0</v>
      </c>
      <c r="X81" s="99">
        <f t="shared" si="47"/>
        <v>0</v>
      </c>
      <c r="Y81" s="99">
        <f t="shared" si="47"/>
        <v>0</v>
      </c>
      <c r="Z81" s="99">
        <f t="shared" si="47"/>
        <v>0</v>
      </c>
      <c r="AA81" s="99">
        <f t="shared" si="47"/>
        <v>0</v>
      </c>
      <c r="AB81" s="99">
        <f t="shared" si="47"/>
        <v>0</v>
      </c>
      <c r="AC81" s="99">
        <f t="shared" si="47"/>
        <v>0</v>
      </c>
      <c r="AD81" s="99">
        <f t="shared" si="47"/>
        <v>0</v>
      </c>
      <c r="AE81" s="99">
        <f t="shared" si="47"/>
        <v>0</v>
      </c>
      <c r="AF81" s="99">
        <f t="shared" si="47"/>
        <v>0</v>
      </c>
      <c r="AG81" s="99">
        <f t="shared" si="47"/>
        <v>0</v>
      </c>
      <c r="AH81" s="99">
        <f t="shared" si="47"/>
        <v>0</v>
      </c>
      <c r="AI81" s="99">
        <f t="shared" si="47"/>
        <v>0</v>
      </c>
      <c r="AJ81" s="99">
        <f t="shared" si="47"/>
        <v>0</v>
      </c>
      <c r="AK81" s="99">
        <f t="shared" si="47"/>
        <v>0</v>
      </c>
      <c r="AL81" s="99">
        <f t="shared" si="47"/>
        <v>0</v>
      </c>
      <c r="AM81" s="99">
        <f t="shared" si="47"/>
        <v>0</v>
      </c>
      <c r="AN81" s="99">
        <f t="shared" si="47"/>
        <v>0</v>
      </c>
      <c r="AO81" s="99">
        <f t="shared" si="47"/>
        <v>0</v>
      </c>
      <c r="AP81" s="99">
        <f>AP78*AP79</f>
        <v>0</v>
      </c>
      <c r="AQ81" s="99">
        <f t="shared" ref="AQ81:AV81" si="48">AQ78*AQ79</f>
        <v>0</v>
      </c>
      <c r="AR81" s="99">
        <f t="shared" si="48"/>
        <v>0</v>
      </c>
      <c r="AS81" s="99">
        <f t="shared" si="48"/>
        <v>0</v>
      </c>
      <c r="AT81" s="99">
        <f t="shared" si="48"/>
        <v>0</v>
      </c>
      <c r="AU81" s="99">
        <f t="shared" si="48"/>
        <v>0</v>
      </c>
      <c r="AV81" s="99">
        <f t="shared" si="48"/>
        <v>0</v>
      </c>
      <c r="AW81" s="42"/>
    </row>
    <row r="82" spans="1:68" x14ac:dyDescent="0.25">
      <c r="Q82" t="s">
        <v>149</v>
      </c>
      <c r="R82" s="98">
        <v>0</v>
      </c>
      <c r="S82" s="98"/>
      <c r="T82" s="96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</row>
    <row r="83" spans="1:68" x14ac:dyDescent="0.25">
      <c r="Q83" t="s">
        <v>150</v>
      </c>
      <c r="R83" s="96"/>
      <c r="S83" s="96"/>
      <c r="T83" s="111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</row>
    <row r="84" spans="1:68" x14ac:dyDescent="0.25">
      <c r="Q84" t="s">
        <v>82</v>
      </c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</row>
    <row r="85" spans="1:68" ht="15.75" thickBot="1" x14ac:dyDescent="0.3">
      <c r="A85" s="42"/>
      <c r="C85" s="42"/>
      <c r="G85" s="42"/>
      <c r="I85" s="42"/>
      <c r="O85" s="42"/>
      <c r="Q85" s="100" t="s">
        <v>151</v>
      </c>
      <c r="R85" s="99">
        <f t="shared" ref="R85:AO85" si="49">R82*R83</f>
        <v>0</v>
      </c>
      <c r="S85" s="99">
        <f t="shared" si="49"/>
        <v>0</v>
      </c>
      <c r="T85" s="99">
        <f t="shared" si="49"/>
        <v>0</v>
      </c>
      <c r="U85" s="99">
        <f t="shared" si="49"/>
        <v>0</v>
      </c>
      <c r="V85" s="99">
        <f t="shared" si="49"/>
        <v>0</v>
      </c>
      <c r="W85" s="99">
        <f t="shared" si="49"/>
        <v>0</v>
      </c>
      <c r="X85" s="99">
        <f t="shared" si="49"/>
        <v>0</v>
      </c>
      <c r="Y85" s="99">
        <f t="shared" si="49"/>
        <v>0</v>
      </c>
      <c r="Z85" s="99">
        <f t="shared" si="49"/>
        <v>0</v>
      </c>
      <c r="AA85" s="99">
        <f t="shared" si="49"/>
        <v>0</v>
      </c>
      <c r="AB85" s="99">
        <f t="shared" si="49"/>
        <v>0</v>
      </c>
      <c r="AC85" s="99">
        <f t="shared" si="49"/>
        <v>0</v>
      </c>
      <c r="AD85" s="99">
        <f t="shared" si="49"/>
        <v>0</v>
      </c>
      <c r="AE85" s="99">
        <f t="shared" si="49"/>
        <v>0</v>
      </c>
      <c r="AF85" s="99">
        <f t="shared" si="49"/>
        <v>0</v>
      </c>
      <c r="AG85" s="99">
        <f t="shared" si="49"/>
        <v>0</v>
      </c>
      <c r="AH85" s="99">
        <f t="shared" si="49"/>
        <v>0</v>
      </c>
      <c r="AI85" s="99">
        <f t="shared" si="49"/>
        <v>0</v>
      </c>
      <c r="AJ85" s="99">
        <f t="shared" si="49"/>
        <v>0</v>
      </c>
      <c r="AK85" s="99">
        <f t="shared" si="49"/>
        <v>0</v>
      </c>
      <c r="AL85" s="99">
        <f t="shared" si="49"/>
        <v>0</v>
      </c>
      <c r="AM85" s="99">
        <f t="shared" si="49"/>
        <v>0</v>
      </c>
      <c r="AN85" s="99">
        <f t="shared" si="49"/>
        <v>0</v>
      </c>
      <c r="AO85" s="99">
        <f t="shared" si="49"/>
        <v>0</v>
      </c>
      <c r="AP85" s="99">
        <f>AP82*AP83</f>
        <v>0</v>
      </c>
      <c r="AQ85" s="99">
        <f t="shared" ref="AQ85:AV85" si="50">AQ82*AQ83</f>
        <v>0</v>
      </c>
      <c r="AR85" s="99">
        <f t="shared" si="50"/>
        <v>0</v>
      </c>
      <c r="AS85" s="99">
        <f t="shared" si="50"/>
        <v>0</v>
      </c>
      <c r="AT85" s="99">
        <f t="shared" si="50"/>
        <v>0</v>
      </c>
      <c r="AU85" s="99">
        <f t="shared" si="50"/>
        <v>0</v>
      </c>
      <c r="AV85" s="99">
        <f t="shared" si="50"/>
        <v>0</v>
      </c>
      <c r="AW85" s="42"/>
    </row>
    <row r="86" spans="1:68" x14ac:dyDescent="0.25">
      <c r="A86" s="42"/>
      <c r="D86" s="42"/>
      <c r="F86" s="42"/>
      <c r="G86" s="42"/>
      <c r="H86" s="42"/>
      <c r="I86" s="42"/>
      <c r="K86" s="42"/>
      <c r="L86" s="42"/>
      <c r="M86" s="42"/>
      <c r="N86" s="42"/>
      <c r="O86" s="42"/>
      <c r="R86" s="42"/>
      <c r="S86" s="42"/>
      <c r="T86" s="42"/>
      <c r="U86" s="42"/>
      <c r="V86" s="42"/>
      <c r="W86" s="42"/>
      <c r="Y86" s="42"/>
      <c r="Z86" s="42"/>
      <c r="AA86" s="42"/>
      <c r="AB86" s="42"/>
      <c r="AC86" s="42"/>
      <c r="AI86" s="42"/>
      <c r="AK86" s="42"/>
      <c r="AM86" s="42"/>
      <c r="AO86" s="42"/>
      <c r="AQ86" s="42"/>
      <c r="AW86" s="42"/>
    </row>
    <row r="89" spans="1:68" x14ac:dyDescent="0.25">
      <c r="T89" s="3"/>
    </row>
    <row r="90" spans="1:68" x14ac:dyDescent="0.25">
      <c r="A90" s="76">
        <v>-950000</v>
      </c>
      <c r="B90">
        <v>-0.95</v>
      </c>
      <c r="C90" s="76">
        <v>7508000</v>
      </c>
      <c r="D90">
        <v>5.78</v>
      </c>
      <c r="E90" s="60" t="s">
        <v>70</v>
      </c>
      <c r="F90">
        <v>954.36</v>
      </c>
      <c r="G90" t="s">
        <v>70</v>
      </c>
      <c r="H90">
        <v>954.36</v>
      </c>
      <c r="I90" s="76">
        <v>13457500</v>
      </c>
      <c r="J90" s="76">
        <v>7.69</v>
      </c>
      <c r="K90" s="76">
        <v>-7537500</v>
      </c>
      <c r="L90" s="76">
        <v>-6.03</v>
      </c>
      <c r="M90" s="76">
        <v>-682500</v>
      </c>
      <c r="N90">
        <v>-0.91</v>
      </c>
      <c r="O90" s="76">
        <v>2280000</v>
      </c>
      <c r="P90">
        <v>4.5599999999999996</v>
      </c>
      <c r="Q90" s="76">
        <v>4395000</v>
      </c>
      <c r="R90" s="76">
        <v>8.7899999999999991</v>
      </c>
      <c r="S90" t="s">
        <v>70</v>
      </c>
      <c r="T90" s="76">
        <v>930.99</v>
      </c>
      <c r="U90" t="s">
        <v>70</v>
      </c>
      <c r="V90" s="76">
        <v>930.99</v>
      </c>
      <c r="W90" s="76">
        <v>-2575000</v>
      </c>
      <c r="X90" s="76">
        <v>-2.06</v>
      </c>
      <c r="Y90" t="s">
        <v>70</v>
      </c>
      <c r="Z90" s="76">
        <v>922.1</v>
      </c>
      <c r="AA90" s="76">
        <v>8170000</v>
      </c>
      <c r="AB90">
        <v>8.17</v>
      </c>
      <c r="AC90" s="76">
        <v>7860000</v>
      </c>
      <c r="AD90">
        <v>7.86</v>
      </c>
      <c r="AE90" s="76">
        <v>16660000</v>
      </c>
      <c r="AF90" s="76">
        <v>8.33</v>
      </c>
      <c r="AG90" t="s">
        <v>70</v>
      </c>
      <c r="AH90" s="76">
        <v>901.53</v>
      </c>
      <c r="AI90" t="s">
        <v>70</v>
      </c>
      <c r="AJ90" s="76">
        <v>901.53</v>
      </c>
      <c r="AK90" s="76">
        <v>20820000</v>
      </c>
      <c r="AL90" s="76">
        <v>10.41</v>
      </c>
      <c r="AM90" t="s">
        <v>70</v>
      </c>
      <c r="AN90" s="76">
        <v>897.11</v>
      </c>
      <c r="AO90" s="76">
        <v>-25075000</v>
      </c>
      <c r="AP90">
        <v>-20.059999999999999</v>
      </c>
      <c r="AQ90" s="76">
        <v>-3162500</v>
      </c>
      <c r="AR90">
        <v>-2.5299999999999998</v>
      </c>
      <c r="AS90" s="76">
        <v>5812500</v>
      </c>
      <c r="AT90" s="76">
        <v>7.75</v>
      </c>
      <c r="AU90" t="s">
        <v>70</v>
      </c>
      <c r="AV90">
        <v>908.95</v>
      </c>
      <c r="AW90" t="s">
        <v>70</v>
      </c>
      <c r="AX90" s="76">
        <v>908.95</v>
      </c>
      <c r="AY90" s="76">
        <v>1697500</v>
      </c>
      <c r="AZ90" s="76">
        <v>0.97</v>
      </c>
      <c r="BA90" s="76">
        <v>4620000</v>
      </c>
      <c r="BB90" s="76">
        <v>3.08</v>
      </c>
      <c r="BC90" s="76">
        <v>-11070000</v>
      </c>
      <c r="BD90">
        <v>-11.07</v>
      </c>
      <c r="BE90" s="76">
        <v>-19060000</v>
      </c>
      <c r="BF90">
        <v>-9.5299999999999994</v>
      </c>
      <c r="BG90" s="76">
        <v>-275000</v>
      </c>
      <c r="BH90" s="76">
        <v>-0.22</v>
      </c>
      <c r="BJ90" s="76"/>
      <c r="BL90" s="76"/>
      <c r="BN90" s="76"/>
      <c r="BP90" s="76"/>
    </row>
    <row r="91" spans="1:68" x14ac:dyDescent="0.25">
      <c r="S91" s="2"/>
    </row>
    <row r="92" spans="1:68" x14ac:dyDescent="0.25">
      <c r="S92" s="3"/>
    </row>
    <row r="95" spans="1:68" x14ac:dyDescent="0.25">
      <c r="U95" s="2"/>
    </row>
    <row r="96" spans="1:68" x14ac:dyDescent="0.25">
      <c r="S96" s="2"/>
    </row>
    <row r="97" spans="20:22" x14ac:dyDescent="0.25">
      <c r="T97" s="2"/>
      <c r="V97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4027-276A-43CD-BAAA-169671BCEFD8}">
  <dimension ref="A1:AD99"/>
  <sheetViews>
    <sheetView showGridLines="0" zoomScaleNormal="100" workbookViewId="0">
      <selection activeCell="F4" sqref="F4:F32"/>
    </sheetView>
  </sheetViews>
  <sheetFormatPr baseColWidth="10" defaultRowHeight="15" x14ac:dyDescent="0.25"/>
  <cols>
    <col min="1" max="4" width="11.5703125" bestFit="1" customWidth="1"/>
    <col min="5" max="5" width="13.28515625" bestFit="1" customWidth="1"/>
    <col min="6" max="7" width="11.5703125" customWidth="1"/>
    <col min="9" max="9" width="12.7109375" bestFit="1" customWidth="1"/>
    <col min="10" max="10" width="13.5703125" bestFit="1" customWidth="1"/>
    <col min="12" max="12" width="11.7109375" bestFit="1" customWidth="1"/>
    <col min="13" max="13" width="13.5703125" bestFit="1" customWidth="1"/>
    <col min="14" max="14" width="10.42578125" bestFit="1" customWidth="1"/>
    <col min="15" max="15" width="7" bestFit="1" customWidth="1"/>
    <col min="16" max="16" width="27.85546875" bestFit="1" customWidth="1"/>
    <col min="17" max="17" width="64.85546875" bestFit="1" customWidth="1"/>
    <col min="18" max="18" width="11.85546875" bestFit="1" customWidth="1"/>
    <col min="19" max="19" width="12" bestFit="1" customWidth="1"/>
    <col min="22" max="22" width="11.5703125" bestFit="1" customWidth="1"/>
    <col min="26" max="26" width="12.42578125" bestFit="1" customWidth="1"/>
    <col min="27" max="27" width="13.140625" bestFit="1" customWidth="1"/>
    <col min="28" max="28" width="13.5703125" bestFit="1" customWidth="1"/>
    <col min="29" max="29" width="14.28515625" bestFit="1" customWidth="1"/>
  </cols>
  <sheetData>
    <row r="1" spans="1:30" x14ac:dyDescent="0.25">
      <c r="A1" s="4" t="s">
        <v>0</v>
      </c>
      <c r="B1" s="4" t="s">
        <v>23</v>
      </c>
      <c r="C1" s="4" t="s">
        <v>24</v>
      </c>
      <c r="D1" s="4" t="s">
        <v>1</v>
      </c>
      <c r="E1" s="4" t="s">
        <v>3</v>
      </c>
      <c r="F1" s="4" t="s">
        <v>30</v>
      </c>
      <c r="G1" s="4" t="s">
        <v>28</v>
      </c>
      <c r="H1" s="4" t="s">
        <v>29</v>
      </c>
      <c r="I1" s="4" t="s">
        <v>4</v>
      </c>
      <c r="J1" s="4"/>
      <c r="K1" s="70" t="s">
        <v>41</v>
      </c>
      <c r="N1" s="22" t="s">
        <v>0</v>
      </c>
      <c r="O1" s="23"/>
      <c r="P1" s="23"/>
      <c r="Q1" s="23"/>
      <c r="R1" s="23" t="s">
        <v>5</v>
      </c>
      <c r="S1" s="24" t="s">
        <v>6</v>
      </c>
      <c r="V1" s="5" t="s">
        <v>0</v>
      </c>
      <c r="W1" s="5" t="s">
        <v>7</v>
      </c>
      <c r="X1" s="5" t="s">
        <v>8</v>
      </c>
      <c r="Y1" s="5" t="s">
        <v>9</v>
      </c>
      <c r="Z1" s="5" t="s">
        <v>10</v>
      </c>
      <c r="AA1" s="5" t="s">
        <v>11</v>
      </c>
      <c r="AB1" s="5" t="s">
        <v>12</v>
      </c>
      <c r="AC1" s="27"/>
    </row>
    <row r="2" spans="1:30" x14ac:dyDescent="0.25">
      <c r="A2" s="1">
        <v>44958</v>
      </c>
      <c r="B2" s="2">
        <v>0</v>
      </c>
      <c r="C2" s="2"/>
      <c r="D2" s="21"/>
      <c r="E2" s="3">
        <f t="shared" ref="E2:E32" si="0">C2*D2</f>
        <v>0</v>
      </c>
      <c r="F2" s="2"/>
      <c r="G2" s="2"/>
      <c r="H2" s="26">
        <f>C2-B2+F2</f>
        <v>0</v>
      </c>
      <c r="I2" s="26">
        <f>H2*D2</f>
        <v>0</v>
      </c>
      <c r="J2" s="30"/>
      <c r="N2" s="9">
        <f>A2</f>
        <v>44958</v>
      </c>
      <c r="O2">
        <v>110262</v>
      </c>
      <c r="P2" t="s">
        <v>22</v>
      </c>
      <c r="Q2" t="str">
        <f>"CPA Movimientos Partner PAYCASH "&amp;TEXT(N2,"dd-mm-yyy") &amp; " MXN " &amp;TEXT(IF(H2&gt;1,H2,H2*-1),"#.##0") &amp; " - T/C " &amp;D2</f>
        <v xml:space="preserve">CPA Movimientos Partner PAYCASH 01-02-2023 MXN 0 - T/C </v>
      </c>
      <c r="R2" s="3">
        <f>+I2</f>
        <v>0</v>
      </c>
      <c r="S2" s="10"/>
      <c r="V2" s="6" t="s">
        <v>13</v>
      </c>
      <c r="W2" s="6">
        <v>110262</v>
      </c>
      <c r="X2" s="6"/>
      <c r="Y2" s="6" t="s">
        <v>14</v>
      </c>
      <c r="Z2" s="7"/>
      <c r="AA2" s="7"/>
      <c r="AB2" s="7">
        <v>43797625</v>
      </c>
      <c r="AC2" s="27"/>
    </row>
    <row r="3" spans="1:30" x14ac:dyDescent="0.25">
      <c r="A3" s="1">
        <v>44959</v>
      </c>
      <c r="B3" s="3"/>
      <c r="C3" s="2"/>
      <c r="D3" s="21"/>
      <c r="E3" s="3">
        <f t="shared" si="0"/>
        <v>0</v>
      </c>
      <c r="F3" s="2"/>
      <c r="G3" s="2"/>
      <c r="H3" s="26">
        <f t="shared" ref="H3:H32" si="1">C3-B3+F3</f>
        <v>0</v>
      </c>
      <c r="I3" s="26">
        <f t="shared" ref="I3:I32" si="2">H3*D3</f>
        <v>0</v>
      </c>
      <c r="N3" s="11"/>
      <c r="O3" s="12">
        <v>211101</v>
      </c>
      <c r="P3" s="12" t="s">
        <v>18</v>
      </c>
      <c r="Q3" s="12" t="str">
        <f>Q2</f>
        <v xml:space="preserve">CPA Movimientos Partner PAYCASH 01-02-2023 MXN 0 - T/C </v>
      </c>
      <c r="R3" s="13"/>
      <c r="S3" s="18">
        <f>R2</f>
        <v>0</v>
      </c>
      <c r="V3" s="25">
        <v>44927</v>
      </c>
      <c r="W3" s="27"/>
      <c r="X3" s="27"/>
      <c r="Y3" s="27"/>
      <c r="Z3" s="28">
        <f>+R2</f>
        <v>0</v>
      </c>
      <c r="AA3" s="29"/>
      <c r="AB3" s="29">
        <f>+AB2+Z3-AA3</f>
        <v>43797625</v>
      </c>
      <c r="AC3" s="28">
        <f t="shared" ref="AC3:AC33" si="3">+AB3-E2</f>
        <v>43797625</v>
      </c>
    </row>
    <row r="4" spans="1:30" x14ac:dyDescent="0.25">
      <c r="A4" s="1">
        <v>44960</v>
      </c>
      <c r="B4" s="3"/>
      <c r="C4" s="2"/>
      <c r="D4" s="21"/>
      <c r="E4" s="3">
        <f t="shared" si="0"/>
        <v>0</v>
      </c>
      <c r="F4" s="2"/>
      <c r="G4" s="2">
        <f>F4/19.829</f>
        <v>0</v>
      </c>
      <c r="H4" s="26">
        <f t="shared" si="1"/>
        <v>0</v>
      </c>
      <c r="I4" s="26">
        <f t="shared" si="2"/>
        <v>0</v>
      </c>
      <c r="K4" s="3">
        <f>G4*855.86</f>
        <v>0</v>
      </c>
      <c r="L4" s="3">
        <f>F4*D4</f>
        <v>0</v>
      </c>
      <c r="M4" s="3">
        <f>+K4-L4</f>
        <v>0</v>
      </c>
      <c r="N4" s="15">
        <v>44928</v>
      </c>
      <c r="O4" s="8">
        <v>110262</v>
      </c>
      <c r="P4" s="8" t="s">
        <v>22</v>
      </c>
      <c r="Q4" s="8" t="str">
        <f>"CPA Movimientos Partner PAYCASH "&amp;TEXT(N4,"dd-mm-yyy") &amp; " MXN " &amp;TEXT(IF(H3&gt;1,H3,H3*-1),"#.##0") &amp; " - T/C " &amp;D3</f>
        <v xml:space="preserve">CPA Movimientos Partner PAYCASH 02-01-2023 MXN 0 - T/C </v>
      </c>
      <c r="R4" s="16">
        <f>+I3</f>
        <v>0</v>
      </c>
      <c r="S4" s="17"/>
      <c r="V4" s="25">
        <v>44928</v>
      </c>
      <c r="W4" s="27"/>
      <c r="X4" s="27"/>
      <c r="Y4" s="27"/>
      <c r="Z4" s="28">
        <f>+R4</f>
        <v>0</v>
      </c>
      <c r="AA4" s="29"/>
      <c r="AB4" s="29">
        <f>+AB3+Z4-AA4</f>
        <v>43797625</v>
      </c>
      <c r="AC4" s="28">
        <f t="shared" si="3"/>
        <v>43797625</v>
      </c>
    </row>
    <row r="5" spans="1:30" x14ac:dyDescent="0.25">
      <c r="A5" s="1">
        <v>44961</v>
      </c>
      <c r="B5" s="3"/>
      <c r="C5" s="2"/>
      <c r="D5" s="21"/>
      <c r="E5" s="3">
        <f t="shared" si="0"/>
        <v>0</v>
      </c>
      <c r="F5" s="2"/>
      <c r="G5" s="2"/>
      <c r="H5" s="26">
        <f t="shared" si="1"/>
        <v>0</v>
      </c>
      <c r="I5" s="26">
        <f t="shared" si="2"/>
        <v>0</v>
      </c>
      <c r="K5" s="3">
        <f>G11*837.19</f>
        <v>0</v>
      </c>
      <c r="L5" s="3">
        <f>F11*D11</f>
        <v>0</v>
      </c>
      <c r="M5" s="3">
        <f>+K5-L5</f>
        <v>0</v>
      </c>
      <c r="N5" s="11"/>
      <c r="O5" s="12">
        <v>211101</v>
      </c>
      <c r="P5" s="12" t="s">
        <v>18</v>
      </c>
      <c r="Q5" s="12" t="str">
        <f t="shared" ref="Q5" si="4">Q4</f>
        <v xml:space="preserve">CPA Movimientos Partner PAYCASH 02-01-2023 MXN 0 - T/C </v>
      </c>
      <c r="R5" s="13"/>
      <c r="S5" s="18">
        <f>R4</f>
        <v>0</v>
      </c>
      <c r="V5" s="25">
        <v>44929</v>
      </c>
      <c r="W5" s="27"/>
      <c r="X5" s="27"/>
      <c r="Y5" s="27"/>
      <c r="Z5" s="28">
        <f>+R6</f>
        <v>0</v>
      </c>
      <c r="AA5" s="29">
        <f>+T11</f>
        <v>0</v>
      </c>
      <c r="AB5" s="29">
        <f t="shared" ref="AB5:AB11" si="5">+AB4+Z5-AA5</f>
        <v>43797625</v>
      </c>
      <c r="AC5" s="28">
        <f t="shared" si="3"/>
        <v>43797625</v>
      </c>
      <c r="AD5" s="3"/>
    </row>
    <row r="6" spans="1:30" x14ac:dyDescent="0.25">
      <c r="A6" s="1">
        <v>44962</v>
      </c>
      <c r="B6" s="3"/>
      <c r="C6" s="2"/>
      <c r="D6" s="21"/>
      <c r="E6" s="3">
        <f t="shared" si="0"/>
        <v>0</v>
      </c>
      <c r="F6" s="2"/>
      <c r="G6" s="2"/>
      <c r="H6" s="26">
        <f t="shared" si="1"/>
        <v>0</v>
      </c>
      <c r="I6" s="26">
        <f t="shared" si="2"/>
        <v>0</v>
      </c>
      <c r="K6" s="3">
        <f>G19*820.89</f>
        <v>0</v>
      </c>
      <c r="L6" s="3">
        <f>F19*D19</f>
        <v>0</v>
      </c>
      <c r="M6" s="3">
        <f>+K6-L6</f>
        <v>0</v>
      </c>
      <c r="N6" s="15">
        <v>44929</v>
      </c>
      <c r="O6" s="8">
        <v>110262</v>
      </c>
      <c r="P6" s="8" t="s">
        <v>22</v>
      </c>
      <c r="Q6" s="8" t="str">
        <f>"CPA Movimientos Partner PAYCASH "&amp;TEXT(N6,"dd-mm-yyy") &amp; " MXN " &amp;TEXT(IF(H4&gt;1,H4,H4*-1),"#.##0") &amp; " - T/C " &amp;D4</f>
        <v xml:space="preserve">CPA Movimientos Partner PAYCASH 03-01-2023 MXN 0 - T/C </v>
      </c>
      <c r="R6" s="16">
        <f>S7</f>
        <v>0</v>
      </c>
      <c r="S6" s="17"/>
      <c r="V6" s="25">
        <v>44930</v>
      </c>
      <c r="W6" s="27"/>
      <c r="X6" s="27"/>
      <c r="Y6" s="27"/>
      <c r="Z6" s="29">
        <f>+T15</f>
        <v>0</v>
      </c>
      <c r="AA6" s="29"/>
      <c r="AB6" s="29">
        <f t="shared" si="5"/>
        <v>43797625</v>
      </c>
      <c r="AC6" s="28">
        <f t="shared" si="3"/>
        <v>43797625</v>
      </c>
    </row>
    <row r="7" spans="1:30" x14ac:dyDescent="0.25">
      <c r="A7" s="1">
        <v>44963</v>
      </c>
      <c r="B7" s="3"/>
      <c r="C7" s="2"/>
      <c r="D7" s="21"/>
      <c r="E7" s="3">
        <f t="shared" si="0"/>
        <v>0</v>
      </c>
      <c r="F7" s="2"/>
      <c r="G7" s="2"/>
      <c r="H7" s="26">
        <f t="shared" si="1"/>
        <v>0</v>
      </c>
      <c r="I7" s="26">
        <f t="shared" si="2"/>
        <v>0</v>
      </c>
      <c r="K7" s="3">
        <f>G32*810.37</f>
        <v>0</v>
      </c>
      <c r="L7" s="3">
        <f>F32*D32</f>
        <v>0</v>
      </c>
      <c r="M7" s="3">
        <f>+K7-L7</f>
        <v>0</v>
      </c>
      <c r="N7" s="20"/>
      <c r="O7">
        <v>211101</v>
      </c>
      <c r="P7" t="s">
        <v>18</v>
      </c>
      <c r="Q7" t="str">
        <f>Q6</f>
        <v xml:space="preserve">CPA Movimientos Partner PAYCASH 03-01-2023 MXN 0 - T/C </v>
      </c>
      <c r="R7" s="3"/>
      <c r="S7" s="10">
        <f>ROUND(I4,0)</f>
        <v>0</v>
      </c>
      <c r="V7" s="25">
        <v>44931</v>
      </c>
      <c r="W7" s="27"/>
      <c r="X7" s="27"/>
      <c r="Y7" s="27"/>
      <c r="Z7" s="28">
        <f>+T19</f>
        <v>0</v>
      </c>
      <c r="AA7" s="28"/>
      <c r="AB7" s="29">
        <f t="shared" si="5"/>
        <v>43797625</v>
      </c>
      <c r="AC7" s="28">
        <f t="shared" si="3"/>
        <v>43797625</v>
      </c>
    </row>
    <row r="8" spans="1:30" x14ac:dyDescent="0.25">
      <c r="A8" s="1">
        <v>44964</v>
      </c>
      <c r="B8" s="3"/>
      <c r="C8" s="2"/>
      <c r="D8" s="21"/>
      <c r="E8" s="3">
        <f t="shared" si="0"/>
        <v>0</v>
      </c>
      <c r="F8" s="2"/>
      <c r="G8" s="2"/>
      <c r="H8" s="26">
        <f t="shared" si="1"/>
        <v>0</v>
      </c>
      <c r="I8" s="26">
        <f t="shared" si="2"/>
        <v>0</v>
      </c>
      <c r="M8" s="43" t="s">
        <v>32</v>
      </c>
      <c r="N8" s="44">
        <v>44929</v>
      </c>
      <c r="O8" s="45">
        <v>110276</v>
      </c>
      <c r="P8" s="45" t="s">
        <v>31</v>
      </c>
      <c r="Q8" s="45" t="str">
        <f>"CPA Rescate de Fondos Pay Cash "&amp;TEXT(N8,"dd-mm-yyy") &amp; " USD " &amp;TEXT(IF(G4&gt;1,G4,G4*-1),"#.##0") &amp; " - T/C  855,86"</f>
        <v>CPA Rescate de Fondos Pay Cash 03-01-2023 USD 0 - T/C  855,86</v>
      </c>
      <c r="R8" s="46">
        <f>S9</f>
        <v>0</v>
      </c>
      <c r="S8" s="47"/>
      <c r="V8" s="25">
        <v>44932</v>
      </c>
      <c r="W8" s="27"/>
      <c r="X8" s="27"/>
      <c r="Y8" s="27"/>
      <c r="Z8" s="28">
        <f>+T23</f>
        <v>0</v>
      </c>
      <c r="AA8" s="27"/>
      <c r="AB8" s="29">
        <f t="shared" si="5"/>
        <v>43797625</v>
      </c>
      <c r="AC8" s="28">
        <f t="shared" si="3"/>
        <v>43797625</v>
      </c>
    </row>
    <row r="9" spans="1:30" x14ac:dyDescent="0.25">
      <c r="A9" s="1">
        <v>44965</v>
      </c>
      <c r="B9" s="3"/>
      <c r="C9" s="2"/>
      <c r="D9" s="21"/>
      <c r="E9" s="3">
        <f t="shared" si="0"/>
        <v>0</v>
      </c>
      <c r="F9" s="2"/>
      <c r="G9" s="2"/>
      <c r="H9" s="26">
        <f t="shared" si="1"/>
        <v>0</v>
      </c>
      <c r="I9" s="26">
        <f t="shared" si="2"/>
        <v>0</v>
      </c>
      <c r="N9" s="48"/>
      <c r="O9" s="49">
        <v>110262</v>
      </c>
      <c r="P9" s="49" t="s">
        <v>22</v>
      </c>
      <c r="Q9" s="49" t="str">
        <f>Q8</f>
        <v>CPA Rescate de Fondos Pay Cash 03-01-2023 USD 0 - T/C  855,86</v>
      </c>
      <c r="R9" s="50"/>
      <c r="S9" s="51">
        <f>+K4</f>
        <v>0</v>
      </c>
      <c r="T9" s="3"/>
      <c r="V9" s="25">
        <v>44933</v>
      </c>
      <c r="W9" s="27"/>
      <c r="X9" s="27"/>
      <c r="Y9" s="27"/>
      <c r="Z9" s="28">
        <f>+T27</f>
        <v>0</v>
      </c>
      <c r="AA9" s="28"/>
      <c r="AB9" s="29">
        <f t="shared" si="5"/>
        <v>43797625</v>
      </c>
      <c r="AC9" s="28">
        <f t="shared" si="3"/>
        <v>43797625</v>
      </c>
    </row>
    <row r="10" spans="1:30" x14ac:dyDescent="0.25">
      <c r="A10" s="1">
        <v>44966</v>
      </c>
      <c r="B10" s="3"/>
      <c r="C10" s="2"/>
      <c r="D10" s="21"/>
      <c r="E10" s="3">
        <f t="shared" si="0"/>
        <v>0</v>
      </c>
      <c r="F10" s="2"/>
      <c r="G10" s="2"/>
      <c r="H10" s="26">
        <f t="shared" si="1"/>
        <v>0</v>
      </c>
      <c r="I10" s="26">
        <f t="shared" si="2"/>
        <v>0</v>
      </c>
      <c r="L10" s="3"/>
      <c r="N10" s="48"/>
      <c r="O10" s="49">
        <v>430105</v>
      </c>
      <c r="P10" s="49" t="s">
        <v>25</v>
      </c>
      <c r="Q10" s="49" t="str">
        <f>"CPA Ajuste T/C Rescate Fondos Partner PAYCASH "&amp;TEXT(N8,"dd-mm-yyy")</f>
        <v>CPA Ajuste T/C Rescate Fondos Partner PAYCASH 03-01-2023</v>
      </c>
      <c r="R10" s="50">
        <f>S11</f>
        <v>0</v>
      </c>
      <c r="S10" s="51"/>
      <c r="V10" s="25">
        <v>44934</v>
      </c>
      <c r="W10" s="27"/>
      <c r="X10" s="27"/>
      <c r="Y10" s="27"/>
      <c r="Z10" s="28">
        <f>+R28</f>
        <v>0</v>
      </c>
      <c r="AA10" s="27"/>
      <c r="AB10" s="29">
        <f t="shared" si="5"/>
        <v>43797625</v>
      </c>
      <c r="AC10" s="28">
        <f t="shared" si="3"/>
        <v>43797625</v>
      </c>
    </row>
    <row r="11" spans="1:30" x14ac:dyDescent="0.25">
      <c r="A11" s="1">
        <v>44967</v>
      </c>
      <c r="B11" s="3"/>
      <c r="C11" s="2"/>
      <c r="D11" s="21"/>
      <c r="E11" s="3">
        <f t="shared" si="0"/>
        <v>0</v>
      </c>
      <c r="F11" s="2"/>
      <c r="G11" s="2">
        <f>F11/19.5001</f>
        <v>0</v>
      </c>
      <c r="H11" s="26">
        <f t="shared" si="1"/>
        <v>0</v>
      </c>
      <c r="I11" s="26">
        <f t="shared" si="2"/>
        <v>0</v>
      </c>
      <c r="N11" s="48"/>
      <c r="O11" s="49">
        <v>110262</v>
      </c>
      <c r="P11" s="49" t="s">
        <v>22</v>
      </c>
      <c r="Q11" s="49" t="str">
        <f>Q10</f>
        <v>CPA Ajuste T/C Rescate Fondos Partner PAYCASH 03-01-2023</v>
      </c>
      <c r="R11" s="50"/>
      <c r="S11" s="51">
        <f>ROUND(M4*-1,0)</f>
        <v>0</v>
      </c>
      <c r="T11" s="3">
        <f>+S9+S11</f>
        <v>0</v>
      </c>
      <c r="V11" s="25">
        <v>44935</v>
      </c>
      <c r="W11" s="27"/>
      <c r="X11" s="27"/>
      <c r="Y11" s="27"/>
      <c r="Z11" s="28">
        <f>+R30</f>
        <v>0</v>
      </c>
      <c r="AA11" s="27"/>
      <c r="AB11" s="29">
        <f t="shared" si="5"/>
        <v>43797625</v>
      </c>
      <c r="AC11" s="28">
        <f t="shared" si="3"/>
        <v>43797625</v>
      </c>
    </row>
    <row r="12" spans="1:30" x14ac:dyDescent="0.25">
      <c r="A12" s="1">
        <v>44968</v>
      </c>
      <c r="B12" s="3"/>
      <c r="C12" s="2"/>
      <c r="D12" s="21"/>
      <c r="E12" s="3">
        <f t="shared" si="0"/>
        <v>0</v>
      </c>
      <c r="F12" s="2"/>
      <c r="G12" s="2"/>
      <c r="H12" s="26">
        <f t="shared" si="1"/>
        <v>0</v>
      </c>
      <c r="I12" s="26">
        <f t="shared" si="2"/>
        <v>0</v>
      </c>
      <c r="M12" s="19"/>
      <c r="N12" s="15">
        <v>44930</v>
      </c>
      <c r="O12" s="8">
        <v>110262</v>
      </c>
      <c r="P12" s="8" t="s">
        <v>22</v>
      </c>
      <c r="Q12" s="8" t="str">
        <f>"CPA Movimientos Partner PAYCASH "&amp;TEXT(N12,"dd-mm-yyy") &amp; " MXN " &amp;TEXT(IF(H5&gt;1,H5,H5*-1),"#.##0") &amp; " - T/C " &amp;D5</f>
        <v xml:space="preserve">CPA Movimientos Partner PAYCASH 04-01-2023 MXN 0 - T/C </v>
      </c>
      <c r="R12" s="16">
        <f>+I5</f>
        <v>0</v>
      </c>
      <c r="S12" s="17"/>
      <c r="V12" s="25">
        <v>44936</v>
      </c>
      <c r="W12" s="27"/>
      <c r="X12" s="27"/>
      <c r="Y12" s="27"/>
      <c r="Z12" s="28">
        <f>+T35</f>
        <v>0</v>
      </c>
      <c r="AA12" s="28">
        <f>+T39</f>
        <v>0</v>
      </c>
      <c r="AB12" s="29">
        <f>+AB11+Z12-AA12</f>
        <v>43797625</v>
      </c>
      <c r="AC12" s="28">
        <f t="shared" si="3"/>
        <v>43797625</v>
      </c>
      <c r="AD12" s="3"/>
    </row>
    <row r="13" spans="1:30" x14ac:dyDescent="0.25">
      <c r="A13" s="1">
        <v>44969</v>
      </c>
      <c r="B13" s="3"/>
      <c r="C13" s="2"/>
      <c r="D13" s="21"/>
      <c r="E13" s="3">
        <f t="shared" si="0"/>
        <v>0</v>
      </c>
      <c r="F13" s="2"/>
      <c r="G13" s="2"/>
      <c r="H13" s="26">
        <f t="shared" si="1"/>
        <v>0</v>
      </c>
      <c r="I13" s="26">
        <f t="shared" si="2"/>
        <v>0</v>
      </c>
      <c r="J13" s="31">
        <f>B5*J14</f>
        <v>0</v>
      </c>
      <c r="K13" s="32">
        <v>44930</v>
      </c>
      <c r="L13" s="39"/>
      <c r="M13" s="39"/>
      <c r="N13" s="20"/>
      <c r="O13">
        <v>211101</v>
      </c>
      <c r="P13" t="s">
        <v>18</v>
      </c>
      <c r="Q13" t="str">
        <f>Q12</f>
        <v xml:space="preserve">CPA Movimientos Partner PAYCASH 04-01-2023 MXN 0 - T/C </v>
      </c>
      <c r="R13" s="3"/>
      <c r="S13" s="10">
        <f>R12</f>
        <v>0</v>
      </c>
      <c r="V13" s="25">
        <v>44937</v>
      </c>
      <c r="Z13" s="28">
        <f>+T43</f>
        <v>0</v>
      </c>
      <c r="AB13" s="29">
        <f t="shared" ref="AB13:AB33" si="6">+AB12+Z13-AA13</f>
        <v>43797625</v>
      </c>
      <c r="AC13" s="28">
        <f t="shared" si="3"/>
        <v>43797625</v>
      </c>
    </row>
    <row r="14" spans="1:30" x14ac:dyDescent="0.25">
      <c r="A14" s="1">
        <v>44970</v>
      </c>
      <c r="B14" s="3"/>
      <c r="C14" s="2"/>
      <c r="D14" s="21"/>
      <c r="E14" s="3">
        <f t="shared" si="0"/>
        <v>0</v>
      </c>
      <c r="F14" s="2"/>
      <c r="G14" s="2"/>
      <c r="H14" s="26">
        <f t="shared" si="1"/>
        <v>0</v>
      </c>
      <c r="I14" s="26">
        <f t="shared" si="2"/>
        <v>0</v>
      </c>
      <c r="J14" s="34">
        <f>+D5-D4</f>
        <v>0</v>
      </c>
      <c r="K14" s="33"/>
      <c r="L14" s="21"/>
      <c r="M14" s="21"/>
      <c r="N14" s="20"/>
      <c r="O14">
        <v>110262</v>
      </c>
      <c r="P14" t="s">
        <v>22</v>
      </c>
      <c r="Q14" t="str">
        <f>"CPA Ajuste T/C Partner PAYCASH "&amp;TEXT(N12,"dd-mm-yyy")</f>
        <v>CPA Ajuste T/C Partner PAYCASH 04-01-2023</v>
      </c>
      <c r="R14" s="3">
        <f>J13</f>
        <v>0</v>
      </c>
      <c r="S14" s="10"/>
      <c r="V14" s="25">
        <v>44938</v>
      </c>
      <c r="Z14" s="28">
        <f>+T47</f>
        <v>0</v>
      </c>
      <c r="AB14" s="29">
        <f t="shared" si="6"/>
        <v>43797625</v>
      </c>
      <c r="AC14" s="28">
        <f t="shared" si="3"/>
        <v>43797625</v>
      </c>
    </row>
    <row r="15" spans="1:30" x14ac:dyDescent="0.25">
      <c r="A15" s="1">
        <v>44971</v>
      </c>
      <c r="B15" s="3"/>
      <c r="C15" s="2"/>
      <c r="D15" s="21"/>
      <c r="E15" s="3">
        <f t="shared" si="0"/>
        <v>0</v>
      </c>
      <c r="F15" s="2"/>
      <c r="G15" s="2"/>
      <c r="H15" s="26">
        <f t="shared" si="1"/>
        <v>0</v>
      </c>
      <c r="I15" s="26">
        <f t="shared" si="2"/>
        <v>0</v>
      </c>
      <c r="J15" s="35">
        <f>B6*J16</f>
        <v>0</v>
      </c>
      <c r="K15" s="38">
        <v>44931</v>
      </c>
      <c r="L15" s="40"/>
      <c r="M15" s="40"/>
      <c r="N15" s="20"/>
      <c r="O15">
        <v>430105</v>
      </c>
      <c r="P15" t="s">
        <v>25</v>
      </c>
      <c r="Q15" t="str">
        <f>Q14</f>
        <v>CPA Ajuste T/C Partner PAYCASH 04-01-2023</v>
      </c>
      <c r="R15" s="3"/>
      <c r="S15" s="10">
        <f>R14</f>
        <v>0</v>
      </c>
      <c r="T15" s="3">
        <f>+R12+R14</f>
        <v>0</v>
      </c>
      <c r="V15" s="25">
        <v>44939</v>
      </c>
      <c r="Z15" s="28">
        <f>+T51</f>
        <v>0</v>
      </c>
      <c r="AB15" s="29">
        <f t="shared" si="6"/>
        <v>43797625</v>
      </c>
      <c r="AC15" s="28">
        <f t="shared" si="3"/>
        <v>43797625</v>
      </c>
    </row>
    <row r="16" spans="1:30" x14ac:dyDescent="0.25">
      <c r="A16" s="1">
        <v>44972</v>
      </c>
      <c r="B16" s="3"/>
      <c r="C16" s="2"/>
      <c r="D16" s="21"/>
      <c r="E16" s="3">
        <f t="shared" si="0"/>
        <v>0</v>
      </c>
      <c r="F16" s="2"/>
      <c r="G16" s="2"/>
      <c r="H16" s="26">
        <f t="shared" si="1"/>
        <v>0</v>
      </c>
      <c r="I16" s="26">
        <f t="shared" si="2"/>
        <v>0</v>
      </c>
      <c r="J16" s="34">
        <f>+D6-D5</f>
        <v>0</v>
      </c>
      <c r="K16" s="33"/>
      <c r="L16" s="21"/>
      <c r="M16" s="21"/>
      <c r="N16" s="15">
        <v>44931</v>
      </c>
      <c r="O16" s="8">
        <v>110262</v>
      </c>
      <c r="P16" s="8" t="s">
        <v>22</v>
      </c>
      <c r="Q16" s="8" t="str">
        <f>"CPA Movimientos Partner PAYCASH "&amp;TEXT(N16,"dd-mm-yyy") &amp; " MXN " &amp;TEXT(IF(H6&gt;1,H6,H6*-1),"#.##0") &amp; " - T/C " &amp;D6</f>
        <v xml:space="preserve">CPA Movimientos Partner PAYCASH 05-01-2023 MXN 0 - T/C </v>
      </c>
      <c r="R16" s="16">
        <f>+I6</f>
        <v>0</v>
      </c>
      <c r="S16" s="17"/>
      <c r="V16" s="25">
        <v>44940</v>
      </c>
      <c r="Z16" s="28">
        <f>+T55</f>
        <v>0</v>
      </c>
      <c r="AB16" s="29">
        <f t="shared" si="6"/>
        <v>43797625</v>
      </c>
      <c r="AC16" s="28">
        <f t="shared" si="3"/>
        <v>43797625</v>
      </c>
    </row>
    <row r="17" spans="1:29" x14ac:dyDescent="0.25">
      <c r="A17" s="1">
        <v>44973</v>
      </c>
      <c r="B17" s="3"/>
      <c r="C17" s="2"/>
      <c r="D17" s="21"/>
      <c r="E17" s="3">
        <f t="shared" si="0"/>
        <v>0</v>
      </c>
      <c r="F17" s="2"/>
      <c r="G17" s="2"/>
      <c r="H17" s="26">
        <f t="shared" si="1"/>
        <v>0</v>
      </c>
      <c r="I17" s="26">
        <f t="shared" si="2"/>
        <v>0</v>
      </c>
      <c r="J17" s="35">
        <f>B7*J18</f>
        <v>0</v>
      </c>
      <c r="K17" s="32">
        <v>44932</v>
      </c>
      <c r="L17" s="39"/>
      <c r="M17" s="39"/>
      <c r="N17" s="20"/>
      <c r="O17">
        <v>211101</v>
      </c>
      <c r="P17" t="s">
        <v>18</v>
      </c>
      <c r="Q17" t="str">
        <f>Q16</f>
        <v xml:space="preserve">CPA Movimientos Partner PAYCASH 05-01-2023 MXN 0 - T/C </v>
      </c>
      <c r="R17" s="3"/>
      <c r="S17" s="10">
        <f>R16</f>
        <v>0</v>
      </c>
      <c r="V17" s="25">
        <v>44941</v>
      </c>
      <c r="Z17" s="3">
        <f>+R56</f>
        <v>0</v>
      </c>
      <c r="AB17" s="29">
        <f t="shared" si="6"/>
        <v>43797625</v>
      </c>
      <c r="AC17" s="28">
        <f t="shared" si="3"/>
        <v>43797625</v>
      </c>
    </row>
    <row r="18" spans="1:29" x14ac:dyDescent="0.25">
      <c r="A18" s="1">
        <v>44974</v>
      </c>
      <c r="B18" s="3"/>
      <c r="C18" s="2"/>
      <c r="D18" s="21"/>
      <c r="E18" s="3">
        <f t="shared" si="0"/>
        <v>0</v>
      </c>
      <c r="F18" s="2"/>
      <c r="G18" s="2"/>
      <c r="H18" s="26">
        <f t="shared" si="1"/>
        <v>0</v>
      </c>
      <c r="I18" s="26">
        <f t="shared" si="2"/>
        <v>0</v>
      </c>
      <c r="J18" s="34">
        <f>+D7-D6</f>
        <v>0</v>
      </c>
      <c r="K18" s="33"/>
      <c r="L18" s="21"/>
      <c r="M18" s="21"/>
      <c r="N18" s="20"/>
      <c r="O18">
        <v>110262</v>
      </c>
      <c r="P18" t="s">
        <v>22</v>
      </c>
      <c r="Q18" t="str">
        <f>"CPA Ajuste T/C Partner PAYCASH "&amp;TEXT(N16,"dd-mm-yyy")</f>
        <v>CPA Ajuste T/C Partner PAYCASH 05-01-2023</v>
      </c>
      <c r="R18" s="3">
        <f>J15</f>
        <v>0</v>
      </c>
      <c r="S18" s="10"/>
      <c r="V18" s="25">
        <v>44942</v>
      </c>
      <c r="Z18" s="3">
        <f>+R58</f>
        <v>0</v>
      </c>
      <c r="AB18" s="29">
        <f t="shared" si="6"/>
        <v>43797625</v>
      </c>
      <c r="AC18" s="28">
        <f t="shared" si="3"/>
        <v>43797625</v>
      </c>
    </row>
    <row r="19" spans="1:29" x14ac:dyDescent="0.25">
      <c r="A19" s="1">
        <v>44975</v>
      </c>
      <c r="B19" s="3"/>
      <c r="C19" s="2"/>
      <c r="D19" s="21"/>
      <c r="E19" s="3">
        <f t="shared" si="0"/>
        <v>0</v>
      </c>
      <c r="F19" s="2"/>
      <c r="G19" s="2">
        <f>F19/18.91</f>
        <v>0</v>
      </c>
      <c r="H19" s="26">
        <f>C19-B19+F19</f>
        <v>0</v>
      </c>
      <c r="I19" s="26">
        <f>H19*D19</f>
        <v>0</v>
      </c>
      <c r="J19" s="35">
        <f>J20*B8</f>
        <v>0</v>
      </c>
      <c r="K19" s="32">
        <v>44933</v>
      </c>
      <c r="L19" s="39"/>
      <c r="M19" s="39"/>
      <c r="N19" s="20"/>
      <c r="O19">
        <v>430105</v>
      </c>
      <c r="P19" t="s">
        <v>25</v>
      </c>
      <c r="Q19" t="str">
        <f>Q18</f>
        <v>CPA Ajuste T/C Partner PAYCASH 05-01-2023</v>
      </c>
      <c r="R19" s="3"/>
      <c r="S19" s="10">
        <f>R18</f>
        <v>0</v>
      </c>
      <c r="T19" s="3">
        <f>+R16+R18</f>
        <v>0</v>
      </c>
      <c r="V19" s="25">
        <v>44943</v>
      </c>
      <c r="Z19" s="3">
        <f>+T63</f>
        <v>0</v>
      </c>
      <c r="AB19" s="29">
        <f t="shared" si="6"/>
        <v>43797625</v>
      </c>
      <c r="AC19" s="28">
        <f t="shared" si="3"/>
        <v>43797625</v>
      </c>
    </row>
    <row r="20" spans="1:29" x14ac:dyDescent="0.25">
      <c r="A20" s="1">
        <v>44976</v>
      </c>
      <c r="B20" s="3"/>
      <c r="C20" s="2"/>
      <c r="D20" s="21"/>
      <c r="E20" s="3">
        <f t="shared" si="0"/>
        <v>0</v>
      </c>
      <c r="F20" s="2"/>
      <c r="G20" s="2"/>
      <c r="H20" s="26">
        <f t="shared" si="1"/>
        <v>0</v>
      </c>
      <c r="I20" s="26">
        <f t="shared" si="2"/>
        <v>0</v>
      </c>
      <c r="J20" s="11">
        <f>+D8-D7</f>
        <v>0</v>
      </c>
      <c r="K20" s="14"/>
      <c r="L20" s="39"/>
      <c r="M20" s="39"/>
      <c r="N20" s="15">
        <v>44932</v>
      </c>
      <c r="O20" s="8">
        <v>110262</v>
      </c>
      <c r="P20" s="8" t="s">
        <v>22</v>
      </c>
      <c r="Q20" s="8" t="str">
        <f>"CPA Movimientos Partner PAYCASH "&amp;TEXT(N20,"dd-mm-yyy") &amp; " MXN " &amp;TEXT(IF(H7&gt;1,H7,H7*-1),"#.##0") &amp; " - T/C " &amp;D7</f>
        <v xml:space="preserve">CPA Movimientos Partner PAYCASH 06-01-2023 MXN 0 - T/C </v>
      </c>
      <c r="R20" s="16">
        <f>+I7</f>
        <v>0</v>
      </c>
      <c r="S20" s="17"/>
      <c r="V20" s="25">
        <v>44944</v>
      </c>
      <c r="Z20" s="3">
        <f>+T67</f>
        <v>0</v>
      </c>
      <c r="AA20" s="3">
        <f>+L6</f>
        <v>0</v>
      </c>
      <c r="AB20" s="29">
        <f t="shared" si="6"/>
        <v>43797625</v>
      </c>
      <c r="AC20" s="28">
        <f t="shared" si="3"/>
        <v>43797625</v>
      </c>
    </row>
    <row r="21" spans="1:29" x14ac:dyDescent="0.25">
      <c r="A21" s="1">
        <v>44977</v>
      </c>
      <c r="B21" s="3"/>
      <c r="C21" s="2"/>
      <c r="E21" s="3">
        <f t="shared" si="0"/>
        <v>0</v>
      </c>
      <c r="H21" s="26">
        <f t="shared" si="1"/>
        <v>0</v>
      </c>
      <c r="I21" s="26">
        <f t="shared" si="2"/>
        <v>0</v>
      </c>
      <c r="J21" s="35">
        <f>B11*J22</f>
        <v>0</v>
      </c>
      <c r="K21" s="38">
        <v>44936</v>
      </c>
      <c r="L21" s="39"/>
      <c r="M21" s="39"/>
      <c r="N21" s="20"/>
      <c r="O21">
        <v>211101</v>
      </c>
      <c r="P21" t="s">
        <v>18</v>
      </c>
      <c r="Q21" t="str">
        <f>Q20</f>
        <v xml:space="preserve">CPA Movimientos Partner PAYCASH 06-01-2023 MXN 0 - T/C </v>
      </c>
      <c r="R21" s="3"/>
      <c r="S21" s="10">
        <f>R20</f>
        <v>0</v>
      </c>
      <c r="V21" s="25">
        <v>44945</v>
      </c>
      <c r="Z21" s="3">
        <f>+T75</f>
        <v>0</v>
      </c>
      <c r="AB21" s="29">
        <f t="shared" si="6"/>
        <v>43797625</v>
      </c>
      <c r="AC21" s="28">
        <f t="shared" si="3"/>
        <v>43797625</v>
      </c>
    </row>
    <row r="22" spans="1:29" x14ac:dyDescent="0.25">
      <c r="A22" s="1">
        <v>44978</v>
      </c>
      <c r="B22" s="3"/>
      <c r="C22" s="2"/>
      <c r="E22" s="3">
        <f t="shared" si="0"/>
        <v>0</v>
      </c>
      <c r="H22" s="26">
        <f t="shared" si="1"/>
        <v>0</v>
      </c>
      <c r="I22" s="26">
        <f t="shared" si="2"/>
        <v>0</v>
      </c>
      <c r="J22" s="11">
        <f>+D11-D10</f>
        <v>0</v>
      </c>
      <c r="K22" s="14"/>
      <c r="L22" s="39"/>
      <c r="M22" s="39"/>
      <c r="N22" s="20"/>
      <c r="O22">
        <v>110262</v>
      </c>
      <c r="P22" t="s">
        <v>22</v>
      </c>
      <c r="Q22" t="str">
        <f>"CPA Ajuste T/C Partner PAYCASH "&amp;TEXT(N20,"dd-mm-yyy")</f>
        <v>CPA Ajuste T/C Partner PAYCASH 06-01-2023</v>
      </c>
      <c r="R22" s="3">
        <f>J17</f>
        <v>0</v>
      </c>
      <c r="S22" s="10"/>
      <c r="V22" s="25">
        <v>44946</v>
      </c>
      <c r="Z22" s="3">
        <f>+T79</f>
        <v>0</v>
      </c>
      <c r="AB22" s="29">
        <f t="shared" si="6"/>
        <v>43797625</v>
      </c>
      <c r="AC22" s="28">
        <f t="shared" si="3"/>
        <v>43797625</v>
      </c>
    </row>
    <row r="23" spans="1:29" x14ac:dyDescent="0.25">
      <c r="A23" s="1">
        <v>44979</v>
      </c>
      <c r="B23" s="3"/>
      <c r="C23" s="2"/>
      <c r="E23" s="3">
        <f t="shared" si="0"/>
        <v>0</v>
      </c>
      <c r="H23" s="26">
        <f t="shared" si="1"/>
        <v>0</v>
      </c>
      <c r="I23" s="26">
        <f t="shared" si="2"/>
        <v>0</v>
      </c>
      <c r="J23" s="35">
        <f>J24*B12</f>
        <v>0</v>
      </c>
      <c r="K23" s="37">
        <v>44937</v>
      </c>
      <c r="L23" s="39"/>
      <c r="M23" s="39"/>
      <c r="N23" s="20"/>
      <c r="O23">
        <v>430105</v>
      </c>
      <c r="P23" t="s">
        <v>25</v>
      </c>
      <c r="Q23" t="str">
        <f>Q22</f>
        <v>CPA Ajuste T/C Partner PAYCASH 06-01-2023</v>
      </c>
      <c r="R23" s="3"/>
      <c r="S23" s="10">
        <f>R22</f>
        <v>0</v>
      </c>
      <c r="T23" s="3">
        <f>+R20+R22</f>
        <v>0</v>
      </c>
      <c r="V23" s="25">
        <v>44947</v>
      </c>
      <c r="Z23" s="3">
        <f>+T83</f>
        <v>0</v>
      </c>
      <c r="AB23" s="29">
        <f t="shared" si="6"/>
        <v>43797625</v>
      </c>
      <c r="AC23" s="28">
        <f t="shared" si="3"/>
        <v>43797625</v>
      </c>
    </row>
    <row r="24" spans="1:29" x14ac:dyDescent="0.25">
      <c r="A24" s="1">
        <v>44980</v>
      </c>
      <c r="B24" s="3"/>
      <c r="C24" s="2"/>
      <c r="E24" s="3">
        <f t="shared" si="0"/>
        <v>0</v>
      </c>
      <c r="H24" s="26">
        <f t="shared" si="1"/>
        <v>0</v>
      </c>
      <c r="I24" s="26">
        <f t="shared" si="2"/>
        <v>0</v>
      </c>
      <c r="J24" s="11">
        <f>+D12-D11</f>
        <v>0</v>
      </c>
      <c r="K24" s="14"/>
      <c r="L24" s="39"/>
      <c r="M24" s="39"/>
      <c r="N24" s="15">
        <v>44933</v>
      </c>
      <c r="O24" s="8">
        <v>110262</v>
      </c>
      <c r="P24" s="8" t="s">
        <v>22</v>
      </c>
      <c r="Q24" s="8" t="str">
        <f>"CPA Movimientos Partner PAYCASH "&amp;TEXT(N24,"dd-mm-yyy") &amp; " MXN " &amp;TEXT(IF(H8&gt;1,H8,H8*-1),"#.##0") &amp; " - T/C " &amp;D8</f>
        <v xml:space="preserve">CPA Movimientos Partner PAYCASH 07-01-2023 MXN 0 - T/C </v>
      </c>
      <c r="R24" s="16">
        <f>+I8</f>
        <v>0</v>
      </c>
      <c r="S24" s="17"/>
      <c r="V24" s="25">
        <v>44948</v>
      </c>
      <c r="Z24" s="3">
        <f>+R84</f>
        <v>0</v>
      </c>
      <c r="AB24" s="29">
        <f t="shared" si="6"/>
        <v>43797625</v>
      </c>
      <c r="AC24" s="28">
        <f t="shared" si="3"/>
        <v>43797625</v>
      </c>
    </row>
    <row r="25" spans="1:29" x14ac:dyDescent="0.25">
      <c r="A25" s="1">
        <v>44981</v>
      </c>
      <c r="B25" s="3"/>
      <c r="C25" s="2"/>
      <c r="E25" s="3">
        <f t="shared" si="0"/>
        <v>0</v>
      </c>
      <c r="H25" s="26">
        <f t="shared" si="1"/>
        <v>0</v>
      </c>
      <c r="I25" s="26">
        <f t="shared" si="2"/>
        <v>0</v>
      </c>
      <c r="J25" s="35">
        <f>B13*J26</f>
        <v>0</v>
      </c>
      <c r="K25" s="32">
        <v>44938</v>
      </c>
      <c r="L25" s="39"/>
      <c r="M25" s="39"/>
      <c r="N25" s="20"/>
      <c r="O25">
        <v>211101</v>
      </c>
      <c r="P25" t="s">
        <v>18</v>
      </c>
      <c r="Q25" t="str">
        <f>Q24</f>
        <v xml:space="preserve">CPA Movimientos Partner PAYCASH 07-01-2023 MXN 0 - T/C </v>
      </c>
      <c r="R25" s="3"/>
      <c r="S25" s="10">
        <f>R24</f>
        <v>0</v>
      </c>
      <c r="V25" s="25">
        <v>44949</v>
      </c>
      <c r="Z25" s="3">
        <f>+R88</f>
        <v>0</v>
      </c>
      <c r="AB25" s="29">
        <f t="shared" si="6"/>
        <v>43797625</v>
      </c>
      <c r="AC25" s="28">
        <f t="shared" si="3"/>
        <v>43797625</v>
      </c>
    </row>
    <row r="26" spans="1:29" x14ac:dyDescent="0.25">
      <c r="A26" s="1">
        <v>44982</v>
      </c>
      <c r="B26" s="3"/>
      <c r="C26" s="2"/>
      <c r="E26" s="3">
        <f t="shared" si="0"/>
        <v>0</v>
      </c>
      <c r="H26" s="26">
        <f t="shared" si="1"/>
        <v>0</v>
      </c>
      <c r="I26" s="26">
        <f t="shared" si="2"/>
        <v>0</v>
      </c>
      <c r="J26" s="11">
        <f>+D13-D12</f>
        <v>0</v>
      </c>
      <c r="K26" s="14"/>
      <c r="N26" s="20"/>
      <c r="O26">
        <v>430105</v>
      </c>
      <c r="P26" t="s">
        <v>25</v>
      </c>
      <c r="Q26" t="str">
        <f>"CPA Ajuste T/C Partner PAYCASH "&amp;TEXT(N24,"dd-mm-yyy")</f>
        <v>CPA Ajuste T/C Partner PAYCASH 07-01-2023</v>
      </c>
      <c r="R26" s="3">
        <f>+J19*-1</f>
        <v>0</v>
      </c>
      <c r="S26" s="10"/>
      <c r="V26" s="25">
        <v>44950</v>
      </c>
      <c r="AA26" s="3">
        <f>+T95</f>
        <v>0</v>
      </c>
      <c r="AB26" s="29">
        <f t="shared" si="6"/>
        <v>43797625</v>
      </c>
      <c r="AC26" s="28">
        <f t="shared" si="3"/>
        <v>43797625</v>
      </c>
    </row>
    <row r="27" spans="1:29" x14ac:dyDescent="0.25">
      <c r="A27" s="1">
        <v>44983</v>
      </c>
      <c r="B27" s="3"/>
      <c r="C27" s="2"/>
      <c r="E27" s="3">
        <f t="shared" si="0"/>
        <v>0</v>
      </c>
      <c r="H27" s="26">
        <f t="shared" si="1"/>
        <v>0</v>
      </c>
      <c r="I27" s="26">
        <f t="shared" si="2"/>
        <v>0</v>
      </c>
      <c r="J27" s="35">
        <f>B14*J28</f>
        <v>0</v>
      </c>
      <c r="K27" s="32">
        <v>44939</v>
      </c>
      <c r="L27" s="39"/>
      <c r="M27" s="39"/>
      <c r="N27" s="20"/>
      <c r="O27">
        <v>110262</v>
      </c>
      <c r="P27" t="s">
        <v>22</v>
      </c>
      <c r="Q27" t="str">
        <f>Q26</f>
        <v>CPA Ajuste T/C Partner PAYCASH 07-01-2023</v>
      </c>
      <c r="R27" s="3"/>
      <c r="S27" s="10">
        <f>+J19*-1</f>
        <v>0</v>
      </c>
      <c r="T27" s="3">
        <f>+R24-S27</f>
        <v>0</v>
      </c>
      <c r="V27" s="25">
        <v>44951</v>
      </c>
      <c r="AB27" s="29">
        <f t="shared" si="6"/>
        <v>43797625</v>
      </c>
      <c r="AC27" s="28">
        <f t="shared" si="3"/>
        <v>43797625</v>
      </c>
    </row>
    <row r="28" spans="1:29" x14ac:dyDescent="0.25">
      <c r="A28" s="1">
        <v>44984</v>
      </c>
      <c r="B28" s="3"/>
      <c r="C28" s="2"/>
      <c r="E28" s="3">
        <f t="shared" si="0"/>
        <v>0</v>
      </c>
      <c r="H28" s="26">
        <f t="shared" si="1"/>
        <v>0</v>
      </c>
      <c r="I28" s="26">
        <f t="shared" si="2"/>
        <v>0</v>
      </c>
      <c r="J28" s="11">
        <f>+D14-D13</f>
        <v>0</v>
      </c>
      <c r="K28" s="14"/>
      <c r="N28" s="15">
        <v>44934</v>
      </c>
      <c r="O28" s="8">
        <v>110262</v>
      </c>
      <c r="P28" s="8" t="s">
        <v>22</v>
      </c>
      <c r="Q28" s="8" t="str">
        <f>"CPA Movimientos Partner PAYCASH "&amp;TEXT(N28,"dd-mm-yyy") &amp; " MXN " &amp;TEXT(IF(H9&gt;1,H9,H9*-1),"#.##0") &amp; " - T/C " &amp;D9</f>
        <v xml:space="preserve">CPA Movimientos Partner PAYCASH 08-01-2023 MXN 0 - T/C </v>
      </c>
      <c r="R28" s="16">
        <f>+I9</f>
        <v>0</v>
      </c>
      <c r="S28" s="17"/>
      <c r="V28" s="25">
        <v>44952</v>
      </c>
      <c r="AB28" s="29">
        <f t="shared" si="6"/>
        <v>43797625</v>
      </c>
      <c r="AC28" s="28">
        <f t="shared" si="3"/>
        <v>43797625</v>
      </c>
    </row>
    <row r="29" spans="1:29" x14ac:dyDescent="0.25">
      <c r="A29" s="1">
        <v>44985</v>
      </c>
      <c r="B29" s="3"/>
      <c r="C29" s="2"/>
      <c r="E29" s="3">
        <f t="shared" si="0"/>
        <v>0</v>
      </c>
      <c r="H29" s="26">
        <f t="shared" si="1"/>
        <v>0</v>
      </c>
      <c r="I29" s="26">
        <f t="shared" si="2"/>
        <v>0</v>
      </c>
      <c r="J29" s="35">
        <f>B15*J30</f>
        <v>0</v>
      </c>
      <c r="K29" s="32">
        <v>44940</v>
      </c>
      <c r="L29" s="39"/>
      <c r="M29" s="39"/>
      <c r="N29" s="11"/>
      <c r="O29" s="12">
        <v>211101</v>
      </c>
      <c r="P29" s="12" t="s">
        <v>18</v>
      </c>
      <c r="Q29" t="str">
        <f>Q28</f>
        <v xml:space="preserve">CPA Movimientos Partner PAYCASH 08-01-2023 MXN 0 - T/C </v>
      </c>
      <c r="R29" s="13"/>
      <c r="S29" s="18">
        <f>R28</f>
        <v>0</v>
      </c>
      <c r="V29" s="25">
        <v>44953</v>
      </c>
      <c r="AB29" s="29">
        <f t="shared" si="6"/>
        <v>43797625</v>
      </c>
      <c r="AC29" s="28">
        <f t="shared" si="3"/>
        <v>43797625</v>
      </c>
    </row>
    <row r="30" spans="1:29" x14ac:dyDescent="0.25">
      <c r="A30" s="1" t="s">
        <v>42</v>
      </c>
      <c r="B30" s="3"/>
      <c r="C30" s="2"/>
      <c r="E30" s="3">
        <f t="shared" si="0"/>
        <v>0</v>
      </c>
      <c r="H30" s="26">
        <f t="shared" si="1"/>
        <v>0</v>
      </c>
      <c r="I30" s="26">
        <f t="shared" si="2"/>
        <v>0</v>
      </c>
      <c r="J30" s="11">
        <f>+D15-D14</f>
        <v>0</v>
      </c>
      <c r="K30" s="14"/>
      <c r="N30" s="15">
        <v>44935</v>
      </c>
      <c r="O30" s="8">
        <v>110262</v>
      </c>
      <c r="P30" s="8" t="s">
        <v>22</v>
      </c>
      <c r="Q30" s="8" t="str">
        <f>"CPA Movimientos Partner PAYCASH "&amp;TEXT(N30,"dd-mm-yyy") &amp; " MXN " &amp;TEXT(IF(H10&gt;1,H10,H10*-1),"#.##0") &amp; " - T/C " &amp;D10</f>
        <v xml:space="preserve">CPA Movimientos Partner PAYCASH 09-01-2023 MXN 0 - T/C </v>
      </c>
      <c r="R30" s="16">
        <f>+I10</f>
        <v>0</v>
      </c>
      <c r="S30" s="17"/>
      <c r="V30" s="25">
        <v>44954</v>
      </c>
      <c r="AB30" s="29">
        <f t="shared" si="6"/>
        <v>43797625</v>
      </c>
      <c r="AC30" s="28">
        <f t="shared" si="3"/>
        <v>43797625</v>
      </c>
    </row>
    <row r="31" spans="1:29" x14ac:dyDescent="0.25">
      <c r="A31" s="1" t="s">
        <v>43</v>
      </c>
      <c r="B31" s="3"/>
      <c r="C31" s="2"/>
      <c r="E31" s="3">
        <f t="shared" si="0"/>
        <v>0</v>
      </c>
      <c r="H31" s="26">
        <f t="shared" si="1"/>
        <v>0</v>
      </c>
      <c r="I31" s="26">
        <f t="shared" si="2"/>
        <v>0</v>
      </c>
      <c r="J31" s="35">
        <f>ROUND(B18*J32,0)</f>
        <v>0</v>
      </c>
      <c r="K31" s="36">
        <v>44943</v>
      </c>
      <c r="N31" s="11"/>
      <c r="O31" s="12">
        <v>211101</v>
      </c>
      <c r="P31" s="12" t="s">
        <v>18</v>
      </c>
      <c r="Q31" t="str">
        <f>Q30</f>
        <v xml:space="preserve">CPA Movimientos Partner PAYCASH 09-01-2023 MXN 0 - T/C </v>
      </c>
      <c r="R31" s="13"/>
      <c r="S31" s="18">
        <f>R30</f>
        <v>0</v>
      </c>
      <c r="T31" s="3"/>
      <c r="V31" s="25">
        <v>44955</v>
      </c>
      <c r="AB31" s="29">
        <f t="shared" si="6"/>
        <v>43797625</v>
      </c>
      <c r="AC31" s="28">
        <f t="shared" si="3"/>
        <v>43797625</v>
      </c>
    </row>
    <row r="32" spans="1:29" x14ac:dyDescent="0.25">
      <c r="A32" s="1" t="s">
        <v>44</v>
      </c>
      <c r="B32" s="3"/>
      <c r="C32" s="2"/>
      <c r="E32" s="3">
        <f t="shared" si="0"/>
        <v>0</v>
      </c>
      <c r="F32" s="3"/>
      <c r="G32" s="3">
        <f>F32/19.025</f>
        <v>0</v>
      </c>
      <c r="H32" s="26">
        <f t="shared" si="1"/>
        <v>0</v>
      </c>
      <c r="I32" s="26">
        <f t="shared" si="2"/>
        <v>0</v>
      </c>
      <c r="J32" s="34">
        <f>+D18-D17</f>
        <v>0</v>
      </c>
      <c r="K32" s="14"/>
      <c r="N32" s="15">
        <v>44936</v>
      </c>
      <c r="O32" s="8">
        <v>110262</v>
      </c>
      <c r="P32" s="8" t="s">
        <v>22</v>
      </c>
      <c r="Q32" s="8" t="str">
        <f>"CPA Movimientos Partner PAYCASH "&amp;TEXT(N32,"dd-mm-yyy") &amp; " MXN " &amp;TEXT(IF(H11&gt;1,H11,H11*-1),"#.##0") &amp; " - T/C " &amp;D11</f>
        <v xml:space="preserve">CPA Movimientos Partner PAYCASH 10-01-2023 MXN 0 - T/C </v>
      </c>
      <c r="R32" s="16">
        <f>+S33</f>
        <v>0</v>
      </c>
      <c r="S32" s="17"/>
      <c r="V32" s="25">
        <v>44956</v>
      </c>
      <c r="AB32" s="29">
        <f t="shared" si="6"/>
        <v>43797625</v>
      </c>
      <c r="AC32" s="28">
        <f t="shared" si="3"/>
        <v>43797625</v>
      </c>
    </row>
    <row r="33" spans="1:29" x14ac:dyDescent="0.25">
      <c r="J33" s="35">
        <f>ROUND(B19*J34,0)</f>
        <v>0</v>
      </c>
      <c r="K33" s="36">
        <v>44944</v>
      </c>
      <c r="N33" s="9"/>
      <c r="O33">
        <v>211101</v>
      </c>
      <c r="P33" t="s">
        <v>18</v>
      </c>
      <c r="Q33" t="str">
        <f>Q32</f>
        <v xml:space="preserve">CPA Movimientos Partner PAYCASH 10-01-2023 MXN 0 - T/C </v>
      </c>
      <c r="R33" s="3"/>
      <c r="S33" s="10">
        <f>I11</f>
        <v>0</v>
      </c>
      <c r="V33" s="25">
        <v>44957</v>
      </c>
      <c r="AB33" s="29">
        <f t="shared" si="6"/>
        <v>43797625</v>
      </c>
      <c r="AC33" s="28">
        <f t="shared" si="3"/>
        <v>43797625</v>
      </c>
    </row>
    <row r="34" spans="1:29" x14ac:dyDescent="0.25">
      <c r="J34" s="34">
        <f>+D19-D18</f>
        <v>0</v>
      </c>
      <c r="K34" s="14"/>
      <c r="M34" s="43"/>
      <c r="N34" s="9"/>
      <c r="O34">
        <v>430105</v>
      </c>
      <c r="P34" t="s">
        <v>25</v>
      </c>
      <c r="Q34" t="str">
        <f>"CPA Ajuste T/C Partner PAYCASH "&amp;TEXT(N32,"dd-mm-yyy")</f>
        <v>CPA Ajuste T/C Partner PAYCASH 10-01-2023</v>
      </c>
      <c r="R34" s="3">
        <f>J21*-1</f>
        <v>0</v>
      </c>
      <c r="S34" s="10"/>
      <c r="V34" s="6" t="s">
        <v>15</v>
      </c>
      <c r="W34" s="6">
        <v>110262</v>
      </c>
      <c r="X34" s="6"/>
      <c r="Y34" s="6" t="s">
        <v>16</v>
      </c>
      <c r="Z34" s="7">
        <f>SUM(Z3:Z33)</f>
        <v>0</v>
      </c>
      <c r="AA34" s="7">
        <f>SUM(AA3:AA33)</f>
        <v>0</v>
      </c>
      <c r="AB34" s="7">
        <f>+Z34-AA34</f>
        <v>0</v>
      </c>
    </row>
    <row r="35" spans="1:29" x14ac:dyDescent="0.25">
      <c r="A35" s="66">
        <v>110262</v>
      </c>
      <c r="B35" s="66" t="s">
        <v>12</v>
      </c>
      <c r="C35" s="66"/>
      <c r="D35" s="69" t="s">
        <v>1</v>
      </c>
      <c r="E35" s="66" t="s">
        <v>38</v>
      </c>
      <c r="J35" s="35">
        <f>ROUND(B20*J36,0)</f>
        <v>0</v>
      </c>
      <c r="K35" s="36">
        <v>44945</v>
      </c>
      <c r="N35" s="9"/>
      <c r="O35">
        <v>110262</v>
      </c>
      <c r="P35" t="s">
        <v>22</v>
      </c>
      <c r="Q35" t="str">
        <f>Q34</f>
        <v>CPA Ajuste T/C Partner PAYCASH 10-01-2023</v>
      </c>
      <c r="R35" s="3"/>
      <c r="S35" s="10">
        <f>J21*-1</f>
        <v>0</v>
      </c>
      <c r="T35" s="3">
        <f>+R32-R34</f>
        <v>0</v>
      </c>
      <c r="V35" s="6"/>
      <c r="W35" s="6"/>
      <c r="X35" s="6"/>
      <c r="Y35" s="6" t="s">
        <v>17</v>
      </c>
      <c r="Z35" s="7"/>
      <c r="AA35" s="7"/>
      <c r="AB35" s="7">
        <f>+AB2+Z34-AA34</f>
        <v>43797625</v>
      </c>
    </row>
    <row r="36" spans="1:29" x14ac:dyDescent="0.25">
      <c r="A36" s="66"/>
      <c r="B36" s="66" t="s">
        <v>39</v>
      </c>
      <c r="C36" s="67">
        <v>0</v>
      </c>
      <c r="D36" s="69">
        <v>42.77</v>
      </c>
      <c r="E36" s="68">
        <f>C36*D36</f>
        <v>0</v>
      </c>
      <c r="J36" s="34">
        <f>+D20-D19</f>
        <v>0</v>
      </c>
      <c r="K36" s="14"/>
      <c r="M36" s="43" t="s">
        <v>32</v>
      </c>
      <c r="N36" s="44">
        <v>44936</v>
      </c>
      <c r="O36" s="45">
        <v>110276</v>
      </c>
      <c r="P36" s="45" t="s">
        <v>31</v>
      </c>
      <c r="Q36" s="45" t="str">
        <f>"CPA Rescate de Fondos Pay Cash "&amp;TEXT(N36,"dd-mm-yyy") &amp; " USD " &amp;TEXT(IF(G11&gt;1,G11,G11*-1),"#.##0") &amp; " - T/C  837,19"</f>
        <v>CPA Rescate de Fondos Pay Cash 10-01-2023 USD 0 - T/C  837,19</v>
      </c>
      <c r="R36" s="46">
        <f>S37</f>
        <v>0</v>
      </c>
      <c r="S36" s="47"/>
    </row>
    <row r="37" spans="1:29" x14ac:dyDescent="0.25">
      <c r="A37" s="66"/>
      <c r="B37" s="66" t="s">
        <v>40</v>
      </c>
      <c r="C37" s="66"/>
      <c r="D37" s="69"/>
      <c r="E37" s="68">
        <v>0</v>
      </c>
      <c r="J37" s="35">
        <f>ROUND(B21*J38,0)</f>
        <v>0</v>
      </c>
      <c r="K37" s="36">
        <v>44946</v>
      </c>
      <c r="N37" s="48"/>
      <c r="O37" s="49">
        <v>110262</v>
      </c>
      <c r="P37" s="49" t="s">
        <v>22</v>
      </c>
      <c r="Q37" s="49" t="str">
        <f>Q36</f>
        <v>CPA Rescate de Fondos Pay Cash 10-01-2023 USD 0 - T/C  837,19</v>
      </c>
      <c r="R37" s="50"/>
      <c r="S37" s="51">
        <f>+K5</f>
        <v>0</v>
      </c>
    </row>
    <row r="38" spans="1:29" x14ac:dyDescent="0.25">
      <c r="A38" s="66"/>
      <c r="B38" s="66"/>
      <c r="C38" s="66"/>
      <c r="D38" s="69"/>
      <c r="E38" s="68">
        <f>E36-E37</f>
        <v>0</v>
      </c>
      <c r="J38" s="34">
        <f>+D21-D20</f>
        <v>0</v>
      </c>
      <c r="K38" s="14"/>
      <c r="N38" s="48"/>
      <c r="O38" s="49">
        <v>430105</v>
      </c>
      <c r="P38" s="49" t="s">
        <v>25</v>
      </c>
      <c r="Q38" s="49" t="str">
        <f>"CPA Ajuste T/C Rescate Fondos Partner PAYCASH "&amp;TEXT(N36,"dd-mm-yyy")</f>
        <v>CPA Ajuste T/C Rescate Fondos Partner PAYCASH 10-01-2023</v>
      </c>
      <c r="R38" s="50">
        <f>S39</f>
        <v>0</v>
      </c>
      <c r="S38" s="51"/>
      <c r="U38" s="3">
        <f>R34</f>
        <v>0</v>
      </c>
      <c r="V38" t="s">
        <v>33</v>
      </c>
    </row>
    <row r="39" spans="1:29" x14ac:dyDescent="0.25">
      <c r="J39" s="35">
        <f>ROUND(B22*J40,0)</f>
        <v>0</v>
      </c>
      <c r="K39" s="36">
        <v>44947</v>
      </c>
      <c r="N39" s="48"/>
      <c r="O39" s="49">
        <v>110262</v>
      </c>
      <c r="P39" s="49" t="s">
        <v>22</v>
      </c>
      <c r="Q39" s="49" t="str">
        <f>Q38</f>
        <v>CPA Ajuste T/C Rescate Fondos Partner PAYCASH 10-01-2023</v>
      </c>
      <c r="R39" s="50"/>
      <c r="S39" s="51">
        <f>ROUND(M5*-1,0)</f>
        <v>0</v>
      </c>
      <c r="T39" s="3">
        <f>+S37+S39</f>
        <v>0</v>
      </c>
      <c r="U39" s="3"/>
    </row>
    <row r="40" spans="1:29" x14ac:dyDescent="0.25">
      <c r="J40" s="11">
        <f>+D22-D21</f>
        <v>0</v>
      </c>
      <c r="K40" s="14"/>
      <c r="N40" s="15">
        <v>44937</v>
      </c>
      <c r="O40" s="8">
        <v>110262</v>
      </c>
      <c r="P40" s="8" t="s">
        <v>22</v>
      </c>
      <c r="Q40" s="8" t="str">
        <f>"CPA Movimientos Partner PAYCASH "&amp;TEXT(N40,"dd-mm-yyy") &amp; " MXN " &amp;TEXT(IF(H12&gt;1,H12,H12*-1),"#.##0") &amp; " - T/C " &amp;D12</f>
        <v xml:space="preserve">CPA Movimientos Partner PAYCASH 11-01-2023 MXN 0 - T/C </v>
      </c>
      <c r="R40" s="16">
        <f>+I12</f>
        <v>0</v>
      </c>
      <c r="S40" s="17"/>
    </row>
    <row r="41" spans="1:29" x14ac:dyDescent="0.25">
      <c r="J41" s="35">
        <f>ROUND(B25*J42,0)</f>
        <v>0</v>
      </c>
      <c r="K41" s="36">
        <v>44950</v>
      </c>
      <c r="N41" s="9"/>
      <c r="O41">
        <v>211101</v>
      </c>
      <c r="P41" t="s">
        <v>18</v>
      </c>
      <c r="Q41" t="str">
        <f>Q40</f>
        <v xml:space="preserve">CPA Movimientos Partner PAYCASH 11-01-2023 MXN 0 - T/C </v>
      </c>
      <c r="R41" s="3"/>
      <c r="S41" s="10">
        <f>R40</f>
        <v>0</v>
      </c>
    </row>
    <row r="42" spans="1:29" x14ac:dyDescent="0.25">
      <c r="J42" s="11">
        <f>+D25-D24</f>
        <v>0</v>
      </c>
      <c r="K42" s="14"/>
      <c r="N42" s="9"/>
      <c r="O42">
        <v>110262</v>
      </c>
      <c r="P42" t="s">
        <v>22</v>
      </c>
      <c r="Q42" t="str">
        <f>"CPA Ajuste T/C Partner PAYCASH "&amp;TEXT(N40,"dd-mm-yyy")</f>
        <v>CPA Ajuste T/C Partner PAYCASH 11-01-2023</v>
      </c>
      <c r="R42" s="3">
        <f>J23</f>
        <v>0</v>
      </c>
      <c r="S42" s="10"/>
    </row>
    <row r="43" spans="1:29" x14ac:dyDescent="0.25">
      <c r="J43" s="35">
        <f>B26*J44</f>
        <v>0</v>
      </c>
      <c r="K43" s="36">
        <v>44951</v>
      </c>
      <c r="N43" s="9"/>
      <c r="O43">
        <v>430105</v>
      </c>
      <c r="P43" t="s">
        <v>25</v>
      </c>
      <c r="Q43" t="str">
        <f>Q42</f>
        <v>CPA Ajuste T/C Partner PAYCASH 11-01-2023</v>
      </c>
      <c r="R43" s="3"/>
      <c r="S43" s="10">
        <f>R42</f>
        <v>0</v>
      </c>
      <c r="T43" s="3">
        <f>+R40+R42</f>
        <v>0</v>
      </c>
    </row>
    <row r="44" spans="1:29" x14ac:dyDescent="0.25">
      <c r="J44" s="11">
        <f>+D26-D25</f>
        <v>0</v>
      </c>
      <c r="K44" s="14"/>
      <c r="N44" s="15">
        <v>44938</v>
      </c>
      <c r="O44" s="8">
        <v>110262</v>
      </c>
      <c r="P44" s="8" t="s">
        <v>22</v>
      </c>
      <c r="Q44" s="8" t="str">
        <f>"CPA Movimientos Partner PAYCASH "&amp;TEXT(N44,"dd-mm-yyy") &amp; " MXN " &amp;TEXT(IF(H13&gt;1,H13,H13*-1),"#.##0") &amp; " - T/C " &amp;D13</f>
        <v xml:space="preserve">CPA Movimientos Partner PAYCASH 12-01-2023 MXN 0 - T/C </v>
      </c>
      <c r="R44" s="16">
        <f>+I13</f>
        <v>0</v>
      </c>
      <c r="S44" s="17"/>
    </row>
    <row r="45" spans="1:29" x14ac:dyDescent="0.25">
      <c r="J45" s="35">
        <f>B27*J46</f>
        <v>0</v>
      </c>
      <c r="K45" s="36">
        <v>44952</v>
      </c>
      <c r="N45" s="9"/>
      <c r="O45">
        <v>211101</v>
      </c>
      <c r="P45" t="s">
        <v>18</v>
      </c>
      <c r="Q45" t="str">
        <f>Q44</f>
        <v xml:space="preserve">CPA Movimientos Partner PAYCASH 12-01-2023 MXN 0 - T/C </v>
      </c>
      <c r="R45" s="3"/>
      <c r="S45" s="10">
        <f>R44</f>
        <v>0</v>
      </c>
    </row>
    <row r="46" spans="1:29" x14ac:dyDescent="0.25">
      <c r="J46" s="11">
        <f>+D27-D26</f>
        <v>0</v>
      </c>
      <c r="K46" s="14"/>
      <c r="N46" s="9"/>
      <c r="O46">
        <v>430105</v>
      </c>
      <c r="P46" t="s">
        <v>25</v>
      </c>
      <c r="Q46" t="str">
        <f>"CPA Ajuste T/C Partner PAYCASH "&amp;TEXT(N44,"dd-mm-yyy")</f>
        <v>CPA Ajuste T/C Partner PAYCASH 12-01-2023</v>
      </c>
      <c r="R46" s="3">
        <f>S47</f>
        <v>0</v>
      </c>
      <c r="S46" s="10"/>
    </row>
    <row r="47" spans="1:29" x14ac:dyDescent="0.25">
      <c r="J47" s="35">
        <f>B28*J48</f>
        <v>0</v>
      </c>
      <c r="K47" s="36">
        <v>44953</v>
      </c>
      <c r="N47" s="9"/>
      <c r="O47">
        <v>110262</v>
      </c>
      <c r="P47" t="s">
        <v>22</v>
      </c>
      <c r="Q47" t="str">
        <f>Q46</f>
        <v>CPA Ajuste T/C Partner PAYCASH 12-01-2023</v>
      </c>
      <c r="R47" s="3"/>
      <c r="S47" s="10">
        <f>+J25*-1</f>
        <v>0</v>
      </c>
      <c r="T47" s="3">
        <f>+R44-S47</f>
        <v>0</v>
      </c>
    </row>
    <row r="48" spans="1:29" x14ac:dyDescent="0.25">
      <c r="J48" s="11">
        <f>+D28-D27</f>
        <v>0</v>
      </c>
      <c r="K48" s="14"/>
      <c r="N48" s="15">
        <v>44939</v>
      </c>
      <c r="O48" s="8">
        <v>110262</v>
      </c>
      <c r="P48" s="8" t="s">
        <v>22</v>
      </c>
      <c r="Q48" s="8" t="str">
        <f>"CPA Movimientos Partner PAYCASH "&amp;TEXT(N48,"dd-mm-yyy") &amp; " MXN " &amp;TEXT(IF(H14&gt;1,H14,H14*-1),"#.##0") &amp; " - T/C " &amp;D14</f>
        <v xml:space="preserve">CPA Movimientos Partner PAYCASH 13-01-2023 MXN 0 - T/C </v>
      </c>
      <c r="R48" s="16">
        <f>+I14</f>
        <v>0</v>
      </c>
      <c r="S48" s="17"/>
    </row>
    <row r="49" spans="10:20" x14ac:dyDescent="0.25">
      <c r="J49" s="35">
        <f>B29*J50</f>
        <v>0</v>
      </c>
      <c r="K49" s="36">
        <v>44954</v>
      </c>
      <c r="N49" s="9"/>
      <c r="O49">
        <v>211101</v>
      </c>
      <c r="P49" t="s">
        <v>18</v>
      </c>
      <c r="Q49" t="str">
        <f>Q48</f>
        <v xml:space="preserve">CPA Movimientos Partner PAYCASH 13-01-2023 MXN 0 - T/C </v>
      </c>
      <c r="R49" s="3"/>
      <c r="S49" s="10">
        <f>R48</f>
        <v>0</v>
      </c>
    </row>
    <row r="50" spans="10:20" x14ac:dyDescent="0.25">
      <c r="J50" s="11">
        <f>+D29-D28</f>
        <v>0</v>
      </c>
      <c r="K50" s="14"/>
      <c r="N50" s="9"/>
      <c r="O50">
        <v>110262</v>
      </c>
      <c r="P50" t="s">
        <v>22</v>
      </c>
      <c r="Q50" t="str">
        <f>"CPA Ajuste T/C Partner PAYCASH "&amp;TEXT(N48,"dd-mm-yyy")</f>
        <v>CPA Ajuste T/C Partner PAYCASH 13-01-2023</v>
      </c>
      <c r="R50" s="3">
        <f>J27</f>
        <v>0</v>
      </c>
      <c r="S50" s="10"/>
    </row>
    <row r="51" spans="10:20" x14ac:dyDescent="0.25">
      <c r="J51" s="35">
        <f>B32*J52</f>
        <v>0</v>
      </c>
      <c r="K51" s="36">
        <v>44957</v>
      </c>
      <c r="N51" s="9"/>
      <c r="O51">
        <v>430105</v>
      </c>
      <c r="P51" t="s">
        <v>25</v>
      </c>
      <c r="Q51" t="str">
        <f>Q50</f>
        <v>CPA Ajuste T/C Partner PAYCASH 13-01-2023</v>
      </c>
      <c r="R51" s="3"/>
      <c r="S51" s="10">
        <f>R50</f>
        <v>0</v>
      </c>
      <c r="T51" s="3">
        <f>+R48+R50</f>
        <v>0</v>
      </c>
    </row>
    <row r="52" spans="10:20" x14ac:dyDescent="0.25">
      <c r="J52" s="11">
        <f>+D32-D31</f>
        <v>0</v>
      </c>
      <c r="K52" s="14"/>
      <c r="N52" s="15">
        <v>44940</v>
      </c>
      <c r="O52" s="8">
        <v>110262</v>
      </c>
      <c r="P52" s="8" t="s">
        <v>22</v>
      </c>
      <c r="Q52" s="8" t="str">
        <f>"CPA Movimientos Partner PAYCASH "&amp;TEXT(N52,"dd-mm-yyy") &amp; " MXN " &amp;TEXT(IF(H15&gt;1,H15,H15*-1),"#.##0") &amp; " - T/C " &amp;D15</f>
        <v xml:space="preserve">CPA Movimientos Partner PAYCASH 14-01-2023 MXN 0 - T/C </v>
      </c>
      <c r="R52" s="16">
        <f>+I15</f>
        <v>0</v>
      </c>
      <c r="S52" s="17"/>
    </row>
    <row r="53" spans="10:20" x14ac:dyDescent="0.25">
      <c r="N53" s="9"/>
      <c r="O53">
        <v>211101</v>
      </c>
      <c r="P53" t="s">
        <v>18</v>
      </c>
      <c r="Q53" t="str">
        <f>Q52</f>
        <v xml:space="preserve">CPA Movimientos Partner PAYCASH 14-01-2023 MXN 0 - T/C </v>
      </c>
      <c r="R53" s="3"/>
      <c r="S53" s="10">
        <f>R52</f>
        <v>0</v>
      </c>
    </row>
    <row r="54" spans="10:20" x14ac:dyDescent="0.25">
      <c r="N54" s="9"/>
      <c r="O54">
        <v>110262</v>
      </c>
      <c r="P54" t="s">
        <v>22</v>
      </c>
      <c r="Q54" t="str">
        <f>"CPA Ajuste T/C Partner PAYCASH "&amp;TEXT(N52,"dd-mm-yyy")</f>
        <v>CPA Ajuste T/C Partner PAYCASH 14-01-2023</v>
      </c>
      <c r="R54" s="3">
        <f>J29</f>
        <v>0</v>
      </c>
      <c r="S54" s="10"/>
    </row>
    <row r="55" spans="10:20" x14ac:dyDescent="0.25">
      <c r="N55" s="9"/>
      <c r="O55">
        <v>430105</v>
      </c>
      <c r="P55" t="s">
        <v>25</v>
      </c>
      <c r="Q55" t="str">
        <f>Q54</f>
        <v>CPA Ajuste T/C Partner PAYCASH 14-01-2023</v>
      </c>
      <c r="R55" s="3"/>
      <c r="S55" s="10">
        <f>R54</f>
        <v>0</v>
      </c>
      <c r="T55" s="3">
        <f>+R52+R54</f>
        <v>0</v>
      </c>
    </row>
    <row r="56" spans="10:20" x14ac:dyDescent="0.25">
      <c r="N56" s="15">
        <v>44941</v>
      </c>
      <c r="O56" s="8">
        <v>110262</v>
      </c>
      <c r="P56" s="8" t="s">
        <v>22</v>
      </c>
      <c r="Q56" s="8" t="str">
        <f>"CPA Movimientos Partner PAYCASH "&amp;TEXT(N56,"dd-mm-yyy") &amp; " MXN " &amp;TEXT(IF(H16&gt;1,H16,H16*-1),"#.##0") &amp; " - T/C " &amp;D16</f>
        <v xml:space="preserve">CPA Movimientos Partner PAYCASH 15-01-2023 MXN 0 - T/C </v>
      </c>
      <c r="R56" s="16">
        <f>+I16</f>
        <v>0</v>
      </c>
      <c r="S56" s="17"/>
    </row>
    <row r="57" spans="10:20" x14ac:dyDescent="0.25">
      <c r="N57" s="11"/>
      <c r="O57" s="12">
        <v>211101</v>
      </c>
      <c r="P57" s="12" t="s">
        <v>18</v>
      </c>
      <c r="Q57" s="12" t="str">
        <f>Q56</f>
        <v xml:space="preserve">CPA Movimientos Partner PAYCASH 15-01-2023 MXN 0 - T/C </v>
      </c>
      <c r="R57" s="13"/>
      <c r="S57" s="18">
        <f>R56</f>
        <v>0</v>
      </c>
    </row>
    <row r="58" spans="10:20" x14ac:dyDescent="0.25">
      <c r="N58" s="15">
        <v>44942</v>
      </c>
      <c r="O58" s="8">
        <v>110262</v>
      </c>
      <c r="P58" s="8" t="s">
        <v>22</v>
      </c>
      <c r="Q58" s="8" t="str">
        <f>"CPA Movimientos Partner PAYCASH "&amp;TEXT(N58,"dd-mm-yyy") &amp; " MXN " &amp;TEXT(IF(H17&gt;1,H17,H17*-1),"#.##0") &amp; " - T/C " &amp;D17</f>
        <v xml:space="preserve">CPA Movimientos Partner PAYCASH 16-01-2023 MXN 0 - T/C </v>
      </c>
      <c r="R58" s="16">
        <f>+I17</f>
        <v>0</v>
      </c>
      <c r="S58" s="17"/>
    </row>
    <row r="59" spans="10:20" x14ac:dyDescent="0.25">
      <c r="N59" s="11"/>
      <c r="O59" s="12">
        <v>211101</v>
      </c>
      <c r="P59" s="12" t="s">
        <v>18</v>
      </c>
      <c r="Q59" s="12" t="str">
        <f>Q58</f>
        <v xml:space="preserve">CPA Movimientos Partner PAYCASH 16-01-2023 MXN 0 - T/C </v>
      </c>
      <c r="R59" s="13"/>
      <c r="S59" s="18">
        <f>R58</f>
        <v>0</v>
      </c>
    </row>
    <row r="60" spans="10:20" x14ac:dyDescent="0.25">
      <c r="N60" s="15">
        <v>44943</v>
      </c>
      <c r="O60" s="8">
        <v>110262</v>
      </c>
      <c r="P60" s="8" t="s">
        <v>22</v>
      </c>
      <c r="Q60" s="8" t="str">
        <f>"CPA Movimientos Partner PAYCASH "&amp;TEXT(N60,"dd-mm-yyy") &amp; " MXN " &amp;TEXT(IF(H18&gt;1,H18,H18*-1),"#.##0") &amp; " - T/C " &amp;D18</f>
        <v xml:space="preserve">CPA Movimientos Partner PAYCASH 17-01-2023 MXN 0 - T/C </v>
      </c>
      <c r="R60" s="16">
        <f>+I18</f>
        <v>0</v>
      </c>
      <c r="S60" s="17"/>
    </row>
    <row r="61" spans="10:20" x14ac:dyDescent="0.25">
      <c r="N61" s="9"/>
      <c r="O61">
        <v>211101</v>
      </c>
      <c r="P61" t="s">
        <v>18</v>
      </c>
      <c r="Q61" t="str">
        <f>Q60</f>
        <v xml:space="preserve">CPA Movimientos Partner PAYCASH 17-01-2023 MXN 0 - T/C </v>
      </c>
      <c r="R61" s="3"/>
      <c r="S61" s="10">
        <f>R60</f>
        <v>0</v>
      </c>
    </row>
    <row r="62" spans="10:20" x14ac:dyDescent="0.25">
      <c r="N62" s="9"/>
      <c r="O62">
        <v>430105</v>
      </c>
      <c r="P62" t="s">
        <v>25</v>
      </c>
      <c r="Q62" t="str">
        <f>"CPA Ajuste T/C Partner PAYCASH "&amp;TEXT(N60,"dd-mm-yyy")</f>
        <v>CPA Ajuste T/C Partner PAYCASH 17-01-2023</v>
      </c>
      <c r="R62" s="3">
        <f>J31*-1</f>
        <v>0</v>
      </c>
      <c r="S62" s="10"/>
    </row>
    <row r="63" spans="10:20" x14ac:dyDescent="0.25">
      <c r="N63" s="9"/>
      <c r="O63">
        <v>110262</v>
      </c>
      <c r="P63" t="s">
        <v>22</v>
      </c>
      <c r="Q63" t="str">
        <f>Q62</f>
        <v>CPA Ajuste T/C Partner PAYCASH 17-01-2023</v>
      </c>
      <c r="R63" s="3"/>
      <c r="S63" s="10">
        <f>R62</f>
        <v>0</v>
      </c>
      <c r="T63" s="3">
        <f>+R60-S63</f>
        <v>0</v>
      </c>
    </row>
    <row r="64" spans="10:20" x14ac:dyDescent="0.25">
      <c r="N64" s="15">
        <v>44944</v>
      </c>
      <c r="O64" s="8">
        <v>110262</v>
      </c>
      <c r="P64" s="8" t="s">
        <v>22</v>
      </c>
      <c r="Q64" s="8" t="str">
        <f>"CPA Movimientos Partner PAYCASH "&amp;TEXT(N64,"dd-mm-yyy") &amp; " MXN " &amp;TEXT(IF(H19&gt;1,H19,H19*-1),"#.##0") &amp; " - T/C " &amp;D19</f>
        <v xml:space="preserve">CPA Movimientos Partner PAYCASH 18-01-2023 MXN 0 - T/C </v>
      </c>
      <c r="R64" s="16">
        <f>+I19</f>
        <v>0</v>
      </c>
      <c r="S64" s="17"/>
    </row>
    <row r="65" spans="13:20" x14ac:dyDescent="0.25">
      <c r="N65" s="9"/>
      <c r="O65">
        <v>211101</v>
      </c>
      <c r="P65" t="s">
        <v>18</v>
      </c>
      <c r="Q65" t="str">
        <f>Q64</f>
        <v xml:space="preserve">CPA Movimientos Partner PAYCASH 18-01-2023 MXN 0 - T/C </v>
      </c>
      <c r="R65" s="3"/>
      <c r="S65" s="10">
        <f>R64</f>
        <v>0</v>
      </c>
    </row>
    <row r="66" spans="13:20" x14ac:dyDescent="0.25">
      <c r="N66" s="9"/>
      <c r="O66">
        <v>110262</v>
      </c>
      <c r="P66" t="s">
        <v>22</v>
      </c>
      <c r="Q66" t="str">
        <f>"CPA Ajuste T/C Partner PAYCASH "&amp;TEXT(N64,"dd-mm-yyy")</f>
        <v>CPA Ajuste T/C Partner PAYCASH 18-01-2023</v>
      </c>
      <c r="R66" s="3">
        <f>J33</f>
        <v>0</v>
      </c>
      <c r="S66" s="10"/>
    </row>
    <row r="67" spans="13:20" x14ac:dyDescent="0.25">
      <c r="N67" s="9"/>
      <c r="O67">
        <v>430105</v>
      </c>
      <c r="P67" t="s">
        <v>25</v>
      </c>
      <c r="Q67" t="str">
        <f>Q66</f>
        <v>CPA Ajuste T/C Partner PAYCASH 18-01-2023</v>
      </c>
      <c r="R67" s="3"/>
      <c r="S67" s="10">
        <f>R66</f>
        <v>0</v>
      </c>
      <c r="T67" s="3">
        <f>+R64+R66</f>
        <v>0</v>
      </c>
    </row>
    <row r="68" spans="13:20" x14ac:dyDescent="0.25">
      <c r="M68" s="43" t="s">
        <v>32</v>
      </c>
      <c r="N68" s="44">
        <v>44944</v>
      </c>
      <c r="O68" s="45">
        <v>110276</v>
      </c>
      <c r="P68" s="45" t="s">
        <v>31</v>
      </c>
      <c r="Q68" s="45" t="str">
        <f>"CPA Rescate de Fondos Pay Cash "&amp;TEXT(N68,"dd-mm-yyy") &amp; " USD " &amp;TEXT(IF(G19&gt;1,G19,G19*-1),"#.##0") &amp; " - T/C  820,89 "</f>
        <v xml:space="preserve">CPA Rescate de Fondos Pay Cash 18-01-2023 USD 0 - T/C  820,89 </v>
      </c>
      <c r="R68" s="46">
        <f>+L6</f>
        <v>0</v>
      </c>
      <c r="S68" s="47"/>
    </row>
    <row r="69" spans="13:20" x14ac:dyDescent="0.25">
      <c r="N69" s="48"/>
      <c r="O69" s="49">
        <v>110262</v>
      </c>
      <c r="P69" s="49" t="s">
        <v>22</v>
      </c>
      <c r="Q69" s="49" t="str">
        <f>Q68</f>
        <v xml:space="preserve">CPA Rescate de Fondos Pay Cash 18-01-2023 USD 0 - T/C  820,89 </v>
      </c>
      <c r="R69" s="50"/>
      <c r="S69" s="51">
        <f>R68</f>
        <v>0</v>
      </c>
    </row>
    <row r="70" spans="13:20" x14ac:dyDescent="0.25">
      <c r="N70" s="48"/>
      <c r="O70" s="49">
        <v>430105</v>
      </c>
      <c r="P70" s="49" t="s">
        <v>25</v>
      </c>
      <c r="Q70" s="49" t="str">
        <f>"CPA Ajuste T/C Rescate Fondos Partner PAYCASH "&amp;TEXT(N68,"dd-mm-yyy")</f>
        <v>CPA Ajuste T/C Rescate Fondos Partner PAYCASH 18-01-2023</v>
      </c>
      <c r="R70" s="50">
        <f>M6*-1</f>
        <v>0</v>
      </c>
      <c r="S70" s="51"/>
    </row>
    <row r="71" spans="13:20" x14ac:dyDescent="0.25">
      <c r="N71" s="48"/>
      <c r="O71" s="49">
        <v>110262</v>
      </c>
      <c r="P71" s="49" t="s">
        <v>22</v>
      </c>
      <c r="Q71" s="49" t="str">
        <f>Q70</f>
        <v>CPA Ajuste T/C Rescate Fondos Partner PAYCASH 18-01-2023</v>
      </c>
      <c r="R71" s="50"/>
      <c r="S71" s="51">
        <f>R70</f>
        <v>0</v>
      </c>
      <c r="T71" s="3">
        <f>+S69+S71</f>
        <v>0</v>
      </c>
    </row>
    <row r="72" spans="13:20" x14ac:dyDescent="0.25">
      <c r="N72" s="15">
        <v>44945</v>
      </c>
      <c r="O72" s="8">
        <v>110262</v>
      </c>
      <c r="P72" s="8" t="s">
        <v>22</v>
      </c>
      <c r="Q72" s="8" t="str">
        <f>"CPA Movimientos Partner PAYCASH "&amp;TEXT(N72,"dd-mm-yyy") &amp; " MXN " &amp;TEXT(IF(H20&gt;1,H20,H20*-1),"#.##0") &amp; " - T/C " &amp;D20</f>
        <v xml:space="preserve">CPA Movimientos Partner PAYCASH 19-01-2023 MXN 0 - T/C </v>
      </c>
      <c r="R72" s="16">
        <f>+I20</f>
        <v>0</v>
      </c>
      <c r="S72" s="17"/>
    </row>
    <row r="73" spans="13:20" x14ac:dyDescent="0.25">
      <c r="N73" s="9"/>
      <c r="O73">
        <v>211101</v>
      </c>
      <c r="P73" t="s">
        <v>18</v>
      </c>
      <c r="Q73" t="str">
        <f>Q72</f>
        <v xml:space="preserve">CPA Movimientos Partner PAYCASH 19-01-2023 MXN 0 - T/C </v>
      </c>
      <c r="R73" s="3"/>
      <c r="S73" s="10">
        <f>R72</f>
        <v>0</v>
      </c>
    </row>
    <row r="74" spans="13:20" x14ac:dyDescent="0.25">
      <c r="N74" s="9"/>
      <c r="O74">
        <v>430105</v>
      </c>
      <c r="P74" t="s">
        <v>25</v>
      </c>
      <c r="Q74" t="str">
        <f>"CPA Ajuste T/C Partner PAYCASH "&amp;TEXT(N72,"dd-mm-yyy")</f>
        <v>CPA Ajuste T/C Partner PAYCASH 19-01-2023</v>
      </c>
      <c r="R74" s="3">
        <f>J35*-1</f>
        <v>0</v>
      </c>
      <c r="S74" s="10"/>
    </row>
    <row r="75" spans="13:20" x14ac:dyDescent="0.25">
      <c r="N75" s="9"/>
      <c r="O75">
        <v>110262</v>
      </c>
      <c r="P75" t="s">
        <v>22</v>
      </c>
      <c r="Q75" t="str">
        <f>Q74</f>
        <v>CPA Ajuste T/C Partner PAYCASH 19-01-2023</v>
      </c>
      <c r="R75" s="3"/>
      <c r="S75" s="10">
        <f>R74</f>
        <v>0</v>
      </c>
      <c r="T75" s="3">
        <f>+R72-S75</f>
        <v>0</v>
      </c>
    </row>
    <row r="76" spans="13:20" x14ac:dyDescent="0.25">
      <c r="N76" s="15">
        <v>44946</v>
      </c>
      <c r="O76" s="8">
        <v>110262</v>
      </c>
      <c r="P76" s="8" t="s">
        <v>22</v>
      </c>
      <c r="Q76" s="8" t="str">
        <f>"CPA Movimientos Partner PAYCASH "&amp;TEXT(N76,"dd-mm-yyy") &amp; " MXN " &amp;TEXT(IF(H21&gt;1,H21,H21*-1),"#.##0") &amp; " - T/C " &amp;D21</f>
        <v xml:space="preserve">CPA Movimientos Partner PAYCASH 20-01-2023 MXN 0 - T/C </v>
      </c>
      <c r="R76" s="16">
        <f>+I21</f>
        <v>0</v>
      </c>
      <c r="S76" s="17"/>
    </row>
    <row r="77" spans="13:20" x14ac:dyDescent="0.25">
      <c r="N77" s="9"/>
      <c r="O77">
        <v>211101</v>
      </c>
      <c r="P77" t="s">
        <v>18</v>
      </c>
      <c r="Q77" t="str">
        <f>Q76</f>
        <v xml:space="preserve">CPA Movimientos Partner PAYCASH 20-01-2023 MXN 0 - T/C </v>
      </c>
      <c r="R77" s="3"/>
      <c r="S77" s="10">
        <f>R76</f>
        <v>0</v>
      </c>
    </row>
    <row r="78" spans="13:20" x14ac:dyDescent="0.25">
      <c r="N78" s="9"/>
      <c r="O78">
        <v>110262</v>
      </c>
      <c r="P78" t="s">
        <v>22</v>
      </c>
      <c r="Q78" t="str">
        <f>"CPA Ajuste T/C Partner PAYCASH "&amp;TEXT(N76,"dd-mm-yyy")</f>
        <v>CPA Ajuste T/C Partner PAYCASH 20-01-2023</v>
      </c>
      <c r="R78" s="3">
        <f>J37</f>
        <v>0</v>
      </c>
      <c r="S78" s="10"/>
    </row>
    <row r="79" spans="13:20" x14ac:dyDescent="0.25">
      <c r="N79" s="9"/>
      <c r="O79">
        <v>430105</v>
      </c>
      <c r="P79" t="s">
        <v>25</v>
      </c>
      <c r="Q79" t="str">
        <f>Q78</f>
        <v>CPA Ajuste T/C Partner PAYCASH 20-01-2023</v>
      </c>
      <c r="R79" s="3"/>
      <c r="S79" s="10">
        <f>R78</f>
        <v>0</v>
      </c>
      <c r="T79" s="3">
        <f>+R76+R78</f>
        <v>0</v>
      </c>
    </row>
    <row r="80" spans="13:20" x14ac:dyDescent="0.25">
      <c r="N80" s="15">
        <v>44947</v>
      </c>
      <c r="O80" s="8">
        <v>110262</v>
      </c>
      <c r="P80" s="8" t="s">
        <v>22</v>
      </c>
      <c r="Q80" s="8" t="str">
        <f>"CPA Movimientos Partner PAYCASH "&amp;TEXT(N80,"dd-mm-yyy") &amp; " MXN " &amp;TEXT(IF(H22&gt;1,H22,H22*-1),"#.##0") &amp; " - T/C " &amp;D22</f>
        <v xml:space="preserve">CPA Movimientos Partner PAYCASH 21-01-2023 MXN 0 - T/C </v>
      </c>
      <c r="R80" s="16">
        <f>+I22</f>
        <v>0</v>
      </c>
      <c r="S80" s="17"/>
    </row>
    <row r="81" spans="13:20" x14ac:dyDescent="0.25">
      <c r="N81" s="9"/>
      <c r="O81">
        <v>211101</v>
      </c>
      <c r="P81" t="s">
        <v>18</v>
      </c>
      <c r="Q81" t="str">
        <f>Q80</f>
        <v xml:space="preserve">CPA Movimientos Partner PAYCASH 21-01-2023 MXN 0 - T/C </v>
      </c>
      <c r="R81" s="3"/>
      <c r="S81" s="10">
        <f>R80</f>
        <v>0</v>
      </c>
    </row>
    <row r="82" spans="13:20" x14ac:dyDescent="0.25">
      <c r="N82" s="9"/>
      <c r="O82">
        <v>430105</v>
      </c>
      <c r="P82" t="s">
        <v>25</v>
      </c>
      <c r="Q82" t="str">
        <f>"CPA Ajuste T/C Partner PAYCASH "&amp;TEXT(N80,"dd-mm-yyy")</f>
        <v>CPA Ajuste T/C Partner PAYCASH 21-01-2023</v>
      </c>
      <c r="R82" s="3">
        <f>J39*-1</f>
        <v>0</v>
      </c>
      <c r="S82" s="10"/>
    </row>
    <row r="83" spans="13:20" x14ac:dyDescent="0.25">
      <c r="N83" s="9"/>
      <c r="O83">
        <v>110262</v>
      </c>
      <c r="P83" t="s">
        <v>22</v>
      </c>
      <c r="Q83" t="str">
        <f>Q82</f>
        <v>CPA Ajuste T/C Partner PAYCASH 21-01-2023</v>
      </c>
      <c r="R83" s="3"/>
      <c r="S83" s="10">
        <f>R82</f>
        <v>0</v>
      </c>
      <c r="T83" s="3">
        <f>+R80-S83</f>
        <v>0</v>
      </c>
    </row>
    <row r="84" spans="13:20" x14ac:dyDescent="0.25">
      <c r="N84" s="15">
        <v>44948</v>
      </c>
      <c r="O84" s="8">
        <v>110262</v>
      </c>
      <c r="P84" s="8" t="s">
        <v>22</v>
      </c>
      <c r="Q84" s="8" t="str">
        <f>"CPA Movimientos Partner PAYCASH "&amp;TEXT(N84,"dd-mm-yyy") &amp; " MXN " &amp;TEXT(IF(H23&gt;1,H23,H23*-1),"#.##0") &amp; " - T/C " &amp;D23</f>
        <v xml:space="preserve">CPA Movimientos Partner PAYCASH 22-01-2023 MXN 0 - T/C </v>
      </c>
      <c r="R84" s="16">
        <f>+I23</f>
        <v>0</v>
      </c>
      <c r="S84" s="17"/>
    </row>
    <row r="85" spans="13:20" x14ac:dyDescent="0.25">
      <c r="N85" s="9"/>
      <c r="O85">
        <v>211101</v>
      </c>
      <c r="P85" t="s">
        <v>18</v>
      </c>
      <c r="Q85" t="str">
        <f>Q84</f>
        <v xml:space="preserve">CPA Movimientos Partner PAYCASH 22-01-2023 MXN 0 - T/C </v>
      </c>
      <c r="R85" s="3"/>
      <c r="S85" s="10">
        <f>R84</f>
        <v>0</v>
      </c>
    </row>
    <row r="86" spans="13:20" x14ac:dyDescent="0.25">
      <c r="N86" s="9"/>
      <c r="O86">
        <v>430105</v>
      </c>
      <c r="P86" t="s">
        <v>25</v>
      </c>
      <c r="Q86" t="str">
        <f>"CPA Ajuste T/C Partner PAYCASH "&amp;TEXT(N84,"dd-mm-yyy")</f>
        <v>CPA Ajuste T/C Partner PAYCASH 22-01-2023</v>
      </c>
      <c r="R86" s="3">
        <f>S87</f>
        <v>0</v>
      </c>
      <c r="S86" s="10"/>
    </row>
    <row r="87" spans="13:20" x14ac:dyDescent="0.25">
      <c r="N87" s="9"/>
      <c r="O87">
        <v>110262</v>
      </c>
      <c r="P87" t="s">
        <v>22</v>
      </c>
      <c r="Q87" t="str">
        <f>Q86</f>
        <v>CPA Ajuste T/C Partner PAYCASH 22-01-2023</v>
      </c>
      <c r="R87" s="3"/>
      <c r="S87" s="10">
        <f>+J65*-1</f>
        <v>0</v>
      </c>
    </row>
    <row r="88" spans="13:20" x14ac:dyDescent="0.25">
      <c r="N88" s="15">
        <v>44949</v>
      </c>
      <c r="O88" s="8">
        <v>110262</v>
      </c>
      <c r="P88" s="8" t="s">
        <v>22</v>
      </c>
      <c r="Q88" s="8" t="str">
        <f>"CPA Movimientos Partner PAYCASH "&amp;TEXT(N88,"dd-mm-yyy") &amp; " MXN " &amp;TEXT(IF(H24&gt;1,H24,H24*-1),"#.##0") &amp; " - T/C " &amp;D24</f>
        <v xml:space="preserve">CPA Movimientos Partner PAYCASH 23-01-2023 MXN 0 - T/C </v>
      </c>
      <c r="R88" s="16">
        <f>+I24</f>
        <v>0</v>
      </c>
      <c r="S88" s="17"/>
    </row>
    <row r="89" spans="13:20" x14ac:dyDescent="0.25">
      <c r="N89" s="9"/>
      <c r="O89">
        <v>211101</v>
      </c>
      <c r="P89" t="s">
        <v>18</v>
      </c>
      <c r="Q89" t="str">
        <f>Q88</f>
        <v xml:space="preserve">CPA Movimientos Partner PAYCASH 23-01-2023 MXN 0 - T/C </v>
      </c>
      <c r="R89" s="3"/>
      <c r="S89" s="10">
        <f>R88</f>
        <v>0</v>
      </c>
    </row>
    <row r="90" spans="13:20" x14ac:dyDescent="0.25">
      <c r="N90" s="9"/>
      <c r="O90">
        <v>110262</v>
      </c>
      <c r="P90" t="s">
        <v>22</v>
      </c>
      <c r="Q90" t="str">
        <f>"CPA Ajuste T/C Partner PAYCASH "&amp;TEXT(N88,"dd-mm-yyy")</f>
        <v>CPA Ajuste T/C Partner PAYCASH 23-01-2023</v>
      </c>
      <c r="R90" s="3">
        <f>J71</f>
        <v>0</v>
      </c>
      <c r="S90" s="10"/>
    </row>
    <row r="91" spans="13:20" x14ac:dyDescent="0.25">
      <c r="N91" s="41"/>
      <c r="O91" s="12">
        <v>430105</v>
      </c>
      <c r="P91" s="12" t="s">
        <v>25</v>
      </c>
      <c r="Q91" s="12" t="str">
        <f>Q90</f>
        <v>CPA Ajuste T/C Partner PAYCASH 23-01-2023</v>
      </c>
      <c r="R91" s="13"/>
      <c r="S91" s="18">
        <f>R90</f>
        <v>0</v>
      </c>
    </row>
    <row r="92" spans="13:20" x14ac:dyDescent="0.25">
      <c r="N92" s="15">
        <v>44950</v>
      </c>
      <c r="O92" s="8">
        <v>211101</v>
      </c>
      <c r="P92" s="8" t="s">
        <v>18</v>
      </c>
      <c r="Q92" s="8" t="str">
        <f>"CPA Movimientos Partner PAYCASH "&amp;TEXT(N92,"dd-mm-yyy") &amp; " MXN " &amp;TEXT(IF(H25&gt;1,H25,H25*-1),"#.##0") &amp; " - T/C " &amp;D25</f>
        <v xml:space="preserve">CPA Movimientos Partner PAYCASH 24-01-2023 MXN 0 - T/C </v>
      </c>
      <c r="R92" s="16">
        <f>+I25*-1</f>
        <v>0</v>
      </c>
      <c r="S92" s="17"/>
    </row>
    <row r="93" spans="13:20" x14ac:dyDescent="0.25">
      <c r="N93" s="9"/>
      <c r="O93">
        <v>110262</v>
      </c>
      <c r="P93" t="s">
        <v>22</v>
      </c>
      <c r="Q93" t="str">
        <f>Q92</f>
        <v xml:space="preserve">CPA Movimientos Partner PAYCASH 24-01-2023 MXN 0 - T/C </v>
      </c>
      <c r="R93" s="3"/>
      <c r="S93" s="10">
        <f>R92</f>
        <v>0</v>
      </c>
    </row>
    <row r="94" spans="13:20" x14ac:dyDescent="0.25">
      <c r="N94" s="9"/>
      <c r="O94">
        <v>430105</v>
      </c>
      <c r="P94" t="s">
        <v>25</v>
      </c>
      <c r="Q94" t="str">
        <f>"CPA Ajuste T/C Partner PAYCASH "&amp;TEXT(N92,"dd-mm-yyy")</f>
        <v>CPA Ajuste T/C Partner PAYCASH 24-01-2023</v>
      </c>
      <c r="R94" s="3">
        <f>J41*-1</f>
        <v>0</v>
      </c>
      <c r="S94" s="10"/>
    </row>
    <row r="95" spans="13:20" x14ac:dyDescent="0.25">
      <c r="N95" s="41"/>
      <c r="O95" s="12">
        <v>110262</v>
      </c>
      <c r="P95" s="12" t="s">
        <v>22</v>
      </c>
      <c r="Q95" s="12" t="str">
        <f>Q94</f>
        <v>CPA Ajuste T/C Partner PAYCASH 24-01-2023</v>
      </c>
      <c r="R95" s="13"/>
      <c r="S95" s="18">
        <f>R94</f>
        <v>0</v>
      </c>
      <c r="T95" s="3">
        <f>+S93+S95</f>
        <v>0</v>
      </c>
    </row>
    <row r="96" spans="13:20" x14ac:dyDescent="0.25">
      <c r="M96" s="43" t="s">
        <v>32</v>
      </c>
      <c r="N96" s="44">
        <v>44957</v>
      </c>
      <c r="O96" s="45">
        <v>110276</v>
      </c>
      <c r="P96" s="45" t="s">
        <v>31</v>
      </c>
      <c r="Q96" s="45" t="str">
        <f>"CPA Rescate de Fondos Pay Cash "&amp;TEXT(N96,"dd-mm-yyy") &amp; " USD " &amp;TEXT(IF(G32&gt;1,G32,G32*-1),"#.##0") &amp; " - T/C  810,37 "</f>
        <v xml:space="preserve">CPA Rescate de Fondos Pay Cash 31-01-2023 USD 0 - T/C  810,37 </v>
      </c>
      <c r="R96" s="46">
        <f>+L7</f>
        <v>0</v>
      </c>
      <c r="S96" s="47"/>
    </row>
    <row r="97" spans="14:20" x14ac:dyDescent="0.25">
      <c r="N97" s="48"/>
      <c r="O97" s="49">
        <v>110262</v>
      </c>
      <c r="P97" s="49" t="s">
        <v>22</v>
      </c>
      <c r="Q97" s="49" t="str">
        <f>Q96</f>
        <v xml:space="preserve">CPA Rescate de Fondos Pay Cash 31-01-2023 USD 0 - T/C  810,37 </v>
      </c>
      <c r="R97" s="50"/>
      <c r="S97" s="51">
        <f>R96</f>
        <v>0</v>
      </c>
    </row>
    <row r="98" spans="14:20" x14ac:dyDescent="0.25">
      <c r="N98" s="48"/>
      <c r="O98" s="49">
        <v>430105</v>
      </c>
      <c r="P98" s="49" t="s">
        <v>25</v>
      </c>
      <c r="Q98" s="49" t="str">
        <f>"CPA Ajuste T/C Rescate Fondos Partner PAYCASH "&amp;TEXT(N96,"dd-mm-yyy")</f>
        <v>CPA Ajuste T/C Rescate Fondos Partner PAYCASH 31-01-2023</v>
      </c>
      <c r="R98" s="50">
        <f>M7*-1</f>
        <v>0</v>
      </c>
      <c r="S98" s="51"/>
    </row>
    <row r="99" spans="14:20" x14ac:dyDescent="0.25">
      <c r="N99" s="71"/>
      <c r="O99" s="72">
        <v>110262</v>
      </c>
      <c r="P99" s="72" t="s">
        <v>22</v>
      </c>
      <c r="Q99" s="72" t="str">
        <f>Q98</f>
        <v>CPA Ajuste T/C Rescate Fondos Partner PAYCASH 31-01-2023</v>
      </c>
      <c r="R99" s="73"/>
      <c r="S99" s="74">
        <f>R98</f>
        <v>0</v>
      </c>
      <c r="T99" s="3">
        <f>+S97+S99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2CA4-E3D4-4911-89E3-7E1AC64FA988}">
  <dimension ref="A1:AB105"/>
  <sheetViews>
    <sheetView showGridLines="0" zoomScaleNormal="100" workbookViewId="0">
      <selection activeCell="F4" sqref="F4:F6"/>
    </sheetView>
  </sheetViews>
  <sheetFormatPr baseColWidth="10" defaultRowHeight="15" x14ac:dyDescent="0.25"/>
  <cols>
    <col min="1" max="4" width="11.7109375" bestFit="1" customWidth="1"/>
    <col min="5" max="5" width="13.5703125" bestFit="1" customWidth="1"/>
    <col min="6" max="7" width="13.5703125" customWidth="1"/>
    <col min="8" max="8" width="11.5703125" bestFit="1" customWidth="1"/>
    <col min="9" max="9" width="14.28515625" bestFit="1" customWidth="1"/>
    <col min="10" max="10" width="13.7109375" bestFit="1" customWidth="1"/>
    <col min="11" max="11" width="11.5703125" bestFit="1" customWidth="1"/>
    <col min="12" max="12" width="13.5703125" bestFit="1" customWidth="1"/>
    <col min="13" max="13" width="10.42578125" bestFit="1" customWidth="1"/>
    <col min="14" max="14" width="7.85546875" bestFit="1" customWidth="1"/>
    <col min="15" max="15" width="25.7109375" bestFit="1" customWidth="1"/>
    <col min="16" max="16" width="61.85546875" bestFit="1" customWidth="1"/>
    <col min="17" max="18" width="12" bestFit="1" customWidth="1"/>
    <col min="19" max="19" width="13.5703125" bestFit="1" customWidth="1"/>
    <col min="21" max="21" width="10.140625" bestFit="1" customWidth="1"/>
    <col min="22" max="22" width="11.85546875" bestFit="1" customWidth="1"/>
    <col min="24" max="26" width="12.28515625" bestFit="1" customWidth="1"/>
    <col min="27" max="27" width="11.7109375" bestFit="1" customWidth="1"/>
  </cols>
  <sheetData>
    <row r="1" spans="1:28" x14ac:dyDescent="0.25">
      <c r="A1" s="4" t="s">
        <v>0</v>
      </c>
      <c r="B1" s="4" t="s">
        <v>19</v>
      </c>
      <c r="C1" s="4" t="s">
        <v>20</v>
      </c>
      <c r="D1" s="4" t="s">
        <v>1</v>
      </c>
      <c r="E1" s="4" t="s">
        <v>3</v>
      </c>
      <c r="F1" s="4" t="s">
        <v>36</v>
      </c>
      <c r="G1" s="4" t="s">
        <v>37</v>
      </c>
      <c r="H1" s="4" t="s">
        <v>21</v>
      </c>
      <c r="I1" s="4" t="s">
        <v>4</v>
      </c>
      <c r="J1" s="4"/>
      <c r="K1" s="70" t="s">
        <v>41</v>
      </c>
      <c r="M1" s="22" t="s">
        <v>0</v>
      </c>
      <c r="N1" s="23"/>
      <c r="O1" s="23"/>
      <c r="P1" s="23"/>
      <c r="Q1" s="23" t="s">
        <v>5</v>
      </c>
      <c r="R1" s="24" t="s">
        <v>6</v>
      </c>
      <c r="U1" s="52" t="s">
        <v>0</v>
      </c>
      <c r="V1" s="52" t="s">
        <v>7</v>
      </c>
      <c r="W1" s="52" t="s">
        <v>9</v>
      </c>
      <c r="X1" s="52" t="s">
        <v>10</v>
      </c>
      <c r="Y1" s="52" t="s">
        <v>11</v>
      </c>
      <c r="Z1" s="52" t="s">
        <v>12</v>
      </c>
      <c r="AA1" s="53"/>
    </row>
    <row r="2" spans="1:28" x14ac:dyDescent="0.25">
      <c r="A2" s="1">
        <v>44958</v>
      </c>
      <c r="B2" s="2">
        <v>0</v>
      </c>
      <c r="C2" s="2"/>
      <c r="D2" s="21"/>
      <c r="E2" s="3">
        <f>C2*D2</f>
        <v>0</v>
      </c>
      <c r="F2" s="3"/>
      <c r="G2" s="3">
        <f>F2*D2</f>
        <v>0</v>
      </c>
      <c r="H2" s="26">
        <f>C2-B2+F2</f>
        <v>0</v>
      </c>
      <c r="I2" s="26">
        <f t="shared" ref="I2:I32" si="0">H2*D2</f>
        <v>0</v>
      </c>
      <c r="J2" s="30"/>
      <c r="M2" s="9">
        <f>A2</f>
        <v>44958</v>
      </c>
      <c r="N2">
        <v>110267</v>
      </c>
      <c r="O2" t="s">
        <v>34</v>
      </c>
      <c r="P2" t="str">
        <f>"CPA Movimientos Partner FacilitaPay PayIn "&amp;TEXT(M2,"dd-mm-yyy")</f>
        <v>CPA Movimientos Partner FacilitaPay PayIn 01-02-2023</v>
      </c>
      <c r="Q2" s="3">
        <f>+I2</f>
        <v>0</v>
      </c>
      <c r="R2" s="10"/>
      <c r="U2" s="54" t="s">
        <v>13</v>
      </c>
      <c r="V2" s="54">
        <v>110267</v>
      </c>
      <c r="W2" s="54" t="s">
        <v>14</v>
      </c>
      <c r="X2" s="55"/>
      <c r="Y2" s="55"/>
      <c r="Z2" s="55">
        <f>+E2</f>
        <v>0</v>
      </c>
      <c r="AA2" s="53"/>
    </row>
    <row r="3" spans="1:28" x14ac:dyDescent="0.25">
      <c r="A3" s="1">
        <v>44959</v>
      </c>
      <c r="B3" s="3"/>
      <c r="C3" s="2"/>
      <c r="D3" s="21"/>
      <c r="E3" s="3">
        <f t="shared" ref="E3:E32" si="1">C3*D3</f>
        <v>0</v>
      </c>
      <c r="F3" s="3"/>
      <c r="G3" s="3">
        <f t="shared" ref="G3:G6" si="2">F3*D3</f>
        <v>0</v>
      </c>
      <c r="H3" s="26">
        <f t="shared" ref="H3:H32" si="3">C3-B3+F3</f>
        <v>0</v>
      </c>
      <c r="I3" s="26">
        <f t="shared" si="0"/>
        <v>0</v>
      </c>
      <c r="M3" s="11"/>
      <c r="N3" s="12">
        <v>211101</v>
      </c>
      <c r="O3" s="12" t="s">
        <v>18</v>
      </c>
      <c r="P3" s="12" t="str">
        <f>P2</f>
        <v>CPA Movimientos Partner FacilitaPay PayIn 01-02-2023</v>
      </c>
      <c r="Q3" s="13"/>
      <c r="R3" s="18">
        <f>Q2</f>
        <v>0</v>
      </c>
      <c r="U3" s="56">
        <v>44927</v>
      </c>
      <c r="V3" s="53"/>
      <c r="W3" s="53"/>
      <c r="X3" s="57"/>
      <c r="Y3" s="58"/>
      <c r="Z3" s="58">
        <f>+Z2+X3-Y3</f>
        <v>0</v>
      </c>
      <c r="AA3" s="57">
        <f>+Z3-E2</f>
        <v>0</v>
      </c>
    </row>
    <row r="4" spans="1:28" x14ac:dyDescent="0.25">
      <c r="A4" s="1">
        <v>44960</v>
      </c>
      <c r="B4" s="3"/>
      <c r="C4" s="2"/>
      <c r="D4" s="21"/>
      <c r="E4" s="3">
        <f t="shared" si="1"/>
        <v>0</v>
      </c>
      <c r="F4" s="3"/>
      <c r="G4" s="3">
        <f t="shared" si="2"/>
        <v>0</v>
      </c>
      <c r="H4" s="26">
        <f t="shared" si="3"/>
        <v>0</v>
      </c>
      <c r="I4" s="26">
        <f t="shared" si="0"/>
        <v>0</v>
      </c>
      <c r="K4" s="3"/>
      <c r="L4" s="3"/>
      <c r="M4" s="15">
        <v>44928</v>
      </c>
      <c r="N4" s="8">
        <v>110267</v>
      </c>
      <c r="O4" s="8" t="s">
        <v>34</v>
      </c>
      <c r="P4" s="8" t="str">
        <f>"CPA Movimientos Partner FacilitaPay PayIn "&amp;TEXT(M4,"dd-mm-yyy")</f>
        <v>CPA Movimientos Partner FacilitaPay PayIn 02-01-2023</v>
      </c>
      <c r="Q4" s="16">
        <f>+I3</f>
        <v>0</v>
      </c>
      <c r="R4" s="17"/>
      <c r="U4" s="56">
        <v>44928</v>
      </c>
      <c r="V4" s="53"/>
      <c r="W4" s="53"/>
      <c r="X4" s="57">
        <f>+Q4</f>
        <v>0</v>
      </c>
      <c r="Y4" s="58"/>
      <c r="Z4" s="58">
        <f>+Z3+X4-Y4</f>
        <v>0</v>
      </c>
      <c r="AA4" s="57">
        <f t="shared" ref="AA4:AA33" si="4">+Z4-E3</f>
        <v>0</v>
      </c>
    </row>
    <row r="5" spans="1:28" x14ac:dyDescent="0.25">
      <c r="A5" s="1">
        <v>44961</v>
      </c>
      <c r="B5" s="3"/>
      <c r="C5" s="2"/>
      <c r="D5" s="21"/>
      <c r="E5" s="3">
        <f t="shared" si="1"/>
        <v>0</v>
      </c>
      <c r="F5" s="3"/>
      <c r="G5" s="3">
        <f t="shared" si="2"/>
        <v>0</v>
      </c>
      <c r="H5" s="26">
        <f t="shared" si="3"/>
        <v>0</v>
      </c>
      <c r="I5" s="26">
        <f t="shared" si="0"/>
        <v>0</v>
      </c>
      <c r="K5" s="3"/>
      <c r="L5" s="3"/>
      <c r="M5" s="11"/>
      <c r="N5" s="12">
        <v>211101</v>
      </c>
      <c r="O5" s="12" t="s">
        <v>18</v>
      </c>
      <c r="P5" s="12" t="str">
        <f t="shared" ref="P5" si="5">P4</f>
        <v>CPA Movimientos Partner FacilitaPay PayIn 02-01-2023</v>
      </c>
      <c r="Q5" s="13"/>
      <c r="R5" s="18">
        <f>Q4</f>
        <v>0</v>
      </c>
      <c r="U5" s="56">
        <v>44929</v>
      </c>
      <c r="V5" s="53"/>
      <c r="W5" s="53"/>
      <c r="X5" s="57"/>
      <c r="Y5" s="58">
        <f>+S9</f>
        <v>0</v>
      </c>
      <c r="Z5" s="58">
        <f t="shared" ref="Z5:Z11" si="6">+Z4+X5-Y5</f>
        <v>0</v>
      </c>
      <c r="AA5" s="57">
        <f t="shared" si="4"/>
        <v>0</v>
      </c>
      <c r="AB5" s="3"/>
    </row>
    <row r="6" spans="1:28" x14ac:dyDescent="0.25">
      <c r="A6" s="1">
        <v>44962</v>
      </c>
      <c r="B6" s="3"/>
      <c r="C6" s="2"/>
      <c r="D6" s="21"/>
      <c r="E6" s="3">
        <f t="shared" si="1"/>
        <v>0</v>
      </c>
      <c r="F6" s="3"/>
      <c r="G6" s="3">
        <f t="shared" si="2"/>
        <v>0</v>
      </c>
      <c r="H6" s="26">
        <f t="shared" si="3"/>
        <v>0</v>
      </c>
      <c r="I6" s="26">
        <f t="shared" si="0"/>
        <v>0</v>
      </c>
      <c r="K6" s="3"/>
      <c r="L6" s="3"/>
      <c r="M6" s="15">
        <v>44929</v>
      </c>
      <c r="N6" s="8">
        <v>110267</v>
      </c>
      <c r="O6" s="8" t="s">
        <v>34</v>
      </c>
      <c r="P6" s="8" t="str">
        <f>"CPA Movimientos Partner FacilitaPay PayIn "&amp;TEXT(M6,"dd-mm-yyy")</f>
        <v>CPA Movimientos Partner FacilitaPay PayIn 03-01-2023</v>
      </c>
      <c r="Q6" s="16">
        <f>ROUND(I4,0)</f>
        <v>0</v>
      </c>
      <c r="R6" s="17"/>
      <c r="U6" s="56">
        <v>44930</v>
      </c>
      <c r="V6" s="53"/>
      <c r="W6" s="53"/>
      <c r="X6" s="58"/>
      <c r="Y6" s="58"/>
      <c r="Z6" s="58">
        <f t="shared" si="6"/>
        <v>0</v>
      </c>
      <c r="AA6" s="57">
        <f t="shared" si="4"/>
        <v>0</v>
      </c>
    </row>
    <row r="7" spans="1:28" x14ac:dyDescent="0.25">
      <c r="A7" s="1">
        <v>44963</v>
      </c>
      <c r="B7" s="3"/>
      <c r="C7" s="2"/>
      <c r="D7" s="21"/>
      <c r="E7" s="3">
        <f t="shared" si="1"/>
        <v>0</v>
      </c>
      <c r="F7" s="3"/>
      <c r="G7" s="3"/>
      <c r="H7" s="26">
        <f t="shared" si="3"/>
        <v>0</v>
      </c>
      <c r="I7" s="26">
        <f t="shared" si="0"/>
        <v>0</v>
      </c>
      <c r="M7" s="20"/>
      <c r="N7">
        <v>211101</v>
      </c>
      <c r="O7" t="s">
        <v>18</v>
      </c>
      <c r="P7" t="str">
        <f>P6</f>
        <v>CPA Movimientos Partner FacilitaPay PayIn 03-01-2023</v>
      </c>
      <c r="Q7" s="3"/>
      <c r="R7" s="10">
        <f>Q6</f>
        <v>0</v>
      </c>
      <c r="U7" s="56">
        <v>44931</v>
      </c>
      <c r="V7" s="53"/>
      <c r="W7" s="53"/>
      <c r="X7" s="57">
        <f>+S17</f>
        <v>0</v>
      </c>
      <c r="Y7" s="57"/>
      <c r="Z7" s="58">
        <f t="shared" si="6"/>
        <v>0</v>
      </c>
      <c r="AA7" s="57">
        <f t="shared" si="4"/>
        <v>0</v>
      </c>
    </row>
    <row r="8" spans="1:28" x14ac:dyDescent="0.25">
      <c r="A8" s="1">
        <v>44964</v>
      </c>
      <c r="B8" s="3"/>
      <c r="C8" s="2"/>
      <c r="D8" s="21"/>
      <c r="E8" s="3">
        <f t="shared" si="1"/>
        <v>0</v>
      </c>
      <c r="F8" s="3"/>
      <c r="G8" s="3"/>
      <c r="H8" s="26">
        <f t="shared" si="3"/>
        <v>0</v>
      </c>
      <c r="I8" s="26">
        <f t="shared" si="0"/>
        <v>0</v>
      </c>
      <c r="L8" s="19"/>
      <c r="M8" s="20"/>
      <c r="N8">
        <v>110274</v>
      </c>
      <c r="O8" t="s">
        <v>35</v>
      </c>
      <c r="P8" t="str">
        <f>"CPA Rescate Partner FacilitaPay "&amp;TEXT(M6,"dd-mm-yyy") &amp; " USD 320K - T/C  " &amp; D4</f>
        <v xml:space="preserve">CPA Rescate Partner FacilitaPay 03-01-2023 USD 320K - T/C  </v>
      </c>
      <c r="Q8" s="3">
        <f>G4</f>
        <v>0</v>
      </c>
      <c r="R8" s="10"/>
      <c r="U8" s="56">
        <v>44932</v>
      </c>
      <c r="V8" s="53"/>
      <c r="W8" s="53"/>
      <c r="X8" s="57"/>
      <c r="Y8" s="57"/>
      <c r="Z8" s="58">
        <f>+Z7+X8-Y8</f>
        <v>0</v>
      </c>
      <c r="AA8" s="57">
        <f t="shared" si="4"/>
        <v>0</v>
      </c>
    </row>
    <row r="9" spans="1:28" x14ac:dyDescent="0.25">
      <c r="A9" s="1">
        <v>44965</v>
      </c>
      <c r="B9" s="3"/>
      <c r="C9" s="2"/>
      <c r="D9" s="21"/>
      <c r="E9" s="3">
        <f t="shared" si="1"/>
        <v>0</v>
      </c>
      <c r="F9" s="3"/>
      <c r="G9" s="3"/>
      <c r="H9" s="26">
        <f t="shared" si="3"/>
        <v>0</v>
      </c>
      <c r="I9" s="26">
        <f t="shared" si="0"/>
        <v>0</v>
      </c>
      <c r="L9" s="39"/>
      <c r="M9" s="20"/>
      <c r="N9">
        <v>110267</v>
      </c>
      <c r="O9" t="s">
        <v>34</v>
      </c>
      <c r="P9" t="str">
        <f>P8</f>
        <v xml:space="preserve">CPA Rescate Partner FacilitaPay 03-01-2023 USD 320K - T/C  </v>
      </c>
      <c r="Q9" s="3"/>
      <c r="R9" s="10">
        <f>Q8</f>
        <v>0</v>
      </c>
      <c r="S9" s="3">
        <f>+R9-Q6</f>
        <v>0</v>
      </c>
      <c r="U9" s="56">
        <v>44933</v>
      </c>
      <c r="V9" s="53"/>
      <c r="W9" s="53"/>
      <c r="X9" s="57"/>
      <c r="Y9" s="57"/>
      <c r="Z9" s="58">
        <f t="shared" si="6"/>
        <v>0</v>
      </c>
      <c r="AA9" s="57">
        <f t="shared" si="4"/>
        <v>0</v>
      </c>
    </row>
    <row r="10" spans="1:28" x14ac:dyDescent="0.25">
      <c r="A10" s="1">
        <v>44966</v>
      </c>
      <c r="B10" s="3"/>
      <c r="C10" s="2"/>
      <c r="D10" s="21"/>
      <c r="E10" s="3">
        <f t="shared" si="1"/>
        <v>0</v>
      </c>
      <c r="F10" s="3"/>
      <c r="G10" s="3"/>
      <c r="H10" s="26">
        <f t="shared" si="3"/>
        <v>0</v>
      </c>
      <c r="I10" s="26">
        <f t="shared" si="0"/>
        <v>0</v>
      </c>
      <c r="L10" s="21"/>
      <c r="M10" s="15">
        <v>44930</v>
      </c>
      <c r="N10" s="8">
        <v>110267</v>
      </c>
      <c r="O10" s="8" t="s">
        <v>34</v>
      </c>
      <c r="P10" s="8" t="str">
        <f>"CPA Movimientos Partner FacilitaPay PayIn "&amp;TEXT(M10,"dd-mm-yyy")</f>
        <v>CPA Movimientos Partner FacilitaPay PayIn 04-01-2023</v>
      </c>
      <c r="Q10" s="16">
        <f>ROUND(I5,0)</f>
        <v>0</v>
      </c>
      <c r="R10" s="17"/>
      <c r="U10" s="56">
        <v>44934</v>
      </c>
      <c r="V10" s="53"/>
      <c r="W10" s="53"/>
      <c r="X10" s="57"/>
      <c r="Y10" s="53"/>
      <c r="Z10" s="58">
        <f t="shared" si="6"/>
        <v>0</v>
      </c>
      <c r="AA10" s="57">
        <f t="shared" si="4"/>
        <v>0</v>
      </c>
    </row>
    <row r="11" spans="1:28" x14ac:dyDescent="0.25">
      <c r="A11" s="1">
        <v>44967</v>
      </c>
      <c r="B11" s="3"/>
      <c r="C11" s="2"/>
      <c r="D11" s="21"/>
      <c r="E11" s="3">
        <f t="shared" si="1"/>
        <v>0</v>
      </c>
      <c r="F11" s="3"/>
      <c r="G11" s="3"/>
      <c r="H11" s="26">
        <f t="shared" si="3"/>
        <v>0</v>
      </c>
      <c r="I11" s="26">
        <f t="shared" si="0"/>
        <v>0</v>
      </c>
      <c r="L11" s="40"/>
      <c r="M11" s="20"/>
      <c r="N11">
        <v>211101</v>
      </c>
      <c r="O11" t="s">
        <v>18</v>
      </c>
      <c r="P11" t="str">
        <f>P10</f>
        <v>CPA Movimientos Partner FacilitaPay PayIn 04-01-2023</v>
      </c>
      <c r="Q11" s="3"/>
      <c r="R11" s="10">
        <f>Q10</f>
        <v>0</v>
      </c>
      <c r="S11" s="3"/>
      <c r="U11" s="56">
        <v>44935</v>
      </c>
      <c r="V11" s="53"/>
      <c r="W11" s="53"/>
      <c r="X11" s="57"/>
      <c r="Y11" s="53"/>
      <c r="Z11" s="58">
        <f t="shared" si="6"/>
        <v>0</v>
      </c>
      <c r="AA11" s="57">
        <f t="shared" si="4"/>
        <v>0</v>
      </c>
    </row>
    <row r="12" spans="1:28" x14ac:dyDescent="0.25">
      <c r="A12" s="1">
        <v>44968</v>
      </c>
      <c r="B12" s="3"/>
      <c r="C12" s="2"/>
      <c r="D12" s="21"/>
      <c r="E12" s="3">
        <f t="shared" si="1"/>
        <v>0</v>
      </c>
      <c r="F12" s="3"/>
      <c r="G12" s="3"/>
      <c r="H12" s="26">
        <f t="shared" si="3"/>
        <v>0</v>
      </c>
      <c r="I12" s="26">
        <f t="shared" si="0"/>
        <v>0</v>
      </c>
      <c r="L12" s="21"/>
      <c r="M12" s="20"/>
      <c r="N12">
        <v>430105</v>
      </c>
      <c r="O12" t="s">
        <v>25</v>
      </c>
      <c r="P12" t="str">
        <f>"CPA Ajuste T/C Partner FacilitaPay "&amp;TEXT(M10,"dd-mm-yyy")</f>
        <v>CPA Ajuste T/C Partner FacilitaPay 04-01-2023</v>
      </c>
      <c r="Q12" s="3">
        <f>ROUND(J13*-1,0)</f>
        <v>0</v>
      </c>
      <c r="R12" s="10"/>
      <c r="U12" s="56">
        <v>44936</v>
      </c>
      <c r="V12" s="53"/>
      <c r="W12" s="53"/>
      <c r="X12" s="57"/>
      <c r="Y12" s="57"/>
      <c r="Z12" s="58">
        <f>+Z11+X12-Y12</f>
        <v>0</v>
      </c>
      <c r="AA12" s="57">
        <f t="shared" si="4"/>
        <v>0</v>
      </c>
      <c r="AB12" s="3"/>
    </row>
    <row r="13" spans="1:28" x14ac:dyDescent="0.25">
      <c r="A13" s="1">
        <v>44969</v>
      </c>
      <c r="B13" s="3"/>
      <c r="C13" s="2"/>
      <c r="D13" s="21"/>
      <c r="E13" s="3">
        <f t="shared" si="1"/>
        <v>0</v>
      </c>
      <c r="F13" s="3"/>
      <c r="G13" s="3"/>
      <c r="H13" s="26">
        <f t="shared" si="3"/>
        <v>0</v>
      </c>
      <c r="I13" s="26">
        <f t="shared" si="0"/>
        <v>0</v>
      </c>
      <c r="J13" s="31">
        <f>B5*J14</f>
        <v>0</v>
      </c>
      <c r="K13" s="32">
        <v>44930</v>
      </c>
      <c r="L13" s="39"/>
      <c r="M13" s="20"/>
      <c r="N13">
        <v>110267</v>
      </c>
      <c r="O13" t="s">
        <v>34</v>
      </c>
      <c r="P13" t="str">
        <f>P12</f>
        <v>CPA Ajuste T/C Partner FacilitaPay 04-01-2023</v>
      </c>
      <c r="Q13" s="3"/>
      <c r="R13" s="10">
        <f>Q12</f>
        <v>0</v>
      </c>
      <c r="U13" s="56">
        <v>44937</v>
      </c>
      <c r="X13" s="57"/>
      <c r="Y13" s="3"/>
      <c r="Z13" s="58">
        <f t="shared" ref="Z13:Z33" si="7">+Z12+X13-Y13</f>
        <v>0</v>
      </c>
      <c r="AA13" s="57">
        <f t="shared" si="4"/>
        <v>0</v>
      </c>
    </row>
    <row r="14" spans="1:28" x14ac:dyDescent="0.25">
      <c r="A14" s="1">
        <v>44970</v>
      </c>
      <c r="B14" s="3"/>
      <c r="C14" s="2"/>
      <c r="D14" s="21"/>
      <c r="E14" s="3">
        <f t="shared" si="1"/>
        <v>0</v>
      </c>
      <c r="F14" s="3"/>
      <c r="G14" s="3"/>
      <c r="H14" s="26">
        <f t="shared" si="3"/>
        <v>0</v>
      </c>
      <c r="I14" s="26">
        <f t="shared" si="0"/>
        <v>0</v>
      </c>
      <c r="J14" s="34">
        <f>+D5-D4</f>
        <v>0</v>
      </c>
      <c r="K14" s="33"/>
      <c r="L14" s="21"/>
      <c r="M14" s="15">
        <v>44931</v>
      </c>
      <c r="N14" s="8">
        <v>110267</v>
      </c>
      <c r="O14" s="8" t="s">
        <v>34</v>
      </c>
      <c r="P14" s="8" t="str">
        <f>"CPA Movimientos Partner FacilitaPay PayIn "&amp;TEXT(M14,"dd-mm-yyy")</f>
        <v>CPA Movimientos Partner FacilitaPay PayIn 05-01-2023</v>
      </c>
      <c r="Q14" s="16">
        <f>ROUND(I6,0)</f>
        <v>0</v>
      </c>
      <c r="R14" s="17"/>
      <c r="U14" s="56">
        <v>44938</v>
      </c>
      <c r="X14" s="57"/>
      <c r="Y14" s="3"/>
      <c r="Z14" s="58">
        <f t="shared" si="7"/>
        <v>0</v>
      </c>
      <c r="AA14" s="57">
        <f t="shared" si="4"/>
        <v>0</v>
      </c>
    </row>
    <row r="15" spans="1:28" x14ac:dyDescent="0.25">
      <c r="A15" s="1">
        <v>44971</v>
      </c>
      <c r="B15" s="3"/>
      <c r="C15" s="2"/>
      <c r="D15" s="21"/>
      <c r="E15" s="3">
        <f t="shared" si="1"/>
        <v>0</v>
      </c>
      <c r="F15" s="3"/>
      <c r="G15" s="3"/>
      <c r="H15" s="26">
        <f t="shared" si="3"/>
        <v>0</v>
      </c>
      <c r="I15" s="26">
        <f t="shared" si="0"/>
        <v>0</v>
      </c>
      <c r="J15" s="35">
        <f>B6*J16</f>
        <v>0</v>
      </c>
      <c r="K15" s="38">
        <v>44931</v>
      </c>
      <c r="L15" s="39"/>
      <c r="M15" s="20"/>
      <c r="N15">
        <v>211101</v>
      </c>
      <c r="O15" t="s">
        <v>18</v>
      </c>
      <c r="P15" t="str">
        <f>P14</f>
        <v>CPA Movimientos Partner FacilitaPay PayIn 05-01-2023</v>
      </c>
      <c r="Q15" s="3"/>
      <c r="R15" s="10">
        <f>Q14</f>
        <v>0</v>
      </c>
      <c r="S15" s="3"/>
      <c r="U15" s="56">
        <v>44939</v>
      </c>
      <c r="X15" s="57"/>
      <c r="Z15" s="58">
        <f t="shared" si="7"/>
        <v>0</v>
      </c>
      <c r="AA15" s="57">
        <f t="shared" si="4"/>
        <v>0</v>
      </c>
    </row>
    <row r="16" spans="1:28" x14ac:dyDescent="0.25">
      <c r="A16" s="1">
        <v>44972</v>
      </c>
      <c r="B16" s="3"/>
      <c r="C16" s="2"/>
      <c r="D16" s="21"/>
      <c r="E16" s="3">
        <f t="shared" si="1"/>
        <v>0</v>
      </c>
      <c r="F16" s="3"/>
      <c r="G16" s="3"/>
      <c r="H16" s="26">
        <f t="shared" si="3"/>
        <v>0</v>
      </c>
      <c r="I16" s="26">
        <f t="shared" si="0"/>
        <v>0</v>
      </c>
      <c r="J16" s="34">
        <f>+D6-D5</f>
        <v>0</v>
      </c>
      <c r="K16" s="33"/>
      <c r="L16" s="39"/>
      <c r="M16" s="20"/>
      <c r="N16">
        <v>110274</v>
      </c>
      <c r="O16" t="s">
        <v>35</v>
      </c>
      <c r="P16" t="str">
        <f>"CPA Rescate Partner FacilitaPay "&amp;TEXT(M14,"dd-mm-yyy") &amp; " USD 152,61 - T/C  " &amp; D6</f>
        <v xml:space="preserve">CPA Rescate Partner FacilitaPay 05-01-2023 USD 152,61 - T/C  </v>
      </c>
      <c r="Q16" s="3">
        <f>ROUND(G6,0)</f>
        <v>0</v>
      </c>
      <c r="R16" s="10"/>
      <c r="U16" s="56">
        <v>44940</v>
      </c>
      <c r="X16" s="57"/>
      <c r="Z16" s="58">
        <f t="shared" si="7"/>
        <v>0</v>
      </c>
      <c r="AA16" s="57">
        <f t="shared" si="4"/>
        <v>0</v>
      </c>
    </row>
    <row r="17" spans="1:27" ht="15.75" customHeight="1" x14ac:dyDescent="0.25">
      <c r="A17" s="1">
        <v>44973</v>
      </c>
      <c r="B17" s="3"/>
      <c r="C17" s="2"/>
      <c r="D17" s="21"/>
      <c r="E17" s="3">
        <f t="shared" si="1"/>
        <v>0</v>
      </c>
      <c r="F17" s="3"/>
      <c r="G17" s="3"/>
      <c r="H17" s="26">
        <f t="shared" si="3"/>
        <v>0</v>
      </c>
      <c r="I17" s="26">
        <f t="shared" si="0"/>
        <v>0</v>
      </c>
      <c r="J17" s="35">
        <f>B7*J18</f>
        <v>0</v>
      </c>
      <c r="K17" s="32">
        <v>44932</v>
      </c>
      <c r="L17" s="39"/>
      <c r="M17" s="20"/>
      <c r="N17">
        <v>110267</v>
      </c>
      <c r="O17" t="s">
        <v>34</v>
      </c>
      <c r="P17" t="str">
        <f>P16</f>
        <v xml:space="preserve">CPA Rescate Partner FacilitaPay 05-01-2023 USD 152,61 - T/C  </v>
      </c>
      <c r="Q17" s="3"/>
      <c r="R17" s="10">
        <f>Q16</f>
        <v>0</v>
      </c>
      <c r="S17" s="3">
        <f>Q14-R17</f>
        <v>0</v>
      </c>
      <c r="U17" s="56">
        <v>44941</v>
      </c>
      <c r="X17" s="3"/>
      <c r="Y17" s="3"/>
      <c r="Z17" s="58">
        <f t="shared" si="7"/>
        <v>0</v>
      </c>
      <c r="AA17" s="57">
        <f t="shared" si="4"/>
        <v>0</v>
      </c>
    </row>
    <row r="18" spans="1:27" x14ac:dyDescent="0.25">
      <c r="A18" s="1">
        <v>44974</v>
      </c>
      <c r="B18" s="3"/>
      <c r="C18" s="2"/>
      <c r="D18" s="21"/>
      <c r="E18" s="3">
        <f t="shared" si="1"/>
        <v>0</v>
      </c>
      <c r="F18" s="3"/>
      <c r="G18" s="3"/>
      <c r="H18" s="26">
        <f t="shared" si="3"/>
        <v>0</v>
      </c>
      <c r="I18" s="26">
        <f t="shared" si="0"/>
        <v>0</v>
      </c>
      <c r="J18" s="34">
        <f>+D7-D6</f>
        <v>0</v>
      </c>
      <c r="K18" s="33"/>
      <c r="L18" s="39"/>
      <c r="M18" s="15">
        <v>44932</v>
      </c>
      <c r="N18" s="8">
        <v>211101</v>
      </c>
      <c r="O18" s="8" t="s">
        <v>18</v>
      </c>
      <c r="P18" s="8" t="str">
        <f>"CPA Movimientos Partner FacilitaPay PayIn "&amp;TEXT(M18,"dd-mm-yyy")</f>
        <v>CPA Movimientos Partner FacilitaPay PayIn 06-01-2023</v>
      </c>
      <c r="Q18" s="16">
        <f>ROUND(I7*-1,0)</f>
        <v>0</v>
      </c>
      <c r="R18" s="17"/>
      <c r="U18" s="56">
        <v>44942</v>
      </c>
      <c r="Y18" s="3"/>
      <c r="Z18" s="58">
        <f t="shared" si="7"/>
        <v>0</v>
      </c>
      <c r="AA18" s="57">
        <f t="shared" si="4"/>
        <v>0</v>
      </c>
    </row>
    <row r="19" spans="1:27" x14ac:dyDescent="0.25">
      <c r="A19" s="1">
        <v>44975</v>
      </c>
      <c r="B19" s="3"/>
      <c r="C19" s="2"/>
      <c r="D19" s="21"/>
      <c r="E19" s="3">
        <f t="shared" si="1"/>
        <v>0</v>
      </c>
      <c r="F19" s="3"/>
      <c r="G19" s="3"/>
      <c r="H19" s="26">
        <f t="shared" si="3"/>
        <v>0</v>
      </c>
      <c r="I19" s="26">
        <f t="shared" si="0"/>
        <v>0</v>
      </c>
      <c r="J19" s="35">
        <f>J20*B8</f>
        <v>0</v>
      </c>
      <c r="K19" s="32">
        <v>44933</v>
      </c>
      <c r="L19" s="39"/>
      <c r="M19" s="20"/>
      <c r="N19">
        <v>110267</v>
      </c>
      <c r="O19" t="s">
        <v>34</v>
      </c>
      <c r="P19" t="str">
        <f>P18</f>
        <v>CPA Movimientos Partner FacilitaPay PayIn 06-01-2023</v>
      </c>
      <c r="Q19" s="3"/>
      <c r="R19" s="10">
        <f>Q18</f>
        <v>0</v>
      </c>
      <c r="S19" s="3"/>
      <c r="U19" s="56">
        <v>44943</v>
      </c>
      <c r="X19" s="3"/>
      <c r="Z19" s="58">
        <f t="shared" si="7"/>
        <v>0</v>
      </c>
      <c r="AA19" s="57">
        <f t="shared" si="4"/>
        <v>0</v>
      </c>
    </row>
    <row r="20" spans="1:27" x14ac:dyDescent="0.25">
      <c r="A20" s="1">
        <v>44976</v>
      </c>
      <c r="B20" s="3"/>
      <c r="C20" s="2"/>
      <c r="D20" s="21"/>
      <c r="E20" s="3">
        <f t="shared" si="1"/>
        <v>0</v>
      </c>
      <c r="F20" s="3"/>
      <c r="G20" s="3"/>
      <c r="H20" s="26">
        <f t="shared" si="3"/>
        <v>0</v>
      </c>
      <c r="I20" s="26">
        <f t="shared" si="0"/>
        <v>0</v>
      </c>
      <c r="J20" s="11">
        <f>+D8-D7</f>
        <v>0</v>
      </c>
      <c r="K20" s="14"/>
      <c r="L20" s="39"/>
      <c r="M20" s="20"/>
      <c r="N20">
        <v>110267</v>
      </c>
      <c r="O20" t="s">
        <v>34</v>
      </c>
      <c r="P20" t="str">
        <f>"CPA Ajuste T/C Partner FacilitaPay "&amp;TEXT(M18,"dd-mm-yyy")</f>
        <v>CPA Ajuste T/C Partner FacilitaPay 06-01-2023</v>
      </c>
      <c r="Q20" s="3">
        <f>ROUND(J17,0)</f>
        <v>0</v>
      </c>
      <c r="R20" s="10"/>
      <c r="U20" s="56">
        <v>44944</v>
      </c>
      <c r="X20" s="3"/>
      <c r="Z20" s="58">
        <f t="shared" si="7"/>
        <v>0</v>
      </c>
      <c r="AA20" s="57">
        <f t="shared" si="4"/>
        <v>0</v>
      </c>
    </row>
    <row r="21" spans="1:27" x14ac:dyDescent="0.25">
      <c r="A21" s="1">
        <v>44977</v>
      </c>
      <c r="B21" s="3"/>
      <c r="C21" s="2"/>
      <c r="E21" s="3">
        <f t="shared" si="1"/>
        <v>0</v>
      </c>
      <c r="F21" s="3"/>
      <c r="G21" s="3"/>
      <c r="H21" s="26">
        <f t="shared" si="3"/>
        <v>0</v>
      </c>
      <c r="I21" s="26">
        <f t="shared" si="0"/>
        <v>0</v>
      </c>
      <c r="J21" s="35">
        <f>B11*J22</f>
        <v>0</v>
      </c>
      <c r="K21" s="38">
        <v>44936</v>
      </c>
      <c r="L21" s="39"/>
      <c r="M21" s="20"/>
      <c r="N21">
        <v>430105</v>
      </c>
      <c r="O21" t="s">
        <v>25</v>
      </c>
      <c r="P21" t="str">
        <f>P20</f>
        <v>CPA Ajuste T/C Partner FacilitaPay 06-01-2023</v>
      </c>
      <c r="Q21" s="3"/>
      <c r="R21" s="10">
        <f>Q20</f>
        <v>0</v>
      </c>
      <c r="U21" s="56">
        <v>44945</v>
      </c>
      <c r="Y21" s="3"/>
      <c r="Z21" s="58">
        <f t="shared" si="7"/>
        <v>0</v>
      </c>
      <c r="AA21" s="57">
        <f t="shared" si="4"/>
        <v>0</v>
      </c>
    </row>
    <row r="22" spans="1:27" x14ac:dyDescent="0.25">
      <c r="A22" s="1">
        <v>44978</v>
      </c>
      <c r="B22" s="3"/>
      <c r="C22" s="2"/>
      <c r="E22" s="3">
        <f t="shared" si="1"/>
        <v>0</v>
      </c>
      <c r="F22" s="3"/>
      <c r="G22" s="3"/>
      <c r="H22" s="26">
        <f t="shared" si="3"/>
        <v>0</v>
      </c>
      <c r="I22" s="26">
        <f t="shared" si="0"/>
        <v>0</v>
      </c>
      <c r="J22" s="11">
        <f>+D11-D10</f>
        <v>0</v>
      </c>
      <c r="K22" s="14"/>
      <c r="M22" s="15">
        <v>44933</v>
      </c>
      <c r="N22" s="8">
        <v>110267</v>
      </c>
      <c r="O22" s="8" t="s">
        <v>34</v>
      </c>
      <c r="P22" s="8" t="str">
        <f>"CPA Movimientos Partner FacilitaPay "&amp;TEXT(M22,"dd-mm-yyy")</f>
        <v>CPA Movimientos Partner FacilitaPay 07-01-2023</v>
      </c>
      <c r="Q22" s="16">
        <f>+I8</f>
        <v>0</v>
      </c>
      <c r="R22" s="17"/>
      <c r="U22" s="56">
        <v>44946</v>
      </c>
      <c r="X22" s="3"/>
      <c r="Z22" s="58">
        <f t="shared" si="7"/>
        <v>0</v>
      </c>
      <c r="AA22" s="57">
        <f t="shared" si="4"/>
        <v>0</v>
      </c>
    </row>
    <row r="23" spans="1:27" x14ac:dyDescent="0.25">
      <c r="A23" s="1">
        <v>44979</v>
      </c>
      <c r="B23" s="3"/>
      <c r="C23" s="2"/>
      <c r="E23" s="3">
        <f t="shared" si="1"/>
        <v>0</v>
      </c>
      <c r="F23" s="3"/>
      <c r="G23" s="3"/>
      <c r="H23" s="26">
        <f t="shared" si="3"/>
        <v>0</v>
      </c>
      <c r="I23" s="26">
        <f t="shared" si="0"/>
        <v>0</v>
      </c>
      <c r="J23" s="35">
        <f>J24*B12</f>
        <v>0</v>
      </c>
      <c r="K23" s="37">
        <v>44937</v>
      </c>
      <c r="L23" s="39"/>
      <c r="M23" s="20"/>
      <c r="N23">
        <v>211101</v>
      </c>
      <c r="O23" t="s">
        <v>18</v>
      </c>
      <c r="P23" t="str">
        <f>P22</f>
        <v>CPA Movimientos Partner FacilitaPay 07-01-2023</v>
      </c>
      <c r="Q23" s="3"/>
      <c r="R23" s="10">
        <f>Q22</f>
        <v>0</v>
      </c>
      <c r="S23" s="3"/>
      <c r="U23" s="56">
        <v>44947</v>
      </c>
      <c r="X23" s="3"/>
      <c r="Y23" s="3"/>
      <c r="Z23" s="58">
        <f t="shared" si="7"/>
        <v>0</v>
      </c>
      <c r="AA23" s="57">
        <f t="shared" si="4"/>
        <v>0</v>
      </c>
    </row>
    <row r="24" spans="1:27" x14ac:dyDescent="0.25">
      <c r="A24" s="1">
        <v>44980</v>
      </c>
      <c r="B24" s="3"/>
      <c r="C24" s="2"/>
      <c r="E24" s="3">
        <f t="shared" si="1"/>
        <v>0</v>
      </c>
      <c r="F24" s="3"/>
      <c r="G24" s="3"/>
      <c r="H24" s="26">
        <f t="shared" si="3"/>
        <v>0</v>
      </c>
      <c r="I24" s="26">
        <f t="shared" si="0"/>
        <v>0</v>
      </c>
      <c r="J24" s="11">
        <f>+D12-D11</f>
        <v>0</v>
      </c>
      <c r="K24" s="14"/>
      <c r="M24" s="20"/>
      <c r="N24">
        <v>110267</v>
      </c>
      <c r="O24" t="s">
        <v>34</v>
      </c>
      <c r="P24" t="str">
        <f>"CPA Ajuste T/C Partner FacilitaPay "&amp;TEXT(M22,"dd-mm-yyy")</f>
        <v>CPA Ajuste T/C Partner FacilitaPay 07-01-2023</v>
      </c>
      <c r="Q24" s="3">
        <f>ROUND(J19,0)</f>
        <v>0</v>
      </c>
      <c r="R24" s="10"/>
      <c r="U24" s="56">
        <v>44948</v>
      </c>
      <c r="X24" s="3"/>
      <c r="Y24" s="3"/>
      <c r="Z24" s="58">
        <f t="shared" si="7"/>
        <v>0</v>
      </c>
      <c r="AA24" s="57">
        <f t="shared" si="4"/>
        <v>0</v>
      </c>
    </row>
    <row r="25" spans="1:27" x14ac:dyDescent="0.25">
      <c r="A25" s="1">
        <v>44981</v>
      </c>
      <c r="B25" s="3"/>
      <c r="C25" s="2"/>
      <c r="E25" s="3">
        <f t="shared" si="1"/>
        <v>0</v>
      </c>
      <c r="F25" s="3"/>
      <c r="G25" s="3"/>
      <c r="H25" s="26">
        <f t="shared" si="3"/>
        <v>0</v>
      </c>
      <c r="I25" s="26">
        <f t="shared" si="0"/>
        <v>0</v>
      </c>
      <c r="J25" s="35">
        <f>B13*J26</f>
        <v>0</v>
      </c>
      <c r="K25" s="32">
        <v>44938</v>
      </c>
      <c r="L25" s="39"/>
      <c r="M25" s="20"/>
      <c r="N25">
        <v>430105</v>
      </c>
      <c r="O25" t="s">
        <v>25</v>
      </c>
      <c r="P25" t="str">
        <f>P24</f>
        <v>CPA Ajuste T/C Partner FacilitaPay 07-01-2023</v>
      </c>
      <c r="Q25" s="3"/>
      <c r="R25" s="10">
        <f>Q24</f>
        <v>0</v>
      </c>
      <c r="U25" s="56">
        <v>44949</v>
      </c>
      <c r="X25" s="3"/>
      <c r="Y25" s="3"/>
      <c r="Z25" s="58">
        <f t="shared" si="7"/>
        <v>0</v>
      </c>
      <c r="AA25" s="57">
        <f t="shared" si="4"/>
        <v>0</v>
      </c>
    </row>
    <row r="26" spans="1:27" x14ac:dyDescent="0.25">
      <c r="A26" s="1">
        <v>44982</v>
      </c>
      <c r="B26" s="3"/>
      <c r="C26" s="59"/>
      <c r="E26" s="3">
        <f t="shared" si="1"/>
        <v>0</v>
      </c>
      <c r="F26" s="3"/>
      <c r="G26" s="3"/>
      <c r="H26" s="26">
        <f t="shared" si="3"/>
        <v>0</v>
      </c>
      <c r="I26" s="26">
        <f t="shared" si="0"/>
        <v>0</v>
      </c>
      <c r="J26" s="11">
        <f>+D13-D12</f>
        <v>0</v>
      </c>
      <c r="K26" s="14"/>
      <c r="M26" s="15">
        <v>44934</v>
      </c>
      <c r="N26" s="8">
        <v>110267</v>
      </c>
      <c r="O26" s="8" t="s">
        <v>34</v>
      </c>
      <c r="P26" s="8" t="str">
        <f>"CPA Movimientos Partner FacilitaPay "&amp;TEXT(M26,"dd-mm-yyy")</f>
        <v>CPA Movimientos Partner FacilitaPay 08-01-2023</v>
      </c>
      <c r="Q26" s="16">
        <f>+I9</f>
        <v>0</v>
      </c>
      <c r="R26" s="17"/>
      <c r="U26" s="56">
        <v>44950</v>
      </c>
      <c r="X26" s="3"/>
      <c r="Y26" s="3"/>
      <c r="Z26" s="58">
        <f t="shared" si="7"/>
        <v>0</v>
      </c>
      <c r="AA26" s="57">
        <f t="shared" si="4"/>
        <v>0</v>
      </c>
    </row>
    <row r="27" spans="1:27" x14ac:dyDescent="0.25">
      <c r="A27" s="1">
        <v>44983</v>
      </c>
      <c r="B27" s="3"/>
      <c r="C27" s="2"/>
      <c r="E27" s="3">
        <f t="shared" si="1"/>
        <v>0</v>
      </c>
      <c r="F27" s="3"/>
      <c r="G27" s="3"/>
      <c r="H27" s="26">
        <f t="shared" si="3"/>
        <v>0</v>
      </c>
      <c r="I27" s="26">
        <f t="shared" si="0"/>
        <v>0</v>
      </c>
      <c r="J27" s="35">
        <f>B14*J28</f>
        <v>0</v>
      </c>
      <c r="K27" s="32">
        <v>44939</v>
      </c>
      <c r="M27" s="11"/>
      <c r="N27" s="12">
        <v>211101</v>
      </c>
      <c r="O27" s="12" t="s">
        <v>18</v>
      </c>
      <c r="P27" t="str">
        <f>P26</f>
        <v>CPA Movimientos Partner FacilitaPay 08-01-2023</v>
      </c>
      <c r="Q27" s="13"/>
      <c r="R27" s="18">
        <f>Q26</f>
        <v>0</v>
      </c>
      <c r="S27" s="3"/>
      <c r="T27" s="2"/>
      <c r="U27" s="56">
        <v>44951</v>
      </c>
      <c r="X27" s="3"/>
      <c r="Y27" s="3">
        <f>+I26*-1</f>
        <v>0</v>
      </c>
      <c r="Z27" s="58">
        <f t="shared" si="7"/>
        <v>0</v>
      </c>
      <c r="AA27" s="57">
        <f t="shared" si="4"/>
        <v>0</v>
      </c>
    </row>
    <row r="28" spans="1:27" x14ac:dyDescent="0.25">
      <c r="A28" s="1">
        <v>44984</v>
      </c>
      <c r="B28" s="3"/>
      <c r="C28" s="2"/>
      <c r="E28" s="3">
        <f t="shared" si="1"/>
        <v>0</v>
      </c>
      <c r="F28" s="3"/>
      <c r="G28" s="3"/>
      <c r="H28" s="26">
        <f t="shared" si="3"/>
        <v>0</v>
      </c>
      <c r="I28" s="26">
        <f t="shared" si="0"/>
        <v>0</v>
      </c>
      <c r="J28" s="11">
        <f>+D14-D13</f>
        <v>0</v>
      </c>
      <c r="K28" s="14"/>
      <c r="M28" s="15">
        <v>44935</v>
      </c>
      <c r="N28" s="8">
        <v>110267</v>
      </c>
      <c r="O28" s="8" t="s">
        <v>34</v>
      </c>
      <c r="P28" s="8" t="str">
        <f>"CPA Movimientos Partner FacilitaPay "&amp;TEXT(M28,"dd-mm-yyy")</f>
        <v>CPA Movimientos Partner FacilitaPay 09-01-2023</v>
      </c>
      <c r="Q28" s="16">
        <f>+I10</f>
        <v>0</v>
      </c>
      <c r="R28" s="17"/>
      <c r="T28" s="2"/>
      <c r="U28" s="56">
        <v>44952</v>
      </c>
      <c r="X28" s="3"/>
      <c r="Y28" s="3"/>
      <c r="Z28" s="58">
        <f t="shared" si="7"/>
        <v>0</v>
      </c>
      <c r="AA28" s="57">
        <f t="shared" si="4"/>
        <v>0</v>
      </c>
    </row>
    <row r="29" spans="1:27" x14ac:dyDescent="0.25">
      <c r="A29" s="1">
        <v>44985</v>
      </c>
      <c r="B29" s="3"/>
      <c r="C29" s="2"/>
      <c r="E29" s="3">
        <f t="shared" si="1"/>
        <v>0</v>
      </c>
      <c r="F29" s="3"/>
      <c r="G29" s="3"/>
      <c r="H29" s="26">
        <f t="shared" si="3"/>
        <v>0</v>
      </c>
      <c r="I29" s="26">
        <f t="shared" si="0"/>
        <v>0</v>
      </c>
      <c r="J29" s="35">
        <f>B15*J30</f>
        <v>0</v>
      </c>
      <c r="K29" s="32">
        <v>44940</v>
      </c>
      <c r="M29" s="11"/>
      <c r="N29" s="12">
        <v>211101</v>
      </c>
      <c r="O29" s="12" t="s">
        <v>18</v>
      </c>
      <c r="P29" t="str">
        <f>P28</f>
        <v>CPA Movimientos Partner FacilitaPay 09-01-2023</v>
      </c>
      <c r="Q29" s="13"/>
      <c r="R29" s="18">
        <f>Q28</f>
        <v>0</v>
      </c>
      <c r="T29" s="2"/>
      <c r="U29" s="56">
        <v>44953</v>
      </c>
      <c r="X29" s="3"/>
      <c r="Y29" s="3"/>
      <c r="Z29" s="58">
        <f t="shared" si="7"/>
        <v>0</v>
      </c>
      <c r="AA29" s="57">
        <f t="shared" si="4"/>
        <v>0</v>
      </c>
    </row>
    <row r="30" spans="1:27" x14ac:dyDescent="0.25">
      <c r="A30" s="1" t="s">
        <v>42</v>
      </c>
      <c r="B30" s="3"/>
      <c r="C30" s="2"/>
      <c r="E30" s="3">
        <f t="shared" si="1"/>
        <v>0</v>
      </c>
      <c r="F30" s="3"/>
      <c r="G30" s="3"/>
      <c r="H30" s="26">
        <f t="shared" si="3"/>
        <v>0</v>
      </c>
      <c r="I30" s="26">
        <f t="shared" si="0"/>
        <v>0</v>
      </c>
      <c r="J30" s="11">
        <f>+D15-D14</f>
        <v>0</v>
      </c>
      <c r="K30" s="14"/>
      <c r="L30" s="43"/>
      <c r="M30" s="15">
        <v>44936</v>
      </c>
      <c r="N30" s="8">
        <v>110267</v>
      </c>
      <c r="O30" s="8" t="s">
        <v>34</v>
      </c>
      <c r="P30" s="8" t="str">
        <f>"CPA Movimientos Partner FacilitaPay "&amp;TEXT(M30,"dd-mm-yyy")</f>
        <v>CPA Movimientos Partner FacilitaPay 10-01-2023</v>
      </c>
      <c r="Q30" s="16">
        <f>+R31</f>
        <v>0</v>
      </c>
      <c r="R30" s="17"/>
      <c r="U30" s="56">
        <v>44954</v>
      </c>
      <c r="X30" s="3"/>
      <c r="Y30" s="3"/>
      <c r="Z30" s="58">
        <f t="shared" si="7"/>
        <v>0</v>
      </c>
      <c r="AA30" s="57">
        <f t="shared" si="4"/>
        <v>0</v>
      </c>
    </row>
    <row r="31" spans="1:27" x14ac:dyDescent="0.25">
      <c r="A31" s="1" t="s">
        <v>43</v>
      </c>
      <c r="C31" s="2"/>
      <c r="E31" s="3">
        <f t="shared" si="1"/>
        <v>0</v>
      </c>
      <c r="F31" s="3"/>
      <c r="G31" s="3"/>
      <c r="H31" s="26">
        <f t="shared" si="3"/>
        <v>0</v>
      </c>
      <c r="I31" s="26">
        <f t="shared" si="0"/>
        <v>0</v>
      </c>
      <c r="J31" s="35">
        <f>B18*J32</f>
        <v>0</v>
      </c>
      <c r="K31" s="36">
        <v>44943</v>
      </c>
      <c r="M31" s="9"/>
      <c r="N31">
        <v>211101</v>
      </c>
      <c r="O31" t="s">
        <v>18</v>
      </c>
      <c r="P31" t="str">
        <f>P30</f>
        <v>CPA Movimientos Partner FacilitaPay 10-01-2023</v>
      </c>
      <c r="Q31" s="3"/>
      <c r="R31" s="10">
        <f>I11</f>
        <v>0</v>
      </c>
      <c r="S31" s="3"/>
      <c r="U31" s="56">
        <v>44955</v>
      </c>
      <c r="X31" s="3"/>
      <c r="Y31" s="3"/>
      <c r="Z31" s="58">
        <f t="shared" si="7"/>
        <v>0</v>
      </c>
      <c r="AA31" s="57">
        <f t="shared" si="4"/>
        <v>0</v>
      </c>
    </row>
    <row r="32" spans="1:27" x14ac:dyDescent="0.25">
      <c r="A32" s="1" t="s">
        <v>44</v>
      </c>
      <c r="C32" s="2"/>
      <c r="E32" s="3">
        <f t="shared" si="1"/>
        <v>0</v>
      </c>
      <c r="F32" s="3"/>
      <c r="G32" s="3"/>
      <c r="H32" s="26">
        <f t="shared" si="3"/>
        <v>0</v>
      </c>
      <c r="I32" s="26">
        <f t="shared" si="0"/>
        <v>0</v>
      </c>
      <c r="J32" s="34">
        <f>+D18-D17</f>
        <v>0</v>
      </c>
      <c r="K32" s="14"/>
      <c r="M32" s="9"/>
      <c r="N32">
        <v>430105</v>
      </c>
      <c r="O32" t="s">
        <v>25</v>
      </c>
      <c r="P32" t="str">
        <f>"CPA Ajuste T/C Partner FacilitaPay "&amp;TEXT(M30,"dd-mm-yyy")</f>
        <v>CPA Ajuste T/C Partner FacilitaPay 10-01-2023</v>
      </c>
      <c r="Q32" s="3">
        <f>ROUND(J21*-1,0)</f>
        <v>0</v>
      </c>
      <c r="R32" s="10"/>
      <c r="U32" s="56">
        <v>44956</v>
      </c>
      <c r="X32" s="3"/>
      <c r="Y32" s="3"/>
      <c r="Z32" s="58">
        <f t="shared" si="7"/>
        <v>0</v>
      </c>
      <c r="AA32" s="57">
        <f t="shared" si="4"/>
        <v>0</v>
      </c>
    </row>
    <row r="33" spans="10:27" x14ac:dyDescent="0.25">
      <c r="J33" s="35">
        <f>B19*J34</f>
        <v>0</v>
      </c>
      <c r="K33" s="36">
        <v>44944</v>
      </c>
      <c r="M33" s="9"/>
      <c r="N33">
        <v>110267</v>
      </c>
      <c r="O33" t="s">
        <v>34</v>
      </c>
      <c r="P33" t="str">
        <f>P32</f>
        <v>CPA Ajuste T/C Partner FacilitaPay 10-01-2023</v>
      </c>
      <c r="Q33" s="3"/>
      <c r="R33" s="10">
        <f>J21*-1</f>
        <v>0</v>
      </c>
      <c r="U33" s="56">
        <v>44957</v>
      </c>
      <c r="X33" s="3"/>
      <c r="Y33" s="3"/>
      <c r="Z33" s="58">
        <f t="shared" si="7"/>
        <v>0</v>
      </c>
      <c r="AA33" s="57">
        <f t="shared" si="4"/>
        <v>0</v>
      </c>
    </row>
    <row r="34" spans="10:27" x14ac:dyDescent="0.25">
      <c r="J34" s="34">
        <f>+D19-D18</f>
        <v>0</v>
      </c>
      <c r="K34" s="14"/>
      <c r="M34" s="15">
        <v>44937</v>
      </c>
      <c r="N34" s="8">
        <v>211101</v>
      </c>
      <c r="O34" s="8" t="s">
        <v>18</v>
      </c>
      <c r="P34" s="8" t="str">
        <f>"CPA Movimientos Partner FacilitaPay "&amp;TEXT(M34,"dd-mm-yyy")</f>
        <v>CPA Movimientos Partner FacilitaPay 11-01-2023</v>
      </c>
      <c r="Q34" s="16">
        <f>ROUND(I12*-1,0)</f>
        <v>0</v>
      </c>
      <c r="R34" s="17"/>
      <c r="T34" s="3"/>
      <c r="U34" s="54" t="s">
        <v>15</v>
      </c>
      <c r="V34" s="54">
        <v>110267</v>
      </c>
      <c r="W34" s="54" t="s">
        <v>16</v>
      </c>
      <c r="X34" s="55">
        <f>SUM(X3:X33)</f>
        <v>0</v>
      </c>
      <c r="Y34" s="55">
        <f>SUM(Y3:Y33)</f>
        <v>0</v>
      </c>
      <c r="Z34" s="55">
        <f>Z2+X34-Y34</f>
        <v>0</v>
      </c>
    </row>
    <row r="35" spans="10:27" x14ac:dyDescent="0.25">
      <c r="J35" s="35">
        <f>B20*J36</f>
        <v>0</v>
      </c>
      <c r="K35" s="36">
        <v>44945</v>
      </c>
      <c r="M35" s="9"/>
      <c r="N35">
        <v>110267</v>
      </c>
      <c r="O35" t="s">
        <v>34</v>
      </c>
      <c r="P35" t="str">
        <f>P34</f>
        <v>CPA Movimientos Partner FacilitaPay 11-01-2023</v>
      </c>
      <c r="Q35" s="3"/>
      <c r="R35" s="10">
        <f>Q34</f>
        <v>0</v>
      </c>
      <c r="S35" s="3">
        <f>+R35-Q36</f>
        <v>0</v>
      </c>
      <c r="U35" s="54"/>
      <c r="V35" s="54"/>
      <c r="W35" s="54" t="s">
        <v>17</v>
      </c>
      <c r="X35" s="55"/>
      <c r="Y35" s="55"/>
      <c r="Z35" s="55">
        <f>+Z2+X34-Y34</f>
        <v>0</v>
      </c>
    </row>
    <row r="36" spans="10:27" x14ac:dyDescent="0.25">
      <c r="J36" s="34">
        <f>+D20-D19</f>
        <v>0</v>
      </c>
      <c r="K36" s="14"/>
      <c r="M36" s="9"/>
      <c r="N36">
        <v>110267</v>
      </c>
      <c r="O36" t="s">
        <v>34</v>
      </c>
      <c r="P36" t="str">
        <f>"CPA Ajuste T/C Partner FacilitaPay "&amp;TEXT(M34,"dd-mm-yyy")</f>
        <v>CPA Ajuste T/C Partner FacilitaPay 11-01-2023</v>
      </c>
      <c r="Q36" s="3">
        <f>ROUND(J23,0)</f>
        <v>0</v>
      </c>
      <c r="R36" s="10"/>
    </row>
    <row r="37" spans="10:27" x14ac:dyDescent="0.25">
      <c r="J37" s="35">
        <f>B21*J38</f>
        <v>0</v>
      </c>
      <c r="K37" s="36">
        <v>44946</v>
      </c>
      <c r="M37" s="9"/>
      <c r="N37">
        <v>430105</v>
      </c>
      <c r="O37" t="s">
        <v>25</v>
      </c>
      <c r="P37" t="str">
        <f>P36</f>
        <v>CPA Ajuste T/C Partner FacilitaPay 11-01-2023</v>
      </c>
      <c r="Q37" s="3"/>
      <c r="R37" s="10">
        <f>Q36</f>
        <v>0</v>
      </c>
    </row>
    <row r="38" spans="10:27" x14ac:dyDescent="0.25">
      <c r="J38" s="34">
        <f>+D21-D20</f>
        <v>0</v>
      </c>
      <c r="K38" s="14"/>
      <c r="M38" s="15">
        <v>44938</v>
      </c>
      <c r="N38" s="8">
        <v>110267</v>
      </c>
      <c r="O38" s="8" t="s">
        <v>34</v>
      </c>
      <c r="P38" s="8" t="str">
        <f>"CPA Movimientos Partner FacilitaPay "&amp;TEXT(M38,"dd-mm-yyy")</f>
        <v>CPA Movimientos Partner FacilitaPay 12-01-2023</v>
      </c>
      <c r="Q38" s="16">
        <f>+I13</f>
        <v>0</v>
      </c>
      <c r="R38" s="17"/>
    </row>
    <row r="39" spans="10:27" x14ac:dyDescent="0.25">
      <c r="J39" s="35">
        <f>B22*J40</f>
        <v>0</v>
      </c>
      <c r="K39" s="36">
        <v>44947</v>
      </c>
      <c r="M39" s="9"/>
      <c r="N39">
        <v>211101</v>
      </c>
      <c r="O39" t="s">
        <v>18</v>
      </c>
      <c r="P39" t="str">
        <f>P38</f>
        <v>CPA Movimientos Partner FacilitaPay 12-01-2023</v>
      </c>
      <c r="Q39" s="3"/>
      <c r="R39" s="10">
        <f>Q38</f>
        <v>0</v>
      </c>
      <c r="S39" s="3"/>
      <c r="T39" s="3"/>
    </row>
    <row r="40" spans="10:27" x14ac:dyDescent="0.25">
      <c r="J40" s="11">
        <f>+D22-D21</f>
        <v>0</v>
      </c>
      <c r="K40" s="14"/>
      <c r="M40" s="9"/>
      <c r="N40">
        <v>430105</v>
      </c>
      <c r="O40" t="s">
        <v>25</v>
      </c>
      <c r="P40" t="str">
        <f>"CPA Ajuste T/C Partner FacilitaPay "&amp;TEXT(M38,"dd-mm-yyy")</f>
        <v>CPA Ajuste T/C Partner FacilitaPay 12-01-2023</v>
      </c>
      <c r="Q40" s="3">
        <f>ROUND(J25*-1,0)</f>
        <v>0</v>
      </c>
      <c r="R40" s="10"/>
    </row>
    <row r="41" spans="10:27" x14ac:dyDescent="0.25">
      <c r="J41" s="35">
        <f>B25*J42</f>
        <v>0</v>
      </c>
      <c r="K41" s="36">
        <v>44950</v>
      </c>
      <c r="M41" s="9"/>
      <c r="N41">
        <v>110267</v>
      </c>
      <c r="O41" t="s">
        <v>34</v>
      </c>
      <c r="P41" t="str">
        <f>P40</f>
        <v>CPA Ajuste T/C Partner FacilitaPay 12-01-2023</v>
      </c>
      <c r="Q41" s="3"/>
      <c r="R41" s="10">
        <f>+J25*-1</f>
        <v>0</v>
      </c>
    </row>
    <row r="42" spans="10:27" x14ac:dyDescent="0.25">
      <c r="J42" s="11">
        <f>+D25-D24</f>
        <v>0</v>
      </c>
      <c r="K42" s="14"/>
      <c r="M42" s="15">
        <v>44939</v>
      </c>
      <c r="N42" s="8">
        <v>110267</v>
      </c>
      <c r="O42" s="8" t="s">
        <v>34</v>
      </c>
      <c r="P42" s="8" t="str">
        <f>"CPA Movimientos Partner FacilitaPay "&amp;TEXT(M42,"dd-mm-yyy")</f>
        <v>CPA Movimientos Partner FacilitaPay 13-01-2023</v>
      </c>
      <c r="Q42" s="16">
        <f>+I14</f>
        <v>0</v>
      </c>
      <c r="R42" s="17"/>
    </row>
    <row r="43" spans="10:27" x14ac:dyDescent="0.25">
      <c r="J43" s="35">
        <f>B26*J44</f>
        <v>0</v>
      </c>
      <c r="K43" s="36">
        <v>44951</v>
      </c>
      <c r="M43" s="9"/>
      <c r="N43">
        <v>211101</v>
      </c>
      <c r="O43" t="s">
        <v>18</v>
      </c>
      <c r="P43" t="str">
        <f>P42</f>
        <v>CPA Movimientos Partner FacilitaPay 13-01-2023</v>
      </c>
      <c r="Q43" s="3"/>
      <c r="R43" s="10">
        <f>Q42</f>
        <v>0</v>
      </c>
      <c r="S43" s="3"/>
    </row>
    <row r="44" spans="10:27" x14ac:dyDescent="0.25">
      <c r="J44" s="11">
        <f>+D26-D25</f>
        <v>0</v>
      </c>
      <c r="K44" s="14"/>
      <c r="M44" s="9"/>
      <c r="N44">
        <v>110267</v>
      </c>
      <c r="O44" t="s">
        <v>34</v>
      </c>
      <c r="P44" t="str">
        <f>"CPA Ajuste T/C Partner FacilitaPay "&amp;TEXT(M42,"dd-mm-yyy")</f>
        <v>CPA Ajuste T/C Partner FacilitaPay 13-01-2023</v>
      </c>
      <c r="Q44" s="3">
        <f>ROUND(J27,0)</f>
        <v>0</v>
      </c>
      <c r="R44" s="10"/>
    </row>
    <row r="45" spans="10:27" x14ac:dyDescent="0.25">
      <c r="J45" s="35">
        <f>B27*J46</f>
        <v>0</v>
      </c>
      <c r="K45" s="36">
        <v>44952</v>
      </c>
      <c r="M45" s="9"/>
      <c r="N45">
        <v>430105</v>
      </c>
      <c r="O45" t="s">
        <v>25</v>
      </c>
      <c r="P45" t="str">
        <f>P44</f>
        <v>CPA Ajuste T/C Partner FacilitaPay 13-01-2023</v>
      </c>
      <c r="Q45" s="3"/>
      <c r="R45" s="10">
        <f>Q44</f>
        <v>0</v>
      </c>
    </row>
    <row r="46" spans="10:27" x14ac:dyDescent="0.25">
      <c r="J46" s="11">
        <f>+D27-D26</f>
        <v>0</v>
      </c>
      <c r="K46" s="14"/>
      <c r="M46" s="15">
        <v>44940</v>
      </c>
      <c r="N46" s="8">
        <v>110267</v>
      </c>
      <c r="O46" s="8" t="s">
        <v>34</v>
      </c>
      <c r="P46" s="8" t="str">
        <f>"CPA Movimientos Partner FacilitaPay "&amp;TEXT(M46,"dd-mm-yyy")</f>
        <v>CPA Movimientos Partner FacilitaPay 14-01-2023</v>
      </c>
      <c r="Q46" s="16">
        <f>+I15</f>
        <v>0</v>
      </c>
      <c r="R46" s="17"/>
    </row>
    <row r="47" spans="10:27" x14ac:dyDescent="0.25">
      <c r="J47" s="35">
        <f>B28*J48</f>
        <v>0</v>
      </c>
      <c r="K47" s="36">
        <v>44953</v>
      </c>
      <c r="M47" s="9"/>
      <c r="N47">
        <v>211101</v>
      </c>
      <c r="O47" t="s">
        <v>18</v>
      </c>
      <c r="P47" t="str">
        <f>P46</f>
        <v>CPA Movimientos Partner FacilitaPay 14-01-2023</v>
      </c>
      <c r="Q47" s="3"/>
      <c r="R47" s="10">
        <f>Q46</f>
        <v>0</v>
      </c>
      <c r="S47" s="3"/>
    </row>
    <row r="48" spans="10:27" x14ac:dyDescent="0.25">
      <c r="J48" s="11">
        <f>+D28-D27</f>
        <v>0</v>
      </c>
      <c r="K48" s="14"/>
      <c r="M48" s="9"/>
      <c r="N48">
        <v>110267</v>
      </c>
      <c r="O48" t="s">
        <v>34</v>
      </c>
      <c r="P48" t="str">
        <f>"CPA Ajuste T/C Partner FacilitaPay "&amp;TEXT(M46,"dd-mm-yyy")</f>
        <v>CPA Ajuste T/C Partner FacilitaPay 14-01-2023</v>
      </c>
      <c r="Q48" s="3">
        <f>ROUND(J29,0)</f>
        <v>0</v>
      </c>
      <c r="R48" s="10"/>
    </row>
    <row r="49" spans="10:19" x14ac:dyDescent="0.25">
      <c r="J49" s="35">
        <f>B29*J50</f>
        <v>0</v>
      </c>
      <c r="K49" s="36">
        <v>44954</v>
      </c>
      <c r="M49" s="9"/>
      <c r="N49">
        <v>430105</v>
      </c>
      <c r="O49" t="s">
        <v>25</v>
      </c>
      <c r="P49" t="str">
        <f>P48</f>
        <v>CPA Ajuste T/C Partner FacilitaPay 14-01-2023</v>
      </c>
      <c r="Q49" s="3"/>
      <c r="R49" s="10">
        <f>Q48</f>
        <v>0</v>
      </c>
    </row>
    <row r="50" spans="10:19" x14ac:dyDescent="0.25">
      <c r="J50" s="11">
        <f>+D29-D28</f>
        <v>0</v>
      </c>
      <c r="K50" s="14"/>
      <c r="M50" s="15">
        <v>44941</v>
      </c>
      <c r="N50" s="8">
        <v>110267</v>
      </c>
      <c r="O50" s="8" t="s">
        <v>34</v>
      </c>
      <c r="P50" s="8" t="str">
        <f>"CPA Movimientos Partner FacilitaPay "&amp;TEXT(M50,"dd-mm-yyy")</f>
        <v>CPA Movimientos Partner FacilitaPay 15-01-2023</v>
      </c>
      <c r="Q50" s="16">
        <f>+I16</f>
        <v>0</v>
      </c>
      <c r="R50" s="17"/>
    </row>
    <row r="51" spans="10:19" x14ac:dyDescent="0.25">
      <c r="J51" s="35">
        <f>B32*J52</f>
        <v>0</v>
      </c>
      <c r="K51" s="36">
        <v>44957</v>
      </c>
      <c r="M51" s="11"/>
      <c r="N51" s="12">
        <v>211101</v>
      </c>
      <c r="O51" s="12" t="s">
        <v>18</v>
      </c>
      <c r="P51" s="12" t="str">
        <f>P50</f>
        <v>CPA Movimientos Partner FacilitaPay 15-01-2023</v>
      </c>
      <c r="Q51" s="13"/>
      <c r="R51" s="18">
        <f>Q50</f>
        <v>0</v>
      </c>
      <c r="S51" s="3"/>
    </row>
    <row r="52" spans="10:19" x14ac:dyDescent="0.25">
      <c r="J52" s="11">
        <f>+D32-D31</f>
        <v>0</v>
      </c>
      <c r="K52" s="14"/>
      <c r="M52" s="15">
        <v>44942</v>
      </c>
      <c r="N52" s="8">
        <v>211101</v>
      </c>
      <c r="O52" s="8" t="s">
        <v>18</v>
      </c>
      <c r="P52" s="8" t="str">
        <f>"CPA Movimientos Partner FacilitaPay "&amp;TEXT(M52,"dd-mm-yyy")</f>
        <v>CPA Movimientos Partner FacilitaPay 16-01-2023</v>
      </c>
      <c r="Q52" s="16">
        <f>ROUND(I17*-1,0)</f>
        <v>0</v>
      </c>
      <c r="R52" s="17"/>
    </row>
    <row r="53" spans="10:19" x14ac:dyDescent="0.25">
      <c r="M53" s="11"/>
      <c r="N53" s="12">
        <v>110267</v>
      </c>
      <c r="O53" s="12" t="s">
        <v>34</v>
      </c>
      <c r="P53" s="12" t="str">
        <f>P52</f>
        <v>CPA Movimientos Partner FacilitaPay 16-01-2023</v>
      </c>
      <c r="Q53" s="13"/>
      <c r="R53" s="18">
        <f>Q52</f>
        <v>0</v>
      </c>
    </row>
    <row r="54" spans="10:19" x14ac:dyDescent="0.25">
      <c r="M54" s="15">
        <v>44943</v>
      </c>
      <c r="N54" s="8">
        <v>110267</v>
      </c>
      <c r="O54" s="8" t="s">
        <v>34</v>
      </c>
      <c r="P54" s="8" t="str">
        <f>"CPA Movimientos Partner FacilitaPay "&amp;TEXT(M54,"dd-mm-yyy")</f>
        <v>CPA Movimientos Partner FacilitaPay 17-01-2023</v>
      </c>
      <c r="Q54" s="16">
        <f>ROUND(I18,0)</f>
        <v>0</v>
      </c>
      <c r="R54" s="17"/>
    </row>
    <row r="55" spans="10:19" x14ac:dyDescent="0.25">
      <c r="M55" s="9"/>
      <c r="N55">
        <v>211101</v>
      </c>
      <c r="O55" t="s">
        <v>18</v>
      </c>
      <c r="P55" t="str">
        <f>P54</f>
        <v>CPA Movimientos Partner FacilitaPay 17-01-2023</v>
      </c>
      <c r="Q55" s="3"/>
      <c r="R55" s="10">
        <f>Q54</f>
        <v>0</v>
      </c>
      <c r="S55" s="3">
        <f>+Q54-R57</f>
        <v>0</v>
      </c>
    </row>
    <row r="56" spans="10:19" x14ac:dyDescent="0.25">
      <c r="M56" s="9"/>
      <c r="N56">
        <v>430105</v>
      </c>
      <c r="O56" t="s">
        <v>25</v>
      </c>
      <c r="P56" t="str">
        <f>"CPA Ajuste T/C Partner FacilitaPay "&amp;TEXT(M54,"dd-mm-yyy")</f>
        <v>CPA Ajuste T/C Partner FacilitaPay 17-01-2023</v>
      </c>
      <c r="Q56" s="3">
        <f>ROUND(J31*-1,0)</f>
        <v>0</v>
      </c>
      <c r="R56" s="10"/>
    </row>
    <row r="57" spans="10:19" x14ac:dyDescent="0.25">
      <c r="M57" s="41"/>
      <c r="N57" s="12">
        <v>110267</v>
      </c>
      <c r="O57" s="12" t="s">
        <v>34</v>
      </c>
      <c r="P57" s="12" t="str">
        <f>P56</f>
        <v>CPA Ajuste T/C Partner FacilitaPay 17-01-2023</v>
      </c>
      <c r="Q57" s="13"/>
      <c r="R57" s="18">
        <f>Q56</f>
        <v>0</v>
      </c>
    </row>
    <row r="58" spans="10:19" x14ac:dyDescent="0.25">
      <c r="M58" s="15">
        <v>44944</v>
      </c>
      <c r="N58" s="8">
        <v>211101</v>
      </c>
      <c r="O58" s="8" t="s">
        <v>18</v>
      </c>
      <c r="P58" s="8" t="str">
        <f>"CPA Movimientos Partner FacilitaPay "&amp;TEXT(M58,"dd-mm-yyy")</f>
        <v>CPA Movimientos Partner FacilitaPay 18-01-2023</v>
      </c>
      <c r="Q58" s="16"/>
      <c r="R58" s="17"/>
    </row>
    <row r="59" spans="10:19" x14ac:dyDescent="0.25">
      <c r="M59" s="9"/>
      <c r="N59">
        <v>110267</v>
      </c>
      <c r="O59" t="s">
        <v>34</v>
      </c>
      <c r="P59" t="str">
        <f>P58</f>
        <v>CPA Movimientos Partner FacilitaPay 18-01-2023</v>
      </c>
      <c r="Q59" s="3"/>
      <c r="R59" s="10"/>
    </row>
    <row r="60" spans="10:19" x14ac:dyDescent="0.25">
      <c r="M60" s="9"/>
      <c r="N60">
        <v>430105</v>
      </c>
      <c r="O60" t="s">
        <v>25</v>
      </c>
      <c r="P60" t="str">
        <f>"CPA Ajuste T/C Partner FacilitaPay "&amp;TEXT(M58,"dd-mm-yyy")</f>
        <v>CPA Ajuste T/C Partner FacilitaPay 18-01-2023</v>
      </c>
      <c r="Q60" s="3">
        <f>ROUND(J33,0)</f>
        <v>0</v>
      </c>
      <c r="R60" s="10"/>
    </row>
    <row r="61" spans="10:19" x14ac:dyDescent="0.25">
      <c r="M61" s="41"/>
      <c r="N61" s="12">
        <v>110267</v>
      </c>
      <c r="O61" s="12" t="s">
        <v>34</v>
      </c>
      <c r="P61" s="12" t="str">
        <f>P60</f>
        <v>CPA Ajuste T/C Partner FacilitaPay 18-01-2023</v>
      </c>
      <c r="Q61" s="13"/>
      <c r="R61" s="18">
        <f>Q60</f>
        <v>0</v>
      </c>
    </row>
    <row r="62" spans="10:19" x14ac:dyDescent="0.25">
      <c r="M62" s="15">
        <v>44945</v>
      </c>
      <c r="N62" s="8">
        <v>211101</v>
      </c>
      <c r="O62" s="8" t="s">
        <v>18</v>
      </c>
      <c r="P62" s="8" t="str">
        <f>"CPA Movimientos Partner FacilitaPay "&amp;TEXT(M62,"dd-mm-yyy")</f>
        <v>CPA Movimientos Partner FacilitaPay 19-01-2023</v>
      </c>
      <c r="Q62" s="16"/>
      <c r="R62" s="17"/>
    </row>
    <row r="63" spans="10:19" x14ac:dyDescent="0.25">
      <c r="M63" s="9"/>
      <c r="N63">
        <v>110267</v>
      </c>
      <c r="O63" t="s">
        <v>34</v>
      </c>
      <c r="P63" t="str">
        <f>P62</f>
        <v>CPA Movimientos Partner FacilitaPay 19-01-2023</v>
      </c>
      <c r="Q63" s="3"/>
      <c r="R63" s="10"/>
    </row>
    <row r="64" spans="10:19" x14ac:dyDescent="0.25">
      <c r="M64" s="9"/>
      <c r="N64">
        <v>430105</v>
      </c>
      <c r="O64" t="s">
        <v>25</v>
      </c>
      <c r="P64" t="str">
        <f>"CPA Ajuste T/C Partner FacilitaPay "&amp;TEXT(M62,"dd-mm-yyy")</f>
        <v>CPA Ajuste T/C Partner FacilitaPay 19-01-2023</v>
      </c>
      <c r="Q64" s="3">
        <f>ROUND(J35*-1,0)</f>
        <v>0</v>
      </c>
      <c r="R64" s="10"/>
    </row>
    <row r="65" spans="13:19" x14ac:dyDescent="0.25">
      <c r="M65" s="41"/>
      <c r="N65" s="12">
        <v>110267</v>
      </c>
      <c r="O65" s="12" t="s">
        <v>34</v>
      </c>
      <c r="P65" s="12" t="str">
        <f>P64</f>
        <v>CPA Ajuste T/C Partner FacilitaPay 19-01-2023</v>
      </c>
      <c r="Q65" s="13"/>
      <c r="R65" s="18">
        <f>Q64</f>
        <v>0</v>
      </c>
    </row>
    <row r="66" spans="13:19" x14ac:dyDescent="0.25">
      <c r="M66" s="15">
        <v>44946</v>
      </c>
      <c r="N66" s="8">
        <v>110267</v>
      </c>
      <c r="O66" s="8" t="s">
        <v>34</v>
      </c>
      <c r="P66" s="8" t="str">
        <f>"CPA Movimientos Partner FacilitaPay "&amp;TEXT(M66,"dd-mm-yyy")</f>
        <v>CPA Movimientos Partner FacilitaPay 20-01-2023</v>
      </c>
      <c r="Q66" s="16">
        <f>ROUND(I21,0)</f>
        <v>0</v>
      </c>
      <c r="R66" s="17"/>
    </row>
    <row r="67" spans="13:19" x14ac:dyDescent="0.25">
      <c r="M67" s="9"/>
      <c r="N67">
        <v>211101</v>
      </c>
      <c r="O67" t="s">
        <v>18</v>
      </c>
      <c r="P67" t="str">
        <f>P66</f>
        <v>CPA Movimientos Partner FacilitaPay 20-01-2023</v>
      </c>
      <c r="Q67" s="3"/>
      <c r="R67" s="10">
        <f>Q66</f>
        <v>0</v>
      </c>
      <c r="S67" s="3">
        <f>+Q66+Q68</f>
        <v>0</v>
      </c>
    </row>
    <row r="68" spans="13:19" x14ac:dyDescent="0.25">
      <c r="M68" s="9"/>
      <c r="N68">
        <v>110267</v>
      </c>
      <c r="O68" t="s">
        <v>34</v>
      </c>
      <c r="P68" t="str">
        <f>"CPA Ajuste T/C Partner FacilitaPay "&amp;TEXT(M66,"dd-mm-yyy")</f>
        <v>CPA Ajuste T/C Partner FacilitaPay 20-01-2023</v>
      </c>
      <c r="Q68" s="3">
        <f>ROUND(J37,0)</f>
        <v>0</v>
      </c>
      <c r="R68" s="10"/>
    </row>
    <row r="69" spans="13:19" x14ac:dyDescent="0.25">
      <c r="M69" s="41"/>
      <c r="N69" s="12">
        <v>430105</v>
      </c>
      <c r="O69" s="12" t="s">
        <v>25</v>
      </c>
      <c r="P69" s="12" t="str">
        <f>P68</f>
        <v>CPA Ajuste T/C Partner FacilitaPay 20-01-2023</v>
      </c>
      <c r="Q69" s="13"/>
      <c r="R69" s="18">
        <f>Q68</f>
        <v>0</v>
      </c>
    </row>
    <row r="70" spans="13:19" x14ac:dyDescent="0.25">
      <c r="M70" s="15">
        <v>44947</v>
      </c>
      <c r="N70" s="8">
        <v>211101</v>
      </c>
      <c r="O70" s="8" t="s">
        <v>18</v>
      </c>
      <c r="P70" s="8" t="str">
        <f>"CPA Movimientos Partner FacilitaPay "&amp;TEXT(M70,"dd-mm-yyy")</f>
        <v>CPA Movimientos Partner FacilitaPay 21-01-2023</v>
      </c>
      <c r="Q70" s="16">
        <f>+I22</f>
        <v>0</v>
      </c>
      <c r="R70" s="17"/>
    </row>
    <row r="71" spans="13:19" x14ac:dyDescent="0.25">
      <c r="M71" s="9"/>
      <c r="N71">
        <v>110267</v>
      </c>
      <c r="O71" t="s">
        <v>34</v>
      </c>
      <c r="P71" t="str">
        <f>P70</f>
        <v>CPA Movimientos Partner FacilitaPay 21-01-2023</v>
      </c>
      <c r="Q71" s="3"/>
      <c r="R71" s="10"/>
    </row>
    <row r="72" spans="13:19" x14ac:dyDescent="0.25">
      <c r="M72" s="9"/>
      <c r="N72">
        <v>430105</v>
      </c>
      <c r="O72" t="s">
        <v>25</v>
      </c>
      <c r="P72" t="str">
        <f>"CPA Ajuste T/C Partner FacilitaPay "&amp;TEXT(M70,"dd-mm-yyy")</f>
        <v>CPA Ajuste T/C Partner FacilitaPay 21-01-2023</v>
      </c>
      <c r="Q72" s="3">
        <f>ROUND(J39*-1,0)</f>
        <v>0</v>
      </c>
      <c r="R72" s="10"/>
    </row>
    <row r="73" spans="13:19" x14ac:dyDescent="0.25">
      <c r="M73" s="41"/>
      <c r="N73" s="12">
        <v>110267</v>
      </c>
      <c r="O73" s="12" t="s">
        <v>34</v>
      </c>
      <c r="P73" s="12" t="str">
        <f>P72</f>
        <v>CPA Ajuste T/C Partner FacilitaPay 21-01-2023</v>
      </c>
      <c r="Q73" s="13"/>
      <c r="R73" s="18">
        <f>Q72</f>
        <v>0</v>
      </c>
    </row>
    <row r="74" spans="13:19" x14ac:dyDescent="0.25">
      <c r="M74" s="15">
        <v>44948</v>
      </c>
      <c r="N74" s="8">
        <v>110267</v>
      </c>
      <c r="O74" s="8" t="s">
        <v>34</v>
      </c>
      <c r="P74" s="8" t="str">
        <f>"CPA Movimientos Partner FacilitaPay "&amp;TEXT(M74,"dd-mm-yyy")</f>
        <v>CPA Movimientos Partner FacilitaPay 22-01-2023</v>
      </c>
      <c r="Q74" s="16">
        <f>+I23</f>
        <v>0</v>
      </c>
      <c r="R74" s="17"/>
    </row>
    <row r="75" spans="13:19" x14ac:dyDescent="0.25">
      <c r="M75" s="11"/>
      <c r="N75" s="12">
        <v>211101</v>
      </c>
      <c r="O75" s="12" t="s">
        <v>18</v>
      </c>
      <c r="P75" s="12" t="str">
        <f>P74</f>
        <v>CPA Movimientos Partner FacilitaPay 22-01-2023</v>
      </c>
      <c r="Q75" s="13"/>
      <c r="R75" s="18"/>
    </row>
    <row r="76" spans="13:19" x14ac:dyDescent="0.25">
      <c r="M76" s="15">
        <v>44949</v>
      </c>
      <c r="N76" s="8">
        <v>211101</v>
      </c>
      <c r="O76" s="8" t="s">
        <v>18</v>
      </c>
      <c r="P76" s="8" t="str">
        <f>"CPA Movimientos Partner FacilitaPay "&amp;TEXT(M76,"dd-mm-yyy")</f>
        <v>CPA Movimientos Partner FacilitaPay 23-01-2023</v>
      </c>
      <c r="Q76" s="16">
        <f>ROUND(I24*-1,0)</f>
        <v>0</v>
      </c>
      <c r="R76" s="17"/>
    </row>
    <row r="77" spans="13:19" x14ac:dyDescent="0.25">
      <c r="M77" s="11"/>
      <c r="N77" s="12">
        <v>110267</v>
      </c>
      <c r="O77" s="12" t="s">
        <v>34</v>
      </c>
      <c r="P77" s="12" t="str">
        <f>P76</f>
        <v>CPA Movimientos Partner FacilitaPay 23-01-2023</v>
      </c>
      <c r="Q77" s="13"/>
      <c r="R77" s="18">
        <f>Q76</f>
        <v>0</v>
      </c>
    </row>
    <row r="78" spans="13:19" x14ac:dyDescent="0.25">
      <c r="M78" s="15">
        <v>44950</v>
      </c>
      <c r="N78" s="8">
        <v>110267</v>
      </c>
      <c r="O78" s="8" t="s">
        <v>34</v>
      </c>
      <c r="P78" s="8" t="str">
        <f>"CPA Movimientos Partner FacilitaPay "&amp;TEXT(M78,"dd-mm-yyy")</f>
        <v>CPA Movimientos Partner FacilitaPay 24-01-2023</v>
      </c>
      <c r="Q78" s="16">
        <f>ROUND(I25,0)</f>
        <v>0</v>
      </c>
      <c r="R78" s="17"/>
    </row>
    <row r="79" spans="13:19" x14ac:dyDescent="0.25">
      <c r="M79" s="9"/>
      <c r="N79">
        <v>211101</v>
      </c>
      <c r="O79" t="s">
        <v>18</v>
      </c>
      <c r="P79" t="str">
        <f>P78</f>
        <v>CPA Movimientos Partner FacilitaPay 24-01-2023</v>
      </c>
      <c r="Q79" s="3"/>
      <c r="R79" s="10">
        <f>Q78</f>
        <v>0</v>
      </c>
      <c r="S79" s="3">
        <f>+Q78-R81</f>
        <v>0</v>
      </c>
    </row>
    <row r="80" spans="13:19" x14ac:dyDescent="0.25">
      <c r="M80" s="9"/>
      <c r="N80">
        <v>430105</v>
      </c>
      <c r="O80" t="s">
        <v>25</v>
      </c>
      <c r="P80" t="str">
        <f>"CPA Ajuste T/C Partner FacilitaPay "&amp;TEXT(M78,"dd-mm-yyy")</f>
        <v>CPA Ajuste T/C Partner FacilitaPay 24-01-2023</v>
      </c>
      <c r="Q80" s="3">
        <f>ROUND(J41*-1,0)</f>
        <v>0</v>
      </c>
      <c r="R80" s="10"/>
    </row>
    <row r="81" spans="13:19" x14ac:dyDescent="0.25">
      <c r="M81" s="41"/>
      <c r="N81" s="12">
        <v>110267</v>
      </c>
      <c r="O81" s="12" t="s">
        <v>34</v>
      </c>
      <c r="P81" s="12" t="str">
        <f>P80</f>
        <v>CPA Ajuste T/C Partner FacilitaPay 24-01-2023</v>
      </c>
      <c r="Q81" s="13"/>
      <c r="R81" s="18">
        <f>Q80</f>
        <v>0</v>
      </c>
    </row>
    <row r="82" spans="13:19" x14ac:dyDescent="0.25">
      <c r="M82" s="15">
        <v>44951</v>
      </c>
      <c r="N82" s="8">
        <v>211101</v>
      </c>
      <c r="O82" s="8" t="s">
        <v>18</v>
      </c>
      <c r="P82" s="8" t="str">
        <f>"CPA Movimientos Partner FacilitaPay PayIn "&amp;TEXT(M82,"dd-mm-yyy")</f>
        <v>CPA Movimientos Partner FacilitaPay PayIn 25-01-2023</v>
      </c>
      <c r="Q82" s="16">
        <f>ROUND(I29,0)</f>
        <v>0</v>
      </c>
      <c r="R82" s="17"/>
    </row>
    <row r="83" spans="13:19" x14ac:dyDescent="0.25">
      <c r="M83" s="9"/>
      <c r="N83">
        <v>110267</v>
      </c>
      <c r="O83" t="s">
        <v>34</v>
      </c>
      <c r="P83" t="str">
        <f>P82</f>
        <v>CPA Movimientos Partner FacilitaPay PayIn 25-01-2023</v>
      </c>
      <c r="Q83" s="3"/>
      <c r="R83" s="10">
        <f>Q82</f>
        <v>0</v>
      </c>
    </row>
    <row r="84" spans="13:19" x14ac:dyDescent="0.25">
      <c r="M84" s="9"/>
      <c r="N84">
        <v>430105</v>
      </c>
      <c r="O84" t="s">
        <v>25</v>
      </c>
      <c r="P84" t="str">
        <f>"CPA Ajuste T/C Partner FacilitaPay "&amp;TEXT(M82,"dd-mm-yyy")</f>
        <v>CPA Ajuste T/C Partner FacilitaPay 25-01-2023</v>
      </c>
      <c r="Q84" s="3">
        <f>ROUND(J43*-1,0)</f>
        <v>0</v>
      </c>
      <c r="R84" s="10"/>
    </row>
    <row r="85" spans="13:19" x14ac:dyDescent="0.25">
      <c r="M85" s="41"/>
      <c r="N85" s="12">
        <v>110267</v>
      </c>
      <c r="O85" s="12" t="s">
        <v>34</v>
      </c>
      <c r="P85" s="12" t="str">
        <f>P84</f>
        <v>CPA Ajuste T/C Partner FacilitaPay 25-01-2023</v>
      </c>
      <c r="Q85" s="13"/>
      <c r="R85" s="18">
        <f>Q84</f>
        <v>0</v>
      </c>
    </row>
    <row r="86" spans="13:19" x14ac:dyDescent="0.25">
      <c r="M86" s="15">
        <v>44952</v>
      </c>
      <c r="N86" s="8">
        <v>110267</v>
      </c>
      <c r="O86" s="8" t="s">
        <v>34</v>
      </c>
      <c r="P86" s="8" t="str">
        <f>"CPA Movimientos Partner FacilitaPay "&amp;TEXT(M86,"dd-mm-yyy")</f>
        <v>CPA Movimientos Partner FacilitaPay 26-01-2023</v>
      </c>
      <c r="Q86" s="16">
        <f>ROUND(I27,0)</f>
        <v>0</v>
      </c>
      <c r="R86" s="17"/>
    </row>
    <row r="87" spans="13:19" x14ac:dyDescent="0.25">
      <c r="M87" s="9"/>
      <c r="N87">
        <v>211101</v>
      </c>
      <c r="O87" t="s">
        <v>18</v>
      </c>
      <c r="P87" t="str">
        <f>P86</f>
        <v>CPA Movimientos Partner FacilitaPay 26-01-2023</v>
      </c>
      <c r="Q87" s="3"/>
      <c r="R87" s="10">
        <f>Q86</f>
        <v>0</v>
      </c>
      <c r="S87" s="3">
        <f>+Q86+Q88</f>
        <v>0</v>
      </c>
    </row>
    <row r="88" spans="13:19" x14ac:dyDescent="0.25">
      <c r="M88" s="9"/>
      <c r="N88">
        <v>110267</v>
      </c>
      <c r="O88" t="s">
        <v>34</v>
      </c>
      <c r="P88" t="str">
        <f>"CPA Ajuste T/C Partner FacilitaPay "&amp;TEXT(M86,"dd-mm-yyy")</f>
        <v>CPA Ajuste T/C Partner FacilitaPay 26-01-2023</v>
      </c>
      <c r="Q88" s="3">
        <f>ROUND(J45,0)</f>
        <v>0</v>
      </c>
      <c r="R88" s="10"/>
    </row>
    <row r="89" spans="13:19" x14ac:dyDescent="0.25">
      <c r="M89" s="41"/>
      <c r="N89" s="12">
        <v>430105</v>
      </c>
      <c r="O89" s="12" t="s">
        <v>25</v>
      </c>
      <c r="P89" s="12" t="str">
        <f>P88</f>
        <v>CPA Ajuste T/C Partner FacilitaPay 26-01-2023</v>
      </c>
      <c r="Q89" s="13"/>
      <c r="R89" s="18">
        <f>Q88</f>
        <v>0</v>
      </c>
    </row>
    <row r="90" spans="13:19" x14ac:dyDescent="0.25">
      <c r="M90" s="15">
        <v>44953</v>
      </c>
      <c r="N90" s="8">
        <v>211101</v>
      </c>
      <c r="O90" s="8" t="s">
        <v>18</v>
      </c>
      <c r="P90" s="8" t="str">
        <f>"CPA Movimientos Partner FacilitaPay "&amp;TEXT(M90,"dd-mm-yyy")</f>
        <v>CPA Movimientos Partner FacilitaPay 27-01-2023</v>
      </c>
      <c r="Q90" s="16">
        <f>ROUND(I28*-1,0)</f>
        <v>0</v>
      </c>
      <c r="R90" s="17"/>
    </row>
    <row r="91" spans="13:19" x14ac:dyDescent="0.25">
      <c r="M91" s="9"/>
      <c r="N91">
        <v>110267</v>
      </c>
      <c r="O91" t="s">
        <v>34</v>
      </c>
      <c r="P91" t="str">
        <f>P90</f>
        <v>CPA Movimientos Partner FacilitaPay 27-01-2023</v>
      </c>
      <c r="Q91" s="3"/>
      <c r="R91" s="10">
        <f>Q90</f>
        <v>0</v>
      </c>
      <c r="S91" s="3">
        <f>+R91+R93</f>
        <v>0</v>
      </c>
    </row>
    <row r="92" spans="13:19" x14ac:dyDescent="0.25">
      <c r="M92" s="9"/>
      <c r="N92">
        <v>430105</v>
      </c>
      <c r="O92" t="s">
        <v>25</v>
      </c>
      <c r="P92" t="str">
        <f>"CPA Ajuste T/C Partner FacilitaPay "&amp;TEXT(M90,"dd-mm-yyy")</f>
        <v>CPA Ajuste T/C Partner FacilitaPay 27-01-2023</v>
      </c>
      <c r="Q92" s="3">
        <f>ROUND(J47*-1,0)</f>
        <v>0</v>
      </c>
      <c r="R92" s="10"/>
    </row>
    <row r="93" spans="13:19" x14ac:dyDescent="0.25">
      <c r="M93" s="41"/>
      <c r="N93" s="12">
        <v>110267</v>
      </c>
      <c r="O93" s="12" t="s">
        <v>34</v>
      </c>
      <c r="P93" s="12" t="str">
        <f>P92</f>
        <v>CPA Ajuste T/C Partner FacilitaPay 27-01-2023</v>
      </c>
      <c r="Q93" s="13"/>
      <c r="R93" s="18">
        <f>Q92</f>
        <v>0</v>
      </c>
    </row>
    <row r="94" spans="13:19" x14ac:dyDescent="0.25">
      <c r="M94" s="15">
        <v>44954</v>
      </c>
      <c r="N94" s="8">
        <v>110267</v>
      </c>
      <c r="O94" s="8" t="s">
        <v>34</v>
      </c>
      <c r="P94" s="8" t="str">
        <f>"CPA Movimientos Partner FacilitaPay "&amp;TEXT(M94,"dd-mm-yyy")</f>
        <v>CPA Movimientos Partner FacilitaPay 28-01-2023</v>
      </c>
      <c r="Q94" s="16">
        <f>ROUND(I29,0)</f>
        <v>0</v>
      </c>
      <c r="R94" s="17"/>
    </row>
    <row r="95" spans="13:19" x14ac:dyDescent="0.25">
      <c r="M95" s="9"/>
      <c r="N95">
        <v>211101</v>
      </c>
      <c r="O95" t="s">
        <v>18</v>
      </c>
      <c r="P95" t="str">
        <f>P94</f>
        <v>CPA Movimientos Partner FacilitaPay 28-01-2023</v>
      </c>
      <c r="Q95" s="3"/>
      <c r="R95" s="10">
        <f>Q94</f>
        <v>0</v>
      </c>
    </row>
    <row r="96" spans="13:19" x14ac:dyDescent="0.25">
      <c r="M96" s="9"/>
      <c r="N96">
        <v>110267</v>
      </c>
      <c r="O96" t="s">
        <v>34</v>
      </c>
      <c r="P96" t="str">
        <f>"CPA Ajuste T/C Partner FacilitaPay "&amp;TEXT(M94,"dd-mm-yyy")</f>
        <v>CPA Ajuste T/C Partner FacilitaPay 28-01-2023</v>
      </c>
      <c r="Q96" s="3">
        <f>ROUND(J49,0)</f>
        <v>0</v>
      </c>
      <c r="R96" s="10"/>
    </row>
    <row r="97" spans="13:18" x14ac:dyDescent="0.25">
      <c r="M97" s="41"/>
      <c r="N97" s="12">
        <v>430105</v>
      </c>
      <c r="O97" s="12" t="s">
        <v>25</v>
      </c>
      <c r="P97" s="12" t="str">
        <f>P96</f>
        <v>CPA Ajuste T/C Partner FacilitaPay 28-01-2023</v>
      </c>
      <c r="Q97" s="13"/>
      <c r="R97" s="18">
        <f>Q96</f>
        <v>0</v>
      </c>
    </row>
    <row r="98" spans="13:18" x14ac:dyDescent="0.25">
      <c r="M98" s="15">
        <v>44955</v>
      </c>
      <c r="N98" s="8">
        <v>110267</v>
      </c>
      <c r="O98" s="8" t="s">
        <v>34</v>
      </c>
      <c r="P98" s="8" t="str">
        <f>"CPA Movimientos Partner FacilitaPay "&amp;TEXT(M98,"dd-mm-yyy")</f>
        <v>CPA Movimientos Partner FacilitaPay 29-01-2023</v>
      </c>
      <c r="Q98" s="16">
        <f>+I47</f>
        <v>0</v>
      </c>
      <c r="R98" s="17"/>
    </row>
    <row r="99" spans="13:18" x14ac:dyDescent="0.25">
      <c r="M99" s="11"/>
      <c r="N99" s="12">
        <v>211101</v>
      </c>
      <c r="O99" s="12" t="s">
        <v>18</v>
      </c>
      <c r="P99" s="12" t="str">
        <f>P98</f>
        <v>CPA Movimientos Partner FacilitaPay 29-01-2023</v>
      </c>
      <c r="Q99" s="13"/>
      <c r="R99" s="18"/>
    </row>
    <row r="100" spans="13:18" x14ac:dyDescent="0.25">
      <c r="M100" s="15">
        <v>44956</v>
      </c>
      <c r="N100" s="8">
        <v>211101</v>
      </c>
      <c r="O100" s="8" t="s">
        <v>18</v>
      </c>
      <c r="P100" s="8" t="str">
        <f>"CPA Movimientos Partner FacilitaPay "&amp;TEXT(M100,"dd-mm-yyy")</f>
        <v>CPA Movimientos Partner FacilitaPay 30-01-2023</v>
      </c>
      <c r="Q100" s="16">
        <f>ROUND(I48*-1,0)</f>
        <v>0</v>
      </c>
      <c r="R100" s="17"/>
    </row>
    <row r="101" spans="13:18" x14ac:dyDescent="0.25">
      <c r="M101" s="11"/>
      <c r="N101" s="12">
        <v>110267</v>
      </c>
      <c r="O101" s="12" t="s">
        <v>34</v>
      </c>
      <c r="P101" s="12" t="str">
        <f>P100</f>
        <v>CPA Movimientos Partner FacilitaPay 30-01-2023</v>
      </c>
      <c r="Q101" s="13"/>
      <c r="R101" s="18">
        <f>Q100</f>
        <v>0</v>
      </c>
    </row>
    <row r="102" spans="13:18" x14ac:dyDescent="0.25">
      <c r="M102" s="15">
        <v>44957</v>
      </c>
      <c r="N102" s="8">
        <v>110267</v>
      </c>
      <c r="O102" s="8" t="s">
        <v>34</v>
      </c>
      <c r="P102" s="8" t="str">
        <f>"CPA Movimientos Partner FacilitaPay "&amp;TEXT(M102,"dd-mm-yyy")</f>
        <v>CPA Movimientos Partner FacilitaPay 31-01-2023</v>
      </c>
      <c r="Q102" s="16">
        <f>ROUND(I49,0)</f>
        <v>0</v>
      </c>
      <c r="R102" s="17"/>
    </row>
    <row r="103" spans="13:18" x14ac:dyDescent="0.25">
      <c r="M103" s="9"/>
      <c r="N103">
        <v>211101</v>
      </c>
      <c r="O103" t="s">
        <v>18</v>
      </c>
      <c r="P103" t="str">
        <f>P102</f>
        <v>CPA Movimientos Partner FacilitaPay 31-01-2023</v>
      </c>
      <c r="Q103" s="3"/>
      <c r="R103" s="10">
        <f>Q102</f>
        <v>0</v>
      </c>
    </row>
    <row r="104" spans="13:18" x14ac:dyDescent="0.25">
      <c r="M104" s="9"/>
      <c r="N104">
        <v>430105</v>
      </c>
      <c r="O104" t="s">
        <v>25</v>
      </c>
      <c r="P104" t="str">
        <f>"CPA Ajuste T/C Partner FacilitaPay "&amp;TEXT(M102,"dd-mm-yyy")</f>
        <v>CPA Ajuste T/C Partner FacilitaPay 31-01-2023</v>
      </c>
      <c r="Q104" s="3">
        <f>ROUND(J65*-1,0)</f>
        <v>0</v>
      </c>
      <c r="R104" s="10"/>
    </row>
    <row r="105" spans="13:18" x14ac:dyDescent="0.25">
      <c r="M105" s="41"/>
      <c r="N105" s="12">
        <v>110267</v>
      </c>
      <c r="O105" s="12" t="s">
        <v>34</v>
      </c>
      <c r="P105" s="12" t="str">
        <f>P104</f>
        <v>CPA Ajuste T/C Partner FacilitaPay 31-01-2023</v>
      </c>
      <c r="Q105" s="13"/>
      <c r="R105" s="18">
        <f>Q104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DCE1-E603-43AE-8CE6-8987B2944766}">
  <dimension ref="A1:BS63"/>
  <sheetViews>
    <sheetView showGridLines="0" zoomScaleNormal="100" workbookViewId="0">
      <selection activeCell="BN1" sqref="BN1:BN1048576"/>
    </sheetView>
  </sheetViews>
  <sheetFormatPr baseColWidth="10" defaultRowHeight="15" outlineLevelCol="1" x14ac:dyDescent="0.25"/>
  <cols>
    <col min="1" max="1" width="11.5703125" customWidth="1" outlineLevel="1"/>
    <col min="2" max="2" width="14.5703125" customWidth="1" outlineLevel="1"/>
    <col min="3" max="3" width="12" customWidth="1" outlineLevel="1"/>
    <col min="4" max="6" width="11.42578125" customWidth="1" outlineLevel="1"/>
    <col min="7" max="7" width="23.140625" customWidth="1" outlineLevel="1"/>
    <col min="8" max="8" width="45.7109375" customWidth="1" outlineLevel="1"/>
    <col min="9" max="10" width="13.5703125" customWidth="1" outlineLevel="1"/>
    <col min="13" max="13" width="11.5703125" customWidth="1" outlineLevel="1"/>
    <col min="14" max="14" width="13.5703125" customWidth="1" outlineLevel="1"/>
    <col min="15" max="15" width="12" customWidth="1" outlineLevel="1"/>
    <col min="16" max="18" width="11.42578125" customWidth="1" outlineLevel="1"/>
    <col min="19" max="19" width="23.140625" customWidth="1" outlineLevel="1"/>
    <col min="20" max="20" width="53.85546875" customWidth="1" outlineLevel="1"/>
    <col min="21" max="22" width="13.5703125" customWidth="1" outlineLevel="1"/>
    <col min="25" max="25" width="11.5703125" customWidth="1" outlineLevel="1"/>
    <col min="26" max="26" width="13.5703125" customWidth="1" outlineLevel="1"/>
    <col min="27" max="27" width="12" customWidth="1" outlineLevel="1"/>
    <col min="28" max="30" width="11.42578125" customWidth="1" outlineLevel="1"/>
    <col min="31" max="31" width="23.140625" customWidth="1" outlineLevel="1"/>
    <col min="32" max="32" width="53.85546875" customWidth="1" outlineLevel="1"/>
    <col min="33" max="34" width="13.5703125" customWidth="1" outlineLevel="1"/>
    <col min="37" max="37" width="11.5703125" customWidth="1" outlineLevel="1"/>
    <col min="38" max="38" width="13.5703125" customWidth="1" outlineLevel="1"/>
    <col min="39" max="39" width="12" customWidth="1" outlineLevel="1"/>
    <col min="40" max="42" width="11.42578125" customWidth="1" outlineLevel="1"/>
    <col min="43" max="43" width="23.140625" customWidth="1" outlineLevel="1"/>
    <col min="44" max="44" width="54" customWidth="1" outlineLevel="1"/>
    <col min="45" max="46" width="13.5703125" customWidth="1" outlineLevel="1"/>
    <col min="49" max="49" width="11.5703125" customWidth="1" outlineLevel="1"/>
    <col min="50" max="50" width="13.5703125" customWidth="1" outlineLevel="1"/>
    <col min="51" max="51" width="12" customWidth="1" outlineLevel="1"/>
    <col min="52" max="54" width="11.42578125" customWidth="1" outlineLevel="1"/>
    <col min="55" max="55" width="23.140625" customWidth="1" outlineLevel="1"/>
    <col min="56" max="56" width="47.85546875" customWidth="1" outlineLevel="1"/>
    <col min="57" max="58" width="13.5703125" customWidth="1" outlineLevel="1"/>
    <col min="62" max="62" width="11.5703125" customWidth="1" outlineLevel="1"/>
    <col min="63" max="63" width="13.5703125" customWidth="1" outlineLevel="1"/>
    <col min="64" max="64" width="12" customWidth="1" outlineLevel="1"/>
    <col min="65" max="67" width="11.42578125" customWidth="1" outlineLevel="1"/>
    <col min="68" max="68" width="23.140625" customWidth="1" outlineLevel="1"/>
    <col min="69" max="69" width="53.85546875" customWidth="1" outlineLevel="1"/>
    <col min="70" max="71" width="13.5703125" customWidth="1" outlineLevel="1"/>
  </cols>
  <sheetData>
    <row r="1" spans="1:71" x14ac:dyDescent="0.25">
      <c r="A1" s="4" t="s">
        <v>0</v>
      </c>
      <c r="B1" s="4" t="s">
        <v>27</v>
      </c>
      <c r="C1" s="75" t="s">
        <v>47</v>
      </c>
      <c r="E1" s="22" t="s">
        <v>0</v>
      </c>
      <c r="F1" s="23"/>
      <c r="G1" s="23"/>
      <c r="H1" s="23"/>
      <c r="I1" s="23" t="s">
        <v>5</v>
      </c>
      <c r="J1" s="24" t="s">
        <v>6</v>
      </c>
      <c r="M1" s="4" t="s">
        <v>0</v>
      </c>
      <c r="N1" s="4" t="s">
        <v>27</v>
      </c>
      <c r="O1" s="75" t="s">
        <v>48</v>
      </c>
      <c r="Q1" s="22" t="s">
        <v>0</v>
      </c>
      <c r="R1" s="23"/>
      <c r="S1" s="23"/>
      <c r="T1" s="23"/>
      <c r="U1" s="23" t="s">
        <v>5</v>
      </c>
      <c r="V1" s="24" t="s">
        <v>6</v>
      </c>
      <c r="Y1" s="4" t="s">
        <v>0</v>
      </c>
      <c r="Z1" s="4" t="s">
        <v>27</v>
      </c>
      <c r="AA1" s="75" t="s">
        <v>49</v>
      </c>
      <c r="AC1" s="22" t="s">
        <v>0</v>
      </c>
      <c r="AD1" s="23"/>
      <c r="AE1" s="23"/>
      <c r="AF1" s="23"/>
      <c r="AG1" s="23" t="s">
        <v>5</v>
      </c>
      <c r="AH1" s="24" t="s">
        <v>6</v>
      </c>
      <c r="AK1" s="4" t="s">
        <v>0</v>
      </c>
      <c r="AL1" s="4" t="s">
        <v>27</v>
      </c>
      <c r="AM1" s="75" t="s">
        <v>50</v>
      </c>
      <c r="AO1" s="22" t="s">
        <v>0</v>
      </c>
      <c r="AP1" s="23"/>
      <c r="AQ1" s="23"/>
      <c r="AR1" s="23"/>
      <c r="AS1" s="23" t="s">
        <v>5</v>
      </c>
      <c r="AT1" s="24" t="s">
        <v>6</v>
      </c>
      <c r="AW1" s="4" t="s">
        <v>0</v>
      </c>
      <c r="AX1" s="4" t="s">
        <v>27</v>
      </c>
      <c r="AY1" s="75" t="s">
        <v>52</v>
      </c>
      <c r="BA1" s="22" t="s">
        <v>0</v>
      </c>
      <c r="BB1" s="23"/>
      <c r="BC1" s="23"/>
      <c r="BD1" s="23"/>
      <c r="BE1" s="23" t="s">
        <v>5</v>
      </c>
      <c r="BF1" s="24" t="s">
        <v>6</v>
      </c>
      <c r="BJ1" s="4" t="s">
        <v>0</v>
      </c>
      <c r="BK1" s="4" t="s">
        <v>27</v>
      </c>
      <c r="BL1" s="75" t="s">
        <v>58</v>
      </c>
      <c r="BN1" s="22" t="s">
        <v>0</v>
      </c>
      <c r="BO1" s="23"/>
      <c r="BP1" s="23"/>
      <c r="BQ1" s="23"/>
      <c r="BR1" s="23" t="s">
        <v>5</v>
      </c>
      <c r="BS1" s="24" t="s">
        <v>6</v>
      </c>
    </row>
    <row r="2" spans="1:71" x14ac:dyDescent="0.25">
      <c r="A2" s="1">
        <v>45444</v>
      </c>
      <c r="B2" s="26">
        <f>HLOOKUP(A2,Hoja2!$R$2:$AV$3,2,FALSE)</f>
        <v>0</v>
      </c>
      <c r="C2" s="3"/>
      <c r="E2" s="9">
        <v>45444</v>
      </c>
      <c r="F2">
        <v>110208</v>
      </c>
      <c r="G2" t="s">
        <v>46</v>
      </c>
      <c r="H2" t="str">
        <f>"CPA Recaudación Clientes BCI OP 648 "&amp;TEXT(E2,"dd-mm-aaa")</f>
        <v>CPA Recaudación Clientes BCI OP 648 01-06-2024</v>
      </c>
      <c r="I2" s="3">
        <f>+B2</f>
        <v>0</v>
      </c>
      <c r="J2" s="10"/>
      <c r="M2" s="1">
        <v>45444</v>
      </c>
      <c r="N2" s="26">
        <f>HLOOKUP(M2,Hoja2!$R$2:$AV$4,3,FALSE)</f>
        <v>0</v>
      </c>
      <c r="O2" s="3"/>
      <c r="Q2" s="9">
        <v>45444</v>
      </c>
      <c r="R2">
        <v>110208</v>
      </c>
      <c r="S2" t="s">
        <v>46</v>
      </c>
      <c r="T2" t="str">
        <f>"CPA Abonos operaciones rechazadas BCI OP 648 "&amp;TEXT(Q2,"dd-mm-aaa")</f>
        <v>CPA Abonos operaciones rechazadas BCI OP 648 01-06-2024</v>
      </c>
      <c r="U2" s="3">
        <f>+N2</f>
        <v>0</v>
      </c>
      <c r="V2" s="10"/>
      <c r="Y2" s="1">
        <v>45444</v>
      </c>
      <c r="Z2" s="26">
        <f>HLOOKUP(Y2,Hoja2!$R$2:$AV$5,4,FALSE)</f>
        <v>0</v>
      </c>
      <c r="AA2" s="3"/>
      <c r="AC2" s="9">
        <v>45444</v>
      </c>
      <c r="AD2">
        <v>110208</v>
      </c>
      <c r="AE2" t="s">
        <v>46</v>
      </c>
      <c r="AF2" t="str">
        <f>"CPA Fondeo BCI ADM 656 a BCI OP 648 "&amp;TEXT(AC2,"dd-mm-aaa")</f>
        <v>CPA Fondeo BCI ADM 656 a BCI OP 648 01-06-2024</v>
      </c>
      <c r="AG2" s="3">
        <f>+Z2</f>
        <v>0</v>
      </c>
      <c r="AH2" s="10"/>
      <c r="AK2" s="1">
        <v>45444</v>
      </c>
      <c r="AL2" s="26" t="str">
        <f>HLOOKUP(AK2,Hoja2!$R$2:$AV$6,5,FALSE)</f>
        <v>-</v>
      </c>
      <c r="AM2" s="3"/>
      <c r="AO2" s="9">
        <v>45444</v>
      </c>
      <c r="AP2">
        <v>110204</v>
      </c>
      <c r="AQ2" t="s">
        <v>51</v>
      </c>
      <c r="AR2" t="str">
        <f>"CPA Traspaso de Fondos Bco. BCI 648 a Bco. BICE "&amp;TEXT(AO2,"dd-mm-aaa")</f>
        <v>CPA Traspaso de Fondos Bco. BCI 648 a Bco. BICE 01-06-2024</v>
      </c>
      <c r="AS2" s="3" t="str">
        <f>+AL2</f>
        <v>-</v>
      </c>
      <c r="AT2" s="10"/>
      <c r="AW2" s="1">
        <v>45444</v>
      </c>
      <c r="AX2" s="26">
        <f>HLOOKUP(AW2,Hoja2!$R$2:$AV$7,6,FALSE)</f>
        <v>0</v>
      </c>
      <c r="AY2" s="3"/>
      <c r="BA2" s="9">
        <v>45444</v>
      </c>
      <c r="BB2" s="8">
        <v>211101</v>
      </c>
      <c r="BC2" s="8" t="s">
        <v>18</v>
      </c>
      <c r="BD2" t="str">
        <f>"CPA Pago Operaciones Locales BCI OP 648 "&amp;TEXT(BA2,"dd-mm-aaa")</f>
        <v>CPA Pago Operaciones Locales BCI OP 648 01-06-2024</v>
      </c>
      <c r="BE2" s="3">
        <f>+AX2</f>
        <v>0</v>
      </c>
      <c r="BF2" s="10"/>
      <c r="BJ2" s="1">
        <v>45444</v>
      </c>
      <c r="BK2" s="26">
        <f>HLOOKUP(BJ2,Hoja2!$R$2:$AV$9,8,FALSE)</f>
        <v>0</v>
      </c>
      <c r="BL2" s="3" t="s">
        <v>77</v>
      </c>
      <c r="BN2" s="9">
        <v>45444</v>
      </c>
      <c r="BO2">
        <v>110209</v>
      </c>
      <c r="BP2" t="s">
        <v>55</v>
      </c>
      <c r="BQ2" t="str">
        <f>"CPA Fondeo BCI OP 648 a BCI ADM 656 "&amp;TEXT(BN2,"dd-mm-aaa")</f>
        <v>CPA Fondeo BCI OP 648 a BCI ADM 656 01-06-2024</v>
      </c>
      <c r="BR2" s="3">
        <f>+BK2</f>
        <v>0</v>
      </c>
      <c r="BS2" s="10"/>
    </row>
    <row r="3" spans="1:71" x14ac:dyDescent="0.25">
      <c r="A3" s="1">
        <v>45445</v>
      </c>
      <c r="B3" s="26">
        <f>HLOOKUP(A3,Hoja2!$R$2:$AV$3,2,FALSE)</f>
        <v>0</v>
      </c>
      <c r="E3" s="11"/>
      <c r="F3" s="12">
        <v>211101</v>
      </c>
      <c r="G3" s="12" t="s">
        <v>18</v>
      </c>
      <c r="H3" s="12" t="str">
        <f>H2</f>
        <v>CPA Recaudación Clientes BCI OP 648 01-06-2024</v>
      </c>
      <c r="I3" s="13"/>
      <c r="J3" s="18">
        <f>I2</f>
        <v>0</v>
      </c>
      <c r="M3" s="1">
        <v>45445</v>
      </c>
      <c r="N3" s="26">
        <f>HLOOKUP(M3,Hoja2!$R$2:$AV$4,3,FALSE)</f>
        <v>0</v>
      </c>
      <c r="Q3" s="11"/>
      <c r="R3" s="12">
        <v>211101</v>
      </c>
      <c r="S3" s="12" t="s">
        <v>18</v>
      </c>
      <c r="T3" s="12" t="str">
        <f>T2</f>
        <v>CPA Abonos operaciones rechazadas BCI OP 648 01-06-2024</v>
      </c>
      <c r="U3" s="13"/>
      <c r="V3" s="18">
        <f>U2</f>
        <v>0</v>
      </c>
      <c r="Y3" s="1">
        <v>45445</v>
      </c>
      <c r="Z3" s="26">
        <f>HLOOKUP(Y3,Hoja2!$R$2:$AV$5,4,FALSE)</f>
        <v>0</v>
      </c>
      <c r="AC3" s="11"/>
      <c r="AD3" s="12">
        <v>110209</v>
      </c>
      <c r="AE3" s="12" t="s">
        <v>55</v>
      </c>
      <c r="AF3" s="12" t="str">
        <f>AF2</f>
        <v>CPA Fondeo BCI ADM 656 a BCI OP 648 01-06-2024</v>
      </c>
      <c r="AG3" s="13"/>
      <c r="AH3" s="18">
        <f>AG2</f>
        <v>0</v>
      </c>
      <c r="AK3" s="1">
        <v>45445</v>
      </c>
      <c r="AL3" s="26" t="str">
        <f>HLOOKUP(AK3,Hoja2!$R$2:$AV$6,5,FALSE)</f>
        <v>-</v>
      </c>
      <c r="AO3" s="11"/>
      <c r="AP3" s="12">
        <v>110208</v>
      </c>
      <c r="AQ3" s="12" t="s">
        <v>46</v>
      </c>
      <c r="AR3" s="12" t="str">
        <f>AR2</f>
        <v>CPA Traspaso de Fondos Bco. BCI 648 a Bco. BICE 01-06-2024</v>
      </c>
      <c r="AS3" s="13"/>
      <c r="AT3" s="18" t="str">
        <f>AS2</f>
        <v>-</v>
      </c>
      <c r="AW3" s="1">
        <v>45445</v>
      </c>
      <c r="AX3" s="26">
        <f>HLOOKUP(AW3,Hoja2!$R$2:$AV$7,6,FALSE)</f>
        <v>0</v>
      </c>
      <c r="BA3" s="11"/>
      <c r="BB3" s="12">
        <v>110208</v>
      </c>
      <c r="BC3" s="12" t="s">
        <v>46</v>
      </c>
      <c r="BD3" s="12" t="str">
        <f>BD2</f>
        <v>CPA Pago Operaciones Locales BCI OP 648 01-06-2024</v>
      </c>
      <c r="BE3" s="13"/>
      <c r="BF3" s="18">
        <f>BE2</f>
        <v>0</v>
      </c>
      <c r="BJ3" s="1">
        <v>45445</v>
      </c>
      <c r="BK3" s="26">
        <f>HLOOKUP(BJ3,Hoja2!$R$2:$AV$9,8,FALSE)</f>
        <v>0</v>
      </c>
      <c r="BN3" s="11"/>
      <c r="BO3" s="12">
        <v>110208</v>
      </c>
      <c r="BP3" s="12" t="s">
        <v>46</v>
      </c>
      <c r="BQ3" s="12" t="str">
        <f>BQ2</f>
        <v>CPA Fondeo BCI OP 648 a BCI ADM 656 01-06-2024</v>
      </c>
      <c r="BR3" s="13"/>
      <c r="BS3" s="18">
        <f>BR2</f>
        <v>0</v>
      </c>
    </row>
    <row r="4" spans="1:71" x14ac:dyDescent="0.25">
      <c r="A4" s="1">
        <v>45446</v>
      </c>
      <c r="B4" s="26">
        <f>HLOOKUP(A4,Hoja2!$R$2:$AV$3,2,FALSE)</f>
        <v>2216012270</v>
      </c>
      <c r="E4" s="15">
        <v>45445</v>
      </c>
      <c r="F4" s="8">
        <v>110208</v>
      </c>
      <c r="G4" s="8" t="s">
        <v>46</v>
      </c>
      <c r="H4" s="8" t="str">
        <f>"CPA Recaudación Clientes BCI OP 648 "&amp;TEXT(E4,"dd-mm-aaa")</f>
        <v>CPA Recaudación Clientes BCI OP 648 02-06-2024</v>
      </c>
      <c r="I4" s="16">
        <f>+B3</f>
        <v>0</v>
      </c>
      <c r="J4" s="17"/>
      <c r="M4" s="1">
        <v>45446</v>
      </c>
      <c r="N4" s="26">
        <f>HLOOKUP(M4,Hoja2!$R$2:$AV$4,3,FALSE)</f>
        <v>2875378</v>
      </c>
      <c r="Q4" s="15">
        <v>45445</v>
      </c>
      <c r="R4" s="8">
        <v>110208</v>
      </c>
      <c r="S4" s="8" t="s">
        <v>46</v>
      </c>
      <c r="T4" s="8" t="str">
        <f>"CPA Abonos operaciones rechazadas BCI OP 648 "&amp;TEXT(Q4,"dd-mm-aaa")</f>
        <v>CPA Abonos operaciones rechazadas BCI OP 648 02-06-2024</v>
      </c>
      <c r="U4" s="16">
        <f>+N3</f>
        <v>0</v>
      </c>
      <c r="V4" s="17"/>
      <c r="Y4" s="1">
        <v>45446</v>
      </c>
      <c r="Z4" s="26">
        <f>HLOOKUP(Y4,Hoja2!$R$2:$AV$5,4,FALSE)</f>
        <v>108000000</v>
      </c>
      <c r="AC4" s="15">
        <v>45445</v>
      </c>
      <c r="AD4" s="8">
        <v>110208</v>
      </c>
      <c r="AE4" s="8" t="s">
        <v>46</v>
      </c>
      <c r="AF4" s="8" t="str">
        <f>"CPA Fondeo BCI ADM 656 a BCI OP 648 "&amp;TEXT(AC4,"dd-mm-aaa")</f>
        <v>CPA Fondeo BCI ADM 656 a BCI OP 648 02-06-2024</v>
      </c>
      <c r="AG4" s="16">
        <f>+Z3</f>
        <v>0</v>
      </c>
      <c r="AH4" s="17"/>
      <c r="AK4" s="1">
        <v>45446</v>
      </c>
      <c r="AL4" s="26" t="str">
        <f>HLOOKUP(AK4,Hoja2!$R$2:$AV$6,5,FALSE)</f>
        <v>-</v>
      </c>
      <c r="AO4" s="15">
        <v>45445</v>
      </c>
      <c r="AP4" s="8">
        <v>110204</v>
      </c>
      <c r="AQ4" s="8" t="s">
        <v>51</v>
      </c>
      <c r="AR4" s="8" t="str">
        <f>"CPA Traspaso de Fondos Bco. BCI 648 a Bco. BICE "&amp;TEXT(AO4,"dd-mm-aaa")</f>
        <v>CPA Traspaso de Fondos Bco. BCI 648 a Bco. BICE 02-06-2024</v>
      </c>
      <c r="AS4" s="16" t="str">
        <f>+AL3</f>
        <v>-</v>
      </c>
      <c r="AT4" s="17"/>
      <c r="AW4" s="1">
        <v>45446</v>
      </c>
      <c r="AX4" s="26">
        <f>HLOOKUP(AW4,Hoja2!$R$2:$AV$7,6,FALSE)</f>
        <v>176342589</v>
      </c>
      <c r="BA4" s="15">
        <v>45445</v>
      </c>
      <c r="BB4" s="8">
        <v>211101</v>
      </c>
      <c r="BC4" s="8" t="s">
        <v>18</v>
      </c>
      <c r="BD4" s="8" t="str">
        <f>"CPA Pago Operaciones Locales BCI OP 648 "&amp;TEXT(BA4,"dd-mm-aaa")</f>
        <v>CPA Pago Operaciones Locales BCI OP 648 02-06-2024</v>
      </c>
      <c r="BE4" s="16">
        <f>+AX3</f>
        <v>0</v>
      </c>
      <c r="BF4" s="17"/>
      <c r="BJ4" s="1">
        <v>45446</v>
      </c>
      <c r="BK4" s="26">
        <f>HLOOKUP(BJ4,Hoja2!$R$2:$AV$9,8,FALSE)</f>
        <v>0</v>
      </c>
      <c r="BN4" s="15">
        <v>45445</v>
      </c>
      <c r="BO4" s="8">
        <v>110209</v>
      </c>
      <c r="BP4" s="8" t="s">
        <v>55</v>
      </c>
      <c r="BQ4" s="8" t="str">
        <f>"CPA Fondeo BCI OP 648 a BCI ADM 656 "&amp;TEXT(BN4,"dd-mm-aaa")</f>
        <v>CPA Fondeo BCI OP 648 a BCI ADM 656 02-06-2024</v>
      </c>
      <c r="BR4" s="16">
        <f>+BK3</f>
        <v>0</v>
      </c>
      <c r="BS4" s="17"/>
    </row>
    <row r="5" spans="1:71" x14ac:dyDescent="0.25">
      <c r="A5" s="1">
        <v>45447</v>
      </c>
      <c r="B5" s="26">
        <f>HLOOKUP(A5,Hoja2!$R$2:$AV$3,2,FALSE)</f>
        <v>1119345317</v>
      </c>
      <c r="E5" s="11"/>
      <c r="F5" s="12">
        <v>211101</v>
      </c>
      <c r="G5" s="12" t="s">
        <v>18</v>
      </c>
      <c r="H5" s="12" t="str">
        <f>H4</f>
        <v>CPA Recaudación Clientes BCI OP 648 02-06-2024</v>
      </c>
      <c r="I5" s="13"/>
      <c r="J5" s="18">
        <f>I4</f>
        <v>0</v>
      </c>
      <c r="M5" s="1">
        <v>45447</v>
      </c>
      <c r="N5" s="26">
        <f>HLOOKUP(M5,Hoja2!$R$2:$AV$4,3,FALSE)</f>
        <v>4267575</v>
      </c>
      <c r="Q5" s="11"/>
      <c r="R5" s="12">
        <v>211101</v>
      </c>
      <c r="S5" s="12" t="s">
        <v>18</v>
      </c>
      <c r="T5" s="12" t="str">
        <f>T4</f>
        <v>CPA Abonos operaciones rechazadas BCI OP 648 02-06-2024</v>
      </c>
      <c r="U5" s="13"/>
      <c r="V5" s="18">
        <f>U4</f>
        <v>0</v>
      </c>
      <c r="Y5" s="1">
        <v>45447</v>
      </c>
      <c r="Z5" s="26" t="str">
        <f>HLOOKUP(Y5,Hoja2!$R$2:$AV$5,4,FALSE)</f>
        <v>-</v>
      </c>
      <c r="AC5" s="11"/>
      <c r="AD5" s="12">
        <v>110209</v>
      </c>
      <c r="AE5" s="12" t="s">
        <v>55</v>
      </c>
      <c r="AF5" s="12" t="str">
        <f>AF4</f>
        <v>CPA Fondeo BCI ADM 656 a BCI OP 648 02-06-2024</v>
      </c>
      <c r="AG5" s="13"/>
      <c r="AH5" s="18">
        <f>AG4</f>
        <v>0</v>
      </c>
      <c r="AK5" s="1">
        <v>45447</v>
      </c>
      <c r="AL5" s="26" t="str">
        <f>HLOOKUP(AK5,Hoja2!$R$2:$AV$6,5,FALSE)</f>
        <v>-</v>
      </c>
      <c r="AO5" s="11"/>
      <c r="AP5" s="12">
        <v>110208</v>
      </c>
      <c r="AQ5" s="12" t="s">
        <v>46</v>
      </c>
      <c r="AR5" s="12" t="str">
        <f>AR4</f>
        <v>CPA Traspaso de Fondos Bco. BCI 648 a Bco. BICE 02-06-2024</v>
      </c>
      <c r="AS5" s="13"/>
      <c r="AT5" s="18" t="str">
        <f>AS4</f>
        <v>-</v>
      </c>
      <c r="AW5" s="1">
        <v>45447</v>
      </c>
      <c r="AX5" s="26">
        <f>HLOOKUP(AW5,Hoja2!$R$2:$AV$7,6,FALSE)</f>
        <v>101368807</v>
      </c>
      <c r="BA5" s="11"/>
      <c r="BB5" s="12">
        <v>110208</v>
      </c>
      <c r="BC5" s="12" t="s">
        <v>46</v>
      </c>
      <c r="BD5" s="12" t="str">
        <f>BD4</f>
        <v>CPA Pago Operaciones Locales BCI OP 648 02-06-2024</v>
      </c>
      <c r="BE5" s="13"/>
      <c r="BF5" s="18">
        <f>BE4</f>
        <v>0</v>
      </c>
      <c r="BJ5" s="1">
        <v>45447</v>
      </c>
      <c r="BK5" s="26">
        <f>HLOOKUP(BJ5,Hoja2!$R$2:$AV$9,8,FALSE)</f>
        <v>0</v>
      </c>
      <c r="BN5" s="11"/>
      <c r="BO5" s="12">
        <v>110208</v>
      </c>
      <c r="BP5" s="12" t="s">
        <v>46</v>
      </c>
      <c r="BQ5" s="12" t="str">
        <f>BQ4</f>
        <v>CPA Fondeo BCI OP 648 a BCI ADM 656 02-06-2024</v>
      </c>
      <c r="BR5" s="13"/>
      <c r="BS5" s="18">
        <f t="shared" ref="BS5" si="0">BR4</f>
        <v>0</v>
      </c>
    </row>
    <row r="6" spans="1:71" x14ac:dyDescent="0.25">
      <c r="A6" s="1">
        <v>45448</v>
      </c>
      <c r="B6" s="26">
        <f>HLOOKUP(A6,Hoja2!$R$2:$AV$3,2,FALSE)</f>
        <v>1030540961</v>
      </c>
      <c r="E6" s="15">
        <v>45446</v>
      </c>
      <c r="F6" s="8">
        <v>110208</v>
      </c>
      <c r="G6" s="8" t="s">
        <v>46</v>
      </c>
      <c r="H6" s="8" t="str">
        <f>"CPA Recaudación Clientes BCI OP 648 "&amp;TEXT(E6,"dd-mm-aaa")</f>
        <v>CPA Recaudación Clientes BCI OP 648 03-06-2024</v>
      </c>
      <c r="I6" s="16">
        <f>+B4</f>
        <v>2216012270</v>
      </c>
      <c r="J6" s="17"/>
      <c r="M6" s="1">
        <v>45448</v>
      </c>
      <c r="N6" s="26">
        <f>HLOOKUP(M6,Hoja2!$R$2:$AV$4,3,FALSE)</f>
        <v>128790</v>
      </c>
      <c r="Q6" s="15">
        <v>45446</v>
      </c>
      <c r="R6" s="8">
        <v>110208</v>
      </c>
      <c r="S6" s="8" t="s">
        <v>46</v>
      </c>
      <c r="T6" s="8" t="str">
        <f>"CPA Abonos operaciones rechazadas BCI OP 648 "&amp;TEXT(Q6,"dd-mm-aaa")</f>
        <v>CPA Abonos operaciones rechazadas BCI OP 648 03-06-2024</v>
      </c>
      <c r="U6" s="16">
        <f>+N4</f>
        <v>2875378</v>
      </c>
      <c r="V6" s="17"/>
      <c r="Y6" s="1">
        <v>45448</v>
      </c>
      <c r="Z6" s="26">
        <f>HLOOKUP(Y6,Hoja2!$R$2:$AV$5,4,FALSE)</f>
        <v>181000000</v>
      </c>
      <c r="AC6" s="15">
        <v>45446</v>
      </c>
      <c r="AD6" s="8">
        <v>110208</v>
      </c>
      <c r="AE6" s="8" t="s">
        <v>46</v>
      </c>
      <c r="AF6" s="8" t="str">
        <f>"CPA Fondeo BCI ADM 656 a BCI OP 648 "&amp;TEXT(AC6,"dd-mm-aaa")</f>
        <v>CPA Fondeo BCI ADM 656 a BCI OP 648 03-06-2024</v>
      </c>
      <c r="AG6" s="16">
        <f>+Z4</f>
        <v>108000000</v>
      </c>
      <c r="AH6" s="17"/>
      <c r="AK6" s="1">
        <v>45448</v>
      </c>
      <c r="AL6" s="26">
        <f>HLOOKUP(AK6,Hoja2!$R$2:$AV$6,5,FALSE)</f>
        <v>77000000</v>
      </c>
      <c r="AO6" s="15">
        <v>45446</v>
      </c>
      <c r="AP6" s="8">
        <v>110204</v>
      </c>
      <c r="AQ6" s="8" t="s">
        <v>51</v>
      </c>
      <c r="AR6" s="8" t="str">
        <f>"CPA Traspaso de Fondos Bco. BCI 648 a Bco. BICE "&amp;TEXT(AO6,"dd-mm-aaa")</f>
        <v>CPA Traspaso de Fondos Bco. BCI 648 a Bco. BICE 03-06-2024</v>
      </c>
      <c r="AS6" s="16" t="str">
        <f>+AL4</f>
        <v>-</v>
      </c>
      <c r="AT6" s="17"/>
      <c r="AW6" s="1">
        <v>45448</v>
      </c>
      <c r="AX6" s="26">
        <f>HLOOKUP(AW6,Hoja2!$R$2:$AV$7,6,FALSE)</f>
        <v>86603709</v>
      </c>
      <c r="BA6" s="15">
        <v>45446</v>
      </c>
      <c r="BB6" s="8">
        <v>211101</v>
      </c>
      <c r="BC6" s="8" t="s">
        <v>18</v>
      </c>
      <c r="BD6" s="8" t="str">
        <f>"CPA Pago Operaciones Locales BCI OP 648 "&amp;TEXT(BA6,"dd-mm-aaa")</f>
        <v>CPA Pago Operaciones Locales BCI OP 648 03-06-2024</v>
      </c>
      <c r="BE6" s="16">
        <f>+AX4</f>
        <v>176342589</v>
      </c>
      <c r="BF6" s="17"/>
      <c r="BJ6" s="1">
        <v>45448</v>
      </c>
      <c r="BK6" s="26">
        <f>HLOOKUP(BJ6,Hoja2!$R$2:$AV$9,8,FALSE)</f>
        <v>0</v>
      </c>
      <c r="BN6" s="15">
        <v>45446</v>
      </c>
      <c r="BO6" s="8">
        <v>110209</v>
      </c>
      <c r="BP6" s="8" t="s">
        <v>55</v>
      </c>
      <c r="BQ6" s="8" t="str">
        <f>"CPA Fondeo BCI OP 648 a BCI ADM 656 "&amp;TEXT(BN6,"dd-mm-aaa")</f>
        <v>CPA Fondeo BCI OP 648 a BCI ADM 656 03-06-2024</v>
      </c>
      <c r="BR6" s="16">
        <f>+BK4</f>
        <v>0</v>
      </c>
      <c r="BS6" s="17"/>
    </row>
    <row r="7" spans="1:71" x14ac:dyDescent="0.25">
      <c r="A7" s="1">
        <v>45449</v>
      </c>
      <c r="B7" s="26">
        <f>HLOOKUP(A7,Hoja2!$R$2:$AV$3,2,FALSE)</f>
        <v>1015474271</v>
      </c>
      <c r="E7" s="11"/>
      <c r="F7" s="12">
        <v>211101</v>
      </c>
      <c r="G7" s="12" t="s">
        <v>18</v>
      </c>
      <c r="H7" s="12" t="str">
        <f>H6</f>
        <v>CPA Recaudación Clientes BCI OP 648 03-06-2024</v>
      </c>
      <c r="I7" s="13"/>
      <c r="J7" s="18">
        <f>I6</f>
        <v>2216012270</v>
      </c>
      <c r="M7" s="1">
        <v>45449</v>
      </c>
      <c r="N7" s="26">
        <f>HLOOKUP(M7,Hoja2!$R$2:$AV$4,3,FALSE)</f>
        <v>160221</v>
      </c>
      <c r="Q7" s="11"/>
      <c r="R7" s="12">
        <v>211101</v>
      </c>
      <c r="S7" s="12" t="s">
        <v>18</v>
      </c>
      <c r="T7" s="12" t="str">
        <f>T6</f>
        <v>CPA Abonos operaciones rechazadas BCI OP 648 03-06-2024</v>
      </c>
      <c r="U7" s="13"/>
      <c r="V7" s="18">
        <f>U6</f>
        <v>2875378</v>
      </c>
      <c r="Y7" s="1">
        <v>45449</v>
      </c>
      <c r="Z7" s="26">
        <f>HLOOKUP(Y7,Hoja2!$R$2:$AV$5,4,FALSE)</f>
        <v>76000000</v>
      </c>
      <c r="AC7" s="11"/>
      <c r="AD7" s="12">
        <v>110209</v>
      </c>
      <c r="AE7" s="12" t="s">
        <v>55</v>
      </c>
      <c r="AF7" s="12" t="str">
        <f>AF6</f>
        <v>CPA Fondeo BCI ADM 656 a BCI OP 648 03-06-2024</v>
      </c>
      <c r="AG7" s="13"/>
      <c r="AH7" s="18">
        <f>AG6</f>
        <v>108000000</v>
      </c>
      <c r="AK7" s="1">
        <v>45449</v>
      </c>
      <c r="AL7" s="26" t="str">
        <f>HLOOKUP(AK7,Hoja2!$R$2:$AV$6,5,FALSE)</f>
        <v>-</v>
      </c>
      <c r="AO7" s="11"/>
      <c r="AP7" s="12">
        <v>110208</v>
      </c>
      <c r="AQ7" s="12" t="s">
        <v>46</v>
      </c>
      <c r="AR7" s="12" t="str">
        <f>AR6</f>
        <v>CPA Traspaso de Fondos Bco. BCI 648 a Bco. BICE 03-06-2024</v>
      </c>
      <c r="AS7" s="13"/>
      <c r="AT7" s="18" t="str">
        <f>AS6</f>
        <v>-</v>
      </c>
      <c r="AW7" s="1">
        <v>45449</v>
      </c>
      <c r="AX7" s="26">
        <f>HLOOKUP(AW7,Hoja2!$R$2:$AV$7,6,FALSE)</f>
        <v>35682457</v>
      </c>
      <c r="BA7" s="11"/>
      <c r="BB7" s="12">
        <v>110208</v>
      </c>
      <c r="BC7" s="12" t="s">
        <v>46</v>
      </c>
      <c r="BD7" s="12" t="str">
        <f>BD6</f>
        <v>CPA Pago Operaciones Locales BCI OP 648 03-06-2024</v>
      </c>
      <c r="BE7" s="13"/>
      <c r="BF7" s="18">
        <f>BE6</f>
        <v>176342589</v>
      </c>
      <c r="BJ7" s="1">
        <v>45449</v>
      </c>
      <c r="BK7" s="26">
        <f>HLOOKUP(BJ7,Hoja2!$R$2:$AV$9,8,FALSE)</f>
        <v>0</v>
      </c>
      <c r="BN7" s="11"/>
      <c r="BO7" s="12">
        <v>110208</v>
      </c>
      <c r="BP7" s="12" t="s">
        <v>46</v>
      </c>
      <c r="BQ7" s="12" t="str">
        <f>BQ6</f>
        <v>CPA Fondeo BCI OP 648 a BCI ADM 656 03-06-2024</v>
      </c>
      <c r="BR7" s="13"/>
      <c r="BS7" s="18">
        <f t="shared" ref="BS7" si="1">BR6</f>
        <v>0</v>
      </c>
    </row>
    <row r="8" spans="1:71" x14ac:dyDescent="0.25">
      <c r="A8" s="1">
        <v>45450</v>
      </c>
      <c r="B8" s="26">
        <f>HLOOKUP(A8,Hoja2!$R$2:$AV$3,2,FALSE)</f>
        <v>1279087250</v>
      </c>
      <c r="E8" s="15">
        <v>45447</v>
      </c>
      <c r="F8" s="8">
        <v>110208</v>
      </c>
      <c r="G8" s="8" t="s">
        <v>46</v>
      </c>
      <c r="H8" s="8" t="str">
        <f>"CPA Recaudación Clientes BCI OP 648 "&amp;TEXT(E8,"dd-mm-aaa")</f>
        <v>CPA Recaudación Clientes BCI OP 648 04-06-2024</v>
      </c>
      <c r="I8" s="16">
        <f>+B5</f>
        <v>1119345317</v>
      </c>
      <c r="J8" s="17"/>
      <c r="M8" s="1">
        <v>45450</v>
      </c>
      <c r="N8" s="26">
        <f>HLOOKUP(M8,Hoja2!$R$2:$AV$4,3,FALSE)</f>
        <v>39347</v>
      </c>
      <c r="Q8" s="15">
        <v>45447</v>
      </c>
      <c r="R8" s="8">
        <v>110208</v>
      </c>
      <c r="S8" s="8" t="s">
        <v>46</v>
      </c>
      <c r="T8" s="8" t="str">
        <f>"CPA Abonos operaciones rechazadas BCI OP 648 "&amp;TEXT(Q8,"dd-mm-aaa")</f>
        <v>CPA Abonos operaciones rechazadas BCI OP 648 04-06-2024</v>
      </c>
      <c r="U8" s="16">
        <f>+N5</f>
        <v>4267575</v>
      </c>
      <c r="V8" s="17"/>
      <c r="Y8" s="1">
        <v>45450</v>
      </c>
      <c r="Z8" s="26" t="str">
        <f>HLOOKUP(Y8,Hoja2!$R$2:$AV$5,4,FALSE)</f>
        <v>-</v>
      </c>
      <c r="AC8" s="15">
        <v>45447</v>
      </c>
      <c r="AD8" s="8">
        <v>110208</v>
      </c>
      <c r="AE8" s="8" t="s">
        <v>46</v>
      </c>
      <c r="AF8" s="8" t="str">
        <f>"CPA Fondeo BCI ADM 656 a BCI OP 648 "&amp;TEXT(AC8,"dd-mm-aaa")</f>
        <v>CPA Fondeo BCI ADM 656 a BCI OP 648 04-06-2024</v>
      </c>
      <c r="AG8" s="16" t="str">
        <f>+Z5</f>
        <v>-</v>
      </c>
      <c r="AH8" s="17"/>
      <c r="AK8" s="1">
        <v>45450</v>
      </c>
      <c r="AL8" s="26" t="str">
        <f>HLOOKUP(AK8,Hoja2!$R$2:$AV$6,5,FALSE)</f>
        <v>-</v>
      </c>
      <c r="AO8" s="15">
        <v>45447</v>
      </c>
      <c r="AP8" s="8">
        <v>110204</v>
      </c>
      <c r="AQ8" s="8" t="s">
        <v>51</v>
      </c>
      <c r="AR8" s="8" t="str">
        <f>"CPA Traspaso de Fondos Bco. BCI 648 a Bco. BICE "&amp;TEXT(AO8,"dd-mm-aaa")</f>
        <v>CPA Traspaso de Fondos Bco. BCI 648 a Bco. BICE 04-06-2024</v>
      </c>
      <c r="AS8" s="16" t="str">
        <f>+AL5</f>
        <v>-</v>
      </c>
      <c r="AT8" s="17"/>
      <c r="AW8" s="1">
        <v>45450</v>
      </c>
      <c r="AX8" s="26">
        <f>HLOOKUP(AW8,Hoja2!$R$2:$AV$7,6,FALSE)</f>
        <v>134721601</v>
      </c>
      <c r="BA8" s="15">
        <v>45447</v>
      </c>
      <c r="BB8" s="8">
        <v>211101</v>
      </c>
      <c r="BC8" s="8" t="s">
        <v>18</v>
      </c>
      <c r="BD8" s="8" t="str">
        <f>"CPA Pago Operaciones Locales BCI OP 648 "&amp;TEXT(BA8,"dd-mm-aaa")</f>
        <v>CPA Pago Operaciones Locales BCI OP 648 04-06-2024</v>
      </c>
      <c r="BE8" s="16">
        <f>+AX5</f>
        <v>101368807</v>
      </c>
      <c r="BF8" s="17"/>
      <c r="BJ8" s="1">
        <v>45450</v>
      </c>
      <c r="BK8" s="26">
        <f>HLOOKUP(BJ8,Hoja2!$R$2:$AV$9,8,FALSE)</f>
        <v>0</v>
      </c>
      <c r="BN8" s="15">
        <v>45447</v>
      </c>
      <c r="BO8" s="8">
        <v>110209</v>
      </c>
      <c r="BP8" s="8" t="s">
        <v>55</v>
      </c>
      <c r="BQ8" s="8" t="str">
        <f>"CPA Fondeo BCI OP 648 a BCI ADM 656 "&amp;TEXT(BN8,"dd-mm-aaa")</f>
        <v>CPA Fondeo BCI OP 648 a BCI ADM 656 04-06-2024</v>
      </c>
      <c r="BR8" s="16">
        <f>+BK5</f>
        <v>0</v>
      </c>
      <c r="BS8" s="17"/>
    </row>
    <row r="9" spans="1:71" x14ac:dyDescent="0.25">
      <c r="A9" s="1">
        <v>45451</v>
      </c>
      <c r="B9" s="26" t="str">
        <f>HLOOKUP(A9,Hoja2!$R$2:$AV$3,2,FALSE)</f>
        <v>-</v>
      </c>
      <c r="E9" s="20"/>
      <c r="F9">
        <v>211101</v>
      </c>
      <c r="G9" t="s">
        <v>18</v>
      </c>
      <c r="H9" t="str">
        <f>H8</f>
        <v>CPA Recaudación Clientes BCI OP 648 04-06-2024</v>
      </c>
      <c r="J9" s="10">
        <f>I8</f>
        <v>1119345317</v>
      </c>
      <c r="M9" s="1">
        <v>45451</v>
      </c>
      <c r="N9" s="26" t="str">
        <f>HLOOKUP(M9,Hoja2!$R$2:$AV$4,3,FALSE)</f>
        <v>-</v>
      </c>
      <c r="Q9" s="20"/>
      <c r="R9">
        <v>211101</v>
      </c>
      <c r="S9" t="s">
        <v>18</v>
      </c>
      <c r="T9" t="str">
        <f>T8</f>
        <v>CPA Abonos operaciones rechazadas BCI OP 648 04-06-2024</v>
      </c>
      <c r="V9" s="10">
        <f>U8</f>
        <v>4267575</v>
      </c>
      <c r="Y9" s="1">
        <v>45451</v>
      </c>
      <c r="Z9" s="26" t="str">
        <f>HLOOKUP(Y9,Hoja2!$R$2:$AV$5,4,FALSE)</f>
        <v>-</v>
      </c>
      <c r="AC9" s="20"/>
      <c r="AD9">
        <v>110209</v>
      </c>
      <c r="AE9" t="s">
        <v>55</v>
      </c>
      <c r="AF9" t="str">
        <f>AF8</f>
        <v>CPA Fondeo BCI ADM 656 a BCI OP 648 04-06-2024</v>
      </c>
      <c r="AH9" s="10" t="str">
        <f>AG8</f>
        <v>-</v>
      </c>
      <c r="AK9" s="1">
        <v>45451</v>
      </c>
      <c r="AL9" s="26" t="str">
        <f>HLOOKUP(AK9,Hoja2!$R$2:$AV$6,5,FALSE)</f>
        <v>-</v>
      </c>
      <c r="AO9" s="20"/>
      <c r="AP9">
        <v>110208</v>
      </c>
      <c r="AQ9" t="s">
        <v>46</v>
      </c>
      <c r="AR9" t="str">
        <f>AR8</f>
        <v>CPA Traspaso de Fondos Bco. BCI 648 a Bco. BICE 04-06-2024</v>
      </c>
      <c r="AT9" s="10" t="str">
        <f>AS8</f>
        <v>-</v>
      </c>
      <c r="AW9" s="1">
        <v>45451</v>
      </c>
      <c r="AX9" s="26" t="str">
        <f>HLOOKUP(AW9,Hoja2!$R$2:$AV$7,6,FALSE)</f>
        <v>-</v>
      </c>
      <c r="BA9" s="20"/>
      <c r="BB9">
        <v>110208</v>
      </c>
      <c r="BC9" t="s">
        <v>46</v>
      </c>
      <c r="BD9" t="str">
        <f>BD8</f>
        <v>CPA Pago Operaciones Locales BCI OP 648 04-06-2024</v>
      </c>
      <c r="BF9" s="10">
        <f>BE8</f>
        <v>101368807</v>
      </c>
      <c r="BJ9" s="1">
        <v>45451</v>
      </c>
      <c r="BK9" s="26">
        <f>HLOOKUP(BJ9,Hoja2!$R$2:$AV$9,8,FALSE)</f>
        <v>0</v>
      </c>
      <c r="BN9" s="20"/>
      <c r="BO9">
        <v>110208</v>
      </c>
      <c r="BP9" t="s">
        <v>46</v>
      </c>
      <c r="BQ9" t="str">
        <f>BQ8</f>
        <v>CPA Fondeo BCI OP 648 a BCI ADM 656 04-06-2024</v>
      </c>
      <c r="BS9" s="10">
        <f t="shared" ref="BS9" si="2">BR8</f>
        <v>0</v>
      </c>
    </row>
    <row r="10" spans="1:71" x14ac:dyDescent="0.25">
      <c r="A10" s="1">
        <v>45452</v>
      </c>
      <c r="B10" s="26" t="str">
        <f>HLOOKUP(A10,Hoja2!$R$2:$AV$3,2,FALSE)</f>
        <v>-</v>
      </c>
      <c r="E10" s="15">
        <v>45448</v>
      </c>
      <c r="F10" s="8">
        <v>110208</v>
      </c>
      <c r="G10" s="8" t="s">
        <v>46</v>
      </c>
      <c r="H10" s="8" t="str">
        <f>"CPA Recaudación Clientes BCI OP 648 "&amp;TEXT(E10,"dd-mm-aaa")</f>
        <v>CPA Recaudación Clientes BCI OP 648 05-06-2024</v>
      </c>
      <c r="I10" s="16">
        <f>+B6</f>
        <v>1030540961</v>
      </c>
      <c r="J10" s="17"/>
      <c r="M10" s="1">
        <v>45452</v>
      </c>
      <c r="N10" s="26" t="str">
        <f>HLOOKUP(M10,Hoja2!$R$2:$AV$4,3,FALSE)</f>
        <v>-</v>
      </c>
      <c r="Q10" s="15">
        <v>45448</v>
      </c>
      <c r="R10" s="8">
        <v>110208</v>
      </c>
      <c r="S10" s="8" t="s">
        <v>46</v>
      </c>
      <c r="T10" s="8" t="str">
        <f>"CPA Abonos operaciones rechazadas BCI OP 648 "&amp;TEXT(Q10,"dd-mm-aaa")</f>
        <v>CPA Abonos operaciones rechazadas BCI OP 648 05-06-2024</v>
      </c>
      <c r="U10" s="16">
        <f>+N6</f>
        <v>128790</v>
      </c>
      <c r="V10" s="17"/>
      <c r="Y10" s="1">
        <v>45452</v>
      </c>
      <c r="Z10" s="26" t="str">
        <f>HLOOKUP(Y10,Hoja2!$R$2:$AV$5,4,FALSE)</f>
        <v>-</v>
      </c>
      <c r="AC10" s="15">
        <v>45448</v>
      </c>
      <c r="AD10" s="8">
        <v>110208</v>
      </c>
      <c r="AE10" s="8" t="s">
        <v>46</v>
      </c>
      <c r="AF10" s="8" t="str">
        <f>"CPA Fondeo BCI ADM 656 a BCI OP 648 "&amp;TEXT(AC10,"dd-mm-aaa")</f>
        <v>CPA Fondeo BCI ADM 656 a BCI OP 648 05-06-2024</v>
      </c>
      <c r="AG10" s="16">
        <f>+Z6</f>
        <v>181000000</v>
      </c>
      <c r="AH10" s="17"/>
      <c r="AK10" s="1">
        <v>45452</v>
      </c>
      <c r="AL10" s="26" t="str">
        <f>HLOOKUP(AK10,Hoja2!$R$2:$AV$6,5,FALSE)</f>
        <v>-</v>
      </c>
      <c r="AO10" s="15">
        <v>45448</v>
      </c>
      <c r="AP10" s="8">
        <v>110204</v>
      </c>
      <c r="AQ10" s="8" t="s">
        <v>51</v>
      </c>
      <c r="AR10" s="8" t="str">
        <f>"CPA Traspaso de Fondos Bco. BCI 648 a Bco. BICE "&amp;TEXT(AO10,"dd-mm-aaa")</f>
        <v>CPA Traspaso de Fondos Bco. BCI 648 a Bco. BICE 05-06-2024</v>
      </c>
      <c r="AS10" s="16">
        <f>+AL6</f>
        <v>77000000</v>
      </c>
      <c r="AT10" s="17"/>
      <c r="AW10" s="1">
        <v>45452</v>
      </c>
      <c r="AX10" s="26" t="str">
        <f>HLOOKUP(AW10,Hoja2!$R$2:$AV$7,6,FALSE)</f>
        <v>-</v>
      </c>
      <c r="BA10" s="15">
        <v>45448</v>
      </c>
      <c r="BB10" s="8">
        <v>211101</v>
      </c>
      <c r="BC10" s="8" t="s">
        <v>18</v>
      </c>
      <c r="BD10" s="8" t="str">
        <f>"CPA Pago Operaciones Locales BCI OP 648 "&amp;TEXT(BA10,"dd-mm-aaa")</f>
        <v>CPA Pago Operaciones Locales BCI OP 648 05-06-2024</v>
      </c>
      <c r="BE10" s="16">
        <f>+AX6</f>
        <v>86603709</v>
      </c>
      <c r="BF10" s="17"/>
      <c r="BJ10" s="1">
        <v>45452</v>
      </c>
      <c r="BK10" s="26">
        <f>HLOOKUP(BJ10,Hoja2!$R$2:$AV$9,8,FALSE)</f>
        <v>0</v>
      </c>
      <c r="BN10" s="15">
        <v>45448</v>
      </c>
      <c r="BO10" s="8">
        <v>110209</v>
      </c>
      <c r="BP10" s="8" t="s">
        <v>55</v>
      </c>
      <c r="BQ10" s="8" t="str">
        <f>"CPA Fondeo BCI OP 648 a BCI ADM 656 "&amp;TEXT(BN10,"dd-mm-aaa")</f>
        <v>CPA Fondeo BCI OP 648 a BCI ADM 656 05-06-2024</v>
      </c>
      <c r="BR10" s="16">
        <f>+BK6</f>
        <v>0</v>
      </c>
      <c r="BS10" s="17"/>
    </row>
    <row r="11" spans="1:71" x14ac:dyDescent="0.25">
      <c r="A11" s="1">
        <v>45453</v>
      </c>
      <c r="B11" s="26">
        <f>HLOOKUP(A11,Hoja2!$R$2:$AV$3,2,FALSE)</f>
        <v>1158567349</v>
      </c>
      <c r="E11" s="20"/>
      <c r="F11">
        <v>211101</v>
      </c>
      <c r="G11" t="s">
        <v>18</v>
      </c>
      <c r="H11" t="str">
        <f>H10</f>
        <v>CPA Recaudación Clientes BCI OP 648 05-06-2024</v>
      </c>
      <c r="J11" s="10">
        <f>I10</f>
        <v>1030540961</v>
      </c>
      <c r="M11" s="1">
        <v>45453</v>
      </c>
      <c r="N11" s="26">
        <f>HLOOKUP(M11,Hoja2!$R$2:$AV$4,3,FALSE)</f>
        <v>2453223</v>
      </c>
      <c r="Q11" s="20"/>
      <c r="R11">
        <v>211101</v>
      </c>
      <c r="S11" t="s">
        <v>18</v>
      </c>
      <c r="T11" t="str">
        <f>T10</f>
        <v>CPA Abonos operaciones rechazadas BCI OP 648 05-06-2024</v>
      </c>
      <c r="V11" s="10">
        <f>U10</f>
        <v>128790</v>
      </c>
      <c r="Y11" s="1">
        <v>45453</v>
      </c>
      <c r="Z11" s="26" t="str">
        <f>HLOOKUP(Y11,Hoja2!$R$2:$AV$5,4,FALSE)</f>
        <v>-</v>
      </c>
      <c r="AC11" s="20"/>
      <c r="AD11">
        <v>110209</v>
      </c>
      <c r="AE11" t="s">
        <v>55</v>
      </c>
      <c r="AF11" t="str">
        <f>AF10</f>
        <v>CPA Fondeo BCI ADM 656 a BCI OP 648 05-06-2024</v>
      </c>
      <c r="AH11" s="10">
        <f>AG10</f>
        <v>181000000</v>
      </c>
      <c r="AK11" s="1">
        <v>45453</v>
      </c>
      <c r="AL11" s="26" t="str">
        <f>HLOOKUP(AK11,Hoja2!$R$2:$AV$6,5,FALSE)</f>
        <v>-</v>
      </c>
      <c r="AO11" s="20"/>
      <c r="AP11">
        <v>110208</v>
      </c>
      <c r="AQ11" t="s">
        <v>46</v>
      </c>
      <c r="AR11" t="str">
        <f>AR10</f>
        <v>CPA Traspaso de Fondos Bco. BCI 648 a Bco. BICE 05-06-2024</v>
      </c>
      <c r="AT11" s="10">
        <f>AS10</f>
        <v>77000000</v>
      </c>
      <c r="AW11" s="1">
        <v>45453</v>
      </c>
      <c r="AX11" s="26">
        <f>HLOOKUP(AW11,Hoja2!$R$2:$AV$7,6,FALSE)</f>
        <v>121478199</v>
      </c>
      <c r="BA11" s="20"/>
      <c r="BB11">
        <v>110208</v>
      </c>
      <c r="BC11" t="s">
        <v>46</v>
      </c>
      <c r="BD11" t="str">
        <f>BD10</f>
        <v>CPA Pago Operaciones Locales BCI OP 648 05-06-2024</v>
      </c>
      <c r="BF11" s="10">
        <f>BE10</f>
        <v>86603709</v>
      </c>
      <c r="BJ11" s="1">
        <v>45453</v>
      </c>
      <c r="BK11" s="26">
        <f>HLOOKUP(BJ11,Hoja2!$R$2:$AV$9,8,FALSE)</f>
        <v>5000000</v>
      </c>
      <c r="BN11" s="20"/>
      <c r="BO11">
        <v>110208</v>
      </c>
      <c r="BP11" t="s">
        <v>46</v>
      </c>
      <c r="BQ11" t="str">
        <f>BQ10</f>
        <v>CPA Fondeo BCI OP 648 a BCI ADM 656 05-06-2024</v>
      </c>
      <c r="BS11" s="10">
        <f t="shared" ref="BS11" si="3">BR10</f>
        <v>0</v>
      </c>
    </row>
    <row r="12" spans="1:71" x14ac:dyDescent="0.25">
      <c r="A12" s="1">
        <v>45454</v>
      </c>
      <c r="B12" s="26">
        <f>HLOOKUP(A12,Hoja2!$R$2:$AV$3,2,FALSE)</f>
        <v>797903116</v>
      </c>
      <c r="D12" s="19"/>
      <c r="E12" s="15">
        <v>45449</v>
      </c>
      <c r="F12" s="8">
        <v>110208</v>
      </c>
      <c r="G12" s="8" t="s">
        <v>46</v>
      </c>
      <c r="H12" s="8" t="str">
        <f>"CPA Recaudación Clientes BCI OP 648 "&amp;TEXT(E12,"dd-mm-aaa")</f>
        <v>CPA Recaudación Clientes BCI OP 648 06-06-2024</v>
      </c>
      <c r="I12" s="16">
        <f>+B7</f>
        <v>1015474271</v>
      </c>
      <c r="J12" s="17"/>
      <c r="M12" s="1">
        <v>45454</v>
      </c>
      <c r="N12" s="26">
        <f>HLOOKUP(M12,Hoja2!$R$2:$AV$4,3,FALSE)</f>
        <v>51755</v>
      </c>
      <c r="P12" s="19"/>
      <c r="Q12" s="15">
        <v>45449</v>
      </c>
      <c r="R12" s="8">
        <v>110208</v>
      </c>
      <c r="S12" s="8" t="s">
        <v>46</v>
      </c>
      <c r="T12" s="8" t="str">
        <f>"CPA Abonos operaciones rechazadas BCI OP 648 "&amp;TEXT(Q12,"dd-mm-aaa")</f>
        <v>CPA Abonos operaciones rechazadas BCI OP 648 06-06-2024</v>
      </c>
      <c r="U12" s="16">
        <f>+N7</f>
        <v>160221</v>
      </c>
      <c r="V12" s="17"/>
      <c r="Y12" s="1">
        <v>45454</v>
      </c>
      <c r="Z12" s="26">
        <f>HLOOKUP(Y12,Hoja2!$R$2:$AV$5,4,FALSE)</f>
        <v>82000000</v>
      </c>
      <c r="AB12" s="19"/>
      <c r="AC12" s="15">
        <v>45449</v>
      </c>
      <c r="AD12" s="8">
        <v>110208</v>
      </c>
      <c r="AE12" s="8" t="s">
        <v>46</v>
      </c>
      <c r="AF12" s="8" t="str">
        <f>"CPA Fondeo BCI ADM 656 a BCI OP 648 "&amp;TEXT(AC12,"dd-mm-aaa")</f>
        <v>CPA Fondeo BCI ADM 656 a BCI OP 648 06-06-2024</v>
      </c>
      <c r="AG12" s="16">
        <f>+Z7</f>
        <v>76000000</v>
      </c>
      <c r="AH12" s="17"/>
      <c r="AK12" s="1">
        <v>45454</v>
      </c>
      <c r="AL12" s="26" t="str">
        <f>HLOOKUP(AK12,Hoja2!$R$2:$AV$6,5,FALSE)</f>
        <v>-</v>
      </c>
      <c r="AN12" s="19"/>
      <c r="AO12" s="15">
        <v>45449</v>
      </c>
      <c r="AP12" s="8">
        <v>110204</v>
      </c>
      <c r="AQ12" s="8" t="s">
        <v>51</v>
      </c>
      <c r="AR12" s="8" t="str">
        <f>"CPA Traspaso de Fondos Bco. BCI 648 a Bco. BICE "&amp;TEXT(AO12,"dd-mm-aaa")</f>
        <v>CPA Traspaso de Fondos Bco. BCI 648 a Bco. BICE 06-06-2024</v>
      </c>
      <c r="AS12" s="16" t="str">
        <f>+AL7</f>
        <v>-</v>
      </c>
      <c r="AT12" s="17"/>
      <c r="AW12" s="1">
        <v>45454</v>
      </c>
      <c r="AX12" s="26">
        <f>HLOOKUP(AW12,Hoja2!$R$2:$AV$7,6,FALSE)</f>
        <v>61882120</v>
      </c>
      <c r="AZ12" s="19"/>
      <c r="BA12" s="15">
        <v>45449</v>
      </c>
      <c r="BB12" s="8">
        <v>211101</v>
      </c>
      <c r="BC12" s="8" t="s">
        <v>18</v>
      </c>
      <c r="BD12" s="8" t="str">
        <f>"CPA Pago Operaciones Locales BCI OP 648 "&amp;TEXT(BA12,"dd-mm-aaa")</f>
        <v>CPA Pago Operaciones Locales BCI OP 648 06-06-2024</v>
      </c>
      <c r="BE12" s="16">
        <f>+AX7</f>
        <v>35682457</v>
      </c>
      <c r="BF12" s="17"/>
      <c r="BJ12" s="1">
        <v>45454</v>
      </c>
      <c r="BK12" s="26">
        <f>HLOOKUP(BJ12,Hoja2!$R$2:$AV$9,8,FALSE)</f>
        <v>0</v>
      </c>
      <c r="BM12" s="19"/>
      <c r="BN12" s="15">
        <v>45449</v>
      </c>
      <c r="BO12" s="8">
        <v>110209</v>
      </c>
      <c r="BP12" s="8" t="s">
        <v>55</v>
      </c>
      <c r="BQ12" s="8" t="str">
        <f>"CPA Fondeo BCI OP 648 a BCI ADM 656 "&amp;TEXT(BN12,"dd-mm-aaa")</f>
        <v>CPA Fondeo BCI OP 648 a BCI ADM 656 06-06-2024</v>
      </c>
      <c r="BR12" s="16">
        <f>+BK7</f>
        <v>0</v>
      </c>
      <c r="BS12" s="17"/>
    </row>
    <row r="13" spans="1:71" x14ac:dyDescent="0.25">
      <c r="A13" s="1">
        <v>45455</v>
      </c>
      <c r="B13" s="26">
        <f>HLOOKUP(A13,Hoja2!$R$2:$AV$3,2,FALSE)</f>
        <v>797085897</v>
      </c>
      <c r="D13" s="39"/>
      <c r="E13" s="20"/>
      <c r="F13">
        <v>211101</v>
      </c>
      <c r="G13" t="s">
        <v>18</v>
      </c>
      <c r="H13" t="str">
        <f>H12</f>
        <v>CPA Recaudación Clientes BCI OP 648 06-06-2024</v>
      </c>
      <c r="I13" s="3"/>
      <c r="J13" s="10">
        <f>I12</f>
        <v>1015474271</v>
      </c>
      <c r="M13" s="1">
        <v>45455</v>
      </c>
      <c r="N13" s="26">
        <f>HLOOKUP(M13,Hoja2!$R$2:$AV$4,3,FALSE)</f>
        <v>7459778</v>
      </c>
      <c r="P13" s="39"/>
      <c r="Q13" s="20"/>
      <c r="R13">
        <v>211101</v>
      </c>
      <c r="S13" t="s">
        <v>18</v>
      </c>
      <c r="T13" t="str">
        <f>T12</f>
        <v>CPA Abonos operaciones rechazadas BCI OP 648 06-06-2024</v>
      </c>
      <c r="U13" s="3"/>
      <c r="V13" s="10">
        <f>U12</f>
        <v>160221</v>
      </c>
      <c r="Y13" s="1">
        <v>45455</v>
      </c>
      <c r="Z13" s="26">
        <f>HLOOKUP(Y13,Hoja2!$R$2:$AV$5,4,FALSE)</f>
        <v>148000000</v>
      </c>
      <c r="AB13" s="39"/>
      <c r="AC13" s="20"/>
      <c r="AD13">
        <v>110209</v>
      </c>
      <c r="AE13" t="s">
        <v>55</v>
      </c>
      <c r="AF13" t="str">
        <f>AF12</f>
        <v>CPA Fondeo BCI ADM 656 a BCI OP 648 06-06-2024</v>
      </c>
      <c r="AG13" s="3"/>
      <c r="AH13" s="10">
        <f>AG12</f>
        <v>76000000</v>
      </c>
      <c r="AK13" s="1">
        <v>45455</v>
      </c>
      <c r="AL13" s="26">
        <f>HLOOKUP(AK13,Hoja2!$R$2:$AV$6,5,FALSE)</f>
        <v>690000000</v>
      </c>
      <c r="AN13" s="39"/>
      <c r="AO13" s="20"/>
      <c r="AP13">
        <v>110208</v>
      </c>
      <c r="AQ13" t="s">
        <v>46</v>
      </c>
      <c r="AR13" t="str">
        <f>AR12</f>
        <v>CPA Traspaso de Fondos Bco. BCI 648 a Bco. BICE 06-06-2024</v>
      </c>
      <c r="AS13" s="3"/>
      <c r="AT13" s="10" t="str">
        <f>AS12</f>
        <v>-</v>
      </c>
      <c r="AW13" s="1">
        <v>45455</v>
      </c>
      <c r="AX13" s="26">
        <f>HLOOKUP(AW13,Hoja2!$R$2:$AV$7,6,FALSE)</f>
        <v>91176825</v>
      </c>
      <c r="AZ13" s="39"/>
      <c r="BA13" s="20"/>
      <c r="BB13">
        <v>110208</v>
      </c>
      <c r="BC13" t="s">
        <v>46</v>
      </c>
      <c r="BD13" t="str">
        <f>BD12</f>
        <v>CPA Pago Operaciones Locales BCI OP 648 06-06-2024</v>
      </c>
      <c r="BE13" s="3"/>
      <c r="BF13" s="10">
        <f>BE12</f>
        <v>35682457</v>
      </c>
      <c r="BJ13" s="1">
        <v>45455</v>
      </c>
      <c r="BK13" s="26">
        <f>HLOOKUP(BJ13,Hoja2!$R$2:$AV$9,8,FALSE)</f>
        <v>0</v>
      </c>
      <c r="BM13" s="39"/>
      <c r="BN13" s="20"/>
      <c r="BO13">
        <v>110208</v>
      </c>
      <c r="BP13" t="s">
        <v>46</v>
      </c>
      <c r="BQ13" t="str">
        <f>BQ12</f>
        <v>CPA Fondeo BCI OP 648 a BCI ADM 656 06-06-2024</v>
      </c>
      <c r="BR13" s="3"/>
      <c r="BS13" s="10">
        <f t="shared" ref="BS13" si="4">BR12</f>
        <v>0</v>
      </c>
    </row>
    <row r="14" spans="1:71" x14ac:dyDescent="0.25">
      <c r="A14" s="1">
        <v>45456</v>
      </c>
      <c r="B14" s="26">
        <f>HLOOKUP(A14,Hoja2!$R$2:$AV$3,2,FALSE)</f>
        <v>1014712313</v>
      </c>
      <c r="D14" s="21"/>
      <c r="E14" s="15">
        <v>45450</v>
      </c>
      <c r="F14" s="8">
        <v>110208</v>
      </c>
      <c r="G14" s="8" t="s">
        <v>46</v>
      </c>
      <c r="H14" s="8" t="str">
        <f>"CPA Recaudación Clientes BCI OP 648 "&amp;TEXT(E14,"dd-mm-aaa")</f>
        <v>CPA Recaudación Clientes BCI OP 648 07-06-2024</v>
      </c>
      <c r="I14" s="16">
        <f>+B8</f>
        <v>1279087250</v>
      </c>
      <c r="J14" s="17"/>
      <c r="M14" s="1">
        <v>45456</v>
      </c>
      <c r="N14" s="26">
        <f>HLOOKUP(M14,Hoja2!$R$2:$AV$4,3,FALSE)</f>
        <v>15767</v>
      </c>
      <c r="P14" s="21"/>
      <c r="Q14" s="15">
        <v>45450</v>
      </c>
      <c r="R14" s="8">
        <v>110208</v>
      </c>
      <c r="S14" s="8" t="s">
        <v>46</v>
      </c>
      <c r="T14" s="8" t="str">
        <f>"CPA Abonos operaciones rechazadas BCI OP 648 "&amp;TEXT(Q14,"dd-mm-aaa")</f>
        <v>CPA Abonos operaciones rechazadas BCI OP 648 07-06-2024</v>
      </c>
      <c r="U14" s="16">
        <f>+N8</f>
        <v>39347</v>
      </c>
      <c r="V14" s="17"/>
      <c r="Y14" s="1">
        <v>45456</v>
      </c>
      <c r="Z14" s="26" t="str">
        <f>HLOOKUP(Y14,Hoja2!$R$2:$AV$5,4,FALSE)</f>
        <v>-</v>
      </c>
      <c r="AB14" s="21"/>
      <c r="AC14" s="15">
        <v>45450</v>
      </c>
      <c r="AD14" s="8">
        <v>110208</v>
      </c>
      <c r="AE14" s="8" t="s">
        <v>46</v>
      </c>
      <c r="AF14" s="8" t="str">
        <f>"CPA Fondeo BCI ADM 656 a BCI OP 648 "&amp;TEXT(AC14,"dd-mm-aaa")</f>
        <v>CPA Fondeo BCI ADM 656 a BCI OP 648 07-06-2024</v>
      </c>
      <c r="AG14" s="16" t="str">
        <f>+Z8</f>
        <v>-</v>
      </c>
      <c r="AH14" s="17"/>
      <c r="AK14" s="1">
        <v>45456</v>
      </c>
      <c r="AL14" s="26">
        <f>HLOOKUP(AK14,Hoja2!$R$2:$AV$6,5,FALSE)</f>
        <v>70000000</v>
      </c>
      <c r="AN14" s="21"/>
      <c r="AO14" s="15">
        <v>45450</v>
      </c>
      <c r="AP14" s="8">
        <v>110204</v>
      </c>
      <c r="AQ14" s="8" t="s">
        <v>51</v>
      </c>
      <c r="AR14" s="8" t="str">
        <f>"CPA Traspaso de Fondos Bco. BCI 648 a Bco. BICE "&amp;TEXT(AO14,"dd-mm-aaa")</f>
        <v>CPA Traspaso de Fondos Bco. BCI 648 a Bco. BICE 07-06-2024</v>
      </c>
      <c r="AS14" s="16" t="str">
        <f>+AL8</f>
        <v>-</v>
      </c>
      <c r="AT14" s="17"/>
      <c r="AW14" s="1">
        <v>45456</v>
      </c>
      <c r="AX14" s="26">
        <f>HLOOKUP(AW14,Hoja2!$R$2:$AV$7,6,FALSE)</f>
        <v>8554229</v>
      </c>
      <c r="AZ14" s="21"/>
      <c r="BA14" s="15">
        <v>45450</v>
      </c>
      <c r="BB14" s="8">
        <v>211101</v>
      </c>
      <c r="BC14" s="8" t="s">
        <v>18</v>
      </c>
      <c r="BD14" s="8" t="str">
        <f>"CPA Pago Operaciones Locales BCI OP 648 "&amp;TEXT(BA14,"dd-mm-aaa")</f>
        <v>CPA Pago Operaciones Locales BCI OP 648 07-06-2024</v>
      </c>
      <c r="BE14" s="16">
        <f>+AX8</f>
        <v>134721601</v>
      </c>
      <c r="BF14" s="17"/>
      <c r="BJ14" s="1">
        <v>45456</v>
      </c>
      <c r="BK14" s="26">
        <f>HLOOKUP(BJ14,Hoja2!$R$2:$AV$9,8,FALSE)</f>
        <v>0</v>
      </c>
      <c r="BM14" s="21"/>
      <c r="BN14" s="15">
        <v>45450</v>
      </c>
      <c r="BO14" s="8">
        <v>110209</v>
      </c>
      <c r="BP14" s="8" t="s">
        <v>55</v>
      </c>
      <c r="BQ14" s="8" t="str">
        <f>"CPA Fondeo BCI OP 648 a BCI ADM 656 "&amp;TEXT(BN14,"dd-mm-aaa")</f>
        <v>CPA Fondeo BCI OP 648 a BCI ADM 656 07-06-2024</v>
      </c>
      <c r="BR14" s="16">
        <f>+BK8</f>
        <v>0</v>
      </c>
      <c r="BS14" s="17"/>
    </row>
    <row r="15" spans="1:71" x14ac:dyDescent="0.25">
      <c r="A15" s="1">
        <v>45457</v>
      </c>
      <c r="B15" s="26">
        <f>HLOOKUP(A15,Hoja2!$R$2:$AV$3,2,FALSE)</f>
        <v>861327216</v>
      </c>
      <c r="D15" s="40"/>
      <c r="E15" s="20"/>
      <c r="F15">
        <v>211101</v>
      </c>
      <c r="G15" t="s">
        <v>18</v>
      </c>
      <c r="H15" t="str">
        <f>H14</f>
        <v>CPA Recaudación Clientes BCI OP 648 07-06-2024</v>
      </c>
      <c r="I15" s="3"/>
      <c r="J15" s="10">
        <f>I14</f>
        <v>1279087250</v>
      </c>
      <c r="M15" s="1">
        <v>45457</v>
      </c>
      <c r="N15" s="26">
        <f>HLOOKUP(M15,Hoja2!$R$2:$AV$4,3,FALSE)</f>
        <v>949790</v>
      </c>
      <c r="P15" s="40"/>
      <c r="Q15" s="20"/>
      <c r="R15">
        <v>211101</v>
      </c>
      <c r="S15" t="s">
        <v>18</v>
      </c>
      <c r="T15" t="str">
        <f>T14</f>
        <v>CPA Abonos operaciones rechazadas BCI OP 648 07-06-2024</v>
      </c>
      <c r="U15" s="3"/>
      <c r="V15" s="10">
        <f>U14</f>
        <v>39347</v>
      </c>
      <c r="Y15" s="1">
        <v>45457</v>
      </c>
      <c r="Z15" s="26" t="str">
        <f>HLOOKUP(Y15,Hoja2!$R$2:$AV$5,4,FALSE)</f>
        <v>-</v>
      </c>
      <c r="AB15" s="40"/>
      <c r="AC15" s="20"/>
      <c r="AD15">
        <v>110209</v>
      </c>
      <c r="AE15" t="s">
        <v>55</v>
      </c>
      <c r="AF15" t="str">
        <f>AF14</f>
        <v>CPA Fondeo BCI ADM 656 a BCI OP 648 07-06-2024</v>
      </c>
      <c r="AG15" s="3"/>
      <c r="AH15" s="10" t="str">
        <f>AG14</f>
        <v>-</v>
      </c>
      <c r="AK15" s="1">
        <v>45457</v>
      </c>
      <c r="AL15" s="26" t="str">
        <f>HLOOKUP(AK15,Hoja2!$R$2:$AV$6,5,FALSE)</f>
        <v>-</v>
      </c>
      <c r="AN15" s="40"/>
      <c r="AO15" s="20"/>
      <c r="AP15">
        <v>110208</v>
      </c>
      <c r="AQ15" t="s">
        <v>46</v>
      </c>
      <c r="AR15" t="str">
        <f>AR14</f>
        <v>CPA Traspaso de Fondos Bco. BCI 648 a Bco. BICE 07-06-2024</v>
      </c>
      <c r="AS15" s="3"/>
      <c r="AT15" s="10" t="str">
        <f>AS14</f>
        <v>-</v>
      </c>
      <c r="AW15" s="1">
        <v>45457</v>
      </c>
      <c r="AX15" s="26">
        <f>HLOOKUP(AW15,Hoja2!$R$2:$AV$7,6,FALSE)</f>
        <v>105294880</v>
      </c>
      <c r="AZ15" s="40"/>
      <c r="BA15" s="20"/>
      <c r="BB15">
        <v>110208</v>
      </c>
      <c r="BC15" t="s">
        <v>46</v>
      </c>
      <c r="BD15" t="str">
        <f>BD14</f>
        <v>CPA Pago Operaciones Locales BCI OP 648 07-06-2024</v>
      </c>
      <c r="BE15" s="3"/>
      <c r="BF15" s="10">
        <f>BE14</f>
        <v>134721601</v>
      </c>
      <c r="BJ15" s="1">
        <v>45457</v>
      </c>
      <c r="BK15" s="26">
        <f>HLOOKUP(BJ15,Hoja2!$R$2:$AV$9,8,FALSE)</f>
        <v>0</v>
      </c>
      <c r="BM15" s="40"/>
      <c r="BN15" s="20"/>
      <c r="BO15">
        <v>110208</v>
      </c>
      <c r="BP15" t="s">
        <v>46</v>
      </c>
      <c r="BQ15" t="str">
        <f>BQ14</f>
        <v>CPA Fondeo BCI OP 648 a BCI ADM 656 07-06-2024</v>
      </c>
      <c r="BR15" s="3"/>
      <c r="BS15" s="10">
        <f t="shared" ref="BS15" si="5">BR14</f>
        <v>0</v>
      </c>
    </row>
    <row r="16" spans="1:71" x14ac:dyDescent="0.25">
      <c r="A16" s="1">
        <v>45458</v>
      </c>
      <c r="B16" s="26">
        <f>HLOOKUP(A16,Hoja2!$R$2:$AV$3,2,FALSE)</f>
        <v>0</v>
      </c>
      <c r="D16" s="21"/>
      <c r="E16" s="15">
        <v>45451</v>
      </c>
      <c r="F16" s="8">
        <v>110208</v>
      </c>
      <c r="G16" s="8" t="s">
        <v>46</v>
      </c>
      <c r="H16" s="8" t="str">
        <f>"CPA Recaudación Clientes BCI OP 648 "&amp;TEXT(E16,"dd-mm-aaa")</f>
        <v>CPA Recaudación Clientes BCI OP 648 08-06-2024</v>
      </c>
      <c r="I16" s="16" t="str">
        <f>+B9</f>
        <v>-</v>
      </c>
      <c r="J16" s="17"/>
      <c r="M16" s="1">
        <v>45458</v>
      </c>
      <c r="N16" s="26">
        <f>HLOOKUP(M16,Hoja2!$R$2:$AV$4,3,FALSE)</f>
        <v>0</v>
      </c>
      <c r="P16" s="21"/>
      <c r="Q16" s="15">
        <v>45451</v>
      </c>
      <c r="R16" s="8">
        <v>110208</v>
      </c>
      <c r="S16" s="8" t="s">
        <v>46</v>
      </c>
      <c r="T16" s="8" t="str">
        <f>"CPA Abonos operaciones rechazadas BCI OP 648 "&amp;TEXT(Q16,"dd-mm-aaa")</f>
        <v>CPA Abonos operaciones rechazadas BCI OP 648 08-06-2024</v>
      </c>
      <c r="U16" s="16" t="str">
        <f>+N9</f>
        <v>-</v>
      </c>
      <c r="V16" s="17"/>
      <c r="Y16" s="1">
        <v>45458</v>
      </c>
      <c r="Z16" s="26">
        <f>HLOOKUP(Y16,Hoja2!$R$2:$AV$5,4,FALSE)</f>
        <v>0</v>
      </c>
      <c r="AB16" s="21"/>
      <c r="AC16" s="15">
        <v>45451</v>
      </c>
      <c r="AD16" s="8">
        <v>110208</v>
      </c>
      <c r="AE16" s="8" t="s">
        <v>46</v>
      </c>
      <c r="AF16" s="8" t="str">
        <f>"CPA Fondeo BCI ADM 656 a BCI OP 648 "&amp;TEXT(AC16,"dd-mm-aaa")</f>
        <v>CPA Fondeo BCI ADM 656 a BCI OP 648 08-06-2024</v>
      </c>
      <c r="AG16" s="16" t="str">
        <f>+Z9</f>
        <v>-</v>
      </c>
      <c r="AH16" s="17"/>
      <c r="AK16" s="1">
        <v>45458</v>
      </c>
      <c r="AL16" s="26">
        <f>HLOOKUP(AK16,Hoja2!$R$2:$AV$6,5,FALSE)</f>
        <v>0</v>
      </c>
      <c r="AN16" s="21"/>
      <c r="AO16" s="15">
        <v>45451</v>
      </c>
      <c r="AP16" s="8">
        <v>110204</v>
      </c>
      <c r="AQ16" s="8" t="s">
        <v>51</v>
      </c>
      <c r="AR16" s="8" t="str">
        <f>"CPA Traspaso de Fondos Bco. BCI 648 a Bco. BICE "&amp;TEXT(AO16,"dd-mm-aaa")</f>
        <v>CPA Traspaso de Fondos Bco. BCI 648 a Bco. BICE 08-06-2024</v>
      </c>
      <c r="AS16" s="16" t="str">
        <f>+AL9</f>
        <v>-</v>
      </c>
      <c r="AT16" s="17"/>
      <c r="AW16" s="1">
        <v>45458</v>
      </c>
      <c r="AX16" s="26">
        <f>HLOOKUP(AW16,Hoja2!$R$2:$AV$7,6,FALSE)</f>
        <v>0</v>
      </c>
      <c r="AZ16" s="21"/>
      <c r="BA16" s="15">
        <v>45451</v>
      </c>
      <c r="BB16" s="8">
        <v>211101</v>
      </c>
      <c r="BC16" s="8" t="s">
        <v>18</v>
      </c>
      <c r="BD16" s="8" t="str">
        <f>"CPA Pago Operaciones Locales BCI OP 648 "&amp;TEXT(BA16,"dd-mm-aaa")</f>
        <v>CPA Pago Operaciones Locales BCI OP 648 08-06-2024</v>
      </c>
      <c r="BE16" s="16" t="str">
        <f>+AX9</f>
        <v>-</v>
      </c>
      <c r="BF16" s="17"/>
      <c r="BJ16" s="1">
        <v>45458</v>
      </c>
      <c r="BK16" s="26">
        <f>HLOOKUP(BJ16,Hoja2!$R$2:$AV$9,8,FALSE)</f>
        <v>0</v>
      </c>
      <c r="BM16" s="21"/>
      <c r="BN16" s="15">
        <v>45451</v>
      </c>
      <c r="BO16" s="8">
        <v>110209</v>
      </c>
      <c r="BP16" s="8" t="s">
        <v>55</v>
      </c>
      <c r="BQ16" s="8" t="str">
        <f>"CPA Fondeo BCI OP 648 a BCI ADM 656 "&amp;TEXT(BN16,"dd-mm-aaa")</f>
        <v>CPA Fondeo BCI OP 648 a BCI ADM 656 08-06-2024</v>
      </c>
      <c r="BR16" s="16">
        <f>+BK9</f>
        <v>0</v>
      </c>
      <c r="BS16" s="17"/>
    </row>
    <row r="17" spans="1:71" x14ac:dyDescent="0.25">
      <c r="A17" s="1">
        <v>45459</v>
      </c>
      <c r="B17" s="26">
        <f>HLOOKUP(A17,Hoja2!$R$2:$AV$3,2,FALSE)</f>
        <v>0</v>
      </c>
      <c r="D17" s="21"/>
      <c r="E17" s="11"/>
      <c r="F17" s="12">
        <v>211101</v>
      </c>
      <c r="G17" s="12" t="s">
        <v>18</v>
      </c>
      <c r="H17" s="12" t="str">
        <f>H16</f>
        <v>CPA Recaudación Clientes BCI OP 648 08-06-2024</v>
      </c>
      <c r="I17" s="13"/>
      <c r="J17" s="18" t="str">
        <f>I16</f>
        <v>-</v>
      </c>
      <c r="M17" s="1">
        <v>45459</v>
      </c>
      <c r="N17" s="26">
        <f>HLOOKUP(M17,Hoja2!$R$2:$AV$4,3,FALSE)</f>
        <v>0</v>
      </c>
      <c r="P17" s="21"/>
      <c r="Q17" s="11"/>
      <c r="R17" s="12">
        <v>211101</v>
      </c>
      <c r="S17" s="12" t="s">
        <v>18</v>
      </c>
      <c r="T17" s="12" t="str">
        <f>T16</f>
        <v>CPA Abonos operaciones rechazadas BCI OP 648 08-06-2024</v>
      </c>
      <c r="U17" s="13"/>
      <c r="V17" s="18" t="str">
        <f>U16</f>
        <v>-</v>
      </c>
      <c r="Y17" s="1">
        <v>45459</v>
      </c>
      <c r="Z17" s="26">
        <f>HLOOKUP(Y17,Hoja2!$R$2:$AV$5,4,FALSE)</f>
        <v>0</v>
      </c>
      <c r="AB17" s="21"/>
      <c r="AC17" s="11"/>
      <c r="AD17" s="12">
        <v>110209</v>
      </c>
      <c r="AE17" s="12" t="s">
        <v>55</v>
      </c>
      <c r="AF17" s="12" t="str">
        <f>AF16</f>
        <v>CPA Fondeo BCI ADM 656 a BCI OP 648 08-06-2024</v>
      </c>
      <c r="AG17" s="13"/>
      <c r="AH17" s="18" t="str">
        <f>AG16</f>
        <v>-</v>
      </c>
      <c r="AK17" s="1">
        <v>45459</v>
      </c>
      <c r="AL17" s="26">
        <f>HLOOKUP(AK17,Hoja2!$R$2:$AV$6,5,FALSE)</f>
        <v>0</v>
      </c>
      <c r="AN17" s="21"/>
      <c r="AO17" s="11"/>
      <c r="AP17" s="12">
        <v>110208</v>
      </c>
      <c r="AQ17" s="12" t="s">
        <v>46</v>
      </c>
      <c r="AR17" s="12" t="str">
        <f>AR16</f>
        <v>CPA Traspaso de Fondos Bco. BCI 648 a Bco. BICE 08-06-2024</v>
      </c>
      <c r="AS17" s="13"/>
      <c r="AT17" s="18" t="str">
        <f>AS16</f>
        <v>-</v>
      </c>
      <c r="AW17" s="1">
        <v>45459</v>
      </c>
      <c r="AX17" s="26">
        <f>HLOOKUP(AW17,Hoja2!$R$2:$AV$7,6,FALSE)</f>
        <v>0</v>
      </c>
      <c r="AZ17" s="21"/>
      <c r="BA17" s="11"/>
      <c r="BB17" s="12">
        <v>110208</v>
      </c>
      <c r="BC17" s="12" t="s">
        <v>46</v>
      </c>
      <c r="BD17" s="12" t="str">
        <f>BD16</f>
        <v>CPA Pago Operaciones Locales BCI OP 648 08-06-2024</v>
      </c>
      <c r="BE17" s="13"/>
      <c r="BF17" s="18" t="str">
        <f>BE16</f>
        <v>-</v>
      </c>
      <c r="BJ17" s="1">
        <v>45459</v>
      </c>
      <c r="BK17" s="26">
        <f>HLOOKUP(BJ17,Hoja2!$R$2:$AV$9,8,FALSE)</f>
        <v>0</v>
      </c>
      <c r="BM17" s="21"/>
      <c r="BN17" s="11"/>
      <c r="BO17" s="12">
        <v>110208</v>
      </c>
      <c r="BP17" s="12" t="s">
        <v>46</v>
      </c>
      <c r="BQ17" s="12" t="str">
        <f>BQ16</f>
        <v>CPA Fondeo BCI OP 648 a BCI ADM 656 08-06-2024</v>
      </c>
      <c r="BR17" s="13"/>
      <c r="BS17" s="18">
        <f t="shared" ref="BS17" si="6">BR16</f>
        <v>0</v>
      </c>
    </row>
    <row r="18" spans="1:71" x14ac:dyDescent="0.25">
      <c r="A18" s="1">
        <v>45460</v>
      </c>
      <c r="B18" s="26">
        <f>HLOOKUP(A18,Hoja2!$R$2:$AV$3,2,FALSE)</f>
        <v>0</v>
      </c>
      <c r="D18" s="21"/>
      <c r="E18" s="15">
        <v>45452</v>
      </c>
      <c r="F18" s="8">
        <v>110208</v>
      </c>
      <c r="G18" s="8" t="s">
        <v>46</v>
      </c>
      <c r="H18" s="8" t="str">
        <f>"CPA Recaudación Clientes BCI OP 648 "&amp;TEXT(E18,"dd-mm-aaa")</f>
        <v>CPA Recaudación Clientes BCI OP 648 09-06-2024</v>
      </c>
      <c r="I18" s="16" t="str">
        <f>+B10</f>
        <v>-</v>
      </c>
      <c r="J18" s="17"/>
      <c r="M18" s="1">
        <v>45460</v>
      </c>
      <c r="N18" s="26">
        <f>HLOOKUP(M18,Hoja2!$R$2:$AV$4,3,FALSE)</f>
        <v>0</v>
      </c>
      <c r="P18" s="21"/>
      <c r="Q18" s="15">
        <v>45452</v>
      </c>
      <c r="R18" s="8">
        <v>110208</v>
      </c>
      <c r="S18" s="8" t="s">
        <v>46</v>
      </c>
      <c r="T18" s="8" t="str">
        <f>"CPA Abonos operaciones rechazadas BCI OP 648 "&amp;TEXT(Q18,"dd-mm-aaa")</f>
        <v>CPA Abonos operaciones rechazadas BCI OP 648 09-06-2024</v>
      </c>
      <c r="U18" s="16" t="str">
        <f>+N10</f>
        <v>-</v>
      </c>
      <c r="V18" s="17"/>
      <c r="Y18" s="1">
        <v>45460</v>
      </c>
      <c r="Z18" s="26">
        <f>HLOOKUP(Y18,Hoja2!$R$2:$AV$5,4,FALSE)</f>
        <v>0</v>
      </c>
      <c r="AB18" s="21"/>
      <c r="AC18" s="15">
        <v>45452</v>
      </c>
      <c r="AD18" s="8">
        <v>110208</v>
      </c>
      <c r="AE18" s="8" t="s">
        <v>46</v>
      </c>
      <c r="AF18" s="8" t="str">
        <f>"CPA Fondeo BCI ADM 656 a BCI OP 648 "&amp;TEXT(AC18,"dd-mm-aaa")</f>
        <v>CPA Fondeo BCI ADM 656 a BCI OP 648 09-06-2024</v>
      </c>
      <c r="AG18" s="16" t="str">
        <f>+Z10</f>
        <v>-</v>
      </c>
      <c r="AH18" s="17"/>
      <c r="AK18" s="1">
        <v>45460</v>
      </c>
      <c r="AL18" s="26">
        <f>HLOOKUP(AK18,Hoja2!$R$2:$AV$6,5,FALSE)</f>
        <v>0</v>
      </c>
      <c r="AN18" s="21"/>
      <c r="AO18" s="15">
        <v>45452</v>
      </c>
      <c r="AP18" s="8">
        <v>110204</v>
      </c>
      <c r="AQ18" s="8" t="s">
        <v>51</v>
      </c>
      <c r="AR18" s="8" t="str">
        <f>"CPA Traspaso de Fondos Bco. BCI 648 a Bco. BICE "&amp;TEXT(AO18,"dd-mm-aaa")</f>
        <v>CPA Traspaso de Fondos Bco. BCI 648 a Bco. BICE 09-06-2024</v>
      </c>
      <c r="AS18" s="16" t="str">
        <f>+AL10</f>
        <v>-</v>
      </c>
      <c r="AT18" s="17"/>
      <c r="AW18" s="1">
        <v>45460</v>
      </c>
      <c r="AX18" s="26">
        <f>HLOOKUP(AW18,Hoja2!$R$2:$AV$7,6,FALSE)</f>
        <v>0</v>
      </c>
      <c r="AZ18" s="21"/>
      <c r="BA18" s="15">
        <v>45452</v>
      </c>
      <c r="BB18" s="8">
        <v>211101</v>
      </c>
      <c r="BC18" s="8" t="s">
        <v>18</v>
      </c>
      <c r="BD18" s="8" t="str">
        <f>"CPA Pago Operaciones Locales BCI OP 648 "&amp;TEXT(BA18,"dd-mm-aaa")</f>
        <v>CPA Pago Operaciones Locales BCI OP 648 09-06-2024</v>
      </c>
      <c r="BE18" s="16" t="str">
        <f>+AX10</f>
        <v>-</v>
      </c>
      <c r="BF18" s="17"/>
      <c r="BJ18" s="1">
        <v>45460</v>
      </c>
      <c r="BK18" s="26">
        <f>HLOOKUP(BJ18,Hoja2!$R$2:$AV$9,8,FALSE)</f>
        <v>0</v>
      </c>
      <c r="BM18" s="21"/>
      <c r="BN18" s="15">
        <v>45452</v>
      </c>
      <c r="BO18" s="8">
        <v>110209</v>
      </c>
      <c r="BP18" s="8" t="s">
        <v>55</v>
      </c>
      <c r="BQ18" s="8" t="str">
        <f>"CPA Fondeo BCI OP 648 a BCI ADM 656 "&amp;TEXT(BN18,"dd-mm-aaa")</f>
        <v>CPA Fondeo BCI OP 648 a BCI ADM 656 09-06-2024</v>
      </c>
      <c r="BR18" s="16">
        <f>+BK10</f>
        <v>0</v>
      </c>
      <c r="BS18" s="17"/>
    </row>
    <row r="19" spans="1:71" x14ac:dyDescent="0.25">
      <c r="A19" s="1">
        <v>45461</v>
      </c>
      <c r="B19" s="26">
        <f>HLOOKUP(A19,Hoja2!$R$2:$AV$3,2,FALSE)</f>
        <v>0</v>
      </c>
      <c r="D19" s="21"/>
      <c r="E19" s="11"/>
      <c r="F19" s="12">
        <v>211101</v>
      </c>
      <c r="G19" s="12" t="s">
        <v>18</v>
      </c>
      <c r="H19" s="12" t="str">
        <f>H18</f>
        <v>CPA Recaudación Clientes BCI OP 648 09-06-2024</v>
      </c>
      <c r="I19" s="13"/>
      <c r="J19" s="18" t="str">
        <f>I18</f>
        <v>-</v>
      </c>
      <c r="M19" s="1">
        <v>45461</v>
      </c>
      <c r="N19" s="26">
        <f>HLOOKUP(M19,Hoja2!$R$2:$AV$4,3,FALSE)</f>
        <v>0</v>
      </c>
      <c r="P19" s="21"/>
      <c r="Q19" s="11"/>
      <c r="R19" s="12">
        <v>211101</v>
      </c>
      <c r="S19" s="12" t="s">
        <v>18</v>
      </c>
      <c r="T19" s="12" t="str">
        <f>T18</f>
        <v>CPA Abonos operaciones rechazadas BCI OP 648 09-06-2024</v>
      </c>
      <c r="U19" s="13"/>
      <c r="V19" s="18" t="str">
        <f>U18</f>
        <v>-</v>
      </c>
      <c r="Y19" s="1">
        <v>45461</v>
      </c>
      <c r="Z19" s="26">
        <f>HLOOKUP(Y19,Hoja2!$R$2:$AV$5,4,FALSE)</f>
        <v>0</v>
      </c>
      <c r="AB19" s="21"/>
      <c r="AC19" s="11"/>
      <c r="AD19" s="12">
        <v>110209</v>
      </c>
      <c r="AE19" s="12" t="s">
        <v>55</v>
      </c>
      <c r="AF19" s="12" t="str">
        <f>AF18</f>
        <v>CPA Fondeo BCI ADM 656 a BCI OP 648 09-06-2024</v>
      </c>
      <c r="AG19" s="13"/>
      <c r="AH19" s="18" t="str">
        <f>AG18</f>
        <v>-</v>
      </c>
      <c r="AK19" s="1">
        <v>45461</v>
      </c>
      <c r="AL19" s="26">
        <f>HLOOKUP(AK19,Hoja2!$R$2:$AV$6,5,FALSE)</f>
        <v>0</v>
      </c>
      <c r="AN19" s="21"/>
      <c r="AO19" s="11"/>
      <c r="AP19" s="12">
        <v>110208</v>
      </c>
      <c r="AQ19" s="12" t="s">
        <v>46</v>
      </c>
      <c r="AR19" s="12" t="str">
        <f>AR18</f>
        <v>CPA Traspaso de Fondos Bco. BCI 648 a Bco. BICE 09-06-2024</v>
      </c>
      <c r="AS19" s="13"/>
      <c r="AT19" s="18" t="str">
        <f>AS18</f>
        <v>-</v>
      </c>
      <c r="AW19" s="1">
        <v>45461</v>
      </c>
      <c r="AX19" s="26">
        <f>HLOOKUP(AW19,Hoja2!$R$2:$AV$7,6,FALSE)</f>
        <v>0</v>
      </c>
      <c r="AZ19" s="21"/>
      <c r="BA19" s="11"/>
      <c r="BB19" s="12">
        <v>110208</v>
      </c>
      <c r="BC19" s="12" t="s">
        <v>46</v>
      </c>
      <c r="BD19" s="12" t="str">
        <f>BD18</f>
        <v>CPA Pago Operaciones Locales BCI OP 648 09-06-2024</v>
      </c>
      <c r="BE19" s="13"/>
      <c r="BF19" s="18" t="str">
        <f>BE18</f>
        <v>-</v>
      </c>
      <c r="BJ19" s="1">
        <v>45461</v>
      </c>
      <c r="BK19" s="26">
        <f>HLOOKUP(BJ19,Hoja2!$R$2:$AV$9,8,FALSE)</f>
        <v>0</v>
      </c>
      <c r="BM19" s="21"/>
      <c r="BN19" s="11"/>
      <c r="BO19" s="12">
        <v>110208</v>
      </c>
      <c r="BP19" s="12" t="s">
        <v>46</v>
      </c>
      <c r="BQ19" s="12" t="str">
        <f>BQ18</f>
        <v>CPA Fondeo BCI OP 648 a BCI ADM 656 09-06-2024</v>
      </c>
      <c r="BR19" s="13"/>
      <c r="BS19" s="18">
        <f t="shared" ref="BS19" si="7">BR18</f>
        <v>0</v>
      </c>
    </row>
    <row r="20" spans="1:71" x14ac:dyDescent="0.25">
      <c r="A20" s="1">
        <v>45462</v>
      </c>
      <c r="B20" s="26">
        <f>HLOOKUP(A20,Hoja2!$R$2:$AV$3,2,FALSE)</f>
        <v>0</v>
      </c>
      <c r="D20" s="21"/>
      <c r="E20" s="15">
        <v>45453</v>
      </c>
      <c r="F20" s="8">
        <v>110208</v>
      </c>
      <c r="G20" s="8" t="s">
        <v>46</v>
      </c>
      <c r="H20" s="8" t="str">
        <f>"CPA Recaudación Clientes BCI OP 648 "&amp;TEXT(E20,"dd-mm-aaa")</f>
        <v>CPA Recaudación Clientes BCI OP 648 10-06-2024</v>
      </c>
      <c r="I20" s="16">
        <f>+B11</f>
        <v>1158567349</v>
      </c>
      <c r="J20" s="17"/>
      <c r="M20" s="1">
        <v>45462</v>
      </c>
      <c r="N20" s="26">
        <f>HLOOKUP(M20,Hoja2!$R$2:$AV$4,3,FALSE)</f>
        <v>0</v>
      </c>
      <c r="P20" s="21"/>
      <c r="Q20" s="15">
        <v>45453</v>
      </c>
      <c r="R20" s="8">
        <v>110208</v>
      </c>
      <c r="S20" s="8" t="s">
        <v>46</v>
      </c>
      <c r="T20" s="8" t="str">
        <f>"CPA Abonos operaciones rechazadas BCI OP 648 "&amp;TEXT(Q20,"dd-mm-aaa")</f>
        <v>CPA Abonos operaciones rechazadas BCI OP 648 10-06-2024</v>
      </c>
      <c r="U20" s="16">
        <f>+N11</f>
        <v>2453223</v>
      </c>
      <c r="V20" s="17"/>
      <c r="Y20" s="1">
        <v>45462</v>
      </c>
      <c r="Z20" s="26">
        <f>HLOOKUP(Y20,Hoja2!$R$2:$AV$5,4,FALSE)</f>
        <v>0</v>
      </c>
      <c r="AB20" s="21"/>
      <c r="AC20" s="15">
        <v>45453</v>
      </c>
      <c r="AD20" s="8">
        <v>110208</v>
      </c>
      <c r="AE20" s="8" t="s">
        <v>46</v>
      </c>
      <c r="AF20" s="8" t="str">
        <f>"CPA Fondeo BCI ADM 656 a BCI OP 648 "&amp;TEXT(AC20,"dd-mm-aaa")</f>
        <v>CPA Fondeo BCI ADM 656 a BCI OP 648 10-06-2024</v>
      </c>
      <c r="AG20" s="16" t="str">
        <f>+Z11</f>
        <v>-</v>
      </c>
      <c r="AH20" s="17"/>
      <c r="AK20" s="1">
        <v>45462</v>
      </c>
      <c r="AL20" s="26">
        <f>HLOOKUP(AK20,Hoja2!$R$2:$AV$6,5,FALSE)</f>
        <v>0</v>
      </c>
      <c r="AN20" s="21"/>
      <c r="AO20" s="15">
        <v>45453</v>
      </c>
      <c r="AP20" s="8">
        <v>110204</v>
      </c>
      <c r="AQ20" s="8" t="s">
        <v>51</v>
      </c>
      <c r="AR20" s="8" t="str">
        <f>"CPA Traspaso de Fondos Bco. BCI 648 a Bco. BICE "&amp;TEXT(AO20,"dd-mm-aaa")</f>
        <v>CPA Traspaso de Fondos Bco. BCI 648 a Bco. BICE 10-06-2024</v>
      </c>
      <c r="AS20" s="16" t="str">
        <f>+AL11</f>
        <v>-</v>
      </c>
      <c r="AT20" s="17"/>
      <c r="AW20" s="1">
        <v>45462</v>
      </c>
      <c r="AX20" s="26">
        <f>HLOOKUP(AW20,Hoja2!$R$2:$AV$7,6,FALSE)</f>
        <v>0</v>
      </c>
      <c r="AZ20" s="21"/>
      <c r="BA20" s="15">
        <v>45453</v>
      </c>
      <c r="BB20" s="8">
        <v>211101</v>
      </c>
      <c r="BC20" s="8" t="s">
        <v>18</v>
      </c>
      <c r="BD20" s="8" t="str">
        <f>"CPA Pago Operaciones Locales BCI OP 648 "&amp;TEXT(BA20,"dd-mm-aaa")</f>
        <v>CPA Pago Operaciones Locales BCI OP 648 10-06-2024</v>
      </c>
      <c r="BE20" s="16">
        <f>+AX11</f>
        <v>121478199</v>
      </c>
      <c r="BF20" s="17"/>
      <c r="BJ20" s="1">
        <v>45462</v>
      </c>
      <c r="BK20" s="26">
        <f>HLOOKUP(BJ20,Hoja2!$R$2:$AV$9,8,FALSE)</f>
        <v>0</v>
      </c>
      <c r="BM20" s="21"/>
      <c r="BN20" s="15">
        <v>45453</v>
      </c>
      <c r="BO20" s="8">
        <v>110209</v>
      </c>
      <c r="BP20" s="8" t="s">
        <v>55</v>
      </c>
      <c r="BQ20" s="8" t="str">
        <f>"CPA Fondeo BCI OP 648 a BCI ADM 656 "&amp;TEXT(BN20,"dd-mm-aaa")</f>
        <v>CPA Fondeo BCI OP 648 a BCI ADM 656 10-06-2024</v>
      </c>
      <c r="BR20" s="16">
        <f>+BK11</f>
        <v>5000000</v>
      </c>
      <c r="BS20" s="17"/>
    </row>
    <row r="21" spans="1:71" x14ac:dyDescent="0.25">
      <c r="A21" s="1">
        <v>45463</v>
      </c>
      <c r="B21" s="26">
        <f>HLOOKUP(A21,Hoja2!$R$2:$AV$3,2,FALSE)</f>
        <v>0</v>
      </c>
      <c r="D21" s="21"/>
      <c r="E21" s="9"/>
      <c r="F21">
        <v>211101</v>
      </c>
      <c r="G21" t="s">
        <v>18</v>
      </c>
      <c r="H21" t="str">
        <f>H20</f>
        <v>CPA Recaudación Clientes BCI OP 648 10-06-2024</v>
      </c>
      <c r="I21" s="3"/>
      <c r="J21" s="10">
        <f>I20</f>
        <v>1158567349</v>
      </c>
      <c r="M21" s="1">
        <v>45463</v>
      </c>
      <c r="N21" s="26">
        <f>HLOOKUP(M21,Hoja2!$R$2:$AV$4,3,FALSE)</f>
        <v>0</v>
      </c>
      <c r="P21" s="21"/>
      <c r="Q21" s="9"/>
      <c r="R21">
        <v>211101</v>
      </c>
      <c r="S21" t="s">
        <v>18</v>
      </c>
      <c r="T21" t="str">
        <f>T20</f>
        <v>CPA Abonos operaciones rechazadas BCI OP 648 10-06-2024</v>
      </c>
      <c r="U21" s="3"/>
      <c r="V21" s="10">
        <f>U20</f>
        <v>2453223</v>
      </c>
      <c r="Y21" s="1">
        <v>45463</v>
      </c>
      <c r="Z21" s="26">
        <f>HLOOKUP(Y21,Hoja2!$R$2:$AV$5,4,FALSE)</f>
        <v>0</v>
      </c>
      <c r="AB21" s="21"/>
      <c r="AC21" s="9"/>
      <c r="AD21">
        <v>110209</v>
      </c>
      <c r="AE21" t="s">
        <v>55</v>
      </c>
      <c r="AF21" t="str">
        <f>AF20</f>
        <v>CPA Fondeo BCI ADM 656 a BCI OP 648 10-06-2024</v>
      </c>
      <c r="AG21" s="3"/>
      <c r="AH21" s="10" t="str">
        <f>AG20</f>
        <v>-</v>
      </c>
      <c r="AK21" s="1">
        <v>45463</v>
      </c>
      <c r="AL21" s="26">
        <f>HLOOKUP(AK21,Hoja2!$R$2:$AV$6,5,FALSE)</f>
        <v>0</v>
      </c>
      <c r="AN21" s="21"/>
      <c r="AO21" s="9"/>
      <c r="AP21">
        <v>110208</v>
      </c>
      <c r="AQ21" t="s">
        <v>46</v>
      </c>
      <c r="AR21" t="str">
        <f>AR20</f>
        <v>CPA Traspaso de Fondos Bco. BCI 648 a Bco. BICE 10-06-2024</v>
      </c>
      <c r="AS21" s="3"/>
      <c r="AT21" s="10" t="str">
        <f>AS20</f>
        <v>-</v>
      </c>
      <c r="AW21" s="1">
        <v>45463</v>
      </c>
      <c r="AX21" s="26">
        <f>HLOOKUP(AW21,Hoja2!$R$2:$AV$7,6,FALSE)</f>
        <v>0</v>
      </c>
      <c r="AZ21" s="21"/>
      <c r="BA21" s="9"/>
      <c r="BB21">
        <v>110208</v>
      </c>
      <c r="BC21" t="s">
        <v>46</v>
      </c>
      <c r="BD21" t="str">
        <f>BD20</f>
        <v>CPA Pago Operaciones Locales BCI OP 648 10-06-2024</v>
      </c>
      <c r="BE21" s="3"/>
      <c r="BF21" s="10">
        <f>BE20</f>
        <v>121478199</v>
      </c>
      <c r="BJ21" s="1">
        <v>45463</v>
      </c>
      <c r="BK21" s="26">
        <f>HLOOKUP(BJ21,Hoja2!$R$2:$AV$9,8,FALSE)</f>
        <v>0</v>
      </c>
      <c r="BM21" s="21"/>
      <c r="BN21" s="9"/>
      <c r="BO21">
        <v>110208</v>
      </c>
      <c r="BP21" t="s">
        <v>46</v>
      </c>
      <c r="BQ21" t="str">
        <f>BQ20</f>
        <v>CPA Fondeo BCI OP 648 a BCI ADM 656 10-06-2024</v>
      </c>
      <c r="BR21" s="3"/>
      <c r="BS21" s="10">
        <f t="shared" ref="BS21" si="8">BR20</f>
        <v>5000000</v>
      </c>
    </row>
    <row r="22" spans="1:71" x14ac:dyDescent="0.25">
      <c r="A22" s="1">
        <v>45464</v>
      </c>
      <c r="B22" s="26">
        <f>HLOOKUP(A22,Hoja2!$R$2:$AV$3,2,FALSE)</f>
        <v>0</v>
      </c>
      <c r="D22" s="21"/>
      <c r="E22" s="15">
        <v>45454</v>
      </c>
      <c r="F22" s="8">
        <v>110208</v>
      </c>
      <c r="G22" s="8" t="s">
        <v>46</v>
      </c>
      <c r="H22" s="8" t="str">
        <f>"CPA Recaudación Clientes BCI OP 648 "&amp;TEXT(E22,"dd-mm-aaa")</f>
        <v>CPA Recaudación Clientes BCI OP 648 11-06-2024</v>
      </c>
      <c r="I22" s="16">
        <f>+B12</f>
        <v>797903116</v>
      </c>
      <c r="J22" s="17"/>
      <c r="M22" s="1">
        <v>45464</v>
      </c>
      <c r="N22" s="26">
        <f>HLOOKUP(M22,Hoja2!$R$2:$AV$4,3,FALSE)</f>
        <v>0</v>
      </c>
      <c r="P22" s="21"/>
      <c r="Q22" s="15">
        <v>45454</v>
      </c>
      <c r="R22" s="8">
        <v>110208</v>
      </c>
      <c r="S22" s="8" t="s">
        <v>46</v>
      </c>
      <c r="T22" s="8" t="str">
        <f>"CPA Abonos operaciones rechazadas BCI OP 648 "&amp;TEXT(Q22,"dd-mm-aaa")</f>
        <v>CPA Abonos operaciones rechazadas BCI OP 648 11-06-2024</v>
      </c>
      <c r="U22" s="16">
        <f>+N12</f>
        <v>51755</v>
      </c>
      <c r="V22" s="17"/>
      <c r="Y22" s="1">
        <v>45464</v>
      </c>
      <c r="Z22" s="26">
        <f>HLOOKUP(Y22,Hoja2!$R$2:$AV$5,4,FALSE)</f>
        <v>0</v>
      </c>
      <c r="AB22" s="21"/>
      <c r="AC22" s="15">
        <v>45454</v>
      </c>
      <c r="AD22" s="8">
        <v>110208</v>
      </c>
      <c r="AE22" s="8" t="s">
        <v>46</v>
      </c>
      <c r="AF22" s="8" t="str">
        <f>"CPA Fondeo BCI ADM 656 a BCI OP 648 "&amp;TEXT(AC22,"dd-mm-aaa")</f>
        <v>CPA Fondeo BCI ADM 656 a BCI OP 648 11-06-2024</v>
      </c>
      <c r="AG22" s="16">
        <f>+Z12</f>
        <v>82000000</v>
      </c>
      <c r="AH22" s="17"/>
      <c r="AK22" s="1">
        <v>45464</v>
      </c>
      <c r="AL22" s="26">
        <f>HLOOKUP(AK22,Hoja2!$R$2:$AV$6,5,FALSE)</f>
        <v>0</v>
      </c>
      <c r="AN22" s="21"/>
      <c r="AO22" s="15">
        <v>45454</v>
      </c>
      <c r="AP22" s="8">
        <v>110204</v>
      </c>
      <c r="AQ22" s="8" t="s">
        <v>51</v>
      </c>
      <c r="AR22" s="8" t="str">
        <f>"CPA Traspaso de Fondos Bco. BCI 648 a Bco. BICE "&amp;TEXT(AO22,"dd-mm-aaa")</f>
        <v>CPA Traspaso de Fondos Bco. BCI 648 a Bco. BICE 11-06-2024</v>
      </c>
      <c r="AS22" s="16" t="str">
        <f>+AL12</f>
        <v>-</v>
      </c>
      <c r="AT22" s="17"/>
      <c r="AW22" s="1">
        <v>45464</v>
      </c>
      <c r="AX22" s="26">
        <f>HLOOKUP(AW22,Hoja2!$R$2:$AV$7,6,FALSE)</f>
        <v>0</v>
      </c>
      <c r="AZ22" s="21"/>
      <c r="BA22" s="15">
        <v>45454</v>
      </c>
      <c r="BB22" s="8">
        <v>211101</v>
      </c>
      <c r="BC22" s="8" t="s">
        <v>18</v>
      </c>
      <c r="BD22" s="8" t="str">
        <f>"CPA Pago Operaciones Locales BCI OP 648 "&amp;TEXT(BA22,"dd-mm-aaa")</f>
        <v>CPA Pago Operaciones Locales BCI OP 648 11-06-2024</v>
      </c>
      <c r="BE22" s="16">
        <f>+AX12</f>
        <v>61882120</v>
      </c>
      <c r="BF22" s="17"/>
      <c r="BJ22" s="1">
        <v>45464</v>
      </c>
      <c r="BK22" s="26">
        <f>HLOOKUP(BJ22,Hoja2!$R$2:$AV$9,8,FALSE)</f>
        <v>0</v>
      </c>
      <c r="BM22" s="21"/>
      <c r="BN22" s="15">
        <v>45454</v>
      </c>
      <c r="BO22" s="8">
        <v>110209</v>
      </c>
      <c r="BP22" s="8" t="s">
        <v>55</v>
      </c>
      <c r="BQ22" s="8" t="str">
        <f>"CPA Fondeo BCI OP 648 a BCI ADM 656 "&amp;TEXT(BN22,"dd-mm-aaa")</f>
        <v>CPA Fondeo BCI OP 648 a BCI ADM 656 11-06-2024</v>
      </c>
      <c r="BR22" s="16">
        <f>+BK12</f>
        <v>0</v>
      </c>
      <c r="BS22" s="17"/>
    </row>
    <row r="23" spans="1:71" x14ac:dyDescent="0.25">
      <c r="A23" s="1">
        <v>45465</v>
      </c>
      <c r="B23" s="26">
        <f>HLOOKUP(A23,Hoja2!$R$2:$AV$3,2,FALSE)</f>
        <v>0</v>
      </c>
      <c r="D23" s="21"/>
      <c r="E23" s="9"/>
      <c r="F23">
        <v>211101</v>
      </c>
      <c r="G23" t="s">
        <v>18</v>
      </c>
      <c r="H23" t="str">
        <f>H22</f>
        <v>CPA Recaudación Clientes BCI OP 648 11-06-2024</v>
      </c>
      <c r="I23" s="3"/>
      <c r="J23" s="10">
        <f>I22</f>
        <v>797903116</v>
      </c>
      <c r="M23" s="1">
        <v>45465</v>
      </c>
      <c r="N23" s="26">
        <f>HLOOKUP(M23,Hoja2!$R$2:$AV$4,3,FALSE)</f>
        <v>0</v>
      </c>
      <c r="P23" s="21"/>
      <c r="Q23" s="9"/>
      <c r="R23">
        <v>211101</v>
      </c>
      <c r="S23" t="s">
        <v>18</v>
      </c>
      <c r="T23" t="str">
        <f>T22</f>
        <v>CPA Abonos operaciones rechazadas BCI OP 648 11-06-2024</v>
      </c>
      <c r="U23" s="3"/>
      <c r="V23" s="10">
        <f>U22</f>
        <v>51755</v>
      </c>
      <c r="Y23" s="1">
        <v>45465</v>
      </c>
      <c r="Z23" s="26">
        <f>HLOOKUP(Y23,Hoja2!$R$2:$AV$5,4,FALSE)</f>
        <v>0</v>
      </c>
      <c r="AB23" s="21"/>
      <c r="AC23" s="9"/>
      <c r="AD23">
        <v>110209</v>
      </c>
      <c r="AE23" t="s">
        <v>55</v>
      </c>
      <c r="AF23" t="str">
        <f>AF22</f>
        <v>CPA Fondeo BCI ADM 656 a BCI OP 648 11-06-2024</v>
      </c>
      <c r="AG23" s="3"/>
      <c r="AH23" s="10">
        <f>AG22</f>
        <v>82000000</v>
      </c>
      <c r="AK23" s="1">
        <v>45465</v>
      </c>
      <c r="AL23" s="26">
        <f>HLOOKUP(AK23,Hoja2!$R$2:$AV$6,5,FALSE)</f>
        <v>0</v>
      </c>
      <c r="AN23" s="21"/>
      <c r="AO23" s="9"/>
      <c r="AP23">
        <v>110208</v>
      </c>
      <c r="AQ23" t="s">
        <v>46</v>
      </c>
      <c r="AR23" t="str">
        <f>AR22</f>
        <v>CPA Traspaso de Fondos Bco. BCI 648 a Bco. BICE 11-06-2024</v>
      </c>
      <c r="AS23" s="3"/>
      <c r="AT23" s="10" t="str">
        <f>AS22</f>
        <v>-</v>
      </c>
      <c r="AW23" s="1">
        <v>45465</v>
      </c>
      <c r="AX23" s="26">
        <f>HLOOKUP(AW23,Hoja2!$R$2:$AV$7,6,FALSE)</f>
        <v>0</v>
      </c>
      <c r="AZ23" s="21"/>
      <c r="BA23" s="9"/>
      <c r="BB23">
        <v>110208</v>
      </c>
      <c r="BC23" t="s">
        <v>46</v>
      </c>
      <c r="BD23" t="str">
        <f>BD22</f>
        <v>CPA Pago Operaciones Locales BCI OP 648 11-06-2024</v>
      </c>
      <c r="BE23" s="3"/>
      <c r="BF23" s="10">
        <f>BE22</f>
        <v>61882120</v>
      </c>
      <c r="BJ23" s="1">
        <v>45465</v>
      </c>
      <c r="BK23" s="26">
        <f>HLOOKUP(BJ23,Hoja2!$R$2:$AV$9,8,FALSE)</f>
        <v>0</v>
      </c>
      <c r="BM23" s="21"/>
      <c r="BN23" s="9"/>
      <c r="BO23">
        <v>110208</v>
      </c>
      <c r="BP23" t="s">
        <v>46</v>
      </c>
      <c r="BQ23" t="str">
        <f>BQ22</f>
        <v>CPA Fondeo BCI OP 648 a BCI ADM 656 11-06-2024</v>
      </c>
      <c r="BR23" s="3"/>
      <c r="BS23" s="10">
        <f t="shared" ref="BS23" si="9">BR22</f>
        <v>0</v>
      </c>
    </row>
    <row r="24" spans="1:71" x14ac:dyDescent="0.25">
      <c r="A24" s="1">
        <v>45466</v>
      </c>
      <c r="B24" s="26">
        <f>HLOOKUP(A24,Hoja2!$R$2:$AV$3,2,FALSE)</f>
        <v>0</v>
      </c>
      <c r="D24" s="21"/>
      <c r="E24" s="15">
        <v>45455</v>
      </c>
      <c r="F24" s="8">
        <v>110208</v>
      </c>
      <c r="G24" s="8" t="s">
        <v>46</v>
      </c>
      <c r="H24" s="8" t="str">
        <f>"CPA Recaudación Clientes BCI OP 648 "&amp;TEXT(E24,"dd-mm-aaa")</f>
        <v>CPA Recaudación Clientes BCI OP 648 12-06-2024</v>
      </c>
      <c r="I24" s="16">
        <f>+B13</f>
        <v>797085897</v>
      </c>
      <c r="J24" s="17"/>
      <c r="M24" s="1">
        <v>45466</v>
      </c>
      <c r="N24" s="26">
        <f>HLOOKUP(M24,Hoja2!$R$2:$AV$4,3,FALSE)</f>
        <v>0</v>
      </c>
      <c r="P24" s="21"/>
      <c r="Q24" s="15">
        <v>45455</v>
      </c>
      <c r="R24" s="8">
        <v>110208</v>
      </c>
      <c r="S24" s="8" t="s">
        <v>46</v>
      </c>
      <c r="T24" s="8" t="str">
        <f>"CPA Abonos operaciones rechazadas BCI OP 648 "&amp;TEXT(Q24,"dd-mm-aaa")</f>
        <v>CPA Abonos operaciones rechazadas BCI OP 648 12-06-2024</v>
      </c>
      <c r="U24" s="16">
        <f>+N13</f>
        <v>7459778</v>
      </c>
      <c r="V24" s="17"/>
      <c r="Y24" s="1">
        <v>45466</v>
      </c>
      <c r="Z24" s="26">
        <f>HLOOKUP(Y24,Hoja2!$R$2:$AV$5,4,FALSE)</f>
        <v>0</v>
      </c>
      <c r="AB24" s="21"/>
      <c r="AC24" s="15">
        <v>45455</v>
      </c>
      <c r="AD24" s="8">
        <v>110208</v>
      </c>
      <c r="AE24" s="8" t="s">
        <v>46</v>
      </c>
      <c r="AF24" s="8" t="str">
        <f>"CPA Fondeo BCI ADM 656 a BCI OP 648 "&amp;TEXT(AC24,"dd-mm-aaa")</f>
        <v>CPA Fondeo BCI ADM 656 a BCI OP 648 12-06-2024</v>
      </c>
      <c r="AG24" s="16">
        <f>+Z13</f>
        <v>148000000</v>
      </c>
      <c r="AH24" s="17"/>
      <c r="AK24" s="1">
        <v>45466</v>
      </c>
      <c r="AL24" s="26">
        <f>HLOOKUP(AK24,Hoja2!$R$2:$AV$6,5,FALSE)</f>
        <v>0</v>
      </c>
      <c r="AN24" s="21"/>
      <c r="AO24" s="15">
        <v>45455</v>
      </c>
      <c r="AP24" s="8">
        <v>110204</v>
      </c>
      <c r="AQ24" s="8" t="s">
        <v>51</v>
      </c>
      <c r="AR24" s="8" t="str">
        <f>"CPA Traspaso de Fondos Bco. BCI 648 a Bco. BICE "&amp;TEXT(AO24,"dd-mm-aaa")</f>
        <v>CPA Traspaso de Fondos Bco. BCI 648 a Bco. BICE 12-06-2024</v>
      </c>
      <c r="AS24" s="16">
        <f>+AL13</f>
        <v>690000000</v>
      </c>
      <c r="AT24" s="17"/>
      <c r="AW24" s="1">
        <v>45466</v>
      </c>
      <c r="AX24" s="26">
        <f>HLOOKUP(AW24,Hoja2!$R$2:$AV$7,6,FALSE)</f>
        <v>0</v>
      </c>
      <c r="AZ24" s="21"/>
      <c r="BA24" s="15">
        <v>45455</v>
      </c>
      <c r="BB24" s="8">
        <v>211101</v>
      </c>
      <c r="BC24" s="8" t="s">
        <v>18</v>
      </c>
      <c r="BD24" s="8" t="str">
        <f>"CPA Pago Operaciones Locales BCI OP 648 "&amp;TEXT(BA24,"dd-mm-aaa")</f>
        <v>CPA Pago Operaciones Locales BCI OP 648 12-06-2024</v>
      </c>
      <c r="BE24" s="16">
        <f>+AX13</f>
        <v>91176825</v>
      </c>
      <c r="BF24" s="17"/>
      <c r="BJ24" s="1">
        <v>45466</v>
      </c>
      <c r="BK24" s="26">
        <f>HLOOKUP(BJ24,Hoja2!$R$2:$AV$9,8,FALSE)</f>
        <v>0</v>
      </c>
      <c r="BM24" s="21"/>
      <c r="BN24" s="15">
        <v>45455</v>
      </c>
      <c r="BO24" s="8">
        <v>110209</v>
      </c>
      <c r="BP24" s="8" t="s">
        <v>55</v>
      </c>
      <c r="BQ24" s="8" t="str">
        <f>"CPA Fondeo BCI OP 648 a BCI ADM 656 "&amp;TEXT(BN24,"dd-mm-aaa")</f>
        <v>CPA Fondeo BCI OP 648 a BCI ADM 656 12-06-2024</v>
      </c>
      <c r="BR24" s="16">
        <f>+BK13</f>
        <v>0</v>
      </c>
      <c r="BS24" s="17"/>
    </row>
    <row r="25" spans="1:71" x14ac:dyDescent="0.25">
      <c r="A25" s="1">
        <v>45467</v>
      </c>
      <c r="B25" s="26">
        <f>HLOOKUP(A25,Hoja2!$R$2:$AV$3,2,FALSE)</f>
        <v>0</v>
      </c>
      <c r="D25" s="21"/>
      <c r="E25" s="9"/>
      <c r="F25">
        <v>211101</v>
      </c>
      <c r="G25" t="s">
        <v>18</v>
      </c>
      <c r="H25" t="str">
        <f>H24</f>
        <v>CPA Recaudación Clientes BCI OP 648 12-06-2024</v>
      </c>
      <c r="I25" s="3"/>
      <c r="J25" s="10">
        <f>I24</f>
        <v>797085897</v>
      </c>
      <c r="M25" s="1">
        <v>45467</v>
      </c>
      <c r="N25" s="26">
        <f>HLOOKUP(M25,Hoja2!$R$2:$AV$4,3,FALSE)</f>
        <v>0</v>
      </c>
      <c r="P25" s="21"/>
      <c r="Q25" s="9"/>
      <c r="R25">
        <v>211101</v>
      </c>
      <c r="S25" t="s">
        <v>18</v>
      </c>
      <c r="T25" t="str">
        <f>T24</f>
        <v>CPA Abonos operaciones rechazadas BCI OP 648 12-06-2024</v>
      </c>
      <c r="U25" s="3"/>
      <c r="V25" s="10">
        <f>U24</f>
        <v>7459778</v>
      </c>
      <c r="Y25" s="1">
        <v>45467</v>
      </c>
      <c r="Z25" s="26">
        <f>HLOOKUP(Y25,Hoja2!$R$2:$AV$5,4,FALSE)</f>
        <v>0</v>
      </c>
      <c r="AB25" s="21"/>
      <c r="AC25" s="9"/>
      <c r="AD25">
        <v>110209</v>
      </c>
      <c r="AE25" t="s">
        <v>55</v>
      </c>
      <c r="AF25" t="str">
        <f>AF24</f>
        <v>CPA Fondeo BCI ADM 656 a BCI OP 648 12-06-2024</v>
      </c>
      <c r="AG25" s="3"/>
      <c r="AH25" s="10">
        <f>AG24</f>
        <v>148000000</v>
      </c>
      <c r="AK25" s="1">
        <v>45467</v>
      </c>
      <c r="AL25" s="26">
        <f>HLOOKUP(AK25,Hoja2!$R$2:$AV$6,5,FALSE)</f>
        <v>0</v>
      </c>
      <c r="AN25" s="21"/>
      <c r="AO25" s="9"/>
      <c r="AP25">
        <v>110208</v>
      </c>
      <c r="AQ25" t="s">
        <v>46</v>
      </c>
      <c r="AR25" t="str">
        <f>AR24</f>
        <v>CPA Traspaso de Fondos Bco. BCI 648 a Bco. BICE 12-06-2024</v>
      </c>
      <c r="AS25" s="3"/>
      <c r="AT25" s="10">
        <f>AS24</f>
        <v>690000000</v>
      </c>
      <c r="AW25" s="1">
        <v>45467</v>
      </c>
      <c r="AX25" s="26">
        <f>HLOOKUP(AW25,Hoja2!$R$2:$AV$7,6,FALSE)</f>
        <v>0</v>
      </c>
      <c r="AZ25" s="21"/>
      <c r="BA25" s="9"/>
      <c r="BB25">
        <v>110208</v>
      </c>
      <c r="BC25" t="s">
        <v>46</v>
      </c>
      <c r="BD25" t="str">
        <f>BD24</f>
        <v>CPA Pago Operaciones Locales BCI OP 648 12-06-2024</v>
      </c>
      <c r="BE25" s="3"/>
      <c r="BF25" s="10">
        <f>BE24</f>
        <v>91176825</v>
      </c>
      <c r="BJ25" s="1">
        <v>45467</v>
      </c>
      <c r="BK25" s="26">
        <f>HLOOKUP(BJ25,Hoja2!$R$2:$AV$9,8,FALSE)</f>
        <v>0</v>
      </c>
      <c r="BM25" s="21"/>
      <c r="BN25" s="9"/>
      <c r="BO25">
        <v>110208</v>
      </c>
      <c r="BP25" t="s">
        <v>46</v>
      </c>
      <c r="BQ25" t="str">
        <f>BQ24</f>
        <v>CPA Fondeo BCI OP 648 a BCI ADM 656 12-06-2024</v>
      </c>
      <c r="BR25" s="3"/>
      <c r="BS25" s="10">
        <f t="shared" ref="BS25" si="10">BR24</f>
        <v>0</v>
      </c>
    </row>
    <row r="26" spans="1:71" x14ac:dyDescent="0.25">
      <c r="A26" s="1">
        <v>45468</v>
      </c>
      <c r="B26" s="26">
        <f>HLOOKUP(A26,Hoja2!$R$2:$AV$3,2,FALSE)</f>
        <v>0</v>
      </c>
      <c r="D26" s="21"/>
      <c r="E26" s="15">
        <v>45456</v>
      </c>
      <c r="F26" s="8">
        <v>110208</v>
      </c>
      <c r="G26" s="8" t="s">
        <v>46</v>
      </c>
      <c r="H26" s="8" t="str">
        <f>"CPA Recaudación Clientes BCI OP 648 "&amp;TEXT(E26,"dd-mm-aaa")</f>
        <v>CPA Recaudación Clientes BCI OP 648 13-06-2024</v>
      </c>
      <c r="I26" s="16">
        <f>+B14</f>
        <v>1014712313</v>
      </c>
      <c r="J26" s="17"/>
      <c r="M26" s="1">
        <v>45468</v>
      </c>
      <c r="N26" s="26">
        <f>HLOOKUP(M26,Hoja2!$R$2:$AV$4,3,FALSE)</f>
        <v>0</v>
      </c>
      <c r="P26" s="21"/>
      <c r="Q26" s="15">
        <v>45456</v>
      </c>
      <c r="R26" s="8">
        <v>110208</v>
      </c>
      <c r="S26" s="8" t="s">
        <v>46</v>
      </c>
      <c r="T26" s="8" t="str">
        <f>"CPA Abonos operaciones rechazadas BCI OP 648 "&amp;TEXT(Q26,"dd-mm-aaa")</f>
        <v>CPA Abonos operaciones rechazadas BCI OP 648 13-06-2024</v>
      </c>
      <c r="U26" s="16">
        <f>+N14</f>
        <v>15767</v>
      </c>
      <c r="V26" s="17"/>
      <c r="Y26" s="1">
        <v>45468</v>
      </c>
      <c r="Z26" s="26">
        <f>HLOOKUP(Y26,Hoja2!$R$2:$AV$5,4,FALSE)</f>
        <v>0</v>
      </c>
      <c r="AB26" s="21"/>
      <c r="AC26" s="15">
        <v>45456</v>
      </c>
      <c r="AD26" s="8">
        <v>110208</v>
      </c>
      <c r="AE26" s="8" t="s">
        <v>46</v>
      </c>
      <c r="AF26" s="8" t="str">
        <f>"CPA Fondeo BCI ADM 656 a BCI OP 648 "&amp;TEXT(AC26,"dd-mm-aaa")</f>
        <v>CPA Fondeo BCI ADM 656 a BCI OP 648 13-06-2024</v>
      </c>
      <c r="AG26" s="16" t="str">
        <f>+Z14</f>
        <v>-</v>
      </c>
      <c r="AH26" s="17"/>
      <c r="AK26" s="1">
        <v>45468</v>
      </c>
      <c r="AL26" s="26">
        <f>HLOOKUP(AK26,Hoja2!$R$2:$AV$6,5,FALSE)</f>
        <v>0</v>
      </c>
      <c r="AN26" s="21"/>
      <c r="AO26" s="15">
        <v>45456</v>
      </c>
      <c r="AP26" s="8">
        <v>110204</v>
      </c>
      <c r="AQ26" s="8" t="s">
        <v>51</v>
      </c>
      <c r="AR26" s="8" t="str">
        <f>"CPA Traspaso de Fondos Bco. BCI 648 a Bco. BICE "&amp;TEXT(AO26,"dd-mm-aaa")</f>
        <v>CPA Traspaso de Fondos Bco. BCI 648 a Bco. BICE 13-06-2024</v>
      </c>
      <c r="AS26" s="16">
        <f>+AL14</f>
        <v>70000000</v>
      </c>
      <c r="AT26" s="17"/>
      <c r="AW26" s="1">
        <v>45468</v>
      </c>
      <c r="AX26" s="26">
        <f>HLOOKUP(AW26,Hoja2!$R$2:$AV$7,6,FALSE)</f>
        <v>0</v>
      </c>
      <c r="AZ26" s="21"/>
      <c r="BA26" s="15">
        <v>45456</v>
      </c>
      <c r="BB26" s="8">
        <v>211101</v>
      </c>
      <c r="BC26" s="8" t="s">
        <v>18</v>
      </c>
      <c r="BD26" s="8" t="str">
        <f>"CPA Pago Operaciones Locales BCI OP 648 "&amp;TEXT(BA26,"dd-mm-aaa")</f>
        <v>CPA Pago Operaciones Locales BCI OP 648 13-06-2024</v>
      </c>
      <c r="BE26" s="16">
        <f>+AX14</f>
        <v>8554229</v>
      </c>
      <c r="BF26" s="17"/>
      <c r="BJ26" s="1">
        <v>45468</v>
      </c>
      <c r="BK26" s="26">
        <f>HLOOKUP(BJ26,Hoja2!$R$2:$AV$9,8,FALSE)</f>
        <v>0</v>
      </c>
      <c r="BM26" s="21"/>
      <c r="BN26" s="15">
        <v>45456</v>
      </c>
      <c r="BO26" s="8">
        <v>110209</v>
      </c>
      <c r="BP26" s="8" t="s">
        <v>55</v>
      </c>
      <c r="BQ26" s="8" t="str">
        <f>"CPA Fondeo BCI OP 648 a BCI ADM 656 "&amp;TEXT(BN26,"dd-mm-aaa")</f>
        <v>CPA Fondeo BCI OP 648 a BCI ADM 656 13-06-2024</v>
      </c>
      <c r="BR26" s="16">
        <f>+BK14</f>
        <v>0</v>
      </c>
      <c r="BS26" s="17"/>
    </row>
    <row r="27" spans="1:71" x14ac:dyDescent="0.25">
      <c r="A27" s="1">
        <v>45469</v>
      </c>
      <c r="B27" s="26">
        <f>HLOOKUP(A27,Hoja2!$R$2:$AV$3,2,FALSE)</f>
        <v>0</v>
      </c>
      <c r="D27" s="21"/>
      <c r="E27" s="9"/>
      <c r="F27">
        <v>211101</v>
      </c>
      <c r="G27" t="s">
        <v>18</v>
      </c>
      <c r="H27" t="str">
        <f>H26</f>
        <v>CPA Recaudación Clientes BCI OP 648 13-06-2024</v>
      </c>
      <c r="I27" s="3"/>
      <c r="J27" s="10">
        <f>I26</f>
        <v>1014712313</v>
      </c>
      <c r="M27" s="1">
        <v>45469</v>
      </c>
      <c r="N27" s="26">
        <f>HLOOKUP(M27,Hoja2!$R$2:$AV$4,3,FALSE)</f>
        <v>0</v>
      </c>
      <c r="P27" s="21"/>
      <c r="Q27" s="9"/>
      <c r="R27">
        <v>211101</v>
      </c>
      <c r="S27" t="s">
        <v>18</v>
      </c>
      <c r="T27" t="str">
        <f>T26</f>
        <v>CPA Abonos operaciones rechazadas BCI OP 648 13-06-2024</v>
      </c>
      <c r="U27" s="3"/>
      <c r="V27" s="10">
        <f>U26</f>
        <v>15767</v>
      </c>
      <c r="Y27" s="1">
        <v>45469</v>
      </c>
      <c r="Z27" s="26">
        <f>HLOOKUP(Y27,Hoja2!$R$2:$AV$5,4,FALSE)</f>
        <v>0</v>
      </c>
      <c r="AB27" s="21"/>
      <c r="AC27" s="9"/>
      <c r="AD27">
        <v>110209</v>
      </c>
      <c r="AE27" t="s">
        <v>55</v>
      </c>
      <c r="AF27" t="str">
        <f>AF26</f>
        <v>CPA Fondeo BCI ADM 656 a BCI OP 648 13-06-2024</v>
      </c>
      <c r="AG27" s="3"/>
      <c r="AH27" s="10" t="str">
        <f>AG26</f>
        <v>-</v>
      </c>
      <c r="AK27" s="1">
        <v>45469</v>
      </c>
      <c r="AL27" s="26">
        <f>HLOOKUP(AK27,Hoja2!$R$2:$AV$6,5,FALSE)</f>
        <v>0</v>
      </c>
      <c r="AN27" s="21"/>
      <c r="AO27" s="9"/>
      <c r="AP27">
        <v>110208</v>
      </c>
      <c r="AQ27" t="s">
        <v>46</v>
      </c>
      <c r="AR27" t="str">
        <f>AR26</f>
        <v>CPA Traspaso de Fondos Bco. BCI 648 a Bco. BICE 13-06-2024</v>
      </c>
      <c r="AS27" s="3"/>
      <c r="AT27" s="10">
        <f>AS26</f>
        <v>70000000</v>
      </c>
      <c r="AW27" s="1">
        <v>45469</v>
      </c>
      <c r="AX27" s="26">
        <f>HLOOKUP(AW27,Hoja2!$R$2:$AV$7,6,FALSE)</f>
        <v>0</v>
      </c>
      <c r="AZ27" s="21"/>
      <c r="BA27" s="9"/>
      <c r="BB27">
        <v>110208</v>
      </c>
      <c r="BC27" t="s">
        <v>46</v>
      </c>
      <c r="BD27" t="str">
        <f>BD26</f>
        <v>CPA Pago Operaciones Locales BCI OP 648 13-06-2024</v>
      </c>
      <c r="BE27" s="3"/>
      <c r="BF27" s="10">
        <f>BE26</f>
        <v>8554229</v>
      </c>
      <c r="BJ27" s="1">
        <v>45469</v>
      </c>
      <c r="BK27" s="26">
        <f>HLOOKUP(BJ27,Hoja2!$R$2:$AV$9,8,FALSE)</f>
        <v>0</v>
      </c>
      <c r="BM27" s="21"/>
      <c r="BN27" s="9"/>
      <c r="BO27">
        <v>110208</v>
      </c>
      <c r="BP27" t="s">
        <v>46</v>
      </c>
      <c r="BQ27" t="str">
        <f>BQ26</f>
        <v>CPA Fondeo BCI OP 648 a BCI ADM 656 13-06-2024</v>
      </c>
      <c r="BR27" s="3"/>
      <c r="BS27" s="10">
        <f t="shared" ref="BS27" si="11">BR26</f>
        <v>0</v>
      </c>
    </row>
    <row r="28" spans="1:71" x14ac:dyDescent="0.25">
      <c r="A28" s="1">
        <v>45470</v>
      </c>
      <c r="B28" s="26">
        <f>HLOOKUP(A28,Hoja2!$R$2:$AV$3,2,FALSE)</f>
        <v>0</v>
      </c>
      <c r="E28" s="15">
        <v>45457</v>
      </c>
      <c r="F28" s="8">
        <v>110208</v>
      </c>
      <c r="G28" s="8" t="s">
        <v>46</v>
      </c>
      <c r="H28" s="8" t="str">
        <f>"CPA Recaudación Clientes BCI OP 648 "&amp;TEXT(E28,"dd-mm-aaa")</f>
        <v>CPA Recaudación Clientes BCI OP 648 14-06-2024</v>
      </c>
      <c r="I28" s="16">
        <f>+B15</f>
        <v>861327216</v>
      </c>
      <c r="J28" s="17"/>
      <c r="M28" s="1">
        <v>45470</v>
      </c>
      <c r="N28" s="26">
        <f>HLOOKUP(M28,Hoja2!$R$2:$AV$4,3,FALSE)</f>
        <v>0</v>
      </c>
      <c r="Q28" s="15">
        <v>45457</v>
      </c>
      <c r="R28" s="8">
        <v>110208</v>
      </c>
      <c r="S28" s="8" t="s">
        <v>46</v>
      </c>
      <c r="T28" s="8" t="str">
        <f>"CPA Abonos operaciones rechazadas BCI OP 648 "&amp;TEXT(Q28,"dd-mm-aaa")</f>
        <v>CPA Abonos operaciones rechazadas BCI OP 648 14-06-2024</v>
      </c>
      <c r="U28" s="16">
        <f>+N15</f>
        <v>949790</v>
      </c>
      <c r="V28" s="17"/>
      <c r="Y28" s="1">
        <v>45470</v>
      </c>
      <c r="Z28" s="26">
        <f>HLOOKUP(Y28,Hoja2!$R$2:$AV$5,4,FALSE)</f>
        <v>0</v>
      </c>
      <c r="AC28" s="15">
        <v>45457</v>
      </c>
      <c r="AD28" s="8">
        <v>110208</v>
      </c>
      <c r="AE28" s="8" t="s">
        <v>46</v>
      </c>
      <c r="AF28" s="8" t="str">
        <f>"CPA Fondeo BCI ADM 656 a BCI OP 648 "&amp;TEXT(AC28,"dd-mm-aaa")</f>
        <v>CPA Fondeo BCI ADM 656 a BCI OP 648 14-06-2024</v>
      </c>
      <c r="AG28" s="16" t="str">
        <f>+Z15</f>
        <v>-</v>
      </c>
      <c r="AH28" s="17"/>
      <c r="AK28" s="1">
        <v>45470</v>
      </c>
      <c r="AL28" s="26">
        <f>HLOOKUP(AK28,Hoja2!$R$2:$AV$6,5,FALSE)</f>
        <v>0</v>
      </c>
      <c r="AO28" s="15">
        <v>45457</v>
      </c>
      <c r="AP28" s="8">
        <v>110204</v>
      </c>
      <c r="AQ28" s="8" t="s">
        <v>51</v>
      </c>
      <c r="AR28" s="8" t="str">
        <f>"CPA Traspaso de Fondos Bco. BCI 648 a Bco. BICE "&amp;TEXT(AO28,"dd-mm-aaa")</f>
        <v>CPA Traspaso de Fondos Bco. BCI 648 a Bco. BICE 14-06-2024</v>
      </c>
      <c r="AS28" s="16" t="str">
        <f>+AL15</f>
        <v>-</v>
      </c>
      <c r="AT28" s="17"/>
      <c r="AW28" s="1">
        <v>45470</v>
      </c>
      <c r="AX28" s="26">
        <f>HLOOKUP(AW28,Hoja2!$R$2:$AV$7,6,FALSE)</f>
        <v>0</v>
      </c>
      <c r="BA28" s="15">
        <v>45457</v>
      </c>
      <c r="BB28" s="8">
        <v>211101</v>
      </c>
      <c r="BC28" s="8" t="s">
        <v>18</v>
      </c>
      <c r="BD28" s="8" t="str">
        <f>"CPA Pago Operaciones Locales BCI OP 648 "&amp;TEXT(BA28,"dd-mm-aaa")</f>
        <v>CPA Pago Operaciones Locales BCI OP 648 14-06-2024</v>
      </c>
      <c r="BE28" s="16">
        <f>+AX15</f>
        <v>105294880</v>
      </c>
      <c r="BF28" s="17"/>
      <c r="BJ28" s="1">
        <v>45470</v>
      </c>
      <c r="BK28" s="26">
        <f>HLOOKUP(BJ28,Hoja2!$R$2:$AV$9,8,FALSE)</f>
        <v>0</v>
      </c>
      <c r="BN28" s="15">
        <v>45457</v>
      </c>
      <c r="BO28" s="8">
        <v>110209</v>
      </c>
      <c r="BP28" s="8" t="s">
        <v>55</v>
      </c>
      <c r="BQ28" s="8" t="str">
        <f>"CPA Fondeo BCI OP 648 a BCI ADM 656 "&amp;TEXT(BN28,"dd-mm-aaa")</f>
        <v>CPA Fondeo BCI OP 648 a BCI ADM 656 14-06-2024</v>
      </c>
      <c r="BR28" s="16">
        <f>+BK15</f>
        <v>0</v>
      </c>
      <c r="BS28" s="17"/>
    </row>
    <row r="29" spans="1:71" x14ac:dyDescent="0.25">
      <c r="A29" s="1">
        <v>45471</v>
      </c>
      <c r="B29" s="26">
        <f>HLOOKUP(A29,Hoja2!$R$2:$AV$3,2,FALSE)</f>
        <v>0</v>
      </c>
      <c r="D29" s="39"/>
      <c r="E29" s="9"/>
      <c r="F29">
        <v>211101</v>
      </c>
      <c r="G29" t="s">
        <v>18</v>
      </c>
      <c r="H29" t="str">
        <f>H28</f>
        <v>CPA Recaudación Clientes BCI OP 648 14-06-2024</v>
      </c>
      <c r="I29" s="3"/>
      <c r="J29" s="10">
        <f>I28</f>
        <v>861327216</v>
      </c>
      <c r="M29" s="1">
        <v>45471</v>
      </c>
      <c r="N29" s="26">
        <f>HLOOKUP(M29,Hoja2!$R$2:$AV$4,3,FALSE)</f>
        <v>0</v>
      </c>
      <c r="P29" s="39"/>
      <c r="Q29" s="9"/>
      <c r="R29">
        <v>211101</v>
      </c>
      <c r="S29" t="s">
        <v>18</v>
      </c>
      <c r="T29" t="str">
        <f>T28</f>
        <v>CPA Abonos operaciones rechazadas BCI OP 648 14-06-2024</v>
      </c>
      <c r="U29" s="3"/>
      <c r="V29" s="10">
        <f>U28</f>
        <v>949790</v>
      </c>
      <c r="Y29" s="1">
        <v>45471</v>
      </c>
      <c r="Z29" s="26">
        <f>HLOOKUP(Y29,Hoja2!$R$2:$AV$5,4,FALSE)</f>
        <v>0</v>
      </c>
      <c r="AB29" s="39"/>
      <c r="AC29" s="9"/>
      <c r="AD29">
        <v>110209</v>
      </c>
      <c r="AE29" t="s">
        <v>55</v>
      </c>
      <c r="AF29" t="str">
        <f>AF28</f>
        <v>CPA Fondeo BCI ADM 656 a BCI OP 648 14-06-2024</v>
      </c>
      <c r="AG29" s="3"/>
      <c r="AH29" s="10" t="str">
        <f>AG28</f>
        <v>-</v>
      </c>
      <c r="AK29" s="1">
        <v>45471</v>
      </c>
      <c r="AL29" s="26">
        <f>HLOOKUP(AK29,Hoja2!$R$2:$AV$6,5,FALSE)</f>
        <v>0</v>
      </c>
      <c r="AN29" s="39"/>
      <c r="AO29" s="9"/>
      <c r="AP29">
        <v>110208</v>
      </c>
      <c r="AQ29" t="s">
        <v>46</v>
      </c>
      <c r="AR29" t="str">
        <f>AR28</f>
        <v>CPA Traspaso de Fondos Bco. BCI 648 a Bco. BICE 14-06-2024</v>
      </c>
      <c r="AS29" s="3"/>
      <c r="AT29" s="10" t="str">
        <f>AS28</f>
        <v>-</v>
      </c>
      <c r="AW29" s="1">
        <v>45471</v>
      </c>
      <c r="AX29" s="26">
        <f>HLOOKUP(AW29,Hoja2!$R$2:$AV$7,6,FALSE)</f>
        <v>0</v>
      </c>
      <c r="AZ29" s="39"/>
      <c r="BA29" s="9"/>
      <c r="BB29">
        <v>110208</v>
      </c>
      <c r="BC29" t="s">
        <v>46</v>
      </c>
      <c r="BD29" t="str">
        <f>BD28</f>
        <v>CPA Pago Operaciones Locales BCI OP 648 14-06-2024</v>
      </c>
      <c r="BE29" s="3"/>
      <c r="BF29" s="10">
        <f>BE28</f>
        <v>105294880</v>
      </c>
      <c r="BJ29" s="1">
        <v>45471</v>
      </c>
      <c r="BK29" s="26">
        <f>HLOOKUP(BJ29,Hoja2!$R$2:$AV$9,8,FALSE)</f>
        <v>0</v>
      </c>
      <c r="BM29" s="39"/>
      <c r="BN29" s="9"/>
      <c r="BO29">
        <v>110208</v>
      </c>
      <c r="BP29" t="s">
        <v>46</v>
      </c>
      <c r="BQ29" t="str">
        <f>BQ28</f>
        <v>CPA Fondeo BCI OP 648 a BCI ADM 656 14-06-2024</v>
      </c>
      <c r="BR29" s="3"/>
      <c r="BS29" s="10">
        <f t="shared" ref="BS29" si="12">BR28</f>
        <v>0</v>
      </c>
    </row>
    <row r="30" spans="1:71" x14ac:dyDescent="0.25">
      <c r="A30" s="1">
        <v>45472</v>
      </c>
      <c r="B30" s="26">
        <f>HLOOKUP(A30,Hoja2!$R$2:$AV$3,2,FALSE)</f>
        <v>0</v>
      </c>
      <c r="E30" s="15">
        <v>45458</v>
      </c>
      <c r="F30" s="8">
        <v>110208</v>
      </c>
      <c r="G30" s="8" t="s">
        <v>46</v>
      </c>
      <c r="H30" s="8" t="str">
        <f>"CPA Recaudación Clientes BCI OP 648 "&amp;TEXT(E30,"dd-mm-aaa")</f>
        <v>CPA Recaudación Clientes BCI OP 648 15-06-2024</v>
      </c>
      <c r="I30" s="16">
        <f>+B16</f>
        <v>0</v>
      </c>
      <c r="J30" s="17"/>
      <c r="M30" s="1">
        <v>45472</v>
      </c>
      <c r="N30" s="26">
        <f>HLOOKUP(M30,Hoja2!$R$2:$AV$4,3,FALSE)</f>
        <v>0</v>
      </c>
      <c r="Q30" s="15">
        <v>45458</v>
      </c>
      <c r="R30" s="8">
        <v>110208</v>
      </c>
      <c r="S30" s="8" t="s">
        <v>46</v>
      </c>
      <c r="T30" s="8" t="str">
        <f>"CPA Abonos operaciones rechazadas BCI OP 648 "&amp;TEXT(Q30,"dd-mm-aaa")</f>
        <v>CPA Abonos operaciones rechazadas BCI OP 648 15-06-2024</v>
      </c>
      <c r="U30" s="16">
        <f>+N16</f>
        <v>0</v>
      </c>
      <c r="V30" s="17"/>
      <c r="Y30" s="1">
        <v>45472</v>
      </c>
      <c r="Z30" s="26">
        <f>HLOOKUP(Y30,Hoja2!$R$2:$AV$5,4,FALSE)</f>
        <v>0</v>
      </c>
      <c r="AC30" s="15">
        <v>45458</v>
      </c>
      <c r="AD30" s="8">
        <v>110208</v>
      </c>
      <c r="AE30" s="8" t="s">
        <v>46</v>
      </c>
      <c r="AF30" s="8" t="str">
        <f>"CPA Fondeo BCI ADM 656 a BCI OP 648 "&amp;TEXT(AC30,"dd-mm-aaa")</f>
        <v>CPA Fondeo BCI ADM 656 a BCI OP 648 15-06-2024</v>
      </c>
      <c r="AG30" s="16">
        <f>+Z16</f>
        <v>0</v>
      </c>
      <c r="AH30" s="17"/>
      <c r="AK30" s="1">
        <v>45472</v>
      </c>
      <c r="AL30" s="26">
        <f>HLOOKUP(AK30,Hoja2!$R$2:$AV$6,5,FALSE)</f>
        <v>0</v>
      </c>
      <c r="AO30" s="15">
        <v>45458</v>
      </c>
      <c r="AP30" s="8">
        <v>110204</v>
      </c>
      <c r="AQ30" s="8" t="s">
        <v>51</v>
      </c>
      <c r="AR30" s="8" t="str">
        <f>"CPA Traspaso de Fondos Bco. BCI 648 a Bco. BICE "&amp;TEXT(AO30,"dd-mm-aaa")</f>
        <v>CPA Traspaso de Fondos Bco. BCI 648 a Bco. BICE 15-06-2024</v>
      </c>
      <c r="AS30" s="16">
        <f>+AL16</f>
        <v>0</v>
      </c>
      <c r="AT30" s="17"/>
      <c r="AW30" s="1">
        <v>45472</v>
      </c>
      <c r="AX30" s="26">
        <f>HLOOKUP(AW30,Hoja2!$R$2:$AV$7,6,FALSE)</f>
        <v>0</v>
      </c>
      <c r="BA30" s="15">
        <v>45458</v>
      </c>
      <c r="BB30" s="8">
        <v>211101</v>
      </c>
      <c r="BC30" s="8" t="s">
        <v>18</v>
      </c>
      <c r="BD30" s="8" t="str">
        <f>"CPA Pago Operaciones Locales BCI OP 648 "&amp;TEXT(BA30,"dd-mm-aaa")</f>
        <v>CPA Pago Operaciones Locales BCI OP 648 15-06-2024</v>
      </c>
      <c r="BE30" s="16">
        <f>+AX16</f>
        <v>0</v>
      </c>
      <c r="BF30" s="17"/>
      <c r="BJ30" s="1">
        <v>45472</v>
      </c>
      <c r="BK30" s="26">
        <f>HLOOKUP(BJ30,Hoja2!$R$2:$AV$9,8,FALSE)</f>
        <v>0</v>
      </c>
      <c r="BN30" s="15">
        <v>45458</v>
      </c>
      <c r="BO30" s="8">
        <v>110209</v>
      </c>
      <c r="BP30" s="8" t="s">
        <v>55</v>
      </c>
      <c r="BQ30" s="8" t="str">
        <f>"CPA Fondeo BCI OP 648 a BCI ADM 656 "&amp;TEXT(BN30,"dd-mm-aaa")</f>
        <v>CPA Fondeo BCI OP 648 a BCI ADM 656 15-06-2024</v>
      </c>
      <c r="BR30" s="16">
        <f>+BK16</f>
        <v>0</v>
      </c>
      <c r="BS30" s="17"/>
    </row>
    <row r="31" spans="1:71" x14ac:dyDescent="0.25">
      <c r="A31" s="1">
        <v>45473</v>
      </c>
      <c r="B31" s="26">
        <f>HLOOKUP(A31,Hoja2!$R$2:$AV$3,2,FALSE)</f>
        <v>0</v>
      </c>
      <c r="E31" s="11"/>
      <c r="F31" s="12">
        <v>211101</v>
      </c>
      <c r="G31" s="12" t="s">
        <v>18</v>
      </c>
      <c r="H31" s="12" t="str">
        <f>H30</f>
        <v>CPA Recaudación Clientes BCI OP 648 15-06-2024</v>
      </c>
      <c r="I31" s="13"/>
      <c r="J31" s="18">
        <f>I30</f>
        <v>0</v>
      </c>
      <c r="M31" s="1">
        <v>45473</v>
      </c>
      <c r="N31" s="26">
        <f>HLOOKUP(M31,Hoja2!$R$2:$AV$4,3,FALSE)</f>
        <v>0</v>
      </c>
      <c r="Q31" s="11"/>
      <c r="R31" s="12">
        <v>211101</v>
      </c>
      <c r="S31" s="12" t="s">
        <v>18</v>
      </c>
      <c r="T31" s="12" t="str">
        <f>T30</f>
        <v>CPA Abonos operaciones rechazadas BCI OP 648 15-06-2024</v>
      </c>
      <c r="U31" s="13"/>
      <c r="V31" s="18">
        <f>U30</f>
        <v>0</v>
      </c>
      <c r="Y31" s="1">
        <v>45473</v>
      </c>
      <c r="Z31" s="26">
        <f>HLOOKUP(Y31,Hoja2!$R$2:$AV$5,4,FALSE)</f>
        <v>0</v>
      </c>
      <c r="AC31" s="11"/>
      <c r="AD31" s="12">
        <v>110209</v>
      </c>
      <c r="AE31" s="12" t="s">
        <v>55</v>
      </c>
      <c r="AF31" s="12" t="str">
        <f>AF30</f>
        <v>CPA Fondeo BCI ADM 656 a BCI OP 648 15-06-2024</v>
      </c>
      <c r="AG31" s="13"/>
      <c r="AH31" s="18">
        <f>AG30</f>
        <v>0</v>
      </c>
      <c r="AK31" s="1">
        <v>45473</v>
      </c>
      <c r="AL31" s="26">
        <f>HLOOKUP(AK31,Hoja2!$R$2:$AV$6,5,FALSE)</f>
        <v>0</v>
      </c>
      <c r="AO31" s="11"/>
      <c r="AP31" s="12">
        <v>110208</v>
      </c>
      <c r="AQ31" s="12" t="s">
        <v>46</v>
      </c>
      <c r="AR31" s="12" t="str">
        <f>AR30</f>
        <v>CPA Traspaso de Fondos Bco. BCI 648 a Bco. BICE 15-06-2024</v>
      </c>
      <c r="AS31" s="13"/>
      <c r="AT31" s="18">
        <f>AS30</f>
        <v>0</v>
      </c>
      <c r="AW31" s="1">
        <v>45473</v>
      </c>
      <c r="AX31" s="26">
        <f>HLOOKUP(AW31,Hoja2!$R$2:$AV$7,6,FALSE)</f>
        <v>0</v>
      </c>
      <c r="BA31" s="11"/>
      <c r="BB31" s="12">
        <v>110208</v>
      </c>
      <c r="BC31" s="12" t="s">
        <v>46</v>
      </c>
      <c r="BD31" s="12" t="str">
        <f>BD30</f>
        <v>CPA Pago Operaciones Locales BCI OP 648 15-06-2024</v>
      </c>
      <c r="BE31" s="13"/>
      <c r="BF31" s="18">
        <f>BE30</f>
        <v>0</v>
      </c>
      <c r="BJ31" s="1">
        <v>45473</v>
      </c>
      <c r="BK31" s="26">
        <f>HLOOKUP(BJ31,Hoja2!$R$2:$AV$9,8,FALSE)</f>
        <v>0</v>
      </c>
      <c r="BN31" s="11"/>
      <c r="BO31" s="12">
        <v>110208</v>
      </c>
      <c r="BP31" s="12" t="s">
        <v>46</v>
      </c>
      <c r="BQ31" s="12" t="str">
        <f>BQ30</f>
        <v>CPA Fondeo BCI OP 648 a BCI ADM 656 15-06-2024</v>
      </c>
      <c r="BR31" s="13"/>
      <c r="BS31" s="18">
        <f t="shared" ref="BS31" si="13">BR30</f>
        <v>0</v>
      </c>
    </row>
    <row r="32" spans="1:71" x14ac:dyDescent="0.25">
      <c r="A32" s="1">
        <v>45474</v>
      </c>
      <c r="B32" s="26">
        <f>HLOOKUP(A32,Hoja2!$R$2:$AV$3,2,FALSE)</f>
        <v>0</v>
      </c>
      <c r="E32" s="15">
        <v>45459</v>
      </c>
      <c r="F32" s="8">
        <v>110208</v>
      </c>
      <c r="G32" s="8" t="s">
        <v>46</v>
      </c>
      <c r="H32" s="8" t="str">
        <f>"CPA Recaudación Clientes BCI OP 648 "&amp;TEXT(E32,"dd-mm-aaa")</f>
        <v>CPA Recaudación Clientes BCI OP 648 16-06-2024</v>
      </c>
      <c r="I32" s="16">
        <f>+B17</f>
        <v>0</v>
      </c>
      <c r="J32" s="17"/>
      <c r="M32" s="1">
        <v>45474</v>
      </c>
      <c r="N32" s="26">
        <f>HLOOKUP(M32,Hoja2!$R$2:$AV$4,3,FALSE)</f>
        <v>0</v>
      </c>
      <c r="Q32" s="15">
        <v>45459</v>
      </c>
      <c r="R32" s="8">
        <v>110208</v>
      </c>
      <c r="S32" s="8" t="s">
        <v>46</v>
      </c>
      <c r="T32" s="8" t="str">
        <f>"CPA Abonos operaciones rechazadas BCI OP 648 "&amp;TEXT(Q32,"dd-mm-aaa")</f>
        <v>CPA Abonos operaciones rechazadas BCI OP 648 16-06-2024</v>
      </c>
      <c r="U32" s="16">
        <f>+N17</f>
        <v>0</v>
      </c>
      <c r="V32" s="17"/>
      <c r="Y32" s="1">
        <v>45474</v>
      </c>
      <c r="Z32" s="26">
        <f>HLOOKUP(Y32,Hoja2!$R$2:$AV$5,4,FALSE)</f>
        <v>0</v>
      </c>
      <c r="AC32" s="15">
        <v>45459</v>
      </c>
      <c r="AD32" s="8">
        <v>110208</v>
      </c>
      <c r="AE32" s="8" t="s">
        <v>46</v>
      </c>
      <c r="AF32" s="8" t="str">
        <f>"CPA Fondeo BCI ADM 656 a BCI OP 648 "&amp;TEXT(AC32,"dd-mm-aaa")</f>
        <v>CPA Fondeo BCI ADM 656 a BCI OP 648 16-06-2024</v>
      </c>
      <c r="AG32" s="16">
        <f>+Z17</f>
        <v>0</v>
      </c>
      <c r="AH32" s="17"/>
      <c r="AK32" s="1">
        <v>45474</v>
      </c>
      <c r="AL32" s="26">
        <f>HLOOKUP(AK32,Hoja2!$R$2:$AV$6,5,FALSE)</f>
        <v>0</v>
      </c>
      <c r="AO32" s="15">
        <v>45459</v>
      </c>
      <c r="AP32" s="8">
        <v>110204</v>
      </c>
      <c r="AQ32" s="8" t="s">
        <v>51</v>
      </c>
      <c r="AR32" s="8" t="str">
        <f>"CPA Traspaso de Fondos Bco. BCI 648 a Bco. BICE "&amp;TEXT(AO32,"dd-mm-aaa")</f>
        <v>CPA Traspaso de Fondos Bco. BCI 648 a Bco. BICE 16-06-2024</v>
      </c>
      <c r="AS32" s="16">
        <f>+AL17</f>
        <v>0</v>
      </c>
      <c r="AT32" s="17"/>
      <c r="AW32" s="1">
        <v>45474</v>
      </c>
      <c r="AX32" s="26">
        <f>HLOOKUP(AW32,Hoja2!$R$2:$AV$7,6,FALSE)</f>
        <v>0</v>
      </c>
      <c r="BA32" s="15">
        <v>45459</v>
      </c>
      <c r="BB32" s="8">
        <v>211101</v>
      </c>
      <c r="BC32" s="8" t="s">
        <v>18</v>
      </c>
      <c r="BD32" s="8" t="str">
        <f>"CPA Pago Operaciones Locales BCI OP 648 "&amp;TEXT(BA32,"dd-mm-aaa")</f>
        <v>CPA Pago Operaciones Locales BCI OP 648 16-06-2024</v>
      </c>
      <c r="BE32" s="16">
        <f>+AX17</f>
        <v>0</v>
      </c>
      <c r="BF32" s="17"/>
      <c r="BJ32" s="1">
        <v>45474</v>
      </c>
      <c r="BK32" s="26">
        <f>HLOOKUP(BJ32,Hoja2!$R$2:$AV$9,8,FALSE)</f>
        <v>0</v>
      </c>
      <c r="BN32" s="15">
        <v>45459</v>
      </c>
      <c r="BO32" s="8">
        <v>110209</v>
      </c>
      <c r="BP32" s="8" t="s">
        <v>55</v>
      </c>
      <c r="BQ32" s="8" t="str">
        <f>"CPA Fondeo BCI OP 648 a BCI ADM 656 "&amp;TEXT(BN32,"dd-mm-aaa")</f>
        <v>CPA Fondeo BCI OP 648 a BCI ADM 656 16-06-2024</v>
      </c>
      <c r="BR32" s="16">
        <f>+BK17</f>
        <v>0</v>
      </c>
      <c r="BS32" s="17"/>
    </row>
    <row r="33" spans="2:71" x14ac:dyDescent="0.25">
      <c r="B33" s="3">
        <f>SUM(B2:B32)</f>
        <v>11290055960</v>
      </c>
      <c r="E33" s="11"/>
      <c r="F33" s="12">
        <v>211101</v>
      </c>
      <c r="G33" s="12" t="s">
        <v>18</v>
      </c>
      <c r="H33" s="12" t="str">
        <f>H32</f>
        <v>CPA Recaudación Clientes BCI OP 648 16-06-2024</v>
      </c>
      <c r="I33" s="13"/>
      <c r="J33" s="18">
        <f>I32</f>
        <v>0</v>
      </c>
      <c r="N33" s="26">
        <f>SUM(N2:N32)</f>
        <v>18401624</v>
      </c>
      <c r="Q33" s="11"/>
      <c r="R33" s="12">
        <v>211101</v>
      </c>
      <c r="S33" s="12" t="s">
        <v>18</v>
      </c>
      <c r="T33" s="12" t="str">
        <f>T32</f>
        <v>CPA Abonos operaciones rechazadas BCI OP 648 16-06-2024</v>
      </c>
      <c r="U33" s="13"/>
      <c r="V33" s="18">
        <f>U32</f>
        <v>0</v>
      </c>
      <c r="Z33" s="26"/>
      <c r="AC33" s="11"/>
      <c r="AD33" s="12">
        <v>110209</v>
      </c>
      <c r="AE33" s="12" t="s">
        <v>55</v>
      </c>
      <c r="AF33" s="12" t="str">
        <f>AF32</f>
        <v>CPA Fondeo BCI ADM 656 a BCI OP 648 16-06-2024</v>
      </c>
      <c r="AG33" s="13"/>
      <c r="AH33" s="18">
        <f>AG32</f>
        <v>0</v>
      </c>
      <c r="AL33" s="26">
        <f>SUM(AL2:AL32)</f>
        <v>837000000</v>
      </c>
      <c r="AO33" s="11"/>
      <c r="AP33" s="12">
        <v>110208</v>
      </c>
      <c r="AQ33" s="12" t="s">
        <v>46</v>
      </c>
      <c r="AR33" s="12" t="str">
        <f>AR32</f>
        <v>CPA Traspaso de Fondos Bco. BCI 648 a Bco. BICE 16-06-2024</v>
      </c>
      <c r="AS33" s="13"/>
      <c r="AT33" s="18">
        <f>AS32</f>
        <v>0</v>
      </c>
      <c r="AX33" s="26">
        <f>SUM(AX2:AX32)</f>
        <v>923105416</v>
      </c>
      <c r="BA33" s="11"/>
      <c r="BB33" s="12">
        <v>110208</v>
      </c>
      <c r="BC33" s="12" t="s">
        <v>46</v>
      </c>
      <c r="BD33" s="12" t="str">
        <f>BD32</f>
        <v>CPA Pago Operaciones Locales BCI OP 648 16-06-2024</v>
      </c>
      <c r="BE33" s="13"/>
      <c r="BF33" s="18">
        <f>BE32</f>
        <v>0</v>
      </c>
      <c r="BK33" s="26"/>
      <c r="BN33" s="11"/>
      <c r="BO33" s="12">
        <v>110208</v>
      </c>
      <c r="BP33" s="12" t="s">
        <v>46</v>
      </c>
      <c r="BQ33" s="12" t="str">
        <f>BQ32</f>
        <v>CPA Fondeo BCI OP 648 a BCI ADM 656 16-06-2024</v>
      </c>
      <c r="BR33" s="13"/>
      <c r="BS33" s="18">
        <f t="shared" ref="BS33" si="14">BR32</f>
        <v>0</v>
      </c>
    </row>
    <row r="34" spans="2:71" x14ac:dyDescent="0.25">
      <c r="E34" s="15">
        <v>45460</v>
      </c>
      <c r="F34" s="8">
        <v>110208</v>
      </c>
      <c r="G34" s="8" t="s">
        <v>46</v>
      </c>
      <c r="H34" s="8" t="str">
        <f>"CPA Recaudación Clientes BCI OP 648 "&amp;TEXT(E34,"dd-mm-aaa")</f>
        <v>CPA Recaudación Clientes BCI OP 648 17-06-2024</v>
      </c>
      <c r="I34" s="16">
        <f>+B18</f>
        <v>0</v>
      </c>
      <c r="J34" s="17"/>
      <c r="N34" s="26"/>
      <c r="Q34" s="15">
        <v>45460</v>
      </c>
      <c r="R34" s="8">
        <v>110208</v>
      </c>
      <c r="S34" s="8" t="s">
        <v>46</v>
      </c>
      <c r="T34" s="8" t="str">
        <f>"CPA Abonos operaciones rechazadas BCI OP 648 "&amp;TEXT(Q34,"dd-mm-aaa")</f>
        <v>CPA Abonos operaciones rechazadas BCI OP 648 17-06-2024</v>
      </c>
      <c r="U34" s="16">
        <f>+N18</f>
        <v>0</v>
      </c>
      <c r="V34" s="17"/>
      <c r="Z34" s="26"/>
      <c r="AC34" s="15">
        <v>45460</v>
      </c>
      <c r="AD34" s="8">
        <v>110208</v>
      </c>
      <c r="AE34" s="8" t="s">
        <v>46</v>
      </c>
      <c r="AF34" s="8" t="str">
        <f>"CPA Fondeo BCI ADM 656 a BCI OP 648 "&amp;TEXT(AC34,"dd-mm-aaa")</f>
        <v>CPA Fondeo BCI ADM 656 a BCI OP 648 17-06-2024</v>
      </c>
      <c r="AG34" s="16">
        <f>+Z18</f>
        <v>0</v>
      </c>
      <c r="AH34" s="17"/>
      <c r="AL34" s="26"/>
      <c r="AO34" s="15">
        <v>45460</v>
      </c>
      <c r="AP34" s="8">
        <v>110204</v>
      </c>
      <c r="AQ34" s="8" t="s">
        <v>51</v>
      </c>
      <c r="AR34" s="8" t="str">
        <f>"CPA Traspaso de Fondos Bco. BCI 648 a Bco. BICE "&amp;TEXT(AO34,"dd-mm-aaa")</f>
        <v>CPA Traspaso de Fondos Bco. BCI 648 a Bco. BICE 17-06-2024</v>
      </c>
      <c r="AS34" s="16">
        <f>+AL18</f>
        <v>0</v>
      </c>
      <c r="AT34" s="17"/>
      <c r="AX34" s="26"/>
      <c r="BA34" s="15">
        <v>45460</v>
      </c>
      <c r="BB34" s="8">
        <v>211101</v>
      </c>
      <c r="BC34" s="8" t="s">
        <v>18</v>
      </c>
      <c r="BD34" s="8" t="str">
        <f>"CPA Pago Operaciones Locales BCI OP 648 "&amp;TEXT(BA34,"dd-mm-aaa")</f>
        <v>CPA Pago Operaciones Locales BCI OP 648 17-06-2024</v>
      </c>
      <c r="BE34" s="16">
        <f>+AX18</f>
        <v>0</v>
      </c>
      <c r="BF34" s="17"/>
      <c r="BK34" s="26"/>
      <c r="BN34" s="15">
        <v>45460</v>
      </c>
      <c r="BO34" s="8">
        <v>110209</v>
      </c>
      <c r="BP34" s="8" t="s">
        <v>55</v>
      </c>
      <c r="BQ34" s="8" t="str">
        <f>"CPA Fondeo BCI OP 648 a BCI ADM 656 "&amp;TEXT(BN34,"dd-mm-aaa")</f>
        <v>CPA Fondeo BCI OP 648 a BCI ADM 656 17-06-2024</v>
      </c>
      <c r="BR34" s="16">
        <f>+BK18</f>
        <v>0</v>
      </c>
      <c r="BS34" s="17"/>
    </row>
    <row r="35" spans="2:71" x14ac:dyDescent="0.25">
      <c r="E35" s="11"/>
      <c r="F35" s="12">
        <v>211101</v>
      </c>
      <c r="G35" s="12" t="s">
        <v>18</v>
      </c>
      <c r="H35" s="12" t="str">
        <f>H34</f>
        <v>CPA Recaudación Clientes BCI OP 648 17-06-2024</v>
      </c>
      <c r="I35" s="13"/>
      <c r="J35" s="18">
        <f>I34</f>
        <v>0</v>
      </c>
      <c r="N35" s="26"/>
      <c r="Q35" s="11"/>
      <c r="R35" s="12">
        <v>211101</v>
      </c>
      <c r="S35" s="12" t="s">
        <v>18</v>
      </c>
      <c r="T35" s="12" t="str">
        <f>T34</f>
        <v>CPA Abonos operaciones rechazadas BCI OP 648 17-06-2024</v>
      </c>
      <c r="U35" s="13"/>
      <c r="V35" s="18">
        <f>U34</f>
        <v>0</v>
      </c>
      <c r="Z35" s="26"/>
      <c r="AC35" s="11"/>
      <c r="AD35" s="12">
        <v>110209</v>
      </c>
      <c r="AE35" s="12" t="s">
        <v>55</v>
      </c>
      <c r="AF35" s="12" t="str">
        <f>AF34</f>
        <v>CPA Fondeo BCI ADM 656 a BCI OP 648 17-06-2024</v>
      </c>
      <c r="AG35" s="13"/>
      <c r="AH35" s="18">
        <f>AG34</f>
        <v>0</v>
      </c>
      <c r="AL35" s="26"/>
      <c r="AO35" s="11"/>
      <c r="AP35" s="12">
        <v>110208</v>
      </c>
      <c r="AQ35" s="12" t="s">
        <v>46</v>
      </c>
      <c r="AR35" s="12" t="str">
        <f>AR34</f>
        <v>CPA Traspaso de Fondos Bco. BCI 648 a Bco. BICE 17-06-2024</v>
      </c>
      <c r="AS35" s="13"/>
      <c r="AT35" s="18">
        <f>AS34</f>
        <v>0</v>
      </c>
      <c r="AX35" s="26"/>
      <c r="BA35" s="11"/>
      <c r="BB35" s="12">
        <v>110208</v>
      </c>
      <c r="BC35" s="12" t="s">
        <v>46</v>
      </c>
      <c r="BD35" s="12" t="str">
        <f>BD34</f>
        <v>CPA Pago Operaciones Locales BCI OP 648 17-06-2024</v>
      </c>
      <c r="BE35" s="13"/>
      <c r="BF35" s="18">
        <f>BE34</f>
        <v>0</v>
      </c>
      <c r="BK35" s="26"/>
      <c r="BN35" s="11"/>
      <c r="BO35" s="12">
        <v>110208</v>
      </c>
      <c r="BP35" s="12" t="s">
        <v>46</v>
      </c>
      <c r="BQ35" s="12" t="str">
        <f>BQ34</f>
        <v>CPA Fondeo BCI OP 648 a BCI ADM 656 17-06-2024</v>
      </c>
      <c r="BR35" s="13"/>
      <c r="BS35" s="18">
        <f t="shared" ref="BS35" si="15">BR34</f>
        <v>0</v>
      </c>
    </row>
    <row r="36" spans="2:71" x14ac:dyDescent="0.25">
      <c r="E36" s="15">
        <v>45461</v>
      </c>
      <c r="F36" s="8">
        <v>110208</v>
      </c>
      <c r="G36" s="8" t="s">
        <v>46</v>
      </c>
      <c r="H36" s="8" t="str">
        <f>"CPA Recaudación Clientes BCI OP 648 "&amp;TEXT(E36,"dd-mm-aaa")</f>
        <v>CPA Recaudación Clientes BCI OP 648 18-06-2024</v>
      </c>
      <c r="I36" s="16">
        <f>+B19</f>
        <v>0</v>
      </c>
      <c r="J36" s="17"/>
      <c r="Q36" s="15">
        <v>45461</v>
      </c>
      <c r="R36" s="8">
        <v>110208</v>
      </c>
      <c r="S36" s="8" t="s">
        <v>46</v>
      </c>
      <c r="T36" s="8" t="str">
        <f>"CPA Abonos operaciones rechazadas BCI OP 648 "&amp;TEXT(Q36,"dd-mm-aaa")</f>
        <v>CPA Abonos operaciones rechazadas BCI OP 648 18-06-2024</v>
      </c>
      <c r="U36" s="16">
        <f>+N19</f>
        <v>0</v>
      </c>
      <c r="V36" s="17"/>
      <c r="AC36" s="15">
        <v>45461</v>
      </c>
      <c r="AD36" s="8">
        <v>110208</v>
      </c>
      <c r="AE36" s="8" t="s">
        <v>46</v>
      </c>
      <c r="AF36" s="8" t="str">
        <f>"CPA Fondeo BCI ADM 656 a BCI OP 648 "&amp;TEXT(AC36,"dd-mm-aaa")</f>
        <v>CPA Fondeo BCI ADM 656 a BCI OP 648 18-06-2024</v>
      </c>
      <c r="AG36" s="16">
        <f>+Z19</f>
        <v>0</v>
      </c>
      <c r="AH36" s="17"/>
      <c r="AO36" s="15">
        <v>45461</v>
      </c>
      <c r="AP36" s="8">
        <v>110204</v>
      </c>
      <c r="AQ36" s="8" t="s">
        <v>51</v>
      </c>
      <c r="AR36" s="8" t="str">
        <f>"CPA Traspaso de Fondos Bco. BCI 648 a Bco. BICE "&amp;TEXT(AO36,"dd-mm-aaa")</f>
        <v>CPA Traspaso de Fondos Bco. BCI 648 a Bco. BICE 18-06-2024</v>
      </c>
      <c r="AS36" s="16">
        <f>+AL19</f>
        <v>0</v>
      </c>
      <c r="AT36" s="17"/>
      <c r="BA36" s="15">
        <v>45461</v>
      </c>
      <c r="BB36" s="8">
        <v>211101</v>
      </c>
      <c r="BC36" s="8" t="s">
        <v>18</v>
      </c>
      <c r="BD36" s="8" t="str">
        <f>"CPA Pago Operaciones Locales BCI OP 648 "&amp;TEXT(BA36,"dd-mm-aaa")</f>
        <v>CPA Pago Operaciones Locales BCI OP 648 18-06-2024</v>
      </c>
      <c r="BE36" s="16">
        <f>+AX19</f>
        <v>0</v>
      </c>
      <c r="BF36" s="17"/>
      <c r="BN36" s="15">
        <v>45461</v>
      </c>
      <c r="BO36" s="8">
        <v>110209</v>
      </c>
      <c r="BP36" s="8" t="s">
        <v>55</v>
      </c>
      <c r="BQ36" s="8" t="str">
        <f>"CPA Fondeo BCI OP 648 a BCI ADM 656 "&amp;TEXT(BN36,"dd-mm-aaa")</f>
        <v>CPA Fondeo BCI OP 648 a BCI ADM 656 18-06-2024</v>
      </c>
      <c r="BR36" s="16">
        <f>+BK19</f>
        <v>0</v>
      </c>
      <c r="BS36" s="17"/>
    </row>
    <row r="37" spans="2:71" x14ac:dyDescent="0.25">
      <c r="E37" s="11"/>
      <c r="F37" s="12">
        <v>211101</v>
      </c>
      <c r="G37" s="12" t="s">
        <v>18</v>
      </c>
      <c r="H37" s="12" t="str">
        <f>H36</f>
        <v>CPA Recaudación Clientes BCI OP 648 18-06-2024</v>
      </c>
      <c r="I37" s="13"/>
      <c r="J37" s="18">
        <f>I36</f>
        <v>0</v>
      </c>
      <c r="Q37" s="11"/>
      <c r="R37" s="12">
        <v>211101</v>
      </c>
      <c r="S37" s="12" t="s">
        <v>18</v>
      </c>
      <c r="T37" s="12" t="str">
        <f>T36</f>
        <v>CPA Abonos operaciones rechazadas BCI OP 648 18-06-2024</v>
      </c>
      <c r="U37" s="13"/>
      <c r="V37" s="18">
        <f>U36</f>
        <v>0</v>
      </c>
      <c r="AC37" s="11"/>
      <c r="AD37" s="12">
        <v>110209</v>
      </c>
      <c r="AE37" s="12" t="s">
        <v>55</v>
      </c>
      <c r="AF37" s="12" t="str">
        <f>AF36</f>
        <v>CPA Fondeo BCI ADM 656 a BCI OP 648 18-06-2024</v>
      </c>
      <c r="AG37" s="13"/>
      <c r="AH37" s="18">
        <f>AG36</f>
        <v>0</v>
      </c>
      <c r="AO37" s="11"/>
      <c r="AP37" s="12">
        <v>110208</v>
      </c>
      <c r="AQ37" s="12" t="s">
        <v>46</v>
      </c>
      <c r="AR37" s="12" t="str">
        <f>AR36</f>
        <v>CPA Traspaso de Fondos Bco. BCI 648 a Bco. BICE 18-06-2024</v>
      </c>
      <c r="AS37" s="13"/>
      <c r="AT37" s="18">
        <f>AS36</f>
        <v>0</v>
      </c>
      <c r="BA37" s="11"/>
      <c r="BB37" s="12">
        <v>110208</v>
      </c>
      <c r="BC37" s="12" t="s">
        <v>46</v>
      </c>
      <c r="BD37" s="12" t="str">
        <f>BD36</f>
        <v>CPA Pago Operaciones Locales BCI OP 648 18-06-2024</v>
      </c>
      <c r="BE37" s="13"/>
      <c r="BF37" s="18">
        <f>BE36</f>
        <v>0</v>
      </c>
      <c r="BN37" s="11"/>
      <c r="BO37" s="12">
        <v>110208</v>
      </c>
      <c r="BP37" s="12" t="s">
        <v>46</v>
      </c>
      <c r="BQ37" s="12" t="str">
        <f>BQ36</f>
        <v>CPA Fondeo BCI OP 648 a BCI ADM 656 18-06-2024</v>
      </c>
      <c r="BR37" s="13"/>
      <c r="BS37" s="18">
        <f t="shared" ref="BS37" si="16">BR36</f>
        <v>0</v>
      </c>
    </row>
    <row r="38" spans="2:71" x14ac:dyDescent="0.25">
      <c r="E38" s="15">
        <v>45462</v>
      </c>
      <c r="F38" s="8">
        <v>110208</v>
      </c>
      <c r="G38" s="8" t="s">
        <v>46</v>
      </c>
      <c r="H38" s="8" t="str">
        <f>"CPA Recaudación Clientes BCI OP 648 "&amp;TEXT(E38,"dd-mm-aaa")</f>
        <v>CPA Recaudación Clientes BCI OP 648 19-06-2024</v>
      </c>
      <c r="I38" s="16">
        <f>+B20</f>
        <v>0</v>
      </c>
      <c r="J38" s="17"/>
      <c r="Q38" s="15">
        <v>45462</v>
      </c>
      <c r="R38" s="8">
        <v>110208</v>
      </c>
      <c r="S38" s="8" t="s">
        <v>46</v>
      </c>
      <c r="T38" s="8" t="str">
        <f>"CPA Abonos operaciones rechazadas BCI OP 648 "&amp;TEXT(Q38,"dd-mm-aaa")</f>
        <v>CPA Abonos operaciones rechazadas BCI OP 648 19-06-2024</v>
      </c>
      <c r="U38" s="16">
        <f>+N20</f>
        <v>0</v>
      </c>
      <c r="V38" s="17"/>
      <c r="AC38" s="15">
        <v>45462</v>
      </c>
      <c r="AD38" s="8">
        <v>110208</v>
      </c>
      <c r="AE38" s="8" t="s">
        <v>46</v>
      </c>
      <c r="AF38" s="8" t="str">
        <f>"CPA Fondeo BCI ADM 656 a BCI OP 648 "&amp;TEXT(AC38,"dd-mm-aaa")</f>
        <v>CPA Fondeo BCI ADM 656 a BCI OP 648 19-06-2024</v>
      </c>
      <c r="AG38" s="16">
        <f>+Z20</f>
        <v>0</v>
      </c>
      <c r="AH38" s="17"/>
      <c r="AO38" s="15">
        <v>45462</v>
      </c>
      <c r="AP38" s="8">
        <v>110204</v>
      </c>
      <c r="AQ38" s="8" t="s">
        <v>51</v>
      </c>
      <c r="AR38" s="8" t="str">
        <f>"CPA Traspaso de Fondos Bco. BCI 648 a Bco. BICE "&amp;TEXT(AO38,"dd-mm-aaa")</f>
        <v>CPA Traspaso de Fondos Bco. BCI 648 a Bco. BICE 19-06-2024</v>
      </c>
      <c r="AS38" s="16">
        <f>+AL20</f>
        <v>0</v>
      </c>
      <c r="AT38" s="17"/>
      <c r="BA38" s="15">
        <v>45462</v>
      </c>
      <c r="BB38" s="8">
        <v>211101</v>
      </c>
      <c r="BC38" s="8" t="s">
        <v>18</v>
      </c>
      <c r="BD38" s="8" t="str">
        <f>"CPA Pago Operaciones Locales BCI OP 648 "&amp;TEXT(BA38,"dd-mm-aaa")</f>
        <v>CPA Pago Operaciones Locales BCI OP 648 19-06-2024</v>
      </c>
      <c r="BE38" s="16">
        <f>+AX20</f>
        <v>0</v>
      </c>
      <c r="BF38" s="17"/>
      <c r="BN38" s="15">
        <v>45462</v>
      </c>
      <c r="BO38" s="8">
        <v>110209</v>
      </c>
      <c r="BP38" s="8" t="s">
        <v>55</v>
      </c>
      <c r="BQ38" s="8" t="str">
        <f>"CPA Fondeo BCI OP 648 a BCI ADM 656 "&amp;TEXT(BN38,"dd-mm-aaa")</f>
        <v>CPA Fondeo BCI OP 648 a BCI ADM 656 19-06-2024</v>
      </c>
      <c r="BR38" s="16">
        <f>+BK20</f>
        <v>0</v>
      </c>
      <c r="BS38" s="17"/>
    </row>
    <row r="39" spans="2:71" x14ac:dyDescent="0.25">
      <c r="E39" s="11"/>
      <c r="F39" s="12">
        <v>211101</v>
      </c>
      <c r="G39" s="12" t="s">
        <v>18</v>
      </c>
      <c r="H39" s="12" t="str">
        <f>H38</f>
        <v>CPA Recaudación Clientes BCI OP 648 19-06-2024</v>
      </c>
      <c r="I39" s="13"/>
      <c r="J39" s="18">
        <f>I38</f>
        <v>0</v>
      </c>
      <c r="Q39" s="11"/>
      <c r="R39" s="12">
        <v>211101</v>
      </c>
      <c r="S39" s="12" t="s">
        <v>18</v>
      </c>
      <c r="T39" s="12" t="str">
        <f>T38</f>
        <v>CPA Abonos operaciones rechazadas BCI OP 648 19-06-2024</v>
      </c>
      <c r="U39" s="13"/>
      <c r="V39" s="18">
        <f>U38</f>
        <v>0</v>
      </c>
      <c r="AC39" s="11"/>
      <c r="AD39" s="12">
        <v>110209</v>
      </c>
      <c r="AE39" s="12" t="s">
        <v>55</v>
      </c>
      <c r="AF39" s="12" t="str">
        <f>AF38</f>
        <v>CPA Fondeo BCI ADM 656 a BCI OP 648 19-06-2024</v>
      </c>
      <c r="AG39" s="13"/>
      <c r="AH39" s="18">
        <f>AG38</f>
        <v>0</v>
      </c>
      <c r="AO39" s="11"/>
      <c r="AP39" s="12">
        <v>110208</v>
      </c>
      <c r="AQ39" s="12" t="s">
        <v>46</v>
      </c>
      <c r="AR39" s="12" t="str">
        <f>AR38</f>
        <v>CPA Traspaso de Fondos Bco. BCI 648 a Bco. BICE 19-06-2024</v>
      </c>
      <c r="AS39" s="13"/>
      <c r="AT39" s="18">
        <f>AS38</f>
        <v>0</v>
      </c>
      <c r="BA39" s="11"/>
      <c r="BB39" s="12">
        <v>110208</v>
      </c>
      <c r="BC39" s="12" t="s">
        <v>46</v>
      </c>
      <c r="BD39" s="12" t="str">
        <f>BD38</f>
        <v>CPA Pago Operaciones Locales BCI OP 648 19-06-2024</v>
      </c>
      <c r="BE39" s="13"/>
      <c r="BF39" s="18">
        <f>BE38</f>
        <v>0</v>
      </c>
      <c r="BN39" s="11"/>
      <c r="BO39" s="12">
        <v>110208</v>
      </c>
      <c r="BP39" s="12" t="s">
        <v>46</v>
      </c>
      <c r="BQ39" s="12" t="str">
        <f>BQ38</f>
        <v>CPA Fondeo BCI OP 648 a BCI ADM 656 19-06-2024</v>
      </c>
      <c r="BR39" s="13"/>
      <c r="BS39" s="18">
        <f t="shared" ref="BS39" si="17">BR38</f>
        <v>0</v>
      </c>
    </row>
    <row r="40" spans="2:71" x14ac:dyDescent="0.25">
      <c r="E40" s="15">
        <v>45463</v>
      </c>
      <c r="F40" s="8">
        <v>110208</v>
      </c>
      <c r="G40" s="8" t="s">
        <v>46</v>
      </c>
      <c r="H40" s="8" t="str">
        <f>"CPA Recaudación Clientes BCI OP 648 "&amp;TEXT(E40,"dd-mm-aaa")</f>
        <v>CPA Recaudación Clientes BCI OP 648 20-06-2024</v>
      </c>
      <c r="I40" s="16">
        <f>+B21</f>
        <v>0</v>
      </c>
      <c r="J40" s="17"/>
      <c r="Q40" s="15">
        <v>45463</v>
      </c>
      <c r="R40" s="8">
        <v>110208</v>
      </c>
      <c r="S40" s="8" t="s">
        <v>46</v>
      </c>
      <c r="T40" s="8" t="str">
        <f>"CPA Abonos operaciones rechazadas BCI OP 648 "&amp;TEXT(Q40,"dd-mm-aaa")</f>
        <v>CPA Abonos operaciones rechazadas BCI OP 648 20-06-2024</v>
      </c>
      <c r="U40" s="16">
        <f>+N21</f>
        <v>0</v>
      </c>
      <c r="V40" s="17"/>
      <c r="AC40" s="15">
        <v>45463</v>
      </c>
      <c r="AD40" s="8">
        <v>110208</v>
      </c>
      <c r="AE40" s="8" t="s">
        <v>46</v>
      </c>
      <c r="AF40" s="8" t="str">
        <f>"CPA Fondeo BCI ADM 656 a BCI OP 648 "&amp;TEXT(AC40,"dd-mm-aaa")</f>
        <v>CPA Fondeo BCI ADM 656 a BCI OP 648 20-06-2024</v>
      </c>
      <c r="AG40" s="16">
        <f>+Z21</f>
        <v>0</v>
      </c>
      <c r="AH40" s="17"/>
      <c r="AO40" s="15">
        <v>45463</v>
      </c>
      <c r="AP40" s="8">
        <v>110204</v>
      </c>
      <c r="AQ40" s="8" t="s">
        <v>51</v>
      </c>
      <c r="AR40" s="8" t="str">
        <f>"CPA Traspaso de Fondos Bco. BCI 648 a Bco. BICE "&amp;TEXT(AO40,"dd-mm-aaa")</f>
        <v>CPA Traspaso de Fondos Bco. BCI 648 a Bco. BICE 20-06-2024</v>
      </c>
      <c r="AS40" s="16">
        <f>+AL21</f>
        <v>0</v>
      </c>
      <c r="AT40" s="17"/>
      <c r="BA40" s="15">
        <v>45463</v>
      </c>
      <c r="BB40" s="8">
        <v>211101</v>
      </c>
      <c r="BC40" s="8" t="s">
        <v>18</v>
      </c>
      <c r="BD40" s="8" t="str">
        <f>"CPA Pago Operaciones Locales BCI OP 648 "&amp;TEXT(BA40,"dd-mm-aaa")</f>
        <v>CPA Pago Operaciones Locales BCI OP 648 20-06-2024</v>
      </c>
      <c r="BE40" s="16">
        <f>+AX21</f>
        <v>0</v>
      </c>
      <c r="BF40" s="17"/>
      <c r="BN40" s="15">
        <v>45463</v>
      </c>
      <c r="BO40" s="8">
        <v>110209</v>
      </c>
      <c r="BP40" s="8" t="s">
        <v>55</v>
      </c>
      <c r="BQ40" s="8" t="str">
        <f>"CPA Fondeo BCI OP 648 a BCI ADM 656 "&amp;TEXT(BN40,"dd-mm-aaa")</f>
        <v>CPA Fondeo BCI OP 648 a BCI ADM 656 20-06-2024</v>
      </c>
      <c r="BR40" s="16">
        <f>+BK21</f>
        <v>0</v>
      </c>
      <c r="BS40" s="17"/>
    </row>
    <row r="41" spans="2:71" x14ac:dyDescent="0.25">
      <c r="E41" s="11"/>
      <c r="F41" s="12">
        <v>211101</v>
      </c>
      <c r="G41" s="12" t="s">
        <v>18</v>
      </c>
      <c r="H41" s="12" t="str">
        <f>H40</f>
        <v>CPA Recaudación Clientes BCI OP 648 20-06-2024</v>
      </c>
      <c r="I41" s="13"/>
      <c r="J41" s="18">
        <f>I40</f>
        <v>0</v>
      </c>
      <c r="Q41" s="11"/>
      <c r="R41" s="12">
        <v>211101</v>
      </c>
      <c r="S41" s="12" t="s">
        <v>18</v>
      </c>
      <c r="T41" s="12" t="str">
        <f>T40</f>
        <v>CPA Abonos operaciones rechazadas BCI OP 648 20-06-2024</v>
      </c>
      <c r="U41" s="13"/>
      <c r="V41" s="18">
        <f>U40</f>
        <v>0</v>
      </c>
      <c r="AC41" s="11"/>
      <c r="AD41" s="12">
        <v>110209</v>
      </c>
      <c r="AE41" s="12" t="s">
        <v>55</v>
      </c>
      <c r="AF41" s="12" t="str">
        <f>AF40</f>
        <v>CPA Fondeo BCI ADM 656 a BCI OP 648 20-06-2024</v>
      </c>
      <c r="AG41" s="13"/>
      <c r="AH41" s="18">
        <f>AG40</f>
        <v>0</v>
      </c>
      <c r="AO41" s="11"/>
      <c r="AP41" s="12">
        <v>110208</v>
      </c>
      <c r="AQ41" s="12" t="s">
        <v>46</v>
      </c>
      <c r="AR41" s="12" t="str">
        <f>AR40</f>
        <v>CPA Traspaso de Fondos Bco. BCI 648 a Bco. BICE 20-06-2024</v>
      </c>
      <c r="AS41" s="13"/>
      <c r="AT41" s="18">
        <f>AS40</f>
        <v>0</v>
      </c>
      <c r="BA41" s="11"/>
      <c r="BB41" s="12">
        <v>110208</v>
      </c>
      <c r="BC41" s="12" t="s">
        <v>46</v>
      </c>
      <c r="BD41" s="12" t="str">
        <f>BD40</f>
        <v>CPA Pago Operaciones Locales BCI OP 648 20-06-2024</v>
      </c>
      <c r="BE41" s="13"/>
      <c r="BF41" s="18">
        <f>BE40</f>
        <v>0</v>
      </c>
      <c r="BN41" s="11"/>
      <c r="BO41" s="12">
        <v>110208</v>
      </c>
      <c r="BP41" s="12" t="s">
        <v>46</v>
      </c>
      <c r="BQ41" s="12" t="str">
        <f>BQ40</f>
        <v>CPA Fondeo BCI OP 648 a BCI ADM 656 20-06-2024</v>
      </c>
      <c r="BR41" s="13"/>
      <c r="BS41" s="18">
        <f t="shared" ref="BS41" si="18">BR40</f>
        <v>0</v>
      </c>
    </row>
    <row r="42" spans="2:71" x14ac:dyDescent="0.25">
      <c r="E42" s="15">
        <v>45464</v>
      </c>
      <c r="F42" s="8">
        <v>110208</v>
      </c>
      <c r="G42" s="8" t="s">
        <v>46</v>
      </c>
      <c r="H42" s="8" t="str">
        <f>"CPA Recaudación Clientes BCI OP 648 "&amp;TEXT(E42,"dd-mm-aaa")</f>
        <v>CPA Recaudación Clientes BCI OP 648 21-06-2024</v>
      </c>
      <c r="I42" s="16">
        <f>+B22</f>
        <v>0</v>
      </c>
      <c r="J42" s="17"/>
      <c r="Q42" s="15">
        <v>45464</v>
      </c>
      <c r="R42" s="8">
        <v>110208</v>
      </c>
      <c r="S42" s="8" t="s">
        <v>46</v>
      </c>
      <c r="T42" s="8" t="str">
        <f>"CPA Abonos operaciones rechazadas BCI OP 648 "&amp;TEXT(Q42,"dd-mm-aaa")</f>
        <v>CPA Abonos operaciones rechazadas BCI OP 648 21-06-2024</v>
      </c>
      <c r="U42" s="16">
        <f>+N22</f>
        <v>0</v>
      </c>
      <c r="V42" s="17"/>
      <c r="AC42" s="15">
        <v>45464</v>
      </c>
      <c r="AD42" s="8">
        <v>110208</v>
      </c>
      <c r="AE42" s="8" t="s">
        <v>46</v>
      </c>
      <c r="AF42" s="8" t="str">
        <f>"CPA Fondeo BCI ADM 656 a BCI OP 648 "&amp;TEXT(AC42,"dd-mm-aaa")</f>
        <v>CPA Fondeo BCI ADM 656 a BCI OP 648 21-06-2024</v>
      </c>
      <c r="AG42" s="16">
        <f>+Z22</f>
        <v>0</v>
      </c>
      <c r="AH42" s="17"/>
      <c r="AO42" s="15">
        <v>45464</v>
      </c>
      <c r="AP42" s="8">
        <v>110204</v>
      </c>
      <c r="AQ42" s="8" t="s">
        <v>51</v>
      </c>
      <c r="AR42" s="8" t="str">
        <f>"CPA Traspaso de Fondos Bco. BCI 648 a Bco. BICE "&amp;TEXT(AO42,"dd-mm-aaa")</f>
        <v>CPA Traspaso de Fondos Bco. BCI 648 a Bco. BICE 21-06-2024</v>
      </c>
      <c r="AS42" s="16">
        <f>+AL22</f>
        <v>0</v>
      </c>
      <c r="AT42" s="17"/>
      <c r="BA42" s="15">
        <v>45464</v>
      </c>
      <c r="BB42" s="8">
        <v>211101</v>
      </c>
      <c r="BC42" s="8" t="s">
        <v>18</v>
      </c>
      <c r="BD42" s="8" t="str">
        <f>"CPA Pago Operaciones Locales BCI OP 648 "&amp;TEXT(BA42,"dd-mm-aaa")</f>
        <v>CPA Pago Operaciones Locales BCI OP 648 21-06-2024</v>
      </c>
      <c r="BE42" s="16">
        <f>+AX22</f>
        <v>0</v>
      </c>
      <c r="BF42" s="17"/>
      <c r="BN42" s="15">
        <v>45464</v>
      </c>
      <c r="BO42" s="8">
        <v>110209</v>
      </c>
      <c r="BP42" s="8" t="s">
        <v>55</v>
      </c>
      <c r="BQ42" s="8" t="str">
        <f>"CPA Fondeo BCI OP 648 a BCI ADM 656 "&amp;TEXT(BN42,"dd-mm-aaa")</f>
        <v>CPA Fondeo BCI OP 648 a BCI ADM 656 21-06-2024</v>
      </c>
      <c r="BR42" s="16">
        <f>+BK22</f>
        <v>0</v>
      </c>
      <c r="BS42" s="17"/>
    </row>
    <row r="43" spans="2:71" x14ac:dyDescent="0.25">
      <c r="E43" s="11"/>
      <c r="F43" s="12">
        <v>211101</v>
      </c>
      <c r="G43" s="12" t="s">
        <v>18</v>
      </c>
      <c r="H43" s="12" t="str">
        <f>H42</f>
        <v>CPA Recaudación Clientes BCI OP 648 21-06-2024</v>
      </c>
      <c r="I43" s="13"/>
      <c r="J43" s="18">
        <f>I42</f>
        <v>0</v>
      </c>
      <c r="Q43" s="11"/>
      <c r="R43" s="12">
        <v>211101</v>
      </c>
      <c r="S43" s="12" t="s">
        <v>18</v>
      </c>
      <c r="T43" s="12" t="str">
        <f>T42</f>
        <v>CPA Abonos operaciones rechazadas BCI OP 648 21-06-2024</v>
      </c>
      <c r="U43" s="13"/>
      <c r="V43" s="18">
        <f>U42</f>
        <v>0</v>
      </c>
      <c r="AC43" s="11"/>
      <c r="AD43" s="12">
        <v>110209</v>
      </c>
      <c r="AE43" s="12" t="s">
        <v>55</v>
      </c>
      <c r="AF43" s="12" t="str">
        <f>AF42</f>
        <v>CPA Fondeo BCI ADM 656 a BCI OP 648 21-06-2024</v>
      </c>
      <c r="AG43" s="13"/>
      <c r="AH43" s="18">
        <f>AG42</f>
        <v>0</v>
      </c>
      <c r="AO43" s="11"/>
      <c r="AP43" s="12">
        <v>110208</v>
      </c>
      <c r="AQ43" s="12" t="s">
        <v>46</v>
      </c>
      <c r="AR43" s="12" t="str">
        <f>AR42</f>
        <v>CPA Traspaso de Fondos Bco. BCI 648 a Bco. BICE 21-06-2024</v>
      </c>
      <c r="AS43" s="13"/>
      <c r="AT43" s="18">
        <f>AS42</f>
        <v>0</v>
      </c>
      <c r="BA43" s="11"/>
      <c r="BB43" s="12">
        <v>110208</v>
      </c>
      <c r="BC43" s="12" t="s">
        <v>46</v>
      </c>
      <c r="BD43" s="12" t="str">
        <f>BD42</f>
        <v>CPA Pago Operaciones Locales BCI OP 648 21-06-2024</v>
      </c>
      <c r="BE43" s="13"/>
      <c r="BF43" s="18">
        <f>BE42</f>
        <v>0</v>
      </c>
      <c r="BN43" s="11"/>
      <c r="BO43" s="12">
        <v>110208</v>
      </c>
      <c r="BP43" s="12" t="s">
        <v>46</v>
      </c>
      <c r="BQ43" s="12" t="str">
        <f>BQ42</f>
        <v>CPA Fondeo BCI OP 648 a BCI ADM 656 21-06-2024</v>
      </c>
      <c r="BR43" s="13"/>
      <c r="BS43" s="18">
        <f t="shared" ref="BS43" si="19">BR42</f>
        <v>0</v>
      </c>
    </row>
    <row r="44" spans="2:71" x14ac:dyDescent="0.25">
      <c r="E44" s="15">
        <v>45465</v>
      </c>
      <c r="F44" s="8">
        <v>110208</v>
      </c>
      <c r="G44" s="8" t="s">
        <v>46</v>
      </c>
      <c r="H44" s="8" t="str">
        <f>"CPA Recaudación Clientes BCI OP 648 "&amp;TEXT(E44,"dd-mm-aaa")</f>
        <v>CPA Recaudación Clientes BCI OP 648 22-06-2024</v>
      </c>
      <c r="I44" s="16">
        <f>+B23</f>
        <v>0</v>
      </c>
      <c r="J44" s="17"/>
      <c r="Q44" s="15">
        <v>45465</v>
      </c>
      <c r="R44" s="8">
        <v>110208</v>
      </c>
      <c r="S44" s="8" t="s">
        <v>46</v>
      </c>
      <c r="T44" s="8" t="str">
        <f>"CPA Abonos operaciones rechazadas BCI OP 648 "&amp;TEXT(Q44,"dd-mm-aaa")</f>
        <v>CPA Abonos operaciones rechazadas BCI OP 648 22-06-2024</v>
      </c>
      <c r="U44" s="16">
        <f>+N23</f>
        <v>0</v>
      </c>
      <c r="V44" s="17"/>
      <c r="AC44" s="15">
        <v>45465</v>
      </c>
      <c r="AD44" s="8">
        <v>110208</v>
      </c>
      <c r="AE44" s="8" t="s">
        <v>46</v>
      </c>
      <c r="AF44" s="8" t="str">
        <f>"CPA Fondeo BCI ADM 656 a BCI OP 648 "&amp;TEXT(AC44,"dd-mm-aaa")</f>
        <v>CPA Fondeo BCI ADM 656 a BCI OP 648 22-06-2024</v>
      </c>
      <c r="AG44" s="16">
        <f>+Z23</f>
        <v>0</v>
      </c>
      <c r="AH44" s="17"/>
      <c r="AO44" s="15">
        <v>45465</v>
      </c>
      <c r="AP44" s="8">
        <v>110204</v>
      </c>
      <c r="AQ44" s="8" t="s">
        <v>51</v>
      </c>
      <c r="AR44" s="8" t="str">
        <f>"CPA Traspaso de Fondos Bco. BCI 648 a Bco. BICE "&amp;TEXT(AO44,"dd-mm-aaa")</f>
        <v>CPA Traspaso de Fondos Bco. BCI 648 a Bco. BICE 22-06-2024</v>
      </c>
      <c r="AS44" s="16">
        <f>+AL23</f>
        <v>0</v>
      </c>
      <c r="AT44" s="17"/>
      <c r="BA44" s="15">
        <v>45465</v>
      </c>
      <c r="BB44" s="8">
        <v>211101</v>
      </c>
      <c r="BC44" s="8" t="s">
        <v>18</v>
      </c>
      <c r="BD44" s="8" t="str">
        <f>"CPA Pago Operaciones Locales BCI OP 648 "&amp;TEXT(BA44,"dd-mm-aaa")</f>
        <v>CPA Pago Operaciones Locales BCI OP 648 22-06-2024</v>
      </c>
      <c r="BE44" s="16">
        <f>+AX23</f>
        <v>0</v>
      </c>
      <c r="BF44" s="17"/>
      <c r="BN44" s="15">
        <v>45465</v>
      </c>
      <c r="BO44" s="8">
        <v>110209</v>
      </c>
      <c r="BP44" s="8" t="s">
        <v>55</v>
      </c>
      <c r="BQ44" s="8" t="str">
        <f>"CPA Fondeo BCI OP 648 a BCI ADM 656 "&amp;TEXT(BN44,"dd-mm-aaa")</f>
        <v>CPA Fondeo BCI OP 648 a BCI ADM 656 22-06-2024</v>
      </c>
      <c r="BR44" s="16">
        <f>+BK23</f>
        <v>0</v>
      </c>
      <c r="BS44" s="17"/>
    </row>
    <row r="45" spans="2:71" x14ac:dyDescent="0.25">
      <c r="E45" s="11"/>
      <c r="F45" s="12">
        <v>211101</v>
      </c>
      <c r="G45" s="12" t="s">
        <v>18</v>
      </c>
      <c r="H45" s="12" t="str">
        <f>H44</f>
        <v>CPA Recaudación Clientes BCI OP 648 22-06-2024</v>
      </c>
      <c r="I45" s="13"/>
      <c r="J45" s="18">
        <f>I44</f>
        <v>0</v>
      </c>
      <c r="Q45" s="11"/>
      <c r="R45" s="12">
        <v>211101</v>
      </c>
      <c r="S45" s="12" t="s">
        <v>18</v>
      </c>
      <c r="T45" s="12" t="str">
        <f>T44</f>
        <v>CPA Abonos operaciones rechazadas BCI OP 648 22-06-2024</v>
      </c>
      <c r="U45" s="13"/>
      <c r="V45" s="18">
        <f>U44</f>
        <v>0</v>
      </c>
      <c r="AC45" s="11"/>
      <c r="AD45" s="12">
        <v>110209</v>
      </c>
      <c r="AE45" s="12" t="s">
        <v>55</v>
      </c>
      <c r="AF45" s="12" t="str">
        <f>AF44</f>
        <v>CPA Fondeo BCI ADM 656 a BCI OP 648 22-06-2024</v>
      </c>
      <c r="AG45" s="13"/>
      <c r="AH45" s="18">
        <f>AG44</f>
        <v>0</v>
      </c>
      <c r="AO45" s="11"/>
      <c r="AP45" s="12">
        <v>110208</v>
      </c>
      <c r="AQ45" s="12" t="s">
        <v>46</v>
      </c>
      <c r="AR45" s="12" t="str">
        <f>AR44</f>
        <v>CPA Traspaso de Fondos Bco. BCI 648 a Bco. BICE 22-06-2024</v>
      </c>
      <c r="AS45" s="13"/>
      <c r="AT45" s="18">
        <f>AS44</f>
        <v>0</v>
      </c>
      <c r="BA45" s="11"/>
      <c r="BB45" s="12">
        <v>110208</v>
      </c>
      <c r="BC45" s="12" t="s">
        <v>46</v>
      </c>
      <c r="BD45" s="12" t="str">
        <f>BD44</f>
        <v>CPA Pago Operaciones Locales BCI OP 648 22-06-2024</v>
      </c>
      <c r="BE45" s="13"/>
      <c r="BF45" s="18">
        <f>BE44</f>
        <v>0</v>
      </c>
      <c r="BN45" s="11"/>
      <c r="BO45" s="12">
        <v>110208</v>
      </c>
      <c r="BP45" s="12" t="s">
        <v>46</v>
      </c>
      <c r="BQ45" s="12" t="str">
        <f>BQ44</f>
        <v>CPA Fondeo BCI OP 648 a BCI ADM 656 22-06-2024</v>
      </c>
      <c r="BR45" s="13"/>
      <c r="BS45" s="18">
        <f t="shared" ref="BS45" si="20">BR44</f>
        <v>0</v>
      </c>
    </row>
    <row r="46" spans="2:71" x14ac:dyDescent="0.25">
      <c r="E46" s="15">
        <v>45466</v>
      </c>
      <c r="F46" s="8">
        <v>110208</v>
      </c>
      <c r="G46" s="8" t="s">
        <v>46</v>
      </c>
      <c r="H46" s="8" t="str">
        <f>"CPA Recaudación Clientes BCI OP 648 "&amp;TEXT(E46,"dd-mm-aaa")</f>
        <v>CPA Recaudación Clientes BCI OP 648 23-06-2024</v>
      </c>
      <c r="I46" s="16">
        <f>+B24</f>
        <v>0</v>
      </c>
      <c r="J46" s="17"/>
      <c r="Q46" s="15">
        <v>45466</v>
      </c>
      <c r="R46" s="8">
        <v>110208</v>
      </c>
      <c r="S46" s="8" t="s">
        <v>46</v>
      </c>
      <c r="T46" s="8" t="str">
        <f>"CPA Abonos operaciones rechazadas BCI OP 648 "&amp;TEXT(Q46,"dd-mm-aaa")</f>
        <v>CPA Abonos operaciones rechazadas BCI OP 648 23-06-2024</v>
      </c>
      <c r="U46" s="16">
        <f>+N24</f>
        <v>0</v>
      </c>
      <c r="V46" s="17"/>
      <c r="AC46" s="15">
        <v>45466</v>
      </c>
      <c r="AD46" s="8">
        <v>110208</v>
      </c>
      <c r="AE46" s="8" t="s">
        <v>46</v>
      </c>
      <c r="AF46" s="8" t="str">
        <f>"CPA Fondeo BCI ADM 656 a BCI OP 648 "&amp;TEXT(AC46,"dd-mm-aaa")</f>
        <v>CPA Fondeo BCI ADM 656 a BCI OP 648 23-06-2024</v>
      </c>
      <c r="AG46" s="16">
        <f>+Z24</f>
        <v>0</v>
      </c>
      <c r="AH46" s="17"/>
      <c r="AO46" s="15">
        <v>45466</v>
      </c>
      <c r="AP46" s="8">
        <v>110204</v>
      </c>
      <c r="AQ46" s="8" t="s">
        <v>51</v>
      </c>
      <c r="AR46" s="8" t="str">
        <f>"CPA Traspaso de Fondos Bco. BCI 648 a Bco. BICE "&amp;TEXT(AO46,"dd-mm-aaa")</f>
        <v>CPA Traspaso de Fondos Bco. BCI 648 a Bco. BICE 23-06-2024</v>
      </c>
      <c r="AS46" s="16">
        <f>+AL24</f>
        <v>0</v>
      </c>
      <c r="AT46" s="17"/>
      <c r="BA46" s="15">
        <v>45466</v>
      </c>
      <c r="BB46" s="8">
        <v>211101</v>
      </c>
      <c r="BC46" s="8" t="s">
        <v>18</v>
      </c>
      <c r="BD46" s="8" t="str">
        <f>"CPA Pago Operaciones Locales BCI OP 648 "&amp;TEXT(BA46,"dd-mm-aaa")</f>
        <v>CPA Pago Operaciones Locales BCI OP 648 23-06-2024</v>
      </c>
      <c r="BE46" s="16">
        <f>+AX24</f>
        <v>0</v>
      </c>
      <c r="BF46" s="17"/>
      <c r="BN46" s="15">
        <v>45466</v>
      </c>
      <c r="BO46" s="8">
        <v>110209</v>
      </c>
      <c r="BP46" s="8" t="s">
        <v>55</v>
      </c>
      <c r="BQ46" s="8" t="str">
        <f>"CPA Fondeo BCI OP 648 a BCI ADM 656 "&amp;TEXT(BN46,"dd-mm-aaa")</f>
        <v>CPA Fondeo BCI OP 648 a BCI ADM 656 23-06-2024</v>
      </c>
      <c r="BR46" s="16">
        <f>+BK24</f>
        <v>0</v>
      </c>
      <c r="BS46" s="17"/>
    </row>
    <row r="47" spans="2:71" x14ac:dyDescent="0.25">
      <c r="E47" s="11"/>
      <c r="F47" s="12">
        <v>211101</v>
      </c>
      <c r="G47" s="12" t="s">
        <v>18</v>
      </c>
      <c r="H47" s="12" t="str">
        <f>H46</f>
        <v>CPA Recaudación Clientes BCI OP 648 23-06-2024</v>
      </c>
      <c r="I47" s="13"/>
      <c r="J47" s="18">
        <f>I46</f>
        <v>0</v>
      </c>
      <c r="Q47" s="11"/>
      <c r="R47" s="12">
        <v>211101</v>
      </c>
      <c r="S47" s="12" t="s">
        <v>18</v>
      </c>
      <c r="T47" s="12" t="str">
        <f>T46</f>
        <v>CPA Abonos operaciones rechazadas BCI OP 648 23-06-2024</v>
      </c>
      <c r="U47" s="13"/>
      <c r="V47" s="18">
        <f>U46</f>
        <v>0</v>
      </c>
      <c r="AC47" s="11"/>
      <c r="AD47" s="12">
        <v>110209</v>
      </c>
      <c r="AE47" s="12" t="s">
        <v>55</v>
      </c>
      <c r="AF47" s="12" t="str">
        <f>AF46</f>
        <v>CPA Fondeo BCI ADM 656 a BCI OP 648 23-06-2024</v>
      </c>
      <c r="AG47" s="13"/>
      <c r="AH47" s="18">
        <f>AG46</f>
        <v>0</v>
      </c>
      <c r="AO47" s="11"/>
      <c r="AP47" s="12">
        <v>110208</v>
      </c>
      <c r="AQ47" s="12" t="s">
        <v>46</v>
      </c>
      <c r="AR47" s="12" t="str">
        <f>AR46</f>
        <v>CPA Traspaso de Fondos Bco. BCI 648 a Bco. BICE 23-06-2024</v>
      </c>
      <c r="AS47" s="13"/>
      <c r="AT47" s="18">
        <f>AS46</f>
        <v>0</v>
      </c>
      <c r="BA47" s="11"/>
      <c r="BB47" s="12">
        <v>110208</v>
      </c>
      <c r="BC47" s="12" t="s">
        <v>46</v>
      </c>
      <c r="BD47" s="12" t="str">
        <f>BD46</f>
        <v>CPA Pago Operaciones Locales BCI OP 648 23-06-2024</v>
      </c>
      <c r="BE47" s="13"/>
      <c r="BF47" s="18">
        <f>BE46</f>
        <v>0</v>
      </c>
      <c r="BN47" s="11"/>
      <c r="BO47" s="12">
        <v>110208</v>
      </c>
      <c r="BP47" s="12" t="s">
        <v>46</v>
      </c>
      <c r="BQ47" s="12" t="str">
        <f>BQ46</f>
        <v>CPA Fondeo BCI OP 648 a BCI ADM 656 23-06-2024</v>
      </c>
      <c r="BR47" s="13"/>
      <c r="BS47" s="18">
        <f t="shared" ref="BS47" si="21">BR46</f>
        <v>0</v>
      </c>
    </row>
    <row r="48" spans="2:71" x14ac:dyDescent="0.25">
      <c r="E48" s="15">
        <v>45467</v>
      </c>
      <c r="F48" s="8">
        <v>110208</v>
      </c>
      <c r="G48" s="8" t="s">
        <v>46</v>
      </c>
      <c r="H48" s="8" t="str">
        <f>"CPA Recaudación Clientes BCI OP 648 "&amp;TEXT(E48,"dd-mm-aaa")</f>
        <v>CPA Recaudación Clientes BCI OP 648 24-06-2024</v>
      </c>
      <c r="I48" s="16">
        <f>+B25</f>
        <v>0</v>
      </c>
      <c r="J48" s="17"/>
      <c r="Q48" s="15">
        <v>45467</v>
      </c>
      <c r="R48" s="8">
        <v>110208</v>
      </c>
      <c r="S48" s="8" t="s">
        <v>46</v>
      </c>
      <c r="T48" s="8" t="str">
        <f>"CPA Abonos operaciones rechazadas BCI OP 648 "&amp;TEXT(Q48,"dd-mm-aaa")</f>
        <v>CPA Abonos operaciones rechazadas BCI OP 648 24-06-2024</v>
      </c>
      <c r="U48" s="16">
        <f>+N25</f>
        <v>0</v>
      </c>
      <c r="V48" s="17"/>
      <c r="AC48" s="15">
        <v>45467</v>
      </c>
      <c r="AD48" s="8">
        <v>110208</v>
      </c>
      <c r="AE48" s="8" t="s">
        <v>46</v>
      </c>
      <c r="AF48" s="8" t="str">
        <f>"CPA Fondeo BCI ADM 656 a BCI OP 648 "&amp;TEXT(AC48,"dd-mm-aaa")</f>
        <v>CPA Fondeo BCI ADM 656 a BCI OP 648 24-06-2024</v>
      </c>
      <c r="AG48" s="16">
        <f>+Z25</f>
        <v>0</v>
      </c>
      <c r="AH48" s="17"/>
      <c r="AO48" s="15">
        <v>45467</v>
      </c>
      <c r="AP48" s="8">
        <v>110204</v>
      </c>
      <c r="AQ48" s="8" t="s">
        <v>51</v>
      </c>
      <c r="AR48" s="8" t="str">
        <f>"CPA Traspaso de Fondos Bco. BCI 648 a Bco. BICE "&amp;TEXT(AO48,"dd-mm-aaa")</f>
        <v>CPA Traspaso de Fondos Bco. BCI 648 a Bco. BICE 24-06-2024</v>
      </c>
      <c r="AS48" s="16">
        <f>+AL25</f>
        <v>0</v>
      </c>
      <c r="AT48" s="17"/>
      <c r="BA48" s="15">
        <v>45467</v>
      </c>
      <c r="BB48" s="8">
        <v>211101</v>
      </c>
      <c r="BC48" s="8" t="s">
        <v>18</v>
      </c>
      <c r="BD48" s="8" t="str">
        <f>"CPA Pago Operaciones Locales BCI OP 648 "&amp;TEXT(BA48,"dd-mm-aaa")</f>
        <v>CPA Pago Operaciones Locales BCI OP 648 24-06-2024</v>
      </c>
      <c r="BE48" s="16">
        <f>+AX25</f>
        <v>0</v>
      </c>
      <c r="BF48" s="17"/>
      <c r="BN48" s="15">
        <v>45467</v>
      </c>
      <c r="BO48" s="8">
        <v>110209</v>
      </c>
      <c r="BP48" s="8" t="s">
        <v>55</v>
      </c>
      <c r="BQ48" s="8" t="str">
        <f>"CPA Fondeo BCI OP 648 a BCI ADM 656 "&amp;TEXT(BN48,"dd-mm-aaa")</f>
        <v>CPA Fondeo BCI OP 648 a BCI ADM 656 24-06-2024</v>
      </c>
      <c r="BR48" s="16">
        <f>+BK25</f>
        <v>0</v>
      </c>
      <c r="BS48" s="17"/>
    </row>
    <row r="49" spans="5:71" x14ac:dyDescent="0.25">
      <c r="E49" s="11"/>
      <c r="F49" s="12">
        <v>211101</v>
      </c>
      <c r="G49" s="12" t="s">
        <v>18</v>
      </c>
      <c r="H49" s="12" t="str">
        <f>H48</f>
        <v>CPA Recaudación Clientes BCI OP 648 24-06-2024</v>
      </c>
      <c r="I49" s="13"/>
      <c r="J49" s="18">
        <f>I48</f>
        <v>0</v>
      </c>
      <c r="Q49" s="11"/>
      <c r="R49" s="12">
        <v>211101</v>
      </c>
      <c r="S49" s="12" t="s">
        <v>18</v>
      </c>
      <c r="T49" s="12" t="str">
        <f>T48</f>
        <v>CPA Abonos operaciones rechazadas BCI OP 648 24-06-2024</v>
      </c>
      <c r="U49" s="13"/>
      <c r="V49" s="18">
        <f>U48</f>
        <v>0</v>
      </c>
      <c r="AC49" s="11"/>
      <c r="AD49" s="12">
        <v>110209</v>
      </c>
      <c r="AE49" s="12" t="s">
        <v>55</v>
      </c>
      <c r="AF49" s="12" t="str">
        <f>AF48</f>
        <v>CPA Fondeo BCI ADM 656 a BCI OP 648 24-06-2024</v>
      </c>
      <c r="AG49" s="13"/>
      <c r="AH49" s="18">
        <f>AG48</f>
        <v>0</v>
      </c>
      <c r="AO49" s="11"/>
      <c r="AP49" s="12">
        <v>110208</v>
      </c>
      <c r="AQ49" s="12" t="s">
        <v>46</v>
      </c>
      <c r="AR49" s="12" t="str">
        <f>AR48</f>
        <v>CPA Traspaso de Fondos Bco. BCI 648 a Bco. BICE 24-06-2024</v>
      </c>
      <c r="AS49" s="13"/>
      <c r="AT49" s="18">
        <f>AS48</f>
        <v>0</v>
      </c>
      <c r="BA49" s="11"/>
      <c r="BB49" s="12">
        <v>110208</v>
      </c>
      <c r="BC49" s="12" t="s">
        <v>46</v>
      </c>
      <c r="BD49" s="12" t="str">
        <f>BD48</f>
        <v>CPA Pago Operaciones Locales BCI OP 648 24-06-2024</v>
      </c>
      <c r="BE49" s="13"/>
      <c r="BF49" s="18">
        <f>BE48</f>
        <v>0</v>
      </c>
      <c r="BN49" s="11"/>
      <c r="BO49" s="12">
        <v>110208</v>
      </c>
      <c r="BP49" s="12" t="s">
        <v>46</v>
      </c>
      <c r="BQ49" s="12" t="str">
        <f>BQ48</f>
        <v>CPA Fondeo BCI OP 648 a BCI ADM 656 24-06-2024</v>
      </c>
      <c r="BR49" s="13"/>
      <c r="BS49" s="18">
        <f t="shared" ref="BS49" si="22">BR48</f>
        <v>0</v>
      </c>
    </row>
    <row r="50" spans="5:71" x14ac:dyDescent="0.25">
      <c r="E50" s="15">
        <v>45468</v>
      </c>
      <c r="F50" s="8">
        <v>110208</v>
      </c>
      <c r="G50" s="8" t="s">
        <v>46</v>
      </c>
      <c r="H50" s="8" t="str">
        <f>"CPA Recaudación Clientes BCI OP 648 "&amp;TEXT(E50,"dd-mm-aaa")</f>
        <v>CPA Recaudación Clientes BCI OP 648 25-06-2024</v>
      </c>
      <c r="I50" s="16">
        <f>+B26</f>
        <v>0</v>
      </c>
      <c r="J50" s="17"/>
      <c r="Q50" s="15">
        <v>45468</v>
      </c>
      <c r="R50" s="8">
        <v>110208</v>
      </c>
      <c r="S50" s="8" t="s">
        <v>46</v>
      </c>
      <c r="T50" s="8" t="str">
        <f>"CPA Abonos operaciones rechazadas BCI OP 648 "&amp;TEXT(Q50,"dd-mm-aaa")</f>
        <v>CPA Abonos operaciones rechazadas BCI OP 648 25-06-2024</v>
      </c>
      <c r="U50" s="16">
        <f>+N26</f>
        <v>0</v>
      </c>
      <c r="V50" s="17"/>
      <c r="AC50" s="15">
        <v>45468</v>
      </c>
      <c r="AD50" s="8">
        <v>110208</v>
      </c>
      <c r="AE50" s="8" t="s">
        <v>46</v>
      </c>
      <c r="AF50" s="8" t="str">
        <f>"CPA Fondeo BCI ADM 656 a BCI OP 648 "&amp;TEXT(AC50,"dd-mm-aaa")</f>
        <v>CPA Fondeo BCI ADM 656 a BCI OP 648 25-06-2024</v>
      </c>
      <c r="AG50" s="16">
        <f>+Z26</f>
        <v>0</v>
      </c>
      <c r="AH50" s="17"/>
      <c r="AO50" s="15">
        <v>45468</v>
      </c>
      <c r="AP50" s="8">
        <v>110204</v>
      </c>
      <c r="AQ50" s="8" t="s">
        <v>51</v>
      </c>
      <c r="AR50" s="8" t="str">
        <f>"CPA Traspaso de Fondos Bco. BCI 648 a Bco. BICE "&amp;TEXT(AO50,"dd-mm-aaa")</f>
        <v>CPA Traspaso de Fondos Bco. BCI 648 a Bco. BICE 25-06-2024</v>
      </c>
      <c r="AS50" s="16">
        <f>+AL26</f>
        <v>0</v>
      </c>
      <c r="AT50" s="17"/>
      <c r="BA50" s="15">
        <v>45468</v>
      </c>
      <c r="BB50" s="8">
        <v>211101</v>
      </c>
      <c r="BC50" s="8" t="s">
        <v>18</v>
      </c>
      <c r="BD50" s="8" t="str">
        <f>"CPA Pago Operaciones Locales BCI OP 648 "&amp;TEXT(BA50,"dd-mm-aaa")</f>
        <v>CPA Pago Operaciones Locales BCI OP 648 25-06-2024</v>
      </c>
      <c r="BE50" s="16">
        <f>+AX26</f>
        <v>0</v>
      </c>
      <c r="BF50" s="17"/>
      <c r="BN50" s="15">
        <v>45468</v>
      </c>
      <c r="BO50" s="8">
        <v>110209</v>
      </c>
      <c r="BP50" s="8" t="s">
        <v>55</v>
      </c>
      <c r="BQ50" s="8" t="str">
        <f>"CPA Fondeo BCI OP 648 a BCI ADM 656 "&amp;TEXT(BN50,"dd-mm-aaa")</f>
        <v>CPA Fondeo BCI OP 648 a BCI ADM 656 25-06-2024</v>
      </c>
      <c r="BR50" s="16">
        <f>+BK26</f>
        <v>0</v>
      </c>
      <c r="BS50" s="17"/>
    </row>
    <row r="51" spans="5:71" x14ac:dyDescent="0.25">
      <c r="E51" s="11"/>
      <c r="F51" s="12">
        <v>211101</v>
      </c>
      <c r="G51" s="12" t="s">
        <v>18</v>
      </c>
      <c r="H51" s="12" t="str">
        <f>H50</f>
        <v>CPA Recaudación Clientes BCI OP 648 25-06-2024</v>
      </c>
      <c r="I51" s="13"/>
      <c r="J51" s="18">
        <f>I50</f>
        <v>0</v>
      </c>
      <c r="Q51" s="11"/>
      <c r="R51" s="12">
        <v>211101</v>
      </c>
      <c r="S51" s="12" t="s">
        <v>18</v>
      </c>
      <c r="T51" s="12" t="str">
        <f>T50</f>
        <v>CPA Abonos operaciones rechazadas BCI OP 648 25-06-2024</v>
      </c>
      <c r="U51" s="13"/>
      <c r="V51" s="18">
        <f>U50</f>
        <v>0</v>
      </c>
      <c r="AC51" s="11"/>
      <c r="AD51" s="12">
        <v>110209</v>
      </c>
      <c r="AE51" s="12" t="s">
        <v>55</v>
      </c>
      <c r="AF51" s="12" t="str">
        <f>AF50</f>
        <v>CPA Fondeo BCI ADM 656 a BCI OP 648 25-06-2024</v>
      </c>
      <c r="AG51" s="13"/>
      <c r="AH51" s="18">
        <f>AG50</f>
        <v>0</v>
      </c>
      <c r="AO51" s="11"/>
      <c r="AP51" s="12">
        <v>110208</v>
      </c>
      <c r="AQ51" s="12" t="s">
        <v>46</v>
      </c>
      <c r="AR51" s="12" t="str">
        <f>AR50</f>
        <v>CPA Traspaso de Fondos Bco. BCI 648 a Bco. BICE 25-06-2024</v>
      </c>
      <c r="AS51" s="13"/>
      <c r="AT51" s="18">
        <f>AS50</f>
        <v>0</v>
      </c>
      <c r="BA51" s="11"/>
      <c r="BB51" s="12">
        <v>110208</v>
      </c>
      <c r="BC51" s="12" t="s">
        <v>46</v>
      </c>
      <c r="BD51" s="12" t="str">
        <f>BD50</f>
        <v>CPA Pago Operaciones Locales BCI OP 648 25-06-2024</v>
      </c>
      <c r="BE51" s="13"/>
      <c r="BF51" s="18">
        <f>BE50</f>
        <v>0</v>
      </c>
      <c r="BN51" s="11"/>
      <c r="BO51" s="12">
        <v>110208</v>
      </c>
      <c r="BP51" s="12" t="s">
        <v>46</v>
      </c>
      <c r="BQ51" s="12" t="str">
        <f>BQ50</f>
        <v>CPA Fondeo BCI OP 648 a BCI ADM 656 25-06-2024</v>
      </c>
      <c r="BR51" s="13"/>
      <c r="BS51" s="18">
        <f t="shared" ref="BS51" si="23">BR50</f>
        <v>0</v>
      </c>
    </row>
    <row r="52" spans="5:71" x14ac:dyDescent="0.25">
      <c r="E52" s="15">
        <v>45469</v>
      </c>
      <c r="F52" s="8">
        <v>110208</v>
      </c>
      <c r="G52" s="8" t="s">
        <v>46</v>
      </c>
      <c r="H52" s="8" t="str">
        <f>"CPA Recaudación Clientes BCI OP 648 "&amp;TEXT(E52,"dd-mm-aaa")</f>
        <v>CPA Recaudación Clientes BCI OP 648 26-06-2024</v>
      </c>
      <c r="I52" s="16">
        <f>+B27</f>
        <v>0</v>
      </c>
      <c r="J52" s="17"/>
      <c r="Q52" s="15">
        <v>45469</v>
      </c>
      <c r="R52" s="8">
        <v>110208</v>
      </c>
      <c r="S52" s="8" t="s">
        <v>46</v>
      </c>
      <c r="T52" s="8" t="str">
        <f>"CPA Abonos operaciones rechazadas BCI OP 648 "&amp;TEXT(Q52,"dd-mm-aaa")</f>
        <v>CPA Abonos operaciones rechazadas BCI OP 648 26-06-2024</v>
      </c>
      <c r="U52" s="16">
        <f>+N27</f>
        <v>0</v>
      </c>
      <c r="V52" s="17"/>
      <c r="AC52" s="15">
        <v>45469</v>
      </c>
      <c r="AD52" s="8">
        <v>110208</v>
      </c>
      <c r="AE52" s="8" t="s">
        <v>46</v>
      </c>
      <c r="AF52" s="8" t="str">
        <f>"CPA Fondeo BCI ADM 656 a BCI OP 648 "&amp;TEXT(AC52,"dd-mm-aaa")</f>
        <v>CPA Fondeo BCI ADM 656 a BCI OP 648 26-06-2024</v>
      </c>
      <c r="AG52" s="16">
        <f>+Z27</f>
        <v>0</v>
      </c>
      <c r="AH52" s="17"/>
      <c r="AO52" s="15">
        <v>45469</v>
      </c>
      <c r="AP52" s="8">
        <v>110204</v>
      </c>
      <c r="AQ52" s="8" t="s">
        <v>51</v>
      </c>
      <c r="AR52" s="8" t="str">
        <f>"CPA Traspaso de Fondos Bco. BCI 648 a Bco. BICE "&amp;TEXT(AO52,"dd-mm-aaa")</f>
        <v>CPA Traspaso de Fondos Bco. BCI 648 a Bco. BICE 26-06-2024</v>
      </c>
      <c r="AS52" s="16">
        <f>+AL27</f>
        <v>0</v>
      </c>
      <c r="AT52" s="17"/>
      <c r="BA52" s="15">
        <v>45469</v>
      </c>
      <c r="BB52" s="8">
        <v>211101</v>
      </c>
      <c r="BC52" s="8" t="s">
        <v>18</v>
      </c>
      <c r="BD52" s="8" t="str">
        <f>"CPA Pago Operaciones Locales BCI OP 648 "&amp;TEXT(BA52,"dd-mm-aaa")</f>
        <v>CPA Pago Operaciones Locales BCI OP 648 26-06-2024</v>
      </c>
      <c r="BE52" s="16">
        <f>+AX27</f>
        <v>0</v>
      </c>
      <c r="BF52" s="17"/>
      <c r="BN52" s="15">
        <v>45469</v>
      </c>
      <c r="BO52" s="8">
        <v>110209</v>
      </c>
      <c r="BP52" s="8" t="s">
        <v>55</v>
      </c>
      <c r="BQ52" s="8" t="str">
        <f>"CPA Fondeo BCI OP 648 a BCI ADM 656 "&amp;TEXT(BN52,"dd-mm-aaa")</f>
        <v>CPA Fondeo BCI OP 648 a BCI ADM 656 26-06-2024</v>
      </c>
      <c r="BR52" s="16">
        <f>+BK27</f>
        <v>0</v>
      </c>
      <c r="BS52" s="17"/>
    </row>
    <row r="53" spans="5:71" x14ac:dyDescent="0.25">
      <c r="E53" s="11"/>
      <c r="F53" s="12">
        <v>211101</v>
      </c>
      <c r="G53" s="12" t="s">
        <v>18</v>
      </c>
      <c r="H53" s="12" t="str">
        <f>H52</f>
        <v>CPA Recaudación Clientes BCI OP 648 26-06-2024</v>
      </c>
      <c r="I53" s="13"/>
      <c r="J53" s="18">
        <f>I52</f>
        <v>0</v>
      </c>
      <c r="Q53" s="11"/>
      <c r="R53" s="12">
        <v>211101</v>
      </c>
      <c r="S53" s="12" t="s">
        <v>18</v>
      </c>
      <c r="T53" s="12" t="str">
        <f>T52</f>
        <v>CPA Abonos operaciones rechazadas BCI OP 648 26-06-2024</v>
      </c>
      <c r="U53" s="13"/>
      <c r="V53" s="18">
        <f>U52</f>
        <v>0</v>
      </c>
      <c r="AC53" s="11"/>
      <c r="AD53" s="12">
        <v>110209</v>
      </c>
      <c r="AE53" s="12" t="s">
        <v>55</v>
      </c>
      <c r="AF53" s="12" t="str">
        <f>AF52</f>
        <v>CPA Fondeo BCI ADM 656 a BCI OP 648 26-06-2024</v>
      </c>
      <c r="AG53" s="13"/>
      <c r="AH53" s="18">
        <f>AG52</f>
        <v>0</v>
      </c>
      <c r="AO53" s="11"/>
      <c r="AP53" s="12">
        <v>110208</v>
      </c>
      <c r="AQ53" s="12" t="s">
        <v>46</v>
      </c>
      <c r="AR53" s="12" t="str">
        <f>AR52</f>
        <v>CPA Traspaso de Fondos Bco. BCI 648 a Bco. BICE 26-06-2024</v>
      </c>
      <c r="AS53" s="13"/>
      <c r="AT53" s="18">
        <f>AS52</f>
        <v>0</v>
      </c>
      <c r="BA53" s="11"/>
      <c r="BB53" s="12">
        <v>110208</v>
      </c>
      <c r="BC53" s="12" t="s">
        <v>46</v>
      </c>
      <c r="BD53" s="12" t="str">
        <f>BD52</f>
        <v>CPA Pago Operaciones Locales BCI OP 648 26-06-2024</v>
      </c>
      <c r="BE53" s="13"/>
      <c r="BF53" s="18">
        <f>BE52</f>
        <v>0</v>
      </c>
      <c r="BN53" s="11"/>
      <c r="BO53" s="12">
        <v>110208</v>
      </c>
      <c r="BP53" s="12" t="s">
        <v>46</v>
      </c>
      <c r="BQ53" s="12" t="str">
        <f>BQ52</f>
        <v>CPA Fondeo BCI OP 648 a BCI ADM 656 26-06-2024</v>
      </c>
      <c r="BR53" s="13"/>
      <c r="BS53" s="18">
        <f t="shared" ref="BS53" si="24">BR52</f>
        <v>0</v>
      </c>
    </row>
    <row r="54" spans="5:71" x14ac:dyDescent="0.25">
      <c r="E54" s="15">
        <v>45470</v>
      </c>
      <c r="F54" s="8">
        <v>110208</v>
      </c>
      <c r="G54" s="8" t="s">
        <v>46</v>
      </c>
      <c r="H54" s="8" t="str">
        <f>"CPA Recaudación Clientes BCI OP 648 "&amp;TEXT(E54,"dd-mm-aaa")</f>
        <v>CPA Recaudación Clientes BCI OP 648 27-06-2024</v>
      </c>
      <c r="I54" s="16">
        <f>+B28</f>
        <v>0</v>
      </c>
      <c r="J54" s="17"/>
      <c r="Q54" s="15">
        <v>45470</v>
      </c>
      <c r="R54" s="8">
        <v>110208</v>
      </c>
      <c r="S54" s="8" t="s">
        <v>46</v>
      </c>
      <c r="T54" s="8" t="str">
        <f>"CPA Abonos operaciones rechazadas BCI OP 648 "&amp;TEXT(Q54,"dd-mm-aaa")</f>
        <v>CPA Abonos operaciones rechazadas BCI OP 648 27-06-2024</v>
      </c>
      <c r="U54" s="16">
        <f>+N28</f>
        <v>0</v>
      </c>
      <c r="V54" s="17"/>
      <c r="AC54" s="15">
        <v>45470</v>
      </c>
      <c r="AD54" s="8">
        <v>110208</v>
      </c>
      <c r="AE54" s="8" t="s">
        <v>46</v>
      </c>
      <c r="AF54" s="8" t="str">
        <f>"CPA Fondeo BCI ADM 656 a BCI OP 648 "&amp;TEXT(AC54,"dd-mm-aaa")</f>
        <v>CPA Fondeo BCI ADM 656 a BCI OP 648 27-06-2024</v>
      </c>
      <c r="AG54" s="16">
        <f>+Z28</f>
        <v>0</v>
      </c>
      <c r="AH54" s="17"/>
      <c r="AO54" s="15">
        <v>45470</v>
      </c>
      <c r="AP54" s="8">
        <v>110204</v>
      </c>
      <c r="AQ54" s="8" t="s">
        <v>51</v>
      </c>
      <c r="AR54" s="8" t="str">
        <f>"CPA Traspaso de Fondos Bco. BCI 648 a Bco. BICE "&amp;TEXT(AO54,"dd-mm-aaa")</f>
        <v>CPA Traspaso de Fondos Bco. BCI 648 a Bco. BICE 27-06-2024</v>
      </c>
      <c r="AS54" s="16">
        <f>+AL28</f>
        <v>0</v>
      </c>
      <c r="AT54" s="17"/>
      <c r="BA54" s="15">
        <v>45470</v>
      </c>
      <c r="BB54" s="8">
        <v>211101</v>
      </c>
      <c r="BC54" s="8" t="s">
        <v>18</v>
      </c>
      <c r="BD54" s="8" t="str">
        <f>"CPA Pago Operaciones Locales BCI OP 648 "&amp;TEXT(BA54,"dd-mm-aaa")</f>
        <v>CPA Pago Operaciones Locales BCI OP 648 27-06-2024</v>
      </c>
      <c r="BE54" s="16">
        <f>+AX28</f>
        <v>0</v>
      </c>
      <c r="BF54" s="17"/>
      <c r="BN54" s="15">
        <v>45470</v>
      </c>
      <c r="BO54" s="8">
        <v>110209</v>
      </c>
      <c r="BP54" s="8" t="s">
        <v>55</v>
      </c>
      <c r="BQ54" s="8" t="str">
        <f>"CPA Fondeo BCI OP 648 a BCI ADM 656 "&amp;TEXT(BN54,"dd-mm-aaa")</f>
        <v>CPA Fondeo BCI OP 648 a BCI ADM 656 27-06-2024</v>
      </c>
      <c r="BR54" s="16">
        <f>+BK28</f>
        <v>0</v>
      </c>
      <c r="BS54" s="17"/>
    </row>
    <row r="55" spans="5:71" x14ac:dyDescent="0.25">
      <c r="E55" s="11"/>
      <c r="F55" s="12">
        <v>211101</v>
      </c>
      <c r="G55" s="12" t="s">
        <v>18</v>
      </c>
      <c r="H55" s="12" t="str">
        <f>H54</f>
        <v>CPA Recaudación Clientes BCI OP 648 27-06-2024</v>
      </c>
      <c r="I55" s="13"/>
      <c r="J55" s="18">
        <f>I54</f>
        <v>0</v>
      </c>
      <c r="Q55" s="11"/>
      <c r="R55" s="12">
        <v>211101</v>
      </c>
      <c r="S55" s="12" t="s">
        <v>18</v>
      </c>
      <c r="T55" s="12" t="str">
        <f>T54</f>
        <v>CPA Abonos operaciones rechazadas BCI OP 648 27-06-2024</v>
      </c>
      <c r="U55" s="13"/>
      <c r="V55" s="18">
        <f>U54</f>
        <v>0</v>
      </c>
      <c r="AC55" s="11"/>
      <c r="AD55" s="12">
        <v>110209</v>
      </c>
      <c r="AE55" s="12" t="s">
        <v>55</v>
      </c>
      <c r="AF55" s="12" t="str">
        <f>AF54</f>
        <v>CPA Fondeo BCI ADM 656 a BCI OP 648 27-06-2024</v>
      </c>
      <c r="AG55" s="13"/>
      <c r="AH55" s="18">
        <f>AG54</f>
        <v>0</v>
      </c>
      <c r="AO55" s="11"/>
      <c r="AP55" s="12">
        <v>110208</v>
      </c>
      <c r="AQ55" s="12" t="s">
        <v>46</v>
      </c>
      <c r="AR55" s="12" t="str">
        <f>AR54</f>
        <v>CPA Traspaso de Fondos Bco. BCI 648 a Bco. BICE 27-06-2024</v>
      </c>
      <c r="AS55" s="13"/>
      <c r="AT55" s="18">
        <f>AS54</f>
        <v>0</v>
      </c>
      <c r="BA55" s="11"/>
      <c r="BB55" s="12">
        <v>110208</v>
      </c>
      <c r="BC55" s="12" t="s">
        <v>46</v>
      </c>
      <c r="BD55" s="12" t="str">
        <f>BD54</f>
        <v>CPA Pago Operaciones Locales BCI OP 648 27-06-2024</v>
      </c>
      <c r="BE55" s="13"/>
      <c r="BF55" s="18">
        <f>BE54</f>
        <v>0</v>
      </c>
      <c r="BN55" s="11"/>
      <c r="BO55" s="12">
        <v>110208</v>
      </c>
      <c r="BP55" s="12" t="s">
        <v>46</v>
      </c>
      <c r="BQ55" s="12" t="str">
        <f>BQ54</f>
        <v>CPA Fondeo BCI OP 648 a BCI ADM 656 27-06-2024</v>
      </c>
      <c r="BR55" s="13"/>
      <c r="BS55" s="18">
        <f t="shared" ref="BS55" si="25">BR54</f>
        <v>0</v>
      </c>
    </row>
    <row r="56" spans="5:71" x14ac:dyDescent="0.25">
      <c r="E56" s="15">
        <v>45471</v>
      </c>
      <c r="F56" s="8">
        <v>110208</v>
      </c>
      <c r="G56" s="8" t="s">
        <v>46</v>
      </c>
      <c r="H56" s="8" t="str">
        <f>"CPA Recaudación Clientes BCI OP 648 "&amp;TEXT(E56,"dd-mm-aaa")</f>
        <v>CPA Recaudación Clientes BCI OP 648 28-06-2024</v>
      </c>
      <c r="I56" s="16">
        <f>+B29</f>
        <v>0</v>
      </c>
      <c r="J56" s="17"/>
      <c r="Q56" s="15">
        <v>45471</v>
      </c>
      <c r="R56" s="8">
        <v>110208</v>
      </c>
      <c r="S56" s="8" t="s">
        <v>46</v>
      </c>
      <c r="T56" s="8" t="str">
        <f>"CPA Abonos operaciones rechazadas BCI OP 648 "&amp;TEXT(Q56,"dd-mm-aaa")</f>
        <v>CPA Abonos operaciones rechazadas BCI OP 648 28-06-2024</v>
      </c>
      <c r="U56" s="16">
        <f>+N29</f>
        <v>0</v>
      </c>
      <c r="V56" s="17"/>
      <c r="AC56" s="15">
        <v>45471</v>
      </c>
      <c r="AD56" s="8">
        <v>110208</v>
      </c>
      <c r="AE56" s="8" t="s">
        <v>46</v>
      </c>
      <c r="AF56" s="8" t="str">
        <f>"CPA Fondeo BCI ADM 656 a BCI OP 648 "&amp;TEXT(AC56,"dd-mm-aaa")</f>
        <v>CPA Fondeo BCI ADM 656 a BCI OP 648 28-06-2024</v>
      </c>
      <c r="AG56" s="16">
        <f>+Z29</f>
        <v>0</v>
      </c>
      <c r="AH56" s="17"/>
      <c r="AO56" s="15">
        <v>45471</v>
      </c>
      <c r="AP56" s="8">
        <v>110204</v>
      </c>
      <c r="AQ56" s="8" t="s">
        <v>51</v>
      </c>
      <c r="AR56" s="8" t="str">
        <f>"CPA Traspaso de Fondos Bco. BCI 648 a Bco. BICE "&amp;TEXT(AO56,"dd-mm-aaa")</f>
        <v>CPA Traspaso de Fondos Bco. BCI 648 a Bco. BICE 28-06-2024</v>
      </c>
      <c r="AS56" s="16">
        <f>+AL29</f>
        <v>0</v>
      </c>
      <c r="AT56" s="17"/>
      <c r="BA56" s="15">
        <v>45471</v>
      </c>
      <c r="BB56" s="8">
        <v>211101</v>
      </c>
      <c r="BC56" s="8" t="s">
        <v>18</v>
      </c>
      <c r="BD56" s="8" t="str">
        <f>"CPA Pago Operaciones Locales BCI OP 648 "&amp;TEXT(BA56,"dd-mm-aaa")</f>
        <v>CPA Pago Operaciones Locales BCI OP 648 28-06-2024</v>
      </c>
      <c r="BE56" s="16">
        <f>+AX29</f>
        <v>0</v>
      </c>
      <c r="BF56" s="17"/>
      <c r="BN56" s="15">
        <v>45471</v>
      </c>
      <c r="BO56" s="8">
        <v>110209</v>
      </c>
      <c r="BP56" s="8" t="s">
        <v>55</v>
      </c>
      <c r="BQ56" s="8" t="str">
        <f>"CPA Fondeo BCI OP 648 a BCI ADM 656 "&amp;TEXT(BN56,"dd-mm-aaa")</f>
        <v>CPA Fondeo BCI OP 648 a BCI ADM 656 28-06-2024</v>
      </c>
      <c r="BR56" s="16">
        <f>+BK29</f>
        <v>0</v>
      </c>
      <c r="BS56" s="17"/>
    </row>
    <row r="57" spans="5:71" x14ac:dyDescent="0.25">
      <c r="E57" s="11"/>
      <c r="F57" s="12">
        <v>211101</v>
      </c>
      <c r="G57" s="12" t="s">
        <v>18</v>
      </c>
      <c r="H57" s="12" t="str">
        <f>H56</f>
        <v>CPA Recaudación Clientes BCI OP 648 28-06-2024</v>
      </c>
      <c r="I57" s="13"/>
      <c r="J57" s="18">
        <f>I56</f>
        <v>0</v>
      </c>
      <c r="Q57" s="11"/>
      <c r="R57" s="12">
        <v>211101</v>
      </c>
      <c r="S57" s="12" t="s">
        <v>18</v>
      </c>
      <c r="T57" s="12" t="str">
        <f>T56</f>
        <v>CPA Abonos operaciones rechazadas BCI OP 648 28-06-2024</v>
      </c>
      <c r="U57" s="13"/>
      <c r="V57" s="18">
        <f>U56</f>
        <v>0</v>
      </c>
      <c r="AC57" s="11"/>
      <c r="AD57" s="12">
        <v>110209</v>
      </c>
      <c r="AE57" s="12" t="s">
        <v>55</v>
      </c>
      <c r="AF57" s="12" t="str">
        <f>AF56</f>
        <v>CPA Fondeo BCI ADM 656 a BCI OP 648 28-06-2024</v>
      </c>
      <c r="AG57" s="13"/>
      <c r="AH57" s="18">
        <f>AG56</f>
        <v>0</v>
      </c>
      <c r="AO57" s="11"/>
      <c r="AP57" s="12">
        <v>110208</v>
      </c>
      <c r="AQ57" s="12" t="s">
        <v>46</v>
      </c>
      <c r="AR57" s="12" t="str">
        <f>AR56</f>
        <v>CPA Traspaso de Fondos Bco. BCI 648 a Bco. BICE 28-06-2024</v>
      </c>
      <c r="AS57" s="13"/>
      <c r="AT57" s="18">
        <f>AS56</f>
        <v>0</v>
      </c>
      <c r="BA57" s="11"/>
      <c r="BB57" s="12">
        <v>110208</v>
      </c>
      <c r="BC57" s="12" t="s">
        <v>46</v>
      </c>
      <c r="BD57" s="12" t="str">
        <f>BD56</f>
        <v>CPA Pago Operaciones Locales BCI OP 648 28-06-2024</v>
      </c>
      <c r="BE57" s="13"/>
      <c r="BF57" s="18">
        <f>BE56</f>
        <v>0</v>
      </c>
      <c r="BN57" s="11"/>
      <c r="BO57" s="12">
        <v>110208</v>
      </c>
      <c r="BP57" s="12" t="s">
        <v>46</v>
      </c>
      <c r="BQ57" s="12" t="str">
        <f>BQ56</f>
        <v>CPA Fondeo BCI OP 648 a BCI ADM 656 28-06-2024</v>
      </c>
      <c r="BR57" s="13"/>
      <c r="BS57" s="18">
        <f t="shared" ref="BS57" si="26">BR56</f>
        <v>0</v>
      </c>
    </row>
    <row r="58" spans="5:71" x14ac:dyDescent="0.25">
      <c r="E58" s="15">
        <v>45472</v>
      </c>
      <c r="F58" s="8">
        <v>110208</v>
      </c>
      <c r="G58" s="8" t="s">
        <v>46</v>
      </c>
      <c r="H58" s="8" t="str">
        <f>"CPA Recaudación Clientes BCI OP 648 "&amp;TEXT(E58,"dd-mm-aaa")</f>
        <v>CPA Recaudación Clientes BCI OP 648 29-06-2024</v>
      </c>
      <c r="I58" s="16">
        <f>+B30</f>
        <v>0</v>
      </c>
      <c r="J58" s="17"/>
      <c r="Q58" s="15">
        <v>45472</v>
      </c>
      <c r="R58" s="8">
        <v>110208</v>
      </c>
      <c r="S58" s="8" t="s">
        <v>46</v>
      </c>
      <c r="T58" s="8" t="str">
        <f>"CPA Abonos operaciones rechazadas BCI OP 648 "&amp;TEXT(Q58,"dd-mm-aaa")</f>
        <v>CPA Abonos operaciones rechazadas BCI OP 648 29-06-2024</v>
      </c>
      <c r="U58" s="16">
        <f>+N30</f>
        <v>0</v>
      </c>
      <c r="V58" s="17"/>
      <c r="AC58" s="15">
        <v>45472</v>
      </c>
      <c r="AD58" s="8">
        <v>110208</v>
      </c>
      <c r="AE58" s="8" t="s">
        <v>46</v>
      </c>
      <c r="AF58" s="8" t="str">
        <f>"CPA Fondeo BCI ADM 656 a BCI OP 648 "&amp;TEXT(AC58,"dd-mm-aaa")</f>
        <v>CPA Fondeo BCI ADM 656 a BCI OP 648 29-06-2024</v>
      </c>
      <c r="AG58" s="16">
        <f>+Z30</f>
        <v>0</v>
      </c>
      <c r="AH58" s="17"/>
      <c r="AO58" s="15">
        <v>45472</v>
      </c>
      <c r="AP58" s="8">
        <v>110204</v>
      </c>
      <c r="AQ58" s="8" t="s">
        <v>51</v>
      </c>
      <c r="AR58" s="8" t="str">
        <f>"CPA Traspaso de Fondos Bco. BCI 648 a Bco. BICE "&amp;TEXT(AO58,"dd-mm-aaa")</f>
        <v>CPA Traspaso de Fondos Bco. BCI 648 a Bco. BICE 29-06-2024</v>
      </c>
      <c r="AS58" s="16">
        <f>+AL30</f>
        <v>0</v>
      </c>
      <c r="AT58" s="17"/>
      <c r="BA58" s="15">
        <v>45472</v>
      </c>
      <c r="BB58" s="8">
        <v>211101</v>
      </c>
      <c r="BC58" s="8" t="s">
        <v>18</v>
      </c>
      <c r="BD58" s="8" t="str">
        <f>"CPA Pago Operaciones Locales BCI OP 648 "&amp;TEXT(BA58,"dd-mm-aaa")</f>
        <v>CPA Pago Operaciones Locales BCI OP 648 29-06-2024</v>
      </c>
      <c r="BE58" s="16">
        <f>+AX30</f>
        <v>0</v>
      </c>
      <c r="BF58" s="17"/>
      <c r="BN58" s="15">
        <v>45472</v>
      </c>
      <c r="BO58" s="8">
        <v>110209</v>
      </c>
      <c r="BP58" s="8" t="s">
        <v>55</v>
      </c>
      <c r="BQ58" s="8" t="str">
        <f>"CPA Fondeo BCI OP 648 a BCI ADM 656 "&amp;TEXT(BN58,"dd-mm-aaa")</f>
        <v>CPA Fondeo BCI OP 648 a BCI ADM 656 29-06-2024</v>
      </c>
      <c r="BR58" s="16">
        <f>+BK30</f>
        <v>0</v>
      </c>
      <c r="BS58" s="17"/>
    </row>
    <row r="59" spans="5:71" x14ac:dyDescent="0.25">
      <c r="E59" s="11"/>
      <c r="F59" s="12">
        <v>211101</v>
      </c>
      <c r="G59" s="12" t="s">
        <v>18</v>
      </c>
      <c r="H59" s="12" t="str">
        <f>H58</f>
        <v>CPA Recaudación Clientes BCI OP 648 29-06-2024</v>
      </c>
      <c r="I59" s="13"/>
      <c r="J59" s="18">
        <f>I58</f>
        <v>0</v>
      </c>
      <c r="Q59" s="11"/>
      <c r="R59" s="12">
        <v>211101</v>
      </c>
      <c r="S59" s="12" t="s">
        <v>18</v>
      </c>
      <c r="T59" s="12" t="str">
        <f>T58</f>
        <v>CPA Abonos operaciones rechazadas BCI OP 648 29-06-2024</v>
      </c>
      <c r="U59" s="13"/>
      <c r="V59" s="18">
        <f>U58</f>
        <v>0</v>
      </c>
      <c r="AC59" s="11"/>
      <c r="AD59" s="12">
        <v>110209</v>
      </c>
      <c r="AE59" s="12" t="s">
        <v>55</v>
      </c>
      <c r="AF59" s="12" t="str">
        <f>AF58</f>
        <v>CPA Fondeo BCI ADM 656 a BCI OP 648 29-06-2024</v>
      </c>
      <c r="AG59" s="13"/>
      <c r="AH59" s="18">
        <f>AG58</f>
        <v>0</v>
      </c>
      <c r="AO59" s="11"/>
      <c r="AP59" s="12">
        <v>110208</v>
      </c>
      <c r="AQ59" s="12" t="s">
        <v>46</v>
      </c>
      <c r="AR59" s="12" t="str">
        <f>AR58</f>
        <v>CPA Traspaso de Fondos Bco. BCI 648 a Bco. BICE 29-06-2024</v>
      </c>
      <c r="AS59" s="13"/>
      <c r="AT59" s="18">
        <f>AS58</f>
        <v>0</v>
      </c>
      <c r="BA59" s="11"/>
      <c r="BB59" s="12">
        <v>110208</v>
      </c>
      <c r="BC59" s="12" t="s">
        <v>46</v>
      </c>
      <c r="BD59" s="12" t="str">
        <f>BD58</f>
        <v>CPA Pago Operaciones Locales BCI OP 648 29-06-2024</v>
      </c>
      <c r="BE59" s="13"/>
      <c r="BF59" s="18">
        <f>BE58</f>
        <v>0</v>
      </c>
      <c r="BN59" s="11"/>
      <c r="BO59" s="12">
        <v>110208</v>
      </c>
      <c r="BP59" s="12" t="s">
        <v>46</v>
      </c>
      <c r="BQ59" s="12" t="str">
        <f>BQ58</f>
        <v>CPA Fondeo BCI OP 648 a BCI ADM 656 29-06-2024</v>
      </c>
      <c r="BR59" s="13"/>
      <c r="BS59" s="18">
        <f t="shared" ref="BS59" si="27">BR58</f>
        <v>0</v>
      </c>
    </row>
    <row r="60" spans="5:71" x14ac:dyDescent="0.25">
      <c r="E60" s="15">
        <v>45473</v>
      </c>
      <c r="F60" s="8">
        <v>110208</v>
      </c>
      <c r="G60" s="8" t="s">
        <v>46</v>
      </c>
      <c r="H60" s="8" t="str">
        <f>"CPA Recaudación Clientes BCI OP 648 "&amp;TEXT(E60,"dd-mm-aaa")</f>
        <v>CPA Recaudación Clientes BCI OP 648 30-06-2024</v>
      </c>
      <c r="I60" s="16">
        <f>+B31</f>
        <v>0</v>
      </c>
      <c r="J60" s="17"/>
      <c r="Q60" s="15">
        <v>45473</v>
      </c>
      <c r="R60" s="8">
        <v>110208</v>
      </c>
      <c r="S60" s="8" t="s">
        <v>46</v>
      </c>
      <c r="T60" s="8" t="str">
        <f>"CPA Abonos operaciones rechazadas BCI OP 648 "&amp;TEXT(Q60,"dd-mm-aaa")</f>
        <v>CPA Abonos operaciones rechazadas BCI OP 648 30-06-2024</v>
      </c>
      <c r="U60" s="16">
        <f>+N31</f>
        <v>0</v>
      </c>
      <c r="V60" s="17"/>
      <c r="AC60" s="15">
        <v>45473</v>
      </c>
      <c r="AD60" s="8">
        <v>110208</v>
      </c>
      <c r="AE60" s="8" t="s">
        <v>46</v>
      </c>
      <c r="AF60" s="8" t="str">
        <f>"CPA Fondeo BCI ADM 656 a BCI OP 648 "&amp;TEXT(AC60,"dd-mm-aaa")</f>
        <v>CPA Fondeo BCI ADM 656 a BCI OP 648 30-06-2024</v>
      </c>
      <c r="AG60" s="16">
        <f>+Z31</f>
        <v>0</v>
      </c>
      <c r="AH60" s="17"/>
      <c r="AO60" s="15">
        <v>45473</v>
      </c>
      <c r="AP60" s="8">
        <v>110204</v>
      </c>
      <c r="AQ60" s="8" t="s">
        <v>51</v>
      </c>
      <c r="AR60" s="8" t="str">
        <f>"CPA Traspaso de Fondos Bco. BCI 648 a Bco. BICE "&amp;TEXT(AO60,"dd-mm-aaa")</f>
        <v>CPA Traspaso de Fondos Bco. BCI 648 a Bco. BICE 30-06-2024</v>
      </c>
      <c r="AS60" s="16">
        <f>+AL31</f>
        <v>0</v>
      </c>
      <c r="AT60" s="17"/>
      <c r="BA60" s="15">
        <v>45473</v>
      </c>
      <c r="BB60" s="8">
        <v>211101</v>
      </c>
      <c r="BC60" s="8" t="s">
        <v>18</v>
      </c>
      <c r="BD60" s="8" t="str">
        <f>"CPA Pago Operaciones Locales BCI OP 648 "&amp;TEXT(BA60,"dd-mm-aaa")</f>
        <v>CPA Pago Operaciones Locales BCI OP 648 30-06-2024</v>
      </c>
      <c r="BE60" s="16">
        <f>+AX31</f>
        <v>0</v>
      </c>
      <c r="BF60" s="17"/>
      <c r="BN60" s="15">
        <v>45473</v>
      </c>
      <c r="BO60" s="8">
        <v>110209</v>
      </c>
      <c r="BP60" s="8" t="s">
        <v>55</v>
      </c>
      <c r="BQ60" s="8" t="str">
        <f>"CPA Fondeo BCI OP 648 a BCI ADM 656 "&amp;TEXT(BN60,"dd-mm-aaa")</f>
        <v>CPA Fondeo BCI OP 648 a BCI ADM 656 30-06-2024</v>
      </c>
      <c r="BR60" s="16">
        <f>+BK31</f>
        <v>0</v>
      </c>
      <c r="BS60" s="17"/>
    </row>
    <row r="61" spans="5:71" x14ac:dyDescent="0.25">
      <c r="E61" s="11"/>
      <c r="F61" s="12">
        <v>211101</v>
      </c>
      <c r="G61" s="12" t="s">
        <v>18</v>
      </c>
      <c r="H61" s="12" t="str">
        <f>H60</f>
        <v>CPA Recaudación Clientes BCI OP 648 30-06-2024</v>
      </c>
      <c r="I61" s="13"/>
      <c r="J61" s="18">
        <f>I60</f>
        <v>0</v>
      </c>
      <c r="Q61" s="11"/>
      <c r="R61" s="12">
        <v>211101</v>
      </c>
      <c r="S61" s="12" t="s">
        <v>18</v>
      </c>
      <c r="T61" s="12" t="str">
        <f>T60</f>
        <v>CPA Abonos operaciones rechazadas BCI OP 648 30-06-2024</v>
      </c>
      <c r="U61" s="13"/>
      <c r="V61" s="18">
        <f>U60</f>
        <v>0</v>
      </c>
      <c r="AC61" s="11"/>
      <c r="AD61" s="12">
        <v>110209</v>
      </c>
      <c r="AE61" s="12" t="s">
        <v>55</v>
      </c>
      <c r="AF61" s="12" t="str">
        <f>AF60</f>
        <v>CPA Fondeo BCI ADM 656 a BCI OP 648 30-06-2024</v>
      </c>
      <c r="AG61" s="13"/>
      <c r="AH61" s="18">
        <f>AG60</f>
        <v>0</v>
      </c>
      <c r="AO61" s="11"/>
      <c r="AP61" s="12">
        <v>110208</v>
      </c>
      <c r="AQ61" s="12" t="s">
        <v>46</v>
      </c>
      <c r="AR61" s="12" t="str">
        <f>AR60</f>
        <v>CPA Traspaso de Fondos Bco. BCI 648 a Bco. BICE 30-06-2024</v>
      </c>
      <c r="AS61" s="13"/>
      <c r="AT61" s="18">
        <f>AS60</f>
        <v>0</v>
      </c>
      <c r="BA61" s="11"/>
      <c r="BB61" s="12">
        <v>110208</v>
      </c>
      <c r="BC61" s="12" t="s">
        <v>46</v>
      </c>
      <c r="BD61" s="12" t="str">
        <f>BD60</f>
        <v>CPA Pago Operaciones Locales BCI OP 648 30-06-2024</v>
      </c>
      <c r="BE61" s="13"/>
      <c r="BF61" s="18">
        <f>BE60</f>
        <v>0</v>
      </c>
      <c r="BN61" s="11"/>
      <c r="BO61" s="12">
        <v>110208</v>
      </c>
      <c r="BP61" s="12" t="s">
        <v>46</v>
      </c>
      <c r="BQ61" s="12" t="str">
        <f>BQ60</f>
        <v>CPA Fondeo BCI OP 648 a BCI ADM 656 30-06-2024</v>
      </c>
      <c r="BR61" s="13"/>
      <c r="BS61" s="18">
        <f t="shared" ref="BS61" si="28">BR60</f>
        <v>0</v>
      </c>
    </row>
    <row r="62" spans="5:71" x14ac:dyDescent="0.25">
      <c r="E62" s="15" t="s">
        <v>161</v>
      </c>
      <c r="F62" s="8">
        <v>110208</v>
      </c>
      <c r="G62" s="8" t="s">
        <v>46</v>
      </c>
      <c r="H62" s="8" t="str">
        <f>"CPA Recaudación Clientes BCI OP 648 "&amp;TEXT(E62,"dd-mm-aaa")</f>
        <v>CPA Recaudación Clientes BCI OP 648 31/06/2024</v>
      </c>
      <c r="I62" s="16">
        <f>+B32</f>
        <v>0</v>
      </c>
      <c r="J62" s="17"/>
      <c r="Q62" s="15" t="s">
        <v>161</v>
      </c>
      <c r="R62" s="8">
        <v>110208</v>
      </c>
      <c r="S62" s="8" t="s">
        <v>46</v>
      </c>
      <c r="T62" s="8" t="str">
        <f>"CPA Abonos operaciones rechazadas BCI OP 648 "&amp;TEXT(Q62,"dd-mm-aaa")</f>
        <v>CPA Abonos operaciones rechazadas BCI OP 648 31/06/2024</v>
      </c>
      <c r="U62" s="16">
        <f>+N32</f>
        <v>0</v>
      </c>
      <c r="V62" s="17"/>
      <c r="AC62" s="15" t="s">
        <v>161</v>
      </c>
      <c r="AD62" s="8">
        <v>110208</v>
      </c>
      <c r="AE62" s="8" t="s">
        <v>46</v>
      </c>
      <c r="AF62" s="8" t="str">
        <f>"CPA Fondeo BCI ADM 656 a BCI OP 648 "&amp;TEXT(AC62,"dd-mm-aaa")</f>
        <v>CPA Fondeo BCI ADM 656 a BCI OP 648 31/06/2024</v>
      </c>
      <c r="AG62" s="16">
        <f>+Z32</f>
        <v>0</v>
      </c>
      <c r="AH62" s="17"/>
      <c r="AO62" s="15" t="s">
        <v>161</v>
      </c>
      <c r="AP62" s="8">
        <v>110204</v>
      </c>
      <c r="AQ62" s="8" t="s">
        <v>51</v>
      </c>
      <c r="AR62" s="8" t="str">
        <f>"CPA Traspaso de Fondos Bco. BCI 648 a Bco. BICE "&amp;TEXT(AO62,"dd-mm-aaa")</f>
        <v>CPA Traspaso de Fondos Bco. BCI 648 a Bco. BICE 31/06/2024</v>
      </c>
      <c r="AS62" s="16">
        <f>+AL32</f>
        <v>0</v>
      </c>
      <c r="AT62" s="17"/>
      <c r="BA62" s="15" t="s">
        <v>161</v>
      </c>
      <c r="BB62" s="8">
        <v>211101</v>
      </c>
      <c r="BC62" s="8" t="s">
        <v>18</v>
      </c>
      <c r="BD62" s="8" t="str">
        <f>"CPA Pago Operaciones Locales BCI OP 648 "&amp;TEXT(BA62,"dd-mm-aaa")</f>
        <v>CPA Pago Operaciones Locales BCI OP 648 31/06/2024</v>
      </c>
      <c r="BE62" s="16">
        <f>+AX32</f>
        <v>0</v>
      </c>
      <c r="BF62" s="17"/>
      <c r="BN62" s="15" t="s">
        <v>161</v>
      </c>
      <c r="BO62" s="8">
        <v>110209</v>
      </c>
      <c r="BP62" s="8" t="s">
        <v>55</v>
      </c>
      <c r="BQ62" s="8" t="str">
        <f>"CPA Fondeo BCI OP 648 a BCI ADM 656 "&amp;TEXT(BN62,"dd-mm-aaa")</f>
        <v>CPA Fondeo BCI OP 648 a BCI ADM 656 31/06/2024</v>
      </c>
      <c r="BR62" s="16">
        <f>+BK32</f>
        <v>0</v>
      </c>
      <c r="BS62" s="17"/>
    </row>
    <row r="63" spans="5:71" x14ac:dyDescent="0.25">
      <c r="E63" s="11"/>
      <c r="F63" s="12">
        <v>211101</v>
      </c>
      <c r="G63" s="12" t="s">
        <v>18</v>
      </c>
      <c r="H63" s="12" t="str">
        <f>H62</f>
        <v>CPA Recaudación Clientes BCI OP 648 31/06/2024</v>
      </c>
      <c r="I63" s="13"/>
      <c r="J63" s="18">
        <f>I62</f>
        <v>0</v>
      </c>
      <c r="Q63" s="11"/>
      <c r="R63" s="12">
        <v>211101</v>
      </c>
      <c r="S63" s="12" t="s">
        <v>18</v>
      </c>
      <c r="T63" s="12" t="str">
        <f>T62</f>
        <v>CPA Abonos operaciones rechazadas BCI OP 648 31/06/2024</v>
      </c>
      <c r="U63" s="13"/>
      <c r="V63" s="18">
        <f>U62</f>
        <v>0</v>
      </c>
      <c r="AC63" s="11"/>
      <c r="AD63" s="12">
        <v>110209</v>
      </c>
      <c r="AE63" s="12" t="s">
        <v>55</v>
      </c>
      <c r="AF63" s="12" t="str">
        <f>AF62</f>
        <v>CPA Fondeo BCI ADM 656 a BCI OP 648 31/06/2024</v>
      </c>
      <c r="AG63" s="13"/>
      <c r="AH63" s="18">
        <f>AG62</f>
        <v>0</v>
      </c>
      <c r="AO63" s="11"/>
      <c r="AP63" s="12">
        <v>110208</v>
      </c>
      <c r="AQ63" s="12" t="s">
        <v>46</v>
      </c>
      <c r="AR63" s="12" t="str">
        <f>AR62</f>
        <v>CPA Traspaso de Fondos Bco. BCI 648 a Bco. BICE 31/06/2024</v>
      </c>
      <c r="AS63" s="13"/>
      <c r="AT63" s="18">
        <f>AS62</f>
        <v>0</v>
      </c>
      <c r="BA63" s="11"/>
      <c r="BB63" s="12">
        <v>110208</v>
      </c>
      <c r="BC63" s="12" t="s">
        <v>46</v>
      </c>
      <c r="BD63" s="12" t="str">
        <f>BD62</f>
        <v>CPA Pago Operaciones Locales BCI OP 648 31/06/2024</v>
      </c>
      <c r="BE63" s="13"/>
      <c r="BF63" s="18">
        <f>BE62</f>
        <v>0</v>
      </c>
      <c r="BN63" s="11"/>
      <c r="BO63" s="12">
        <v>110208</v>
      </c>
      <c r="BP63" s="12" t="s">
        <v>46</v>
      </c>
      <c r="BQ63" s="12" t="str">
        <f>BQ62</f>
        <v>CPA Fondeo BCI OP 648 a BCI ADM 656 31/06/2024</v>
      </c>
      <c r="BR63" s="13"/>
      <c r="BS63" s="18">
        <f t="shared" ref="BS63" si="29">BR62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28F1-8873-419C-88A7-D5EEC0FD9004}">
  <dimension ref="A1:BG140"/>
  <sheetViews>
    <sheetView showGridLines="0" zoomScale="98" zoomScaleNormal="98" workbookViewId="0">
      <selection activeCell="BB1" sqref="BB1:BB1048576"/>
    </sheetView>
  </sheetViews>
  <sheetFormatPr baseColWidth="10" defaultRowHeight="15" outlineLevelCol="1" x14ac:dyDescent="0.25"/>
  <cols>
    <col min="1" max="1" width="11.5703125" customWidth="1" outlineLevel="1"/>
    <col min="2" max="2" width="13.5703125" customWidth="1" outlineLevel="1"/>
    <col min="3" max="3" width="13.85546875" customWidth="1" outlineLevel="1"/>
    <col min="4" max="6" width="11.42578125" customWidth="1" outlineLevel="1"/>
    <col min="7" max="7" width="23.140625" customWidth="1" outlineLevel="1"/>
    <col min="8" max="8" width="40.28515625" customWidth="1" outlineLevel="1"/>
    <col min="9" max="9" width="39.140625" customWidth="1" outlineLevel="1"/>
    <col min="10" max="11" width="13.5703125" customWidth="1" outlineLevel="1"/>
    <col min="12" max="12" width="12" bestFit="1" customWidth="1"/>
    <col min="14" max="14" width="11.5703125" customWidth="1" outlineLevel="1"/>
    <col min="15" max="15" width="13.5703125" customWidth="1" outlineLevel="1"/>
    <col min="16" max="16" width="12" customWidth="1" outlineLevel="1"/>
    <col min="17" max="19" width="11.42578125" customWidth="1" outlineLevel="1"/>
    <col min="20" max="20" width="23.140625" customWidth="1" outlineLevel="1"/>
    <col min="21" max="21" width="55" customWidth="1" outlineLevel="1"/>
    <col min="22" max="23" width="13.5703125" customWidth="1" outlineLevel="1"/>
    <col min="26" max="26" width="11.5703125" customWidth="1" outlineLevel="1"/>
    <col min="27" max="27" width="13.5703125" customWidth="1" outlineLevel="1"/>
    <col min="28" max="28" width="12" customWidth="1" outlineLevel="1"/>
    <col min="29" max="31" width="11.42578125" customWidth="1" outlineLevel="1"/>
    <col min="32" max="32" width="23.140625" customWidth="1" outlineLevel="1"/>
    <col min="33" max="33" width="33" customWidth="1" outlineLevel="1"/>
    <col min="34" max="35" width="13.5703125" customWidth="1" outlineLevel="1"/>
    <col min="38" max="38" width="11.5703125" customWidth="1" outlineLevel="1"/>
    <col min="39" max="39" width="13.5703125" customWidth="1" outlineLevel="1"/>
    <col min="40" max="40" width="12" customWidth="1" outlineLevel="1"/>
    <col min="41" max="43" width="11.42578125" customWidth="1" outlineLevel="1"/>
    <col min="44" max="44" width="23.140625" customWidth="1" outlineLevel="1"/>
    <col min="45" max="45" width="37.140625" customWidth="1" outlineLevel="1"/>
    <col min="46" max="47" width="13.5703125" customWidth="1" outlineLevel="1"/>
    <col min="50" max="50" width="11.5703125" customWidth="1" outlineLevel="1"/>
    <col min="51" max="51" width="13.5703125" customWidth="1" outlineLevel="1"/>
    <col min="52" max="52" width="12" customWidth="1" outlineLevel="1"/>
    <col min="53" max="55" width="11.42578125" customWidth="1" outlineLevel="1"/>
    <col min="56" max="56" width="23.140625" customWidth="1" outlineLevel="1"/>
    <col min="57" max="57" width="47.85546875" customWidth="1" outlineLevel="1"/>
    <col min="58" max="59" width="13.5703125" customWidth="1" outlineLevel="1"/>
  </cols>
  <sheetData>
    <row r="1" spans="1:59" x14ac:dyDescent="0.25">
      <c r="A1" s="4" t="s">
        <v>0</v>
      </c>
      <c r="B1" s="4" t="s">
        <v>53</v>
      </c>
      <c r="C1" t="s">
        <v>54</v>
      </c>
      <c r="E1" s="22" t="s">
        <v>0</v>
      </c>
      <c r="F1" s="23"/>
      <c r="G1" s="23"/>
      <c r="H1" s="23" t="s">
        <v>56</v>
      </c>
      <c r="I1" s="23"/>
      <c r="J1" s="23" t="s">
        <v>5</v>
      </c>
      <c r="K1" s="24" t="s">
        <v>6</v>
      </c>
      <c r="N1" s="4" t="s">
        <v>0</v>
      </c>
      <c r="O1" s="4" t="s">
        <v>27</v>
      </c>
      <c r="P1" s="75"/>
      <c r="R1" s="22" t="s">
        <v>0</v>
      </c>
      <c r="S1" s="23"/>
      <c r="T1" s="23"/>
      <c r="U1" s="23"/>
      <c r="V1" s="23" t="s">
        <v>5</v>
      </c>
      <c r="W1" s="24" t="s">
        <v>6</v>
      </c>
      <c r="Z1" s="4" t="s">
        <v>0</v>
      </c>
      <c r="AA1" s="4" t="s">
        <v>27</v>
      </c>
      <c r="AB1" s="75" t="s">
        <v>119</v>
      </c>
      <c r="AD1" s="22" t="s">
        <v>0</v>
      </c>
      <c r="AE1" s="23"/>
      <c r="AF1" s="23"/>
      <c r="AG1" s="23"/>
      <c r="AH1" s="23" t="s">
        <v>5</v>
      </c>
      <c r="AI1" s="24" t="s">
        <v>6</v>
      </c>
      <c r="AL1" s="4" t="s">
        <v>0</v>
      </c>
      <c r="AM1" s="4" t="s">
        <v>27</v>
      </c>
      <c r="AN1" s="75" t="s">
        <v>50</v>
      </c>
      <c r="AP1" s="22" t="s">
        <v>0</v>
      </c>
      <c r="AQ1" s="23"/>
      <c r="AR1" s="23"/>
      <c r="AS1" s="23"/>
      <c r="AT1" s="23" t="s">
        <v>5</v>
      </c>
      <c r="AU1" s="24" t="s">
        <v>6</v>
      </c>
      <c r="AX1" s="4" t="s">
        <v>0</v>
      </c>
      <c r="AY1" s="4" t="s">
        <v>27</v>
      </c>
      <c r="AZ1" s="75" t="s">
        <v>52</v>
      </c>
      <c r="BB1" s="22" t="s">
        <v>0</v>
      </c>
      <c r="BC1" s="23"/>
      <c r="BD1" s="23"/>
      <c r="BE1" s="23"/>
      <c r="BF1" s="23" t="s">
        <v>5</v>
      </c>
      <c r="BG1" s="24" t="s">
        <v>6</v>
      </c>
    </row>
    <row r="2" spans="1:59" x14ac:dyDescent="0.25">
      <c r="A2" s="1">
        <v>45444</v>
      </c>
      <c r="B2" s="26">
        <f>HLOOKUP(A2,Hoja2!$R$2:$AV$12,11,FALSE)</f>
        <v>0</v>
      </c>
      <c r="C2" s="26">
        <v>0</v>
      </c>
      <c r="E2" s="15">
        <v>45444</v>
      </c>
      <c r="F2" s="8">
        <v>110209</v>
      </c>
      <c r="G2" s="8" t="s">
        <v>144</v>
      </c>
      <c r="H2" s="8" t="str">
        <f>"CPA Recaudación por Transbank "&amp;TEXT($E$2,"dd-mm-aaa")</f>
        <v>CPA Recaudación por Transbank 01-06-2024</v>
      </c>
      <c r="I2" s="8" t="str">
        <f>"CPA Recaudación por Transbank "&amp;TEXT(E2,"dd-mm-aaa")</f>
        <v>CPA Recaudación por Transbank 01-06-2024</v>
      </c>
      <c r="J2" s="16">
        <f>+B2</f>
        <v>0</v>
      </c>
      <c r="K2" s="17"/>
      <c r="L2" s="3"/>
      <c r="N2" s="1">
        <v>45444</v>
      </c>
      <c r="O2" s="26"/>
      <c r="P2" s="3"/>
      <c r="R2" s="15">
        <v>45444</v>
      </c>
      <c r="S2" s="8">
        <v>110608</v>
      </c>
      <c r="T2" s="8" t="s">
        <v>62</v>
      </c>
      <c r="U2" t="str">
        <f>"CPA LIQ CORRESPONSAL "&amp;TEXT(R2,"dd-mm-aaa")</f>
        <v>CPA LIQ CORRESPONSAL 01-06-2024</v>
      </c>
      <c r="V2" s="3">
        <f>+O2</f>
        <v>0</v>
      </c>
      <c r="W2" s="10"/>
      <c r="Z2" s="1">
        <v>45444</v>
      </c>
      <c r="AA2" s="26" t="str">
        <f>HLOOKUP(Z2,Hoja2!$R$2:$AV$44,43,FALSE)</f>
        <v>-</v>
      </c>
      <c r="AB2" s="3"/>
      <c r="AD2" s="15">
        <v>45444</v>
      </c>
      <c r="AE2" s="8">
        <v>110213</v>
      </c>
      <c r="AF2" s="8" t="s">
        <v>120</v>
      </c>
      <c r="AG2" t="str">
        <f>"CPA Fondeo WALLET CLP "&amp;TEXT(AD2,"dd-mm-aaa")</f>
        <v>CPA Fondeo WALLET CLP 01-06-2024</v>
      </c>
      <c r="AH2" s="3" t="str">
        <f>+AA2</f>
        <v>-</v>
      </c>
      <c r="AI2" s="10"/>
      <c r="AL2" s="1">
        <v>45444</v>
      </c>
      <c r="AM2" s="26"/>
      <c r="AN2" s="3"/>
      <c r="AP2" s="15">
        <v>45444</v>
      </c>
      <c r="AQ2">
        <v>110204</v>
      </c>
      <c r="AR2" t="s">
        <v>51</v>
      </c>
      <c r="AS2" t="str">
        <f>"CPA Traspaso de Fondos BICE "&amp;TEXT(AP2,"dd-mm-aaa")</f>
        <v>CPA Traspaso de Fondos BICE 01-06-2024</v>
      </c>
      <c r="AT2" s="3">
        <f>+AM2</f>
        <v>0</v>
      </c>
      <c r="AU2" s="10"/>
      <c r="AX2" s="1">
        <v>45444</v>
      </c>
      <c r="AY2" s="26"/>
      <c r="AZ2" s="3"/>
      <c r="BB2" s="15">
        <v>45444</v>
      </c>
      <c r="BC2" s="8">
        <v>211102</v>
      </c>
      <c r="BD2" s="8" t="s">
        <v>18</v>
      </c>
      <c r="BE2" t="str">
        <f>"CPA Pago Operaciones Locales BCI OP 648 "&amp;TEXT(BB2,"dd-mm-yyy")</f>
        <v>CPA Pago Operaciones Locales BCI OP 648 01-06-yyy</v>
      </c>
      <c r="BF2" s="3">
        <f>+AY2</f>
        <v>0</v>
      </c>
      <c r="BG2" s="10"/>
    </row>
    <row r="3" spans="1:59" x14ac:dyDescent="0.25">
      <c r="A3" s="1">
        <v>45445</v>
      </c>
      <c r="B3" s="26">
        <f>HLOOKUP(A3,Hoja2!$R$2:$AV$12,11,FALSE)</f>
        <v>0</v>
      </c>
      <c r="C3" s="26">
        <v>0</v>
      </c>
      <c r="E3" s="11"/>
      <c r="F3" s="12">
        <v>110260</v>
      </c>
      <c r="G3" s="12" t="s">
        <v>26</v>
      </c>
      <c r="H3" s="12" t="str">
        <f>"CPA Recaudación por Transbank "&amp;TEXT($E$2,"dd-mm-aaa")</f>
        <v>CPA Recaudación por Transbank 01-06-2024</v>
      </c>
      <c r="I3" s="12" t="str">
        <f>+I2</f>
        <v>CPA Recaudación por Transbank 01-06-2024</v>
      </c>
      <c r="J3" s="13"/>
      <c r="K3" s="18">
        <f>J2</f>
        <v>0</v>
      </c>
      <c r="N3" s="1">
        <v>45445</v>
      </c>
      <c r="O3" s="26"/>
      <c r="R3" s="11"/>
      <c r="S3" s="12">
        <v>110209</v>
      </c>
      <c r="T3" s="12" t="s">
        <v>144</v>
      </c>
      <c r="U3" s="12" t="str">
        <f>U2</f>
        <v>CPA LIQ CORRESPONSAL 01-06-2024</v>
      </c>
      <c r="V3" s="13"/>
      <c r="W3" s="18">
        <f>V2</f>
        <v>0</v>
      </c>
      <c r="Z3" s="1">
        <v>45445</v>
      </c>
      <c r="AA3" s="26" t="str">
        <f>HLOOKUP(Z3,Hoja2!$R$2:$AV$44,43,FALSE)</f>
        <v>-</v>
      </c>
      <c r="AD3" s="11"/>
      <c r="AE3" s="12">
        <v>110209</v>
      </c>
      <c r="AF3" s="12" t="s">
        <v>144</v>
      </c>
      <c r="AG3" s="12" t="str">
        <f>AG2</f>
        <v>CPA Fondeo WALLET CLP 01-06-2024</v>
      </c>
      <c r="AH3" s="13"/>
      <c r="AI3" s="18" t="str">
        <f>AH2</f>
        <v>-</v>
      </c>
      <c r="AL3" s="1">
        <v>45445</v>
      </c>
      <c r="AM3" s="26"/>
      <c r="AP3" s="11"/>
      <c r="AQ3" s="12">
        <v>110208</v>
      </c>
      <c r="AR3" s="12" t="s">
        <v>145</v>
      </c>
      <c r="AS3" s="12" t="str">
        <f>AS2</f>
        <v>CPA Traspaso de Fondos BICE 01-06-2024</v>
      </c>
      <c r="AT3" s="13"/>
      <c r="AU3" s="18">
        <f>AT2</f>
        <v>0</v>
      </c>
      <c r="AX3" s="1">
        <v>45445</v>
      </c>
      <c r="AY3" s="26"/>
      <c r="BB3" s="11"/>
      <c r="BC3" s="12">
        <v>110208</v>
      </c>
      <c r="BD3" s="12" t="s">
        <v>145</v>
      </c>
      <c r="BE3" s="12" t="str">
        <f>BE2</f>
        <v>CPA Pago Operaciones Locales BCI OP 648 01-06-yyy</v>
      </c>
      <c r="BF3" s="13"/>
      <c r="BG3" s="18">
        <f>BF2</f>
        <v>0</v>
      </c>
    </row>
    <row r="4" spans="1:59" x14ac:dyDescent="0.25">
      <c r="A4" s="1">
        <v>45446</v>
      </c>
      <c r="B4" s="26">
        <f>HLOOKUP(A4,Hoja2!$R$2:$AV$12,11,FALSE)</f>
        <v>108414007</v>
      </c>
      <c r="C4" s="26">
        <f>HLOOKUP(A4,Hoja2!$R$2:$AV$13,12,FALSE)</f>
        <v>0</v>
      </c>
      <c r="E4" s="15">
        <v>45445</v>
      </c>
      <c r="F4" s="8">
        <v>110209</v>
      </c>
      <c r="G4" s="8" t="s">
        <v>144</v>
      </c>
      <c r="H4" s="8" t="str">
        <f>"CPA Recaudación por Transbank "&amp;TEXT($E$4,"dd-mm-aaa")</f>
        <v>CPA Recaudación por Transbank 02-06-2024</v>
      </c>
      <c r="I4" s="8" t="str">
        <f>"CPA Recaudación por Transbank "&amp;TEXT(E4,"dd-mm-aaa")</f>
        <v>CPA Recaudación por Transbank 02-06-2024</v>
      </c>
      <c r="J4" s="16">
        <f>+B3</f>
        <v>0</v>
      </c>
      <c r="K4" s="17"/>
      <c r="N4" s="1">
        <v>45446</v>
      </c>
      <c r="O4" s="26"/>
      <c r="R4" s="15">
        <v>45445</v>
      </c>
      <c r="S4" s="8">
        <v>110608</v>
      </c>
      <c r="T4" s="8" t="s">
        <v>62</v>
      </c>
      <c r="U4" s="8" t="str">
        <f>"CPA LIQ CORRESPONSAL "&amp;TEXT(R4,"dd-mm-aaa")</f>
        <v>CPA LIQ CORRESPONSAL 02-06-2024</v>
      </c>
      <c r="V4" s="16">
        <f>+O3</f>
        <v>0</v>
      </c>
      <c r="W4" s="17"/>
      <c r="Z4" s="1">
        <v>45446</v>
      </c>
      <c r="AA4" s="26" t="str">
        <f>HLOOKUP(Z4,Hoja2!$R$2:$AV$44,43,FALSE)</f>
        <v>-</v>
      </c>
      <c r="AD4" s="15">
        <v>45445</v>
      </c>
      <c r="AE4" s="8">
        <v>110213</v>
      </c>
      <c r="AF4" s="8" t="s">
        <v>120</v>
      </c>
      <c r="AG4" t="str">
        <f>"CPA Fondeo WALLET CLP "&amp;TEXT(AD4,"dd-mm-aaa")</f>
        <v>CPA Fondeo WALLET CLP 02-06-2024</v>
      </c>
      <c r="AH4" s="16" t="str">
        <f>+AA3</f>
        <v>-</v>
      </c>
      <c r="AI4" s="17"/>
      <c r="AL4" s="1">
        <v>45446</v>
      </c>
      <c r="AM4" s="26"/>
      <c r="AP4" s="15">
        <v>45445</v>
      </c>
      <c r="AQ4" s="8">
        <v>110204</v>
      </c>
      <c r="AR4" s="8" t="s">
        <v>51</v>
      </c>
      <c r="AS4" s="8" t="str">
        <f>"CPA Traspaso de Fondos BICE "&amp;TEXT(AP4,"dd-mm-aaa")</f>
        <v>CPA Traspaso de Fondos BICE 02-06-2024</v>
      </c>
      <c r="AT4" s="16">
        <f>+AM3</f>
        <v>0</v>
      </c>
      <c r="AU4" s="17"/>
      <c r="AX4" s="1">
        <v>45446</v>
      </c>
      <c r="AY4" s="26"/>
      <c r="BB4" s="15">
        <v>45445</v>
      </c>
      <c r="BC4" s="8">
        <v>211102</v>
      </c>
      <c r="BD4" s="8" t="s">
        <v>18</v>
      </c>
      <c r="BE4" s="8" t="str">
        <f>"CPA Pago Operaciones Locales BCI OP 648 "&amp;TEXT(BB4,"dd-mm-yyy")</f>
        <v>CPA Pago Operaciones Locales BCI OP 648 02-06-yyy</v>
      </c>
      <c r="BF4" s="16">
        <f>+AY3</f>
        <v>0</v>
      </c>
      <c r="BG4" s="17"/>
    </row>
    <row r="5" spans="1:59" x14ac:dyDescent="0.25">
      <c r="A5" s="1">
        <v>45447</v>
      </c>
      <c r="B5" s="26">
        <f>HLOOKUP(A5,Hoja2!$R$2:$AV$12,11,FALSE)</f>
        <v>145015606</v>
      </c>
      <c r="C5" s="26">
        <f>HLOOKUP(A5,Hoja2!$R$2:$AV$13,12,FALSE)</f>
        <v>0</v>
      </c>
      <c r="E5" s="11"/>
      <c r="F5" s="12">
        <v>110260</v>
      </c>
      <c r="G5" s="12" t="s">
        <v>26</v>
      </c>
      <c r="H5" s="12" t="str">
        <f>"CPA Recaudación por Transbank "&amp;TEXT($E$4,"dd-mm-aaa")</f>
        <v>CPA Recaudación por Transbank 02-06-2024</v>
      </c>
      <c r="I5" s="12" t="str">
        <f>+I4</f>
        <v>CPA Recaudación por Transbank 02-06-2024</v>
      </c>
      <c r="J5" s="13"/>
      <c r="K5" s="18">
        <f>J4</f>
        <v>0</v>
      </c>
      <c r="N5" s="1">
        <v>45447</v>
      </c>
      <c r="O5" s="26"/>
      <c r="R5" s="11"/>
      <c r="S5" s="12">
        <v>110209</v>
      </c>
      <c r="T5" s="12" t="s">
        <v>144</v>
      </c>
      <c r="U5" s="12" t="str">
        <f>U4</f>
        <v>CPA LIQ CORRESPONSAL 02-06-2024</v>
      </c>
      <c r="V5" s="13"/>
      <c r="W5" s="18">
        <f t="shared" ref="W5" si="0">V4</f>
        <v>0</v>
      </c>
      <c r="Z5" s="1">
        <v>45447</v>
      </c>
      <c r="AA5" s="26">
        <f>HLOOKUP(Z5,Hoja2!$R$2:$AV$44,43,FALSE)</f>
        <v>145000000</v>
      </c>
      <c r="AD5" s="11"/>
      <c r="AE5" s="12">
        <v>110209</v>
      </c>
      <c r="AF5" s="12" t="s">
        <v>144</v>
      </c>
      <c r="AG5" s="12" t="str">
        <f t="shared" ref="AG5" si="1">AG4</f>
        <v>CPA Fondeo WALLET CLP 02-06-2024</v>
      </c>
      <c r="AH5" s="13"/>
      <c r="AI5" s="18" t="str">
        <f t="shared" ref="AI5" si="2">AH4</f>
        <v>-</v>
      </c>
      <c r="AL5" s="1">
        <v>45447</v>
      </c>
      <c r="AM5" s="26"/>
      <c r="AP5" s="11"/>
      <c r="AQ5" s="12">
        <v>110208</v>
      </c>
      <c r="AR5" s="12" t="s">
        <v>145</v>
      </c>
      <c r="AS5" s="12" t="str">
        <f>AS4</f>
        <v>CPA Traspaso de Fondos BICE 02-06-2024</v>
      </c>
      <c r="AT5" s="13"/>
      <c r="AU5" s="18">
        <f t="shared" ref="AU5" si="3">AT4</f>
        <v>0</v>
      </c>
      <c r="AX5" s="1">
        <v>45447</v>
      </c>
      <c r="AY5" s="26"/>
      <c r="BB5" s="11"/>
      <c r="BC5" s="12">
        <v>110208</v>
      </c>
      <c r="BD5" s="12" t="s">
        <v>145</v>
      </c>
      <c r="BE5" s="12" t="str">
        <f>BE4</f>
        <v>CPA Pago Operaciones Locales BCI OP 648 02-06-yyy</v>
      </c>
      <c r="BF5" s="13"/>
      <c r="BG5" s="18">
        <f t="shared" ref="BG5" si="4">BF4</f>
        <v>0</v>
      </c>
    </row>
    <row r="6" spans="1:59" x14ac:dyDescent="0.25">
      <c r="A6" s="1">
        <v>45448</v>
      </c>
      <c r="B6" s="26">
        <f>HLOOKUP(A6,Hoja2!$R$2:$AV$12,11,FALSE)</f>
        <v>181388452</v>
      </c>
      <c r="C6" s="26">
        <f>HLOOKUP(A6,Hoja2!$R$2:$AV$13,12,FALSE)</f>
        <v>0</v>
      </c>
      <c r="E6" s="15">
        <v>45446</v>
      </c>
      <c r="F6" s="8">
        <v>110209</v>
      </c>
      <c r="G6" s="8" t="s">
        <v>144</v>
      </c>
      <c r="H6" s="8" t="str">
        <f>"CPA Recaudación por Transbank "&amp;TEXT($E$6,"dd-mm-aaa")</f>
        <v>CPA Recaudación por Transbank 03-06-2024</v>
      </c>
      <c r="I6" s="8" t="str">
        <f>"CPA Recaudación por Transbank "&amp;TEXT(E6,"dd-mm-aaa")</f>
        <v>CPA Recaudación por Transbank 03-06-2024</v>
      </c>
      <c r="J6" s="16">
        <f>+B4</f>
        <v>108414007</v>
      </c>
      <c r="K6" s="17"/>
      <c r="L6" s="3"/>
      <c r="N6" s="1">
        <v>45448</v>
      </c>
      <c r="O6" s="26"/>
      <c r="R6" s="15">
        <v>45446</v>
      </c>
      <c r="S6" s="8">
        <v>110608</v>
      </c>
      <c r="T6" s="8" t="s">
        <v>62</v>
      </c>
      <c r="U6" s="8" t="str">
        <f>"CPA LIQ CORRESPONSAL "&amp;TEXT(R6,"dd-mm-aaa")</f>
        <v>CPA LIQ CORRESPONSAL 03-06-2024</v>
      </c>
      <c r="V6" s="16">
        <f>+O4</f>
        <v>0</v>
      </c>
      <c r="W6" s="17"/>
      <c r="Z6" s="1">
        <v>45448</v>
      </c>
      <c r="AA6" s="26" t="str">
        <f>HLOOKUP(Z6,Hoja2!$R$2:$AV$44,43,FALSE)</f>
        <v>-</v>
      </c>
      <c r="AD6" s="15">
        <v>45446</v>
      </c>
      <c r="AE6" s="8">
        <v>110213</v>
      </c>
      <c r="AF6" s="8" t="s">
        <v>120</v>
      </c>
      <c r="AG6" t="str">
        <f>"CPA Fondeo WALLET CLP "&amp;TEXT(AD6,"dd-mm-aaa")</f>
        <v>CPA Fondeo WALLET CLP 03-06-2024</v>
      </c>
      <c r="AH6" s="16" t="str">
        <f>+AA4</f>
        <v>-</v>
      </c>
      <c r="AI6" s="17"/>
      <c r="AL6" s="1">
        <v>45448</v>
      </c>
      <c r="AM6" s="26"/>
      <c r="AP6" s="15">
        <v>45446</v>
      </c>
      <c r="AQ6" s="8">
        <v>110204</v>
      </c>
      <c r="AR6" s="8" t="s">
        <v>51</v>
      </c>
      <c r="AS6" s="8" t="str">
        <f>"CPA Traspaso de Fondos BICE "&amp;TEXT(AP6,"dd-mm-aaa")</f>
        <v>CPA Traspaso de Fondos BICE 03-06-2024</v>
      </c>
      <c r="AT6" s="16">
        <f>+AM4</f>
        <v>0</v>
      </c>
      <c r="AU6" s="17"/>
      <c r="AX6" s="1">
        <v>45448</v>
      </c>
      <c r="AY6" s="26"/>
      <c r="BB6" s="15">
        <v>45446</v>
      </c>
      <c r="BC6" s="8">
        <v>211102</v>
      </c>
      <c r="BD6" s="8" t="s">
        <v>18</v>
      </c>
      <c r="BE6" s="8" t="str">
        <f>"CPA Pago Operaciones Locales BCI OP 648 "&amp;TEXT(BB6,"dd-mm-yyy")</f>
        <v>CPA Pago Operaciones Locales BCI OP 648 03-06-yyy</v>
      </c>
      <c r="BF6" s="16">
        <f>+AY4</f>
        <v>0</v>
      </c>
      <c r="BG6" s="17"/>
    </row>
    <row r="7" spans="1:59" x14ac:dyDescent="0.25">
      <c r="A7" s="1">
        <v>45449</v>
      </c>
      <c r="B7" s="26">
        <f>HLOOKUP(A7,Hoja2!$R$2:$AV$12,11,FALSE)</f>
        <v>75775910</v>
      </c>
      <c r="C7" s="26">
        <f>HLOOKUP(A7,Hoja2!$R$2:$AV$13,12,FALSE)</f>
        <v>0</v>
      </c>
      <c r="E7" s="11"/>
      <c r="F7" s="12">
        <v>110260</v>
      </c>
      <c r="G7" s="12" t="s">
        <v>26</v>
      </c>
      <c r="H7" s="12" t="str">
        <f>"CPA Recaudación por Transbank "&amp;TEXT($E$6,"dd-mm-aaa")</f>
        <v>CPA Recaudación por Transbank 03-06-2024</v>
      </c>
      <c r="I7" s="12" t="str">
        <f>+I6</f>
        <v>CPA Recaudación por Transbank 03-06-2024</v>
      </c>
      <c r="J7" s="13"/>
      <c r="K7" s="18">
        <f>J6</f>
        <v>108414007</v>
      </c>
      <c r="N7" s="1">
        <v>45449</v>
      </c>
      <c r="O7" s="26"/>
      <c r="R7" s="11"/>
      <c r="S7" s="12">
        <v>110209</v>
      </c>
      <c r="T7" s="12" t="s">
        <v>144</v>
      </c>
      <c r="U7" s="12" t="str">
        <f>U6</f>
        <v>CPA LIQ CORRESPONSAL 03-06-2024</v>
      </c>
      <c r="V7" s="13"/>
      <c r="W7" s="18">
        <f>V6</f>
        <v>0</v>
      </c>
      <c r="Z7" s="1">
        <v>45449</v>
      </c>
      <c r="AA7" s="26" t="str">
        <f>HLOOKUP(Z7,Hoja2!$R$2:$AV$44,43,FALSE)</f>
        <v>-</v>
      </c>
      <c r="AD7" s="11"/>
      <c r="AE7" s="12">
        <v>110209</v>
      </c>
      <c r="AF7" s="12" t="s">
        <v>144</v>
      </c>
      <c r="AG7" s="12" t="str">
        <f t="shared" ref="AG7" si="5">AG6</f>
        <v>CPA Fondeo WALLET CLP 03-06-2024</v>
      </c>
      <c r="AH7" s="13"/>
      <c r="AI7" s="18" t="str">
        <f>AH6</f>
        <v>-</v>
      </c>
      <c r="AL7" s="1">
        <v>45449</v>
      </c>
      <c r="AM7" s="26"/>
      <c r="AP7" s="11"/>
      <c r="AQ7" s="12">
        <v>110208</v>
      </c>
      <c r="AR7" s="12" t="s">
        <v>145</v>
      </c>
      <c r="AS7" s="12" t="str">
        <f>AS6</f>
        <v>CPA Traspaso de Fondos BICE 03-06-2024</v>
      </c>
      <c r="AT7" s="13"/>
      <c r="AU7" s="18">
        <f>AT6</f>
        <v>0</v>
      </c>
      <c r="AX7" s="1">
        <v>45449</v>
      </c>
      <c r="AY7" s="26"/>
      <c r="BB7" s="11"/>
      <c r="BC7" s="12">
        <v>110208</v>
      </c>
      <c r="BD7" s="12" t="s">
        <v>145</v>
      </c>
      <c r="BE7" s="12" t="str">
        <f>BE6</f>
        <v>CPA Pago Operaciones Locales BCI OP 648 03-06-yyy</v>
      </c>
      <c r="BF7" s="13"/>
      <c r="BG7" s="18">
        <f>BF6</f>
        <v>0</v>
      </c>
    </row>
    <row r="8" spans="1:59" x14ac:dyDescent="0.25">
      <c r="A8" s="1">
        <v>45450</v>
      </c>
      <c r="B8" s="26">
        <f>HLOOKUP(A8,Hoja2!$R$2:$AV$12,11,FALSE)</f>
        <v>86052741</v>
      </c>
      <c r="C8" s="26">
        <f>HLOOKUP(A8,Hoja2!$R$2:$AV$13,12,FALSE)</f>
        <v>0</v>
      </c>
      <c r="E8" s="15">
        <v>45447</v>
      </c>
      <c r="F8" s="8">
        <v>110209</v>
      </c>
      <c r="G8" s="8" t="s">
        <v>144</v>
      </c>
      <c r="H8" s="8" t="str">
        <f>"CPA Recaudación por Transbank "&amp;TEXT($E$8,"dd-mm-aaa")</f>
        <v>CPA Recaudación por Transbank 04-06-2024</v>
      </c>
      <c r="I8" s="8" t="str">
        <f>"CPA Recaudación por Transbank "&amp;TEXT(E8,"dd-mm-aaa")</f>
        <v>CPA Recaudación por Transbank 04-06-2024</v>
      </c>
      <c r="J8" s="16">
        <f>+B5</f>
        <v>145015606</v>
      </c>
      <c r="K8" s="17"/>
      <c r="L8" s="3"/>
      <c r="N8" s="1">
        <v>45450</v>
      </c>
      <c r="O8" s="26"/>
      <c r="R8" s="15">
        <v>45447</v>
      </c>
      <c r="S8" s="8">
        <v>110608</v>
      </c>
      <c r="T8" s="8" t="s">
        <v>62</v>
      </c>
      <c r="U8" s="8" t="str">
        <f>"CPA LIQ CORRESPONSAL "&amp;TEXT(R8,"dd-mm-aaa")</f>
        <v>CPA LIQ CORRESPONSAL 04-06-2024</v>
      </c>
      <c r="V8" s="16">
        <f>+O5</f>
        <v>0</v>
      </c>
      <c r="W8" s="17"/>
      <c r="Z8" s="1">
        <v>45450</v>
      </c>
      <c r="AA8" s="26">
        <f>HLOOKUP(Z8,Hoja2!$R$2:$AV$44,43,FALSE)</f>
        <v>85000000</v>
      </c>
      <c r="AD8" s="15">
        <v>45447</v>
      </c>
      <c r="AE8" s="8">
        <v>110213</v>
      </c>
      <c r="AF8" s="8" t="s">
        <v>120</v>
      </c>
      <c r="AG8" t="str">
        <f>"CPA Fondeo WALLET CLP "&amp;TEXT(AD8,"dd-mm-aaa")</f>
        <v>CPA Fondeo WALLET CLP 04-06-2024</v>
      </c>
      <c r="AH8" s="16">
        <f>+AA5</f>
        <v>145000000</v>
      </c>
      <c r="AI8" s="17"/>
      <c r="AL8" s="1">
        <v>45450</v>
      </c>
      <c r="AM8" s="26"/>
      <c r="AP8" s="15">
        <v>45447</v>
      </c>
      <c r="AQ8" s="8">
        <v>110204</v>
      </c>
      <c r="AR8" s="8" t="s">
        <v>51</v>
      </c>
      <c r="AS8" s="8" t="str">
        <f>"CPA Traspaso de Fondos BICE "&amp;TEXT(AP8,"dd-mm-aaa")</f>
        <v>CPA Traspaso de Fondos BICE 04-06-2024</v>
      </c>
      <c r="AT8" s="16">
        <f>+AM5</f>
        <v>0</v>
      </c>
      <c r="AU8" s="17"/>
      <c r="AX8" s="1">
        <v>45450</v>
      </c>
      <c r="AY8" s="26"/>
      <c r="BB8" s="15">
        <v>45447</v>
      </c>
      <c r="BC8" s="8">
        <v>211102</v>
      </c>
      <c r="BD8" s="8" t="s">
        <v>18</v>
      </c>
      <c r="BE8" s="8" t="str">
        <f>"CPA Pago Operaciones Locales BCI OP 648 "&amp;TEXT(BB8,"dd-mm-yyy")</f>
        <v>CPA Pago Operaciones Locales BCI OP 648 04-06-yyy</v>
      </c>
      <c r="BF8" s="16">
        <f>+AY5</f>
        <v>0</v>
      </c>
      <c r="BG8" s="17"/>
    </row>
    <row r="9" spans="1:59" x14ac:dyDescent="0.25">
      <c r="A9" s="1">
        <v>45451</v>
      </c>
      <c r="B9" s="26" t="str">
        <f>HLOOKUP(A9,Hoja2!$R$2:$AV$12,11,FALSE)</f>
        <v>-</v>
      </c>
      <c r="C9" s="26">
        <v>0</v>
      </c>
      <c r="E9" s="11"/>
      <c r="F9" s="12">
        <v>110260</v>
      </c>
      <c r="G9" s="12" t="s">
        <v>26</v>
      </c>
      <c r="H9" s="12" t="str">
        <f>"CPA Recaudación por Transbank "&amp;TEXT($E$8,"dd-mm-aaa")</f>
        <v>CPA Recaudación por Transbank 04-06-2024</v>
      </c>
      <c r="I9" s="12" t="str">
        <f>+I8</f>
        <v>CPA Recaudación por Transbank 04-06-2024</v>
      </c>
      <c r="J9" s="13"/>
      <c r="K9" s="18">
        <f>J8</f>
        <v>145015606</v>
      </c>
      <c r="N9" s="1">
        <v>45451</v>
      </c>
      <c r="O9" s="26"/>
      <c r="R9" s="11"/>
      <c r="S9" s="12">
        <v>110209</v>
      </c>
      <c r="T9" s="12" t="s">
        <v>144</v>
      </c>
      <c r="U9" t="str">
        <f t="shared" ref="U9" si="6">U8</f>
        <v>CPA LIQ CORRESPONSAL 04-06-2024</v>
      </c>
      <c r="W9" s="10">
        <f t="shared" ref="W9" si="7">V8</f>
        <v>0</v>
      </c>
      <c r="Z9" s="1">
        <v>45451</v>
      </c>
      <c r="AA9" s="26" t="str">
        <f>HLOOKUP(Z9,Hoja2!$R$2:$AV$44,43,FALSE)</f>
        <v>-</v>
      </c>
      <c r="AD9" s="11"/>
      <c r="AE9" s="12">
        <v>110209</v>
      </c>
      <c r="AF9" s="12" t="s">
        <v>144</v>
      </c>
      <c r="AG9" s="12" t="str">
        <f t="shared" ref="AG9" si="8">AG8</f>
        <v>CPA Fondeo WALLET CLP 04-06-2024</v>
      </c>
      <c r="AI9" s="10">
        <f t="shared" ref="AI9" si="9">AH8</f>
        <v>145000000</v>
      </c>
      <c r="AL9" s="1">
        <v>45451</v>
      </c>
      <c r="AM9" s="26"/>
      <c r="AP9" s="11"/>
      <c r="AQ9">
        <v>110208</v>
      </c>
      <c r="AR9" t="s">
        <v>145</v>
      </c>
      <c r="AS9" t="str">
        <f t="shared" ref="AS9" si="10">AS8</f>
        <v>CPA Traspaso de Fondos BICE 04-06-2024</v>
      </c>
      <c r="AU9" s="10">
        <f t="shared" ref="AU9" si="11">AT8</f>
        <v>0</v>
      </c>
      <c r="AX9" s="1">
        <v>45451</v>
      </c>
      <c r="AY9" s="26"/>
      <c r="BB9" s="11"/>
      <c r="BC9">
        <v>110208</v>
      </c>
      <c r="BD9" t="s">
        <v>145</v>
      </c>
      <c r="BE9" t="str">
        <f t="shared" ref="BE9" si="12">BE8</f>
        <v>CPA Pago Operaciones Locales BCI OP 648 04-06-yyy</v>
      </c>
      <c r="BG9" s="10">
        <f t="shared" ref="BG9" si="13">BF8</f>
        <v>0</v>
      </c>
    </row>
    <row r="10" spans="1:59" x14ac:dyDescent="0.25">
      <c r="A10" s="1">
        <v>45452</v>
      </c>
      <c r="B10" s="26" t="str">
        <f>HLOOKUP(A10,Hoja2!$R$2:$AV$12,11,FALSE)</f>
        <v>-</v>
      </c>
      <c r="C10" s="26">
        <v>0</v>
      </c>
      <c r="E10" s="15">
        <v>45448</v>
      </c>
      <c r="F10" s="8">
        <v>110209</v>
      </c>
      <c r="G10" s="8" t="s">
        <v>144</v>
      </c>
      <c r="H10" s="8" t="str">
        <f>"CPA Recaudación por Transbank "&amp;TEXT($E$10,"dd-mm-aaa")</f>
        <v>CPA Recaudación por Transbank 05-06-2024</v>
      </c>
      <c r="I10" s="8" t="str">
        <f>"CPA Recaudación por Transbank "&amp;TEXT(E10,"dd-mm-aaa")</f>
        <v>CPA Recaudación por Transbank 05-06-2024</v>
      </c>
      <c r="J10" s="16">
        <f>+B6</f>
        <v>181388452</v>
      </c>
      <c r="K10" s="17"/>
      <c r="L10" s="3"/>
      <c r="N10" s="1">
        <v>45452</v>
      </c>
      <c r="O10" s="26"/>
      <c r="R10" s="15">
        <v>45448</v>
      </c>
      <c r="S10" s="8">
        <v>110608</v>
      </c>
      <c r="T10" s="8" t="s">
        <v>62</v>
      </c>
      <c r="U10" s="8" t="str">
        <f>"CPA LIQ CORRESPONSAL "&amp;TEXT(R10,"dd-mm-aaa")</f>
        <v>CPA LIQ CORRESPONSAL 05-06-2024</v>
      </c>
      <c r="V10" s="16">
        <f>+O6</f>
        <v>0</v>
      </c>
      <c r="W10" s="17"/>
      <c r="Z10" s="1">
        <v>45452</v>
      </c>
      <c r="AA10" s="26" t="str">
        <f>HLOOKUP(Z10,Hoja2!$R$2:$AV$44,43,FALSE)</f>
        <v>-</v>
      </c>
      <c r="AD10" s="15">
        <v>45448</v>
      </c>
      <c r="AE10" s="8">
        <v>110213</v>
      </c>
      <c r="AF10" s="8" t="s">
        <v>120</v>
      </c>
      <c r="AG10" t="str">
        <f>"CPA Fondeo WALLET CLP "&amp;TEXT(AD10,"dd-mm-aaa")</f>
        <v>CPA Fondeo WALLET CLP 05-06-2024</v>
      </c>
      <c r="AH10" s="16" t="str">
        <f>+AA6</f>
        <v>-</v>
      </c>
      <c r="AI10" s="17"/>
      <c r="AL10" s="1">
        <v>45452</v>
      </c>
      <c r="AM10" s="26"/>
      <c r="AP10" s="15">
        <v>45448</v>
      </c>
      <c r="AQ10" s="8">
        <v>110204</v>
      </c>
      <c r="AR10" s="8" t="s">
        <v>51</v>
      </c>
      <c r="AS10" s="8" t="str">
        <f>"CPA Traspaso de Fondos BICE "&amp;TEXT(AP10,"dd-mm-aaa")</f>
        <v>CPA Traspaso de Fondos BICE 05-06-2024</v>
      </c>
      <c r="AT10" s="16">
        <f>+AM6</f>
        <v>0</v>
      </c>
      <c r="AU10" s="17"/>
      <c r="AX10" s="1">
        <v>45452</v>
      </c>
      <c r="AY10" s="26"/>
      <c r="BB10" s="15">
        <v>45448</v>
      </c>
      <c r="BC10" s="8">
        <v>211102</v>
      </c>
      <c r="BD10" s="8" t="s">
        <v>18</v>
      </c>
      <c r="BE10" s="8" t="str">
        <f>"CPA Pago Operaciones Locales BCI OP 648 "&amp;TEXT(BB10,"dd-mm-yyy")</f>
        <v>CPA Pago Operaciones Locales BCI OP 648 05-06-yyy</v>
      </c>
      <c r="BF10" s="16">
        <f>+AY6</f>
        <v>0</v>
      </c>
      <c r="BG10" s="17"/>
    </row>
    <row r="11" spans="1:59" x14ac:dyDescent="0.25">
      <c r="A11" s="1">
        <v>45453</v>
      </c>
      <c r="B11" s="26">
        <f>HLOOKUP(A11,Hoja2!$R$2:$AV$12,11,FALSE)</f>
        <v>80919795</v>
      </c>
      <c r="C11" s="26">
        <f>HLOOKUP(A11,Hoja2!$R$2:$AV$13,12,FALSE)</f>
        <v>0</v>
      </c>
      <c r="E11" s="11"/>
      <c r="F11" s="12">
        <v>110260</v>
      </c>
      <c r="G11" s="12" t="s">
        <v>26</v>
      </c>
      <c r="H11" s="12" t="str">
        <f>"CPA Recaudación por Transbank "&amp;TEXT($E$10,"dd-mm-aaa")</f>
        <v>CPA Recaudación por Transbank 05-06-2024</v>
      </c>
      <c r="I11" s="12" t="str">
        <f>+I10</f>
        <v>CPA Recaudación por Transbank 05-06-2024</v>
      </c>
      <c r="J11" s="13"/>
      <c r="K11" s="18">
        <f>J10</f>
        <v>181388452</v>
      </c>
      <c r="N11" s="1">
        <v>45453</v>
      </c>
      <c r="O11" s="26"/>
      <c r="R11" s="11"/>
      <c r="S11" s="12">
        <v>110209</v>
      </c>
      <c r="T11" s="12" t="s">
        <v>144</v>
      </c>
      <c r="U11" t="str">
        <f t="shared" ref="U11" si="14">U10</f>
        <v>CPA LIQ CORRESPONSAL 05-06-2024</v>
      </c>
      <c r="W11" s="10">
        <f t="shared" ref="W11" si="15">V10</f>
        <v>0</v>
      </c>
      <c r="Z11" s="1">
        <v>45453</v>
      </c>
      <c r="AA11" s="26" t="str">
        <f>HLOOKUP(Z11,Hoja2!$R$2:$AV$44,43,FALSE)</f>
        <v>-</v>
      </c>
      <c r="AD11" s="11"/>
      <c r="AE11" s="12">
        <v>110209</v>
      </c>
      <c r="AF11" s="12" t="s">
        <v>144</v>
      </c>
      <c r="AG11" s="12" t="str">
        <f t="shared" ref="AG11" si="16">AG10</f>
        <v>CPA Fondeo WALLET CLP 05-06-2024</v>
      </c>
      <c r="AI11" s="10" t="str">
        <f t="shared" ref="AI11" si="17">AH10</f>
        <v>-</v>
      </c>
      <c r="AL11" s="1">
        <v>45453</v>
      </c>
      <c r="AM11" s="26"/>
      <c r="AP11" s="11"/>
      <c r="AQ11">
        <v>110208</v>
      </c>
      <c r="AR11" t="s">
        <v>145</v>
      </c>
      <c r="AS11" t="str">
        <f t="shared" ref="AS11" si="18">AS10</f>
        <v>CPA Traspaso de Fondos BICE 05-06-2024</v>
      </c>
      <c r="AU11" s="10">
        <f t="shared" ref="AU11" si="19">AT10</f>
        <v>0</v>
      </c>
      <c r="AX11" s="1">
        <v>45453</v>
      </c>
      <c r="AY11" s="26"/>
      <c r="BB11" s="11"/>
      <c r="BC11">
        <v>110208</v>
      </c>
      <c r="BD11" t="s">
        <v>145</v>
      </c>
      <c r="BE11" t="str">
        <f t="shared" ref="BE11" si="20">BE10</f>
        <v>CPA Pago Operaciones Locales BCI OP 648 05-06-yyy</v>
      </c>
      <c r="BG11" s="10">
        <f t="shared" ref="BG11" si="21">BF10</f>
        <v>0</v>
      </c>
    </row>
    <row r="12" spans="1:59" x14ac:dyDescent="0.25">
      <c r="A12" s="1">
        <v>45454</v>
      </c>
      <c r="B12" s="26">
        <f>HLOOKUP(A12,Hoja2!$R$2:$AV$12,11,FALSE)</f>
        <v>84790836</v>
      </c>
      <c r="C12" s="26">
        <v>0</v>
      </c>
      <c r="E12" s="15">
        <v>45449</v>
      </c>
      <c r="F12" s="8">
        <v>110209</v>
      </c>
      <c r="G12" s="8" t="s">
        <v>144</v>
      </c>
      <c r="H12" s="8" t="str">
        <f>"CPA Recaudación por Transbank "&amp;TEXT($E$12,"dd-mm-aaa")</f>
        <v>CPA Recaudación por Transbank 06-06-2024</v>
      </c>
      <c r="I12" s="8" t="str">
        <f>"CPA Recaudación por Transbank "&amp;TEXT(E12,"dd-mm-aaa")</f>
        <v>CPA Recaudación por Transbank 06-06-2024</v>
      </c>
      <c r="J12" s="16">
        <f>+B7</f>
        <v>75775910</v>
      </c>
      <c r="K12" s="17"/>
      <c r="N12" s="1">
        <v>45454</v>
      </c>
      <c r="O12" s="26"/>
      <c r="Q12" s="19"/>
      <c r="R12" s="15">
        <v>45449</v>
      </c>
      <c r="S12" s="8">
        <v>110608</v>
      </c>
      <c r="T12" s="8" t="s">
        <v>62</v>
      </c>
      <c r="U12" s="8" t="str">
        <f>"CPA LIQ CORRESPONSAL "&amp;TEXT(R12,"dd-mm-aaa")</f>
        <v>CPA LIQ CORRESPONSAL 06-06-2024</v>
      </c>
      <c r="V12" s="16">
        <f>+O7</f>
        <v>0</v>
      </c>
      <c r="W12" s="17"/>
      <c r="Z12" s="1">
        <v>45454</v>
      </c>
      <c r="AA12" s="26" t="str">
        <f>HLOOKUP(Z12,Hoja2!$R$2:$AV$44,43,FALSE)</f>
        <v>-</v>
      </c>
      <c r="AC12" s="19"/>
      <c r="AD12" s="15">
        <v>45449</v>
      </c>
      <c r="AE12" s="8">
        <v>110213</v>
      </c>
      <c r="AF12" s="8" t="s">
        <v>120</v>
      </c>
      <c r="AG12" t="str">
        <f>"CPA Fondeo WALLET CLP "&amp;TEXT(AD12,"dd-mm-aaa")</f>
        <v>CPA Fondeo WALLET CLP 06-06-2024</v>
      </c>
      <c r="AH12" s="16" t="str">
        <f>+AA7</f>
        <v>-</v>
      </c>
      <c r="AI12" s="17"/>
      <c r="AL12" s="1">
        <v>45454</v>
      </c>
      <c r="AM12" s="26"/>
      <c r="AO12" s="19"/>
      <c r="AP12" s="15">
        <v>45449</v>
      </c>
      <c r="AQ12" s="8">
        <v>110204</v>
      </c>
      <c r="AR12" s="8" t="s">
        <v>51</v>
      </c>
      <c r="AS12" s="8" t="str">
        <f>"CPA Traspaso de Fondos BICE "&amp;TEXT(AP12,"dd-mm-aaa")</f>
        <v>CPA Traspaso de Fondos BICE 06-06-2024</v>
      </c>
      <c r="AT12" s="16">
        <f>+AM7</f>
        <v>0</v>
      </c>
      <c r="AU12" s="17"/>
      <c r="AX12" s="1">
        <v>45454</v>
      </c>
      <c r="AY12" s="26"/>
      <c r="BA12" s="19"/>
      <c r="BB12" s="15">
        <v>45449</v>
      </c>
      <c r="BC12" s="8">
        <v>211102</v>
      </c>
      <c r="BD12" s="8" t="s">
        <v>18</v>
      </c>
      <c r="BE12" s="8" t="str">
        <f>"CPA Pago Operaciones Locales BCI OP 648 "&amp;TEXT(BB12,"dd-mm-yyy")</f>
        <v>CPA Pago Operaciones Locales BCI OP 648 06-06-yyy</v>
      </c>
      <c r="BF12" s="16">
        <f>+AY7</f>
        <v>0</v>
      </c>
      <c r="BG12" s="17"/>
    </row>
    <row r="13" spans="1:59" x14ac:dyDescent="0.25">
      <c r="A13" s="1">
        <v>45455</v>
      </c>
      <c r="B13" s="26">
        <f>HLOOKUP(A13,Hoja2!$R$2:$AV$12,11,FALSE)</f>
        <v>177897395</v>
      </c>
      <c r="C13" s="26">
        <v>0</v>
      </c>
      <c r="D13" s="39"/>
      <c r="E13" s="11"/>
      <c r="F13" s="12">
        <v>110260</v>
      </c>
      <c r="G13" s="12" t="s">
        <v>26</v>
      </c>
      <c r="H13" s="12" t="str">
        <f>"CPA Recaudación por Transbank "&amp;TEXT($E$12,"dd-mm-aaa")</f>
        <v>CPA Recaudación por Transbank 06-06-2024</v>
      </c>
      <c r="I13" s="12" t="str">
        <f>+I12</f>
        <v>CPA Recaudación por Transbank 06-06-2024</v>
      </c>
      <c r="J13" s="13"/>
      <c r="K13" s="18">
        <f>J12</f>
        <v>75775910</v>
      </c>
      <c r="N13" s="1">
        <v>45455</v>
      </c>
      <c r="O13" s="26"/>
      <c r="Q13" s="39"/>
      <c r="R13" s="11"/>
      <c r="S13" s="12">
        <v>110209</v>
      </c>
      <c r="T13" s="12" t="s">
        <v>144</v>
      </c>
      <c r="U13" t="str">
        <f>U12</f>
        <v>CPA LIQ CORRESPONSAL 06-06-2024</v>
      </c>
      <c r="V13" s="3"/>
      <c r="W13" s="10">
        <f>V12</f>
        <v>0</v>
      </c>
      <c r="Z13" s="1">
        <v>45455</v>
      </c>
      <c r="AA13" s="26" t="str">
        <f>HLOOKUP(Z13,Hoja2!$R$2:$AV$44,43,FALSE)</f>
        <v>-</v>
      </c>
      <c r="AC13" s="39"/>
      <c r="AD13" s="11"/>
      <c r="AE13" s="12">
        <v>110209</v>
      </c>
      <c r="AF13" s="12" t="s">
        <v>144</v>
      </c>
      <c r="AG13" s="12" t="str">
        <f t="shared" ref="AG13" si="22">AG12</f>
        <v>CPA Fondeo WALLET CLP 06-06-2024</v>
      </c>
      <c r="AH13" s="3"/>
      <c r="AI13" s="10" t="str">
        <f>AH12</f>
        <v>-</v>
      </c>
      <c r="AL13" s="1">
        <v>45455</v>
      </c>
      <c r="AM13" s="26"/>
      <c r="AO13" s="39"/>
      <c r="AP13" s="11"/>
      <c r="AQ13">
        <v>110208</v>
      </c>
      <c r="AR13" t="s">
        <v>145</v>
      </c>
      <c r="AS13" t="str">
        <f>AS12</f>
        <v>CPA Traspaso de Fondos BICE 06-06-2024</v>
      </c>
      <c r="AT13" s="3"/>
      <c r="AU13" s="10">
        <f>AT12</f>
        <v>0</v>
      </c>
      <c r="AX13" s="1">
        <v>45455</v>
      </c>
      <c r="AY13" s="26"/>
      <c r="BA13" s="39"/>
      <c r="BB13" s="11"/>
      <c r="BC13">
        <v>110208</v>
      </c>
      <c r="BD13" t="s">
        <v>145</v>
      </c>
      <c r="BE13" t="str">
        <f>BE12</f>
        <v>CPA Pago Operaciones Locales BCI OP 648 06-06-yyy</v>
      </c>
      <c r="BF13" s="3"/>
      <c r="BG13" s="10">
        <f>BF12</f>
        <v>0</v>
      </c>
    </row>
    <row r="14" spans="1:59" x14ac:dyDescent="0.25">
      <c r="A14" s="1">
        <v>45456</v>
      </c>
      <c r="B14" s="26">
        <f>HLOOKUP(A14,Hoja2!$R$2:$AV$12,11,FALSE)</f>
        <v>62524160</v>
      </c>
      <c r="C14" s="26">
        <v>0</v>
      </c>
      <c r="D14" s="21"/>
      <c r="E14" s="15">
        <v>45450</v>
      </c>
      <c r="F14" s="8">
        <v>110209</v>
      </c>
      <c r="G14" s="8" t="s">
        <v>144</v>
      </c>
      <c r="H14" s="8" t="str">
        <f>"CPA Recaudación por Transbank "&amp;TEXT($E$14,"dd-mm-aaa")</f>
        <v>CPA Recaudación por Transbank 07-06-2024</v>
      </c>
      <c r="I14" s="8" t="str">
        <f>"CPA Recaudación por Transbank "&amp;TEXT(E14,"dd-mm-aaa")</f>
        <v>CPA Recaudación por Transbank 07-06-2024</v>
      </c>
      <c r="J14" s="16">
        <f>+B8</f>
        <v>86052741</v>
      </c>
      <c r="K14" s="17"/>
      <c r="L14" s="3"/>
      <c r="N14" s="1">
        <v>45456</v>
      </c>
      <c r="O14" s="26"/>
      <c r="Q14" s="21"/>
      <c r="R14" s="15">
        <v>45450</v>
      </c>
      <c r="S14" s="8">
        <v>110608</v>
      </c>
      <c r="T14" s="8" t="s">
        <v>62</v>
      </c>
      <c r="U14" s="8" t="str">
        <f>"CPA LIQ CORRESPONSAL "&amp;TEXT(R14,"dd-mm-aaa")</f>
        <v>CPA LIQ CORRESPONSAL 07-06-2024</v>
      </c>
      <c r="V14" s="16">
        <f>+O8</f>
        <v>0</v>
      </c>
      <c r="W14" s="17"/>
      <c r="Z14" s="1">
        <v>45456</v>
      </c>
      <c r="AA14" s="26">
        <f>HLOOKUP(Z14,Hoja2!$R$2:$AV$44,43,FALSE)</f>
        <v>60000000</v>
      </c>
      <c r="AC14" s="21"/>
      <c r="AD14" s="15">
        <v>45450</v>
      </c>
      <c r="AE14" s="8">
        <v>110213</v>
      </c>
      <c r="AF14" s="8" t="s">
        <v>120</v>
      </c>
      <c r="AG14" t="str">
        <f>"CPA Fondeo WALLET CLP "&amp;TEXT(AD14,"dd-mm-aaa")</f>
        <v>CPA Fondeo WALLET CLP 07-06-2024</v>
      </c>
      <c r="AH14" s="16">
        <f>+AA8</f>
        <v>85000000</v>
      </c>
      <c r="AI14" s="17"/>
      <c r="AL14" s="1">
        <v>45456</v>
      </c>
      <c r="AM14" s="26"/>
      <c r="AO14" s="21"/>
      <c r="AP14" s="15">
        <v>45450</v>
      </c>
      <c r="AQ14" s="8">
        <v>110204</v>
      </c>
      <c r="AR14" s="8" t="s">
        <v>51</v>
      </c>
      <c r="AS14" s="8" t="str">
        <f>"CPA Traspaso de Fondos BICE "&amp;TEXT(AP14,"dd-mm-aaa")</f>
        <v>CPA Traspaso de Fondos BICE 07-06-2024</v>
      </c>
      <c r="AT14" s="16">
        <f>+AM8</f>
        <v>0</v>
      </c>
      <c r="AU14" s="17"/>
      <c r="AX14" s="1">
        <v>45456</v>
      </c>
      <c r="AY14" s="26"/>
      <c r="BA14" s="21"/>
      <c r="BB14" s="15">
        <v>45450</v>
      </c>
      <c r="BC14" s="8">
        <v>211102</v>
      </c>
      <c r="BD14" s="8" t="s">
        <v>18</v>
      </c>
      <c r="BE14" s="8" t="str">
        <f>"CPA Pago Operaciones Locales BCI OP 648 "&amp;TEXT(BB14,"dd-mm-yyy")</f>
        <v>CPA Pago Operaciones Locales BCI OP 648 07-06-yyy</v>
      </c>
      <c r="BF14" s="16">
        <f>+AY8</f>
        <v>0</v>
      </c>
      <c r="BG14" s="17"/>
    </row>
    <row r="15" spans="1:59" x14ac:dyDescent="0.25">
      <c r="A15" s="1">
        <v>45457</v>
      </c>
      <c r="B15" s="26">
        <f>HLOOKUP(A15,Hoja2!$R$2:$AV$12,11,FALSE)</f>
        <v>45906791</v>
      </c>
      <c r="C15" s="26">
        <v>0</v>
      </c>
      <c r="D15" s="40"/>
      <c r="E15" s="11"/>
      <c r="F15" s="12">
        <v>110260</v>
      </c>
      <c r="G15" s="12" t="s">
        <v>26</v>
      </c>
      <c r="H15" s="12" t="str">
        <f>"CPA Recaudación por Transbank "&amp;TEXT($E$14,"dd-mm-aaa")</f>
        <v>CPA Recaudación por Transbank 07-06-2024</v>
      </c>
      <c r="I15" s="12" t="str">
        <f>+I14</f>
        <v>CPA Recaudación por Transbank 07-06-2024</v>
      </c>
      <c r="J15" s="13"/>
      <c r="K15" s="18">
        <f>J14</f>
        <v>86052741</v>
      </c>
      <c r="N15" s="1">
        <v>45457</v>
      </c>
      <c r="O15" s="26"/>
      <c r="Q15" s="40"/>
      <c r="R15" s="11"/>
      <c r="S15" s="12">
        <v>110209</v>
      </c>
      <c r="T15" s="12" t="s">
        <v>144</v>
      </c>
      <c r="U15" t="str">
        <f t="shared" ref="U15" si="23">U14</f>
        <v>CPA LIQ CORRESPONSAL 07-06-2024</v>
      </c>
      <c r="V15" s="3"/>
      <c r="W15" s="10">
        <f t="shared" ref="W15" si="24">V14</f>
        <v>0</v>
      </c>
      <c r="Z15" s="1">
        <v>45457</v>
      </c>
      <c r="AA15" s="26">
        <f>HLOOKUP(Z15,Hoja2!$R$2:$AV$44,43,FALSE)</f>
        <v>44000000</v>
      </c>
      <c r="AC15" s="40"/>
      <c r="AD15" s="11"/>
      <c r="AE15" s="12">
        <v>110209</v>
      </c>
      <c r="AF15" s="12" t="s">
        <v>144</v>
      </c>
      <c r="AG15" s="12" t="str">
        <f t="shared" ref="AG15" si="25">AG14</f>
        <v>CPA Fondeo WALLET CLP 07-06-2024</v>
      </c>
      <c r="AH15" s="3"/>
      <c r="AI15" s="10">
        <f t="shared" ref="AI15" si="26">AH14</f>
        <v>85000000</v>
      </c>
      <c r="AL15" s="1">
        <v>45457</v>
      </c>
      <c r="AM15" s="26"/>
      <c r="AO15" s="40"/>
      <c r="AP15" s="11"/>
      <c r="AQ15">
        <v>110208</v>
      </c>
      <c r="AR15" t="s">
        <v>145</v>
      </c>
      <c r="AS15" t="str">
        <f t="shared" ref="AS15" si="27">AS14</f>
        <v>CPA Traspaso de Fondos BICE 07-06-2024</v>
      </c>
      <c r="AT15" s="3"/>
      <c r="AU15" s="10">
        <f t="shared" ref="AU15" si="28">AT14</f>
        <v>0</v>
      </c>
      <c r="AX15" s="1">
        <v>45457</v>
      </c>
      <c r="AY15" s="26"/>
      <c r="BA15" s="40"/>
      <c r="BB15" s="11"/>
      <c r="BC15">
        <v>110208</v>
      </c>
      <c r="BD15" t="s">
        <v>145</v>
      </c>
      <c r="BE15" t="str">
        <f t="shared" ref="BE15" si="29">BE14</f>
        <v>CPA Pago Operaciones Locales BCI OP 648 07-06-yyy</v>
      </c>
      <c r="BF15" s="3"/>
      <c r="BG15" s="10">
        <f t="shared" ref="BG15" si="30">BF14</f>
        <v>0</v>
      </c>
    </row>
    <row r="16" spans="1:59" x14ac:dyDescent="0.25">
      <c r="A16" s="1">
        <v>45458</v>
      </c>
      <c r="B16" s="26">
        <f>HLOOKUP(A16,Hoja2!$R$2:$AV$12,11,FALSE)</f>
        <v>0</v>
      </c>
      <c r="C16" s="26">
        <v>0</v>
      </c>
      <c r="D16" s="21"/>
      <c r="E16" s="15">
        <v>45451</v>
      </c>
      <c r="F16" s="8">
        <v>110209</v>
      </c>
      <c r="G16" s="8" t="s">
        <v>144</v>
      </c>
      <c r="H16" s="8" t="str">
        <f>"CPA Recaudación por Transbank "&amp;TEXT($E$16,"dd-mm-aaa")</f>
        <v>CPA Recaudación por Transbank 08-06-2024</v>
      </c>
      <c r="I16" s="8" t="str">
        <f>"CPA Recaudación por Transbank "&amp;TEXT(E16,"dd-mm-aaa")</f>
        <v>CPA Recaudación por Transbank 08-06-2024</v>
      </c>
      <c r="J16" s="16" t="str">
        <f>+B9</f>
        <v>-</v>
      </c>
      <c r="K16" s="17"/>
      <c r="N16" s="1">
        <v>45458</v>
      </c>
      <c r="O16" s="26"/>
      <c r="Q16" s="21"/>
      <c r="R16" s="15">
        <v>45451</v>
      </c>
      <c r="S16" s="8">
        <v>110608</v>
      </c>
      <c r="T16" s="8" t="s">
        <v>62</v>
      </c>
      <c r="U16" s="8" t="str">
        <f>"CPA LIQ CORRESPONSAL "&amp;TEXT(R16,"dd-mm-aaa")</f>
        <v>CPA LIQ CORRESPONSAL 08-06-2024</v>
      </c>
      <c r="V16" s="16">
        <f>+O9</f>
        <v>0</v>
      </c>
      <c r="W16" s="17"/>
      <c r="Z16" s="1">
        <v>45458</v>
      </c>
      <c r="AA16" s="26">
        <f>HLOOKUP(Z16,Hoja2!$R$2:$AV$44,43,FALSE)</f>
        <v>0</v>
      </c>
      <c r="AC16" s="21"/>
      <c r="AD16" s="15">
        <v>45451</v>
      </c>
      <c r="AE16" s="8">
        <v>110213</v>
      </c>
      <c r="AF16" s="8" t="s">
        <v>120</v>
      </c>
      <c r="AG16" t="str">
        <f>"CPA Fondeo WALLET CLP "&amp;TEXT(AD16,"dd-mm-aaa")</f>
        <v>CPA Fondeo WALLET CLP 08-06-2024</v>
      </c>
      <c r="AH16" s="16" t="str">
        <f>+AA9</f>
        <v>-</v>
      </c>
      <c r="AI16" s="17"/>
      <c r="AL16" s="1">
        <v>45458</v>
      </c>
      <c r="AM16" s="26"/>
      <c r="AO16" s="21"/>
      <c r="AP16" s="15">
        <v>45451</v>
      </c>
      <c r="AQ16" s="8">
        <v>110204</v>
      </c>
      <c r="AR16" s="8" t="s">
        <v>51</v>
      </c>
      <c r="AS16" s="8" t="str">
        <f>"CPA Traspaso de Fondos BICE "&amp;TEXT(AP16,"dd-mm-aaa")</f>
        <v>CPA Traspaso de Fondos BICE 08-06-2024</v>
      </c>
      <c r="AT16" s="16">
        <f>+AM9</f>
        <v>0</v>
      </c>
      <c r="AU16" s="17"/>
      <c r="AX16" s="1">
        <v>45458</v>
      </c>
      <c r="AY16" s="26"/>
      <c r="BA16" s="21"/>
      <c r="BB16" s="15">
        <v>45451</v>
      </c>
      <c r="BC16" s="8">
        <v>211102</v>
      </c>
      <c r="BD16" s="8" t="s">
        <v>18</v>
      </c>
      <c r="BE16" s="8" t="str">
        <f>"CPA Pago Operaciones Locales BCI OP 648 "&amp;TEXT(BB16,"dd-mm-yyy")</f>
        <v>CPA Pago Operaciones Locales BCI OP 648 08-06-yyy</v>
      </c>
      <c r="BF16" s="16">
        <f>+AY9</f>
        <v>0</v>
      </c>
      <c r="BG16" s="17"/>
    </row>
    <row r="17" spans="1:59" x14ac:dyDescent="0.25">
      <c r="A17" s="1">
        <v>45459</v>
      </c>
      <c r="B17" s="26">
        <f>HLOOKUP(A17,Hoja2!$R$2:$AV$12,11,FALSE)</f>
        <v>0</v>
      </c>
      <c r="C17" s="26">
        <v>0</v>
      </c>
      <c r="D17" s="21"/>
      <c r="E17" s="11"/>
      <c r="F17" s="12">
        <v>110260</v>
      </c>
      <c r="G17" s="12" t="s">
        <v>26</v>
      </c>
      <c r="H17" s="12" t="str">
        <f>"CPA Recaudación por Transbank "&amp;TEXT($E$16,"dd-mm-aaa")</f>
        <v>CPA Recaudación por Transbank 08-06-2024</v>
      </c>
      <c r="I17" s="12" t="str">
        <f>+I16</f>
        <v>CPA Recaudación por Transbank 08-06-2024</v>
      </c>
      <c r="J17" s="13"/>
      <c r="K17" s="18" t="str">
        <f>J16</f>
        <v>-</v>
      </c>
      <c r="N17" s="1">
        <v>45459</v>
      </c>
      <c r="O17" s="26"/>
      <c r="Q17" s="21"/>
      <c r="R17" s="11"/>
      <c r="S17" s="12">
        <v>110209</v>
      </c>
      <c r="T17" s="12" t="s">
        <v>144</v>
      </c>
      <c r="U17" s="12" t="str">
        <f t="shared" ref="U17" si="31">U16</f>
        <v>CPA LIQ CORRESPONSAL 08-06-2024</v>
      </c>
      <c r="V17" s="13"/>
      <c r="W17" s="18">
        <f t="shared" ref="W17" si="32">V16</f>
        <v>0</v>
      </c>
      <c r="Z17" s="1">
        <v>45459</v>
      </c>
      <c r="AA17" s="26">
        <f>HLOOKUP(Z17,Hoja2!$R$2:$AV$44,43,FALSE)</f>
        <v>0</v>
      </c>
      <c r="AC17" s="21"/>
      <c r="AD17" s="11"/>
      <c r="AE17" s="12">
        <v>110209</v>
      </c>
      <c r="AF17" s="12" t="s">
        <v>144</v>
      </c>
      <c r="AG17" s="12" t="str">
        <f t="shared" ref="AG17" si="33">AG16</f>
        <v>CPA Fondeo WALLET CLP 08-06-2024</v>
      </c>
      <c r="AH17" s="13"/>
      <c r="AI17" s="18" t="str">
        <f t="shared" ref="AI17" si="34">AH16</f>
        <v>-</v>
      </c>
      <c r="AL17" s="1">
        <v>45459</v>
      </c>
      <c r="AM17" s="26"/>
      <c r="AO17" s="21"/>
      <c r="AP17" s="11"/>
      <c r="AQ17" s="12">
        <v>110208</v>
      </c>
      <c r="AR17" s="12" t="s">
        <v>145</v>
      </c>
      <c r="AS17" s="12" t="str">
        <f t="shared" ref="AS17" si="35">AS16</f>
        <v>CPA Traspaso de Fondos BICE 08-06-2024</v>
      </c>
      <c r="AT17" s="13"/>
      <c r="AU17" s="18">
        <f t="shared" ref="AU17" si="36">AT16</f>
        <v>0</v>
      </c>
      <c r="AX17" s="1">
        <v>45459</v>
      </c>
      <c r="AY17" s="26"/>
      <c r="BA17" s="21"/>
      <c r="BB17" s="11"/>
      <c r="BC17" s="12">
        <v>110208</v>
      </c>
      <c r="BD17" s="12" t="s">
        <v>145</v>
      </c>
      <c r="BE17" s="12" t="str">
        <f t="shared" ref="BE17" si="37">BE16</f>
        <v>CPA Pago Operaciones Locales BCI OP 648 08-06-yyy</v>
      </c>
      <c r="BF17" s="13"/>
      <c r="BG17" s="18">
        <f t="shared" ref="BG17" si="38">BF16</f>
        <v>0</v>
      </c>
    </row>
    <row r="18" spans="1:59" x14ac:dyDescent="0.25">
      <c r="A18" s="1">
        <v>45460</v>
      </c>
      <c r="B18" s="26">
        <f>HLOOKUP(A18,Hoja2!$R$2:$AV$12,11,FALSE)</f>
        <v>0</v>
      </c>
      <c r="C18" s="26">
        <v>0</v>
      </c>
      <c r="D18" s="21"/>
      <c r="E18" s="15">
        <v>45452</v>
      </c>
      <c r="F18" s="8">
        <v>110209</v>
      </c>
      <c r="G18" s="8" t="s">
        <v>144</v>
      </c>
      <c r="H18" s="8" t="str">
        <f>"CPA Recaudación por Transbank "&amp;TEXT($E$18,"dd-mm-aaa")</f>
        <v>CPA Recaudación por Transbank 09-06-2024</v>
      </c>
      <c r="I18" s="8" t="str">
        <f>"CPA Recaudación por Transbank "&amp;TEXT(E18,"dd-mm-aaa")</f>
        <v>CPA Recaudación por Transbank 09-06-2024</v>
      </c>
      <c r="J18" s="16" t="str">
        <f>+B10</f>
        <v>-</v>
      </c>
      <c r="K18" s="17"/>
      <c r="L18" s="3"/>
      <c r="N18" s="1">
        <v>45460</v>
      </c>
      <c r="O18" s="26"/>
      <c r="Q18" s="21"/>
      <c r="R18" s="15">
        <v>45452</v>
      </c>
      <c r="S18" s="8">
        <v>110608</v>
      </c>
      <c r="T18" s="8" t="s">
        <v>62</v>
      </c>
      <c r="U18" s="8" t="str">
        <f>"CPA LIQ CORRESPONSAL "&amp;TEXT(R18,"dd-mm-aaa")</f>
        <v>CPA LIQ CORRESPONSAL 09-06-2024</v>
      </c>
      <c r="V18" s="16">
        <f>+O10</f>
        <v>0</v>
      </c>
      <c r="W18" s="17"/>
      <c r="Z18" s="1">
        <v>45460</v>
      </c>
      <c r="AA18" s="26">
        <f>HLOOKUP(Z18,Hoja2!$R$2:$AV$44,43,FALSE)</f>
        <v>0</v>
      </c>
      <c r="AC18" s="21"/>
      <c r="AD18" s="15">
        <v>45452</v>
      </c>
      <c r="AE18" s="8">
        <v>110213</v>
      </c>
      <c r="AF18" s="8" t="s">
        <v>120</v>
      </c>
      <c r="AG18" t="str">
        <f>"CPA Fondeo WALLET CLP "&amp;TEXT(AD18,"dd-mm-aaa")</f>
        <v>CPA Fondeo WALLET CLP 09-06-2024</v>
      </c>
      <c r="AH18" s="16" t="str">
        <f>+AA10</f>
        <v>-</v>
      </c>
      <c r="AI18" s="17"/>
      <c r="AL18" s="1">
        <v>45460</v>
      </c>
      <c r="AM18" s="26"/>
      <c r="AO18" s="21"/>
      <c r="AP18" s="15">
        <v>45452</v>
      </c>
      <c r="AQ18" s="8">
        <v>110204</v>
      </c>
      <c r="AR18" s="8" t="s">
        <v>51</v>
      </c>
      <c r="AS18" s="8" t="str">
        <f>"CPA Traspaso de Fondos BICE "&amp;TEXT(AP18,"dd-mm-aaa")</f>
        <v>CPA Traspaso de Fondos BICE 09-06-2024</v>
      </c>
      <c r="AT18" s="16">
        <f>+AM10</f>
        <v>0</v>
      </c>
      <c r="AU18" s="17"/>
      <c r="AX18" s="1">
        <v>45460</v>
      </c>
      <c r="AY18" s="26"/>
      <c r="BA18" s="21"/>
      <c r="BB18" s="15">
        <v>45452</v>
      </c>
      <c r="BC18" s="8">
        <v>211102</v>
      </c>
      <c r="BD18" s="8" t="s">
        <v>18</v>
      </c>
      <c r="BE18" s="8" t="str">
        <f>"CPA Pago Operaciones Locales BCI OP 648 "&amp;TEXT(BB18,"dd-mm-yyy")</f>
        <v>CPA Pago Operaciones Locales BCI OP 648 09-06-yyy</v>
      </c>
      <c r="BF18" s="16">
        <f>+AY10</f>
        <v>0</v>
      </c>
      <c r="BG18" s="17"/>
    </row>
    <row r="19" spans="1:59" x14ac:dyDescent="0.25">
      <c r="A19" s="1">
        <v>45461</v>
      </c>
      <c r="B19" s="26">
        <f>HLOOKUP(A19,Hoja2!$R$2:$AV$12,11,FALSE)</f>
        <v>0</v>
      </c>
      <c r="C19" s="26">
        <v>0</v>
      </c>
      <c r="D19" s="21"/>
      <c r="E19" s="11"/>
      <c r="F19" s="12">
        <v>110260</v>
      </c>
      <c r="G19" s="12" t="s">
        <v>26</v>
      </c>
      <c r="H19" s="12" t="str">
        <f>"CPA Recaudación por Transbank "&amp;TEXT($E$18,"dd-mm-aaa")</f>
        <v>CPA Recaudación por Transbank 09-06-2024</v>
      </c>
      <c r="I19" s="12" t="str">
        <f>+I18</f>
        <v>CPA Recaudación por Transbank 09-06-2024</v>
      </c>
      <c r="J19" s="13"/>
      <c r="K19" s="18" t="str">
        <f>J18</f>
        <v>-</v>
      </c>
      <c r="N19" s="1">
        <v>45461</v>
      </c>
      <c r="O19" s="26"/>
      <c r="Q19" s="21"/>
      <c r="R19" s="11"/>
      <c r="S19" s="12">
        <v>110209</v>
      </c>
      <c r="T19" s="12" t="s">
        <v>144</v>
      </c>
      <c r="U19" s="12" t="str">
        <f>U18</f>
        <v>CPA LIQ CORRESPONSAL 09-06-2024</v>
      </c>
      <c r="V19" s="13"/>
      <c r="W19" s="18">
        <f>V18</f>
        <v>0</v>
      </c>
      <c r="Z19" s="1">
        <v>45461</v>
      </c>
      <c r="AA19" s="26">
        <f>HLOOKUP(Z19,Hoja2!$R$2:$AV$44,43,FALSE)</f>
        <v>0</v>
      </c>
      <c r="AC19" s="21"/>
      <c r="AD19" s="11"/>
      <c r="AE19" s="12">
        <v>110209</v>
      </c>
      <c r="AF19" s="12" t="s">
        <v>144</v>
      </c>
      <c r="AG19" s="12" t="str">
        <f t="shared" ref="AG19" si="39">AG18</f>
        <v>CPA Fondeo WALLET CLP 09-06-2024</v>
      </c>
      <c r="AH19" s="13"/>
      <c r="AI19" s="18" t="str">
        <f>AH18</f>
        <v>-</v>
      </c>
      <c r="AL19" s="1">
        <v>45461</v>
      </c>
      <c r="AM19" s="26"/>
      <c r="AO19" s="21"/>
      <c r="AP19" s="11"/>
      <c r="AQ19" s="12">
        <v>110208</v>
      </c>
      <c r="AR19" s="12" t="s">
        <v>145</v>
      </c>
      <c r="AS19" s="12" t="str">
        <f>AS18</f>
        <v>CPA Traspaso de Fondos BICE 09-06-2024</v>
      </c>
      <c r="AT19" s="13"/>
      <c r="AU19" s="18">
        <f>AT18</f>
        <v>0</v>
      </c>
      <c r="AX19" s="1">
        <v>45461</v>
      </c>
      <c r="AY19" s="26"/>
      <c r="BA19" s="21"/>
      <c r="BB19" s="11"/>
      <c r="BC19" s="12">
        <v>110208</v>
      </c>
      <c r="BD19" s="12" t="s">
        <v>145</v>
      </c>
      <c r="BE19" s="12" t="str">
        <f>BE18</f>
        <v>CPA Pago Operaciones Locales BCI OP 648 09-06-yyy</v>
      </c>
      <c r="BF19" s="13"/>
      <c r="BG19" s="18">
        <f>BF18</f>
        <v>0</v>
      </c>
    </row>
    <row r="20" spans="1:59" x14ac:dyDescent="0.25">
      <c r="A20" s="1">
        <v>45462</v>
      </c>
      <c r="B20" s="26">
        <f>HLOOKUP(A20,Hoja2!$R$2:$AV$12,11,FALSE)</f>
        <v>0</v>
      </c>
      <c r="C20" s="26">
        <v>0</v>
      </c>
      <c r="D20" s="21"/>
      <c r="E20" s="15">
        <v>45453</v>
      </c>
      <c r="F20" s="8">
        <v>110209</v>
      </c>
      <c r="G20" s="8" t="s">
        <v>144</v>
      </c>
      <c r="H20" s="8" t="str">
        <f>"CPA Recaudación por Transbank "&amp;TEXT($E$20,"dd-mm-aaa")</f>
        <v>CPA Recaudación por Transbank 10-06-2024</v>
      </c>
      <c r="I20" s="8" t="str">
        <f>"CPA Recaudación por Transbank "&amp;TEXT(E20,"dd-mm-aaa")</f>
        <v>CPA Recaudación por Transbank 10-06-2024</v>
      </c>
      <c r="J20" s="16">
        <f>+B11</f>
        <v>80919795</v>
      </c>
      <c r="K20" s="17"/>
      <c r="L20" s="3"/>
      <c r="N20" s="1">
        <v>45462</v>
      </c>
      <c r="O20" s="26"/>
      <c r="Q20" s="21"/>
      <c r="R20" s="15">
        <v>45453</v>
      </c>
      <c r="S20" s="8">
        <v>110608</v>
      </c>
      <c r="T20" s="8" t="s">
        <v>62</v>
      </c>
      <c r="U20" s="8" t="str">
        <f>"CPA LIQ CORRESPONSAL "&amp;TEXT(R20,"dd-mm-aaa")</f>
        <v>CPA LIQ CORRESPONSAL 10-06-2024</v>
      </c>
      <c r="V20" s="16">
        <f>+O11</f>
        <v>0</v>
      </c>
      <c r="W20" s="17"/>
      <c r="Z20" s="1">
        <v>45462</v>
      </c>
      <c r="AA20" s="26">
        <f>HLOOKUP(Z20,Hoja2!$R$2:$AV$44,43,FALSE)</f>
        <v>0</v>
      </c>
      <c r="AC20" s="21"/>
      <c r="AD20" s="15">
        <v>45453</v>
      </c>
      <c r="AE20" s="8">
        <v>110213</v>
      </c>
      <c r="AF20" s="8" t="s">
        <v>120</v>
      </c>
      <c r="AG20" t="str">
        <f>"CPA Fondeo WALLET CLP "&amp;TEXT(AD20,"dd-mm-aaa")</f>
        <v>CPA Fondeo WALLET CLP 10-06-2024</v>
      </c>
      <c r="AH20" s="16" t="str">
        <f>+AA11</f>
        <v>-</v>
      </c>
      <c r="AI20" s="17"/>
      <c r="AL20" s="1">
        <v>45462</v>
      </c>
      <c r="AM20" s="26"/>
      <c r="AO20" s="21"/>
      <c r="AP20" s="15">
        <v>45453</v>
      </c>
      <c r="AQ20" s="8">
        <v>110204</v>
      </c>
      <c r="AR20" s="8" t="s">
        <v>51</v>
      </c>
      <c r="AS20" s="8" t="str">
        <f>"CPA Traspaso de Fondos BICE "&amp;TEXT(AP20,"dd-mm-aaa")</f>
        <v>CPA Traspaso de Fondos BICE 10-06-2024</v>
      </c>
      <c r="AT20" s="16">
        <f>+AM11</f>
        <v>0</v>
      </c>
      <c r="AU20" s="17"/>
      <c r="AX20" s="1">
        <v>45462</v>
      </c>
      <c r="AY20" s="26"/>
      <c r="BA20" s="21"/>
      <c r="BB20" s="15">
        <v>45453</v>
      </c>
      <c r="BC20" s="8">
        <v>211102</v>
      </c>
      <c r="BD20" s="8" t="s">
        <v>18</v>
      </c>
      <c r="BE20" s="8" t="str">
        <f>"CPA Pago Operaciones Locales BCI OP 648 "&amp;TEXT(BB20,"dd-mm-yyy")</f>
        <v>CPA Pago Operaciones Locales BCI OP 648 10-06-yyy</v>
      </c>
      <c r="BF20" s="16">
        <f>+AY11</f>
        <v>0</v>
      </c>
      <c r="BG20" s="17"/>
    </row>
    <row r="21" spans="1:59" x14ac:dyDescent="0.25">
      <c r="A21" s="1">
        <v>45463</v>
      </c>
      <c r="B21" s="26">
        <f>HLOOKUP(A21,Hoja2!$R$2:$AV$12,11,FALSE)</f>
        <v>0</v>
      </c>
      <c r="C21" s="26">
        <v>0</v>
      </c>
      <c r="D21" s="21"/>
      <c r="E21" s="11"/>
      <c r="F21" s="12">
        <v>110260</v>
      </c>
      <c r="G21" s="12" t="s">
        <v>26</v>
      </c>
      <c r="H21" s="12" t="str">
        <f>"CPA Recaudación por Transbank "&amp;TEXT($E$20,"dd-mm-aaa")</f>
        <v>CPA Recaudación por Transbank 10-06-2024</v>
      </c>
      <c r="I21" s="12" t="str">
        <f>+I20</f>
        <v>CPA Recaudación por Transbank 10-06-2024</v>
      </c>
      <c r="J21" s="13"/>
      <c r="K21" s="18">
        <f>J20</f>
        <v>80919795</v>
      </c>
      <c r="N21" s="1">
        <v>45463</v>
      </c>
      <c r="O21" s="26"/>
      <c r="Q21" s="21"/>
      <c r="R21" s="11"/>
      <c r="S21" s="12">
        <v>110209</v>
      </c>
      <c r="T21" s="12" t="s">
        <v>144</v>
      </c>
      <c r="U21" t="str">
        <f t="shared" ref="U21" si="40">U20</f>
        <v>CPA LIQ CORRESPONSAL 10-06-2024</v>
      </c>
      <c r="V21" s="3"/>
      <c r="W21" s="10">
        <f t="shared" ref="W21" si="41">V20</f>
        <v>0</v>
      </c>
      <c r="Z21" s="1">
        <v>45463</v>
      </c>
      <c r="AA21" s="26">
        <f>HLOOKUP(Z21,Hoja2!$R$2:$AV$44,43,FALSE)</f>
        <v>0</v>
      </c>
      <c r="AC21" s="21"/>
      <c r="AD21" s="11"/>
      <c r="AE21" s="12">
        <v>110209</v>
      </c>
      <c r="AF21" s="12" t="s">
        <v>144</v>
      </c>
      <c r="AG21" s="12" t="str">
        <f t="shared" ref="AG21" si="42">AG20</f>
        <v>CPA Fondeo WALLET CLP 10-06-2024</v>
      </c>
      <c r="AH21" s="3"/>
      <c r="AI21" s="10" t="str">
        <f t="shared" ref="AI21" si="43">AH20</f>
        <v>-</v>
      </c>
      <c r="AL21" s="1">
        <v>45463</v>
      </c>
      <c r="AM21" s="26"/>
      <c r="AO21" s="21"/>
      <c r="AP21" s="11"/>
      <c r="AQ21">
        <v>110208</v>
      </c>
      <c r="AR21" t="s">
        <v>145</v>
      </c>
      <c r="AS21" t="str">
        <f t="shared" ref="AS21" si="44">AS20</f>
        <v>CPA Traspaso de Fondos BICE 10-06-2024</v>
      </c>
      <c r="AT21" s="3"/>
      <c r="AU21" s="10">
        <f t="shared" ref="AU21" si="45">AT20</f>
        <v>0</v>
      </c>
      <c r="AX21" s="1">
        <v>45463</v>
      </c>
      <c r="AY21" s="26"/>
      <c r="BA21" s="21"/>
      <c r="BB21" s="11"/>
      <c r="BC21">
        <v>110208</v>
      </c>
      <c r="BD21" t="s">
        <v>145</v>
      </c>
      <c r="BE21" t="str">
        <f t="shared" ref="BE21" si="46">BE20</f>
        <v>CPA Pago Operaciones Locales BCI OP 648 10-06-yyy</v>
      </c>
      <c r="BF21" s="3"/>
      <c r="BG21" s="10">
        <f t="shared" ref="BG21" si="47">BF20</f>
        <v>0</v>
      </c>
    </row>
    <row r="22" spans="1:59" x14ac:dyDescent="0.25">
      <c r="A22" s="1">
        <v>45464</v>
      </c>
      <c r="B22" s="26">
        <f>HLOOKUP(A22,Hoja2!$R$2:$AV$12,11,FALSE)</f>
        <v>0</v>
      </c>
      <c r="C22" s="26">
        <v>0</v>
      </c>
      <c r="D22" s="21"/>
      <c r="E22" s="15">
        <v>45454</v>
      </c>
      <c r="F22" s="8">
        <v>110209</v>
      </c>
      <c r="G22" s="8" t="s">
        <v>144</v>
      </c>
      <c r="H22" s="8" t="str">
        <f>"CPA Recaudación por Transbank "&amp;TEXT($E22,"dd-mm-aaa")</f>
        <v>CPA Recaudación por Transbank 11-06-2024</v>
      </c>
      <c r="I22" s="8" t="str">
        <f>"CPA Recaudación por Transbank "&amp;TEXT(E22,"dd-mm-aaa")</f>
        <v>CPA Recaudación por Transbank 11-06-2024</v>
      </c>
      <c r="J22" s="16">
        <f>+B12</f>
        <v>84790836</v>
      </c>
      <c r="K22" s="17"/>
      <c r="L22" s="3"/>
      <c r="N22" s="1">
        <v>45464</v>
      </c>
      <c r="O22" s="26"/>
      <c r="Q22" s="21"/>
      <c r="R22" s="15">
        <v>45454</v>
      </c>
      <c r="S22" s="8">
        <v>110608</v>
      </c>
      <c r="T22" s="8" t="s">
        <v>62</v>
      </c>
      <c r="U22" s="8" t="str">
        <f>"CPA LIQ CORRESPONSAL "&amp;TEXT(R22,"dd-mm-aaa")</f>
        <v>CPA LIQ CORRESPONSAL 11-06-2024</v>
      </c>
      <c r="V22" s="16">
        <f>+O12</f>
        <v>0</v>
      </c>
      <c r="W22" s="17"/>
      <c r="Z22" s="1">
        <v>45464</v>
      </c>
      <c r="AA22" s="26">
        <f>HLOOKUP(Z22,Hoja2!$R$2:$AV$44,43,FALSE)</f>
        <v>0</v>
      </c>
      <c r="AC22" s="21"/>
      <c r="AD22" s="15">
        <v>45454</v>
      </c>
      <c r="AE22" s="8">
        <v>110213</v>
      </c>
      <c r="AF22" s="8" t="s">
        <v>120</v>
      </c>
      <c r="AG22" t="str">
        <f>"CPA Fondeo WALLET CLP "&amp;TEXT(AD22,"dd-mm-aaa")</f>
        <v>CPA Fondeo WALLET CLP 11-06-2024</v>
      </c>
      <c r="AH22" s="16" t="str">
        <f>+AA12</f>
        <v>-</v>
      </c>
      <c r="AI22" s="17"/>
      <c r="AL22" s="1">
        <v>45464</v>
      </c>
      <c r="AM22" s="26"/>
      <c r="AO22" s="21"/>
      <c r="AP22" s="15">
        <v>45454</v>
      </c>
      <c r="AQ22" s="8">
        <v>110204</v>
      </c>
      <c r="AR22" s="8" t="s">
        <v>51</v>
      </c>
      <c r="AS22" s="8" t="str">
        <f>"CPA Traspaso de Fondos BICE "&amp;TEXT(AP22,"dd-mm-aaa")</f>
        <v>CPA Traspaso de Fondos BICE 11-06-2024</v>
      </c>
      <c r="AT22" s="16">
        <f>+AM12</f>
        <v>0</v>
      </c>
      <c r="AU22" s="17"/>
      <c r="AX22" s="1">
        <v>45464</v>
      </c>
      <c r="AY22" s="26"/>
      <c r="BA22" s="21"/>
      <c r="BB22" s="15">
        <v>45454</v>
      </c>
      <c r="BC22" s="8">
        <v>211102</v>
      </c>
      <c r="BD22" s="8" t="s">
        <v>18</v>
      </c>
      <c r="BE22" s="8" t="str">
        <f>"CPA Pago Operaciones Locales BCI OP 648 "&amp;TEXT(BB22,"dd-mm-yyy")</f>
        <v>CPA Pago Operaciones Locales BCI OP 648 11-06-yyy</v>
      </c>
      <c r="BF22" s="16">
        <f>+AY12</f>
        <v>0</v>
      </c>
      <c r="BG22" s="17"/>
    </row>
    <row r="23" spans="1:59" x14ac:dyDescent="0.25">
      <c r="A23" s="1">
        <v>45465</v>
      </c>
      <c r="B23" s="26">
        <f>HLOOKUP(A23,Hoja2!$R$2:$AV$12,11,FALSE)</f>
        <v>0</v>
      </c>
      <c r="C23" s="26">
        <f>HLOOKUP(A23,Hoja2!$R$2:$AV$13,12,FALSE)</f>
        <v>0</v>
      </c>
      <c r="D23" s="21"/>
      <c r="E23" s="11"/>
      <c r="F23" s="12">
        <v>110260</v>
      </c>
      <c r="G23" s="12" t="s">
        <v>26</v>
      </c>
      <c r="H23" s="12" t="str">
        <f>H22</f>
        <v>CPA Recaudación por Transbank 11-06-2024</v>
      </c>
      <c r="I23" s="12" t="str">
        <f>+I22</f>
        <v>CPA Recaudación por Transbank 11-06-2024</v>
      </c>
      <c r="J23" s="13"/>
      <c r="K23" s="18">
        <f>J22</f>
        <v>84790836</v>
      </c>
      <c r="N23" s="1">
        <v>45465</v>
      </c>
      <c r="O23" s="26"/>
      <c r="Q23" s="21"/>
      <c r="R23" s="11"/>
      <c r="S23" s="12">
        <v>110209</v>
      </c>
      <c r="T23" s="12" t="s">
        <v>144</v>
      </c>
      <c r="U23" t="str">
        <f t="shared" ref="U23" si="48">U22</f>
        <v>CPA LIQ CORRESPONSAL 11-06-2024</v>
      </c>
      <c r="V23" s="3"/>
      <c r="W23" s="10">
        <f t="shared" ref="W23" si="49">V22</f>
        <v>0</v>
      </c>
      <c r="Z23" s="1">
        <v>45465</v>
      </c>
      <c r="AA23" s="26">
        <f>HLOOKUP(Z23,Hoja2!$R$2:$AV$44,43,FALSE)</f>
        <v>0</v>
      </c>
      <c r="AC23" s="21"/>
      <c r="AD23" s="11"/>
      <c r="AE23" s="12">
        <v>110209</v>
      </c>
      <c r="AF23" s="12" t="s">
        <v>144</v>
      </c>
      <c r="AG23" s="12" t="str">
        <f t="shared" ref="AG23" si="50">AG22</f>
        <v>CPA Fondeo WALLET CLP 11-06-2024</v>
      </c>
      <c r="AH23" s="3"/>
      <c r="AI23" s="10" t="str">
        <f t="shared" ref="AI23" si="51">AH22</f>
        <v>-</v>
      </c>
      <c r="AL23" s="1">
        <v>45465</v>
      </c>
      <c r="AM23" s="26"/>
      <c r="AO23" s="21"/>
      <c r="AP23" s="11"/>
      <c r="AQ23">
        <v>110208</v>
      </c>
      <c r="AR23" t="s">
        <v>145</v>
      </c>
      <c r="AS23" t="str">
        <f t="shared" ref="AS23" si="52">AS22</f>
        <v>CPA Traspaso de Fondos BICE 11-06-2024</v>
      </c>
      <c r="AT23" s="3"/>
      <c r="AU23" s="10">
        <f t="shared" ref="AU23" si="53">AT22</f>
        <v>0</v>
      </c>
      <c r="AX23" s="1">
        <v>45465</v>
      </c>
      <c r="AY23" s="26"/>
      <c r="BA23" s="21"/>
      <c r="BB23" s="11"/>
      <c r="BC23">
        <v>110208</v>
      </c>
      <c r="BD23" t="s">
        <v>145</v>
      </c>
      <c r="BE23" t="str">
        <f t="shared" ref="BE23" si="54">BE22</f>
        <v>CPA Pago Operaciones Locales BCI OP 648 11-06-yyy</v>
      </c>
      <c r="BF23" s="3"/>
      <c r="BG23" s="10">
        <f t="shared" ref="BG23" si="55">BF22</f>
        <v>0</v>
      </c>
    </row>
    <row r="24" spans="1:59" x14ac:dyDescent="0.25">
      <c r="A24" s="1">
        <v>45466</v>
      </c>
      <c r="B24" s="26">
        <f>HLOOKUP(A24,Hoja2!$R$2:$AV$12,11,FALSE)</f>
        <v>0</v>
      </c>
      <c r="C24" s="26">
        <f>HLOOKUP(A24,Hoja2!$R$2:$AV$13,12,FALSE)</f>
        <v>0</v>
      </c>
      <c r="D24" s="21"/>
      <c r="E24" s="15">
        <v>45455</v>
      </c>
      <c r="F24" s="8">
        <v>110209</v>
      </c>
      <c r="G24" s="8" t="s">
        <v>144</v>
      </c>
      <c r="H24" s="8" t="str">
        <f>"CPA Recaudación por Transbank "&amp;TEXT($E24,"dd-mm-aaa")</f>
        <v>CPA Recaudación por Transbank 12-06-2024</v>
      </c>
      <c r="I24" s="8" t="str">
        <f>"CPA Recaudación por Transbank "&amp;TEXT(E24,"dd-mm-aaa")</f>
        <v>CPA Recaudación por Transbank 12-06-2024</v>
      </c>
      <c r="J24" s="16">
        <f>+B13</f>
        <v>177897395</v>
      </c>
      <c r="K24" s="17"/>
      <c r="N24" s="1">
        <v>45466</v>
      </c>
      <c r="O24" s="26"/>
      <c r="Q24" s="21"/>
      <c r="R24" s="15">
        <v>45455</v>
      </c>
      <c r="S24" s="8">
        <v>110608</v>
      </c>
      <c r="T24" s="8" t="s">
        <v>62</v>
      </c>
      <c r="U24" s="8" t="str">
        <f>"CPA LIQ CORRESPONSAL "&amp;TEXT(R24,"dd-mm-aaa")</f>
        <v>CPA LIQ CORRESPONSAL 12-06-2024</v>
      </c>
      <c r="V24" s="16">
        <f>+O13</f>
        <v>0</v>
      </c>
      <c r="W24" s="17"/>
      <c r="Z24" s="1">
        <v>45466</v>
      </c>
      <c r="AA24" s="26">
        <f>HLOOKUP(Z24,Hoja2!$R$2:$AV$44,43,FALSE)</f>
        <v>0</v>
      </c>
      <c r="AC24" s="21"/>
      <c r="AD24" s="15">
        <v>45455</v>
      </c>
      <c r="AE24" s="8">
        <v>110213</v>
      </c>
      <c r="AF24" s="8" t="s">
        <v>120</v>
      </c>
      <c r="AG24" t="str">
        <f>"CPA Fondeo WALLET CLP "&amp;TEXT(AD24,"dd-mm-aaa")</f>
        <v>CPA Fondeo WALLET CLP 12-06-2024</v>
      </c>
      <c r="AH24" s="16" t="str">
        <f>+AA13</f>
        <v>-</v>
      </c>
      <c r="AI24" s="17"/>
      <c r="AL24" s="1">
        <v>45466</v>
      </c>
      <c r="AM24" s="26"/>
      <c r="AO24" s="21"/>
      <c r="AP24" s="15">
        <v>45455</v>
      </c>
      <c r="AQ24" s="8">
        <v>110204</v>
      </c>
      <c r="AR24" s="8" t="s">
        <v>51</v>
      </c>
      <c r="AS24" s="8" t="str">
        <f>"CPA Traspaso de Fondos BICE "&amp;TEXT(AP24,"dd-mm-aaa")</f>
        <v>CPA Traspaso de Fondos BICE 12-06-2024</v>
      </c>
      <c r="AT24" s="16">
        <f>+AM13</f>
        <v>0</v>
      </c>
      <c r="AU24" s="17"/>
      <c r="AX24" s="1">
        <v>45466</v>
      </c>
      <c r="AY24" s="26"/>
      <c r="BA24" s="21"/>
      <c r="BB24" s="15">
        <v>45455</v>
      </c>
      <c r="BC24" s="8">
        <v>211102</v>
      </c>
      <c r="BD24" s="8" t="s">
        <v>18</v>
      </c>
      <c r="BE24" s="8" t="str">
        <f>"CPA Pago Operaciones Locales BCI OP 648 "&amp;TEXT(BB24,"dd-mm-yyy")</f>
        <v>CPA Pago Operaciones Locales BCI OP 648 12-06-yyy</v>
      </c>
      <c r="BF24" s="16">
        <f>+AY13</f>
        <v>0</v>
      </c>
      <c r="BG24" s="17"/>
    </row>
    <row r="25" spans="1:59" x14ac:dyDescent="0.25">
      <c r="A25" s="1">
        <v>45467</v>
      </c>
      <c r="B25" s="26">
        <f>HLOOKUP(A25,Hoja2!$R$2:$AV$12,11,FALSE)</f>
        <v>0</v>
      </c>
      <c r="C25" s="26">
        <f>HLOOKUP(A25,Hoja2!$R$2:$AV$13,12,FALSE)</f>
        <v>0</v>
      </c>
      <c r="D25" s="21"/>
      <c r="E25" s="11"/>
      <c r="F25" s="12">
        <v>110260</v>
      </c>
      <c r="G25" s="12" t="s">
        <v>26</v>
      </c>
      <c r="H25" s="12" t="str">
        <f t="shared" ref="H25" si="56">H24</f>
        <v>CPA Recaudación por Transbank 12-06-2024</v>
      </c>
      <c r="I25" s="12" t="str">
        <f>+I24</f>
        <v>CPA Recaudación por Transbank 12-06-2024</v>
      </c>
      <c r="J25" s="13"/>
      <c r="K25" s="18">
        <f>J24</f>
        <v>177897395</v>
      </c>
      <c r="N25" s="1">
        <v>45467</v>
      </c>
      <c r="O25" s="26"/>
      <c r="Q25" s="21"/>
      <c r="R25" s="11"/>
      <c r="S25" s="12">
        <v>110209</v>
      </c>
      <c r="T25" s="12" t="s">
        <v>144</v>
      </c>
      <c r="U25" t="str">
        <f>U24</f>
        <v>CPA LIQ CORRESPONSAL 12-06-2024</v>
      </c>
      <c r="V25" s="3"/>
      <c r="W25" s="10">
        <f>V24</f>
        <v>0</v>
      </c>
      <c r="Z25" s="1">
        <v>45467</v>
      </c>
      <c r="AA25" s="26">
        <f>HLOOKUP(Z25,Hoja2!$R$2:$AV$44,43,FALSE)</f>
        <v>0</v>
      </c>
      <c r="AC25" s="21"/>
      <c r="AD25" s="11"/>
      <c r="AE25" s="12">
        <v>110209</v>
      </c>
      <c r="AF25" s="12" t="s">
        <v>144</v>
      </c>
      <c r="AG25" s="12" t="str">
        <f t="shared" ref="AG25" si="57">AG24</f>
        <v>CPA Fondeo WALLET CLP 12-06-2024</v>
      </c>
      <c r="AH25" s="3"/>
      <c r="AI25" s="10" t="str">
        <f>AH24</f>
        <v>-</v>
      </c>
      <c r="AL25" s="1">
        <v>45467</v>
      </c>
      <c r="AM25" s="26"/>
      <c r="AO25" s="21"/>
      <c r="AP25" s="11"/>
      <c r="AQ25">
        <v>110208</v>
      </c>
      <c r="AR25" t="s">
        <v>145</v>
      </c>
      <c r="AS25" t="str">
        <f>AS24</f>
        <v>CPA Traspaso de Fondos BICE 12-06-2024</v>
      </c>
      <c r="AT25" s="3"/>
      <c r="AU25" s="10">
        <f>AT24</f>
        <v>0</v>
      </c>
      <c r="AX25" s="1">
        <v>45467</v>
      </c>
      <c r="AY25" s="26"/>
      <c r="BA25" s="21"/>
      <c r="BB25" s="11"/>
      <c r="BC25">
        <v>110208</v>
      </c>
      <c r="BD25" t="s">
        <v>145</v>
      </c>
      <c r="BE25" t="str">
        <f>BE24</f>
        <v>CPA Pago Operaciones Locales BCI OP 648 12-06-yyy</v>
      </c>
      <c r="BF25" s="3"/>
      <c r="BG25" s="10">
        <f>BF24</f>
        <v>0</v>
      </c>
    </row>
    <row r="26" spans="1:59" x14ac:dyDescent="0.25">
      <c r="A26" s="1">
        <v>45468</v>
      </c>
      <c r="B26" s="26">
        <f>HLOOKUP(A26,Hoja2!$R$2:$AV$12,11,FALSE)</f>
        <v>0</v>
      </c>
      <c r="C26" s="26">
        <f>HLOOKUP(A26,Hoja2!$R$2:$AV$13,12,FALSE)</f>
        <v>0</v>
      </c>
      <c r="D26" s="21"/>
      <c r="E26" s="15">
        <v>45456</v>
      </c>
      <c r="F26" s="8">
        <v>110209</v>
      </c>
      <c r="G26" s="8" t="s">
        <v>144</v>
      </c>
      <c r="H26" s="8" t="str">
        <f>"CPA Recaudación por Transbank "&amp;TEXT($E26,"dd-mm-aaa")</f>
        <v>CPA Recaudación por Transbank 13-06-2024</v>
      </c>
      <c r="I26" s="8" t="str">
        <f>"CPA Recaudación por Transbank "&amp;TEXT(E26,"dd-mm-aaa")</f>
        <v>CPA Recaudación por Transbank 13-06-2024</v>
      </c>
      <c r="J26" s="16">
        <f>+B14</f>
        <v>62524160</v>
      </c>
      <c r="K26" s="17"/>
      <c r="L26" s="3"/>
      <c r="N26" s="1">
        <v>45468</v>
      </c>
      <c r="O26" s="26"/>
      <c r="Q26" s="21"/>
      <c r="R26" s="15">
        <v>45456</v>
      </c>
      <c r="S26" s="8">
        <v>110608</v>
      </c>
      <c r="T26" s="8" t="s">
        <v>62</v>
      </c>
      <c r="U26" s="8" t="str">
        <f>"CPA LIQ CORRESPONSAL "&amp;TEXT(R26,"dd-mm-aaa")</f>
        <v>CPA LIQ CORRESPONSAL 13-06-2024</v>
      </c>
      <c r="V26" s="16">
        <f>+O14</f>
        <v>0</v>
      </c>
      <c r="W26" s="17"/>
      <c r="Z26" s="1">
        <v>45468</v>
      </c>
      <c r="AA26" s="26">
        <f>HLOOKUP(Z26,Hoja2!$R$2:$AV$44,43,FALSE)</f>
        <v>0</v>
      </c>
      <c r="AC26" s="21"/>
      <c r="AD26" s="15">
        <v>45456</v>
      </c>
      <c r="AE26" s="8">
        <v>110213</v>
      </c>
      <c r="AF26" s="8" t="s">
        <v>120</v>
      </c>
      <c r="AG26" t="str">
        <f>"CPA Fondeo WALLET CLP "&amp;TEXT(AD26,"dd-mm-aaa")</f>
        <v>CPA Fondeo WALLET CLP 13-06-2024</v>
      </c>
      <c r="AH26" s="16">
        <f>+AA14</f>
        <v>60000000</v>
      </c>
      <c r="AI26" s="17"/>
      <c r="AL26" s="1">
        <v>45468</v>
      </c>
      <c r="AM26" s="26"/>
      <c r="AO26" s="21"/>
      <c r="AP26" s="15">
        <v>45456</v>
      </c>
      <c r="AQ26" s="8">
        <v>110204</v>
      </c>
      <c r="AR26" s="8" t="s">
        <v>51</v>
      </c>
      <c r="AS26" s="8" t="str">
        <f>"CPA Traspaso de Fondos BICE "&amp;TEXT(AP26,"dd-mm-aaa")</f>
        <v>CPA Traspaso de Fondos BICE 13-06-2024</v>
      </c>
      <c r="AT26" s="16">
        <f>+AM14</f>
        <v>0</v>
      </c>
      <c r="AU26" s="17"/>
      <c r="AX26" s="1">
        <v>45468</v>
      </c>
      <c r="AY26" s="26"/>
      <c r="BA26" s="21"/>
      <c r="BB26" s="15">
        <v>45456</v>
      </c>
      <c r="BC26" s="8">
        <v>211102</v>
      </c>
      <c r="BD26" s="8" t="s">
        <v>18</v>
      </c>
      <c r="BE26" s="8" t="str">
        <f>"CPA Pago Operaciones Locales BCI OP 648 "&amp;TEXT(BB26,"dd-mm-yyy")</f>
        <v>CPA Pago Operaciones Locales BCI OP 648 13-06-yyy</v>
      </c>
      <c r="BF26" s="16">
        <f>+AY14</f>
        <v>0</v>
      </c>
      <c r="BG26" s="17"/>
    </row>
    <row r="27" spans="1:59" x14ac:dyDescent="0.25">
      <c r="A27" s="1">
        <v>45469</v>
      </c>
      <c r="B27" s="26">
        <f>HLOOKUP(A27,Hoja2!$R$2:$AV$12,11,FALSE)</f>
        <v>0</v>
      </c>
      <c r="C27" s="26">
        <f>HLOOKUP(A27,Hoja2!$R$2:$AV$13,12,FALSE)</f>
        <v>0</v>
      </c>
      <c r="D27" s="21"/>
      <c r="E27" s="11"/>
      <c r="F27" s="12">
        <v>110260</v>
      </c>
      <c r="G27" s="12" t="s">
        <v>26</v>
      </c>
      <c r="H27" s="12" t="str">
        <f t="shared" ref="H27" si="58">H26</f>
        <v>CPA Recaudación por Transbank 13-06-2024</v>
      </c>
      <c r="I27" s="12" t="str">
        <f>+I26</f>
        <v>CPA Recaudación por Transbank 13-06-2024</v>
      </c>
      <c r="J27" s="13"/>
      <c r="K27" s="18">
        <f>J26</f>
        <v>62524160</v>
      </c>
      <c r="N27" s="1">
        <v>45469</v>
      </c>
      <c r="O27" s="26"/>
      <c r="Q27" s="21"/>
      <c r="R27" s="11"/>
      <c r="S27" s="12">
        <v>110209</v>
      </c>
      <c r="T27" s="12" t="s">
        <v>144</v>
      </c>
      <c r="U27" t="str">
        <f t="shared" ref="U27" si="59">U26</f>
        <v>CPA LIQ CORRESPONSAL 13-06-2024</v>
      </c>
      <c r="V27" s="3"/>
      <c r="W27" s="10">
        <f t="shared" ref="W27" si="60">V26</f>
        <v>0</v>
      </c>
      <c r="Z27" s="1">
        <v>45469</v>
      </c>
      <c r="AA27" s="26">
        <f>HLOOKUP(Z27,Hoja2!$R$2:$AV$44,43,FALSE)</f>
        <v>0</v>
      </c>
      <c r="AC27" s="21"/>
      <c r="AD27" s="11"/>
      <c r="AE27" s="12">
        <v>110209</v>
      </c>
      <c r="AF27" s="12" t="s">
        <v>144</v>
      </c>
      <c r="AG27" s="12" t="str">
        <f t="shared" ref="AG27" si="61">AG26</f>
        <v>CPA Fondeo WALLET CLP 13-06-2024</v>
      </c>
      <c r="AH27" s="3"/>
      <c r="AI27" s="10">
        <f t="shared" ref="AI27" si="62">AH26</f>
        <v>60000000</v>
      </c>
      <c r="AL27" s="1">
        <v>45469</v>
      </c>
      <c r="AM27" s="26"/>
      <c r="AO27" s="21"/>
      <c r="AP27" s="11"/>
      <c r="AQ27">
        <v>110208</v>
      </c>
      <c r="AR27" t="s">
        <v>145</v>
      </c>
      <c r="AS27" t="str">
        <f t="shared" ref="AS27" si="63">AS26</f>
        <v>CPA Traspaso de Fondos BICE 13-06-2024</v>
      </c>
      <c r="AT27" s="3"/>
      <c r="AU27" s="10">
        <f t="shared" ref="AU27" si="64">AT26</f>
        <v>0</v>
      </c>
      <c r="AX27" s="1">
        <v>45469</v>
      </c>
      <c r="AY27" s="26"/>
      <c r="BA27" s="21"/>
      <c r="BB27" s="11"/>
      <c r="BC27">
        <v>110208</v>
      </c>
      <c r="BD27" t="s">
        <v>145</v>
      </c>
      <c r="BE27" t="str">
        <f t="shared" ref="BE27" si="65">BE26</f>
        <v>CPA Pago Operaciones Locales BCI OP 648 13-06-yyy</v>
      </c>
      <c r="BF27" s="3"/>
      <c r="BG27" s="10">
        <f t="shared" ref="BG27" si="66">BF26</f>
        <v>0</v>
      </c>
    </row>
    <row r="28" spans="1:59" x14ac:dyDescent="0.25">
      <c r="A28" s="1">
        <v>45470</v>
      </c>
      <c r="B28" s="26">
        <f>HLOOKUP(A28,Hoja2!$R$2:$AV$12,11,FALSE)</f>
        <v>0</v>
      </c>
      <c r="C28" s="26">
        <f>HLOOKUP(A28,Hoja2!$R$2:$AV$13,12,FALSE)</f>
        <v>0</v>
      </c>
      <c r="E28" s="15">
        <v>45457</v>
      </c>
      <c r="F28" s="8">
        <v>110209</v>
      </c>
      <c r="G28" s="8" t="s">
        <v>144</v>
      </c>
      <c r="H28" s="8" t="str">
        <f>"CPA Recaudación por Transbank "&amp;TEXT($E28,"dd-mm-aaa")</f>
        <v>CPA Recaudación por Transbank 14-06-2024</v>
      </c>
      <c r="I28" s="8" t="str">
        <f>"CPA Recaudación por Transbank "&amp;TEXT(E28,"dd-mm-aaa")</f>
        <v>CPA Recaudación por Transbank 14-06-2024</v>
      </c>
      <c r="J28" s="16">
        <f>+B15</f>
        <v>45906791</v>
      </c>
      <c r="K28" s="17"/>
      <c r="N28" s="1">
        <v>45470</v>
      </c>
      <c r="O28" s="26"/>
      <c r="R28" s="15">
        <v>45457</v>
      </c>
      <c r="S28" s="8">
        <v>110608</v>
      </c>
      <c r="T28" s="8" t="s">
        <v>62</v>
      </c>
      <c r="U28" s="8" t="str">
        <f>"CPA LIQ CORRESPONSAL "&amp;TEXT(R28,"dd-mm-aaa")</f>
        <v>CPA LIQ CORRESPONSAL 14-06-2024</v>
      </c>
      <c r="V28" s="16">
        <f>+O15</f>
        <v>0</v>
      </c>
      <c r="W28" s="17"/>
      <c r="Z28" s="1">
        <v>45470</v>
      </c>
      <c r="AA28" s="26">
        <f>HLOOKUP(Z28,Hoja2!$R$2:$AV$44,43,FALSE)</f>
        <v>0</v>
      </c>
      <c r="AD28" s="15">
        <v>45457</v>
      </c>
      <c r="AE28" s="8">
        <v>110213</v>
      </c>
      <c r="AF28" s="8" t="s">
        <v>120</v>
      </c>
      <c r="AG28" t="str">
        <f>"CPA Fondeo WALLET CLP "&amp;TEXT(AD28,"dd-mm-aaa")</f>
        <v>CPA Fondeo WALLET CLP 14-06-2024</v>
      </c>
      <c r="AH28" s="16">
        <f>+AA15</f>
        <v>44000000</v>
      </c>
      <c r="AI28" s="17"/>
      <c r="AL28" s="1">
        <v>45470</v>
      </c>
      <c r="AM28" s="26"/>
      <c r="AP28" s="15">
        <v>45457</v>
      </c>
      <c r="AQ28" s="8">
        <v>110204</v>
      </c>
      <c r="AR28" s="8" t="s">
        <v>51</v>
      </c>
      <c r="AS28" s="8" t="str">
        <f>"CPA Traspaso de Fondos BICE "&amp;TEXT(AP28,"dd-mm-aaa")</f>
        <v>CPA Traspaso de Fondos BICE 14-06-2024</v>
      </c>
      <c r="AT28" s="16">
        <f>+AM15</f>
        <v>0</v>
      </c>
      <c r="AU28" s="17"/>
      <c r="AX28" s="1">
        <v>45470</v>
      </c>
      <c r="AY28" s="26"/>
      <c r="BB28" s="15">
        <v>45457</v>
      </c>
      <c r="BC28" s="8">
        <v>211102</v>
      </c>
      <c r="BD28" s="8" t="s">
        <v>18</v>
      </c>
      <c r="BE28" s="8" t="str">
        <f>"CPA Pago Operaciones Locales BCI OP 648 "&amp;TEXT(BB28,"dd-mm-yyy")</f>
        <v>CPA Pago Operaciones Locales BCI OP 648 14-06-yyy</v>
      </c>
      <c r="BF28" s="16">
        <f>+AY15</f>
        <v>0</v>
      </c>
      <c r="BG28" s="17"/>
    </row>
    <row r="29" spans="1:59" x14ac:dyDescent="0.25">
      <c r="A29" s="1">
        <v>45471</v>
      </c>
      <c r="B29" s="26">
        <f>HLOOKUP(A29,Hoja2!$R$2:$AV$12,11,FALSE)</f>
        <v>0</v>
      </c>
      <c r="C29" s="26">
        <f>HLOOKUP(A29,Hoja2!$R$2:$AV$13,12,FALSE)</f>
        <v>0</v>
      </c>
      <c r="D29" s="39"/>
      <c r="E29" s="11"/>
      <c r="F29" s="12">
        <v>110260</v>
      </c>
      <c r="G29" s="12" t="s">
        <v>26</v>
      </c>
      <c r="H29" s="12" t="str">
        <f t="shared" ref="H29" si="67">H28</f>
        <v>CPA Recaudación por Transbank 14-06-2024</v>
      </c>
      <c r="I29" s="12" t="str">
        <f>+I28</f>
        <v>CPA Recaudación por Transbank 14-06-2024</v>
      </c>
      <c r="J29" s="13"/>
      <c r="K29" s="18">
        <f>J28</f>
        <v>45906791</v>
      </c>
      <c r="N29" s="1">
        <v>45471</v>
      </c>
      <c r="O29" s="26"/>
      <c r="Q29" s="39"/>
      <c r="R29" s="11"/>
      <c r="S29" s="12">
        <v>110209</v>
      </c>
      <c r="T29" s="12" t="s">
        <v>144</v>
      </c>
      <c r="U29" t="str">
        <f t="shared" ref="U29" si="68">U28</f>
        <v>CPA LIQ CORRESPONSAL 14-06-2024</v>
      </c>
      <c r="V29" s="3"/>
      <c r="W29" s="10">
        <f t="shared" ref="W29" si="69">V28</f>
        <v>0</v>
      </c>
      <c r="Z29" s="1">
        <v>45471</v>
      </c>
      <c r="AA29" s="26">
        <f>HLOOKUP(Z29,Hoja2!$R$2:$AV$44,43,FALSE)</f>
        <v>0</v>
      </c>
      <c r="AC29" s="39"/>
      <c r="AD29" s="11"/>
      <c r="AE29" s="12">
        <v>110209</v>
      </c>
      <c r="AF29" s="12" t="s">
        <v>144</v>
      </c>
      <c r="AG29" s="12" t="str">
        <f t="shared" ref="AG29" si="70">AG28</f>
        <v>CPA Fondeo WALLET CLP 14-06-2024</v>
      </c>
      <c r="AH29" s="3"/>
      <c r="AI29" s="10">
        <f t="shared" ref="AI29" si="71">AH28</f>
        <v>44000000</v>
      </c>
      <c r="AL29" s="1">
        <v>45471</v>
      </c>
      <c r="AM29" s="26"/>
      <c r="AO29" s="39"/>
      <c r="AP29" s="11"/>
      <c r="AQ29">
        <v>110208</v>
      </c>
      <c r="AR29" t="s">
        <v>145</v>
      </c>
      <c r="AS29" t="str">
        <f t="shared" ref="AS29" si="72">AS28</f>
        <v>CPA Traspaso de Fondos BICE 14-06-2024</v>
      </c>
      <c r="AT29" s="3"/>
      <c r="AU29" s="10">
        <f t="shared" ref="AU29" si="73">AT28</f>
        <v>0</v>
      </c>
      <c r="AX29" s="1">
        <v>45471</v>
      </c>
      <c r="AY29" s="26"/>
      <c r="BA29" s="39"/>
      <c r="BB29" s="11"/>
      <c r="BC29">
        <v>110208</v>
      </c>
      <c r="BD29" t="s">
        <v>145</v>
      </c>
      <c r="BE29" t="str">
        <f t="shared" ref="BE29" si="74">BE28</f>
        <v>CPA Pago Operaciones Locales BCI OP 648 14-06-yyy</v>
      </c>
      <c r="BF29" s="3"/>
      <c r="BG29" s="10">
        <f t="shared" ref="BG29" si="75">BF28</f>
        <v>0</v>
      </c>
    </row>
    <row r="30" spans="1:59" x14ac:dyDescent="0.25">
      <c r="A30" s="1">
        <v>45472</v>
      </c>
      <c r="B30" s="26">
        <f>HLOOKUP(A30,Hoja2!$R$2:$AV$12,11,FALSE)</f>
        <v>0</v>
      </c>
      <c r="C30" s="26">
        <f>HLOOKUP(A30,Hoja2!$R$2:$AV$13,12,FALSE)</f>
        <v>0</v>
      </c>
      <c r="E30" s="15">
        <v>45458</v>
      </c>
      <c r="F30" s="8">
        <v>110209</v>
      </c>
      <c r="G30" s="8" t="s">
        <v>144</v>
      </c>
      <c r="H30" s="8" t="str">
        <f>"CPA Recaudación por Transbank "&amp;TEXT($E30,"dd-mm-aaa")</f>
        <v>CPA Recaudación por Transbank 15-06-2024</v>
      </c>
      <c r="I30" s="8" t="str">
        <f>"CPA Recaudación por Transbank "&amp;TEXT(E30,"dd-mm-aaa")</f>
        <v>CPA Recaudación por Transbank 15-06-2024</v>
      </c>
      <c r="J30" s="16">
        <f>+B16</f>
        <v>0</v>
      </c>
      <c r="K30" s="17"/>
      <c r="L30" s="3"/>
      <c r="N30" s="1">
        <v>45472</v>
      </c>
      <c r="O30" s="26"/>
      <c r="R30" s="15">
        <v>45458</v>
      </c>
      <c r="S30" s="8">
        <v>110608</v>
      </c>
      <c r="T30" s="8" t="s">
        <v>62</v>
      </c>
      <c r="U30" s="8" t="str">
        <f>"CPA LIQ CORRESPONSAL "&amp;TEXT(R30,"dd-mm-aaa")</f>
        <v>CPA LIQ CORRESPONSAL 15-06-2024</v>
      </c>
      <c r="V30" s="16">
        <f>+O16</f>
        <v>0</v>
      </c>
      <c r="W30" s="17"/>
      <c r="Z30" s="1">
        <v>45472</v>
      </c>
      <c r="AA30" s="26">
        <f>HLOOKUP(Z30,Hoja2!$R$2:$AV$44,43,FALSE)</f>
        <v>0</v>
      </c>
      <c r="AD30" s="15">
        <v>45458</v>
      </c>
      <c r="AE30" s="8">
        <v>110213</v>
      </c>
      <c r="AF30" s="8" t="s">
        <v>120</v>
      </c>
      <c r="AG30" t="str">
        <f>"CPA Fondeo WALLET CLP "&amp;TEXT(AD30,"dd-mm-aaa")</f>
        <v>CPA Fondeo WALLET CLP 15-06-2024</v>
      </c>
      <c r="AH30" s="16">
        <f>+AA16</f>
        <v>0</v>
      </c>
      <c r="AI30" s="17"/>
      <c r="AL30" s="1">
        <v>45472</v>
      </c>
      <c r="AM30" s="26"/>
      <c r="AP30" s="15">
        <v>45458</v>
      </c>
      <c r="AQ30" s="8">
        <v>110204</v>
      </c>
      <c r="AR30" s="8" t="s">
        <v>51</v>
      </c>
      <c r="AS30" s="8" t="str">
        <f>"CPA Traspaso de Fondos BICE "&amp;TEXT(AP30,"dd-mm-aaa")</f>
        <v>CPA Traspaso de Fondos BICE 15-06-2024</v>
      </c>
      <c r="AT30" s="16">
        <f>+AM16</f>
        <v>0</v>
      </c>
      <c r="AU30" s="17"/>
      <c r="AX30" s="1">
        <v>45472</v>
      </c>
      <c r="AY30" s="26"/>
      <c r="BB30" s="15">
        <v>45458</v>
      </c>
      <c r="BC30" s="8">
        <v>211102</v>
      </c>
      <c r="BD30" s="8" t="s">
        <v>18</v>
      </c>
      <c r="BE30" s="8" t="str">
        <f>"CPA Pago Operaciones Locales BCI OP 648 "&amp;TEXT(BB30,"dd-mm-yyy")</f>
        <v>CPA Pago Operaciones Locales BCI OP 648 15-06-yyy</v>
      </c>
      <c r="BF30" s="16">
        <f>+AY16</f>
        <v>0</v>
      </c>
      <c r="BG30" s="17"/>
    </row>
    <row r="31" spans="1:59" x14ac:dyDescent="0.25">
      <c r="A31" s="1">
        <v>45473</v>
      </c>
      <c r="B31" s="26">
        <f>HLOOKUP(A31,Hoja2!$R$2:$AV$12,11,FALSE)</f>
        <v>0</v>
      </c>
      <c r="C31" s="26">
        <f>HLOOKUP(A31,Hoja2!$R$2:$AV$13,12,FALSE)</f>
        <v>0</v>
      </c>
      <c r="E31" s="11"/>
      <c r="F31" s="12">
        <v>110260</v>
      </c>
      <c r="G31" s="12" t="s">
        <v>26</v>
      </c>
      <c r="H31" s="12" t="str">
        <f t="shared" ref="H31" si="76">H30</f>
        <v>CPA Recaudación por Transbank 15-06-2024</v>
      </c>
      <c r="I31" s="12" t="str">
        <f>+I30</f>
        <v>CPA Recaudación por Transbank 15-06-2024</v>
      </c>
      <c r="J31" s="13"/>
      <c r="K31" s="18">
        <f>J30</f>
        <v>0</v>
      </c>
      <c r="N31" s="1">
        <v>45473</v>
      </c>
      <c r="O31" s="26"/>
      <c r="R31" s="11"/>
      <c r="S31" s="12">
        <v>110209</v>
      </c>
      <c r="T31" s="12" t="s">
        <v>144</v>
      </c>
      <c r="U31" s="12" t="str">
        <f>U30</f>
        <v>CPA LIQ CORRESPONSAL 15-06-2024</v>
      </c>
      <c r="V31" s="13"/>
      <c r="W31" s="18">
        <f>V30</f>
        <v>0</v>
      </c>
      <c r="Z31" s="1">
        <v>45473</v>
      </c>
      <c r="AA31" s="26">
        <f>HLOOKUP(Z31,Hoja2!$R$2:$AV$44,43,FALSE)</f>
        <v>0</v>
      </c>
      <c r="AD31" s="11"/>
      <c r="AE31" s="12">
        <v>110209</v>
      </c>
      <c r="AF31" s="12" t="s">
        <v>144</v>
      </c>
      <c r="AG31" s="12" t="str">
        <f t="shared" ref="AG31" si="77">AG30</f>
        <v>CPA Fondeo WALLET CLP 15-06-2024</v>
      </c>
      <c r="AH31" s="13"/>
      <c r="AI31" s="18">
        <f>AH30</f>
        <v>0</v>
      </c>
      <c r="AL31" s="1">
        <v>45473</v>
      </c>
      <c r="AM31" s="26"/>
      <c r="AP31" s="11"/>
      <c r="AQ31" s="12">
        <v>110208</v>
      </c>
      <c r="AR31" s="12" t="s">
        <v>145</v>
      </c>
      <c r="AS31" s="12" t="str">
        <f>AS30</f>
        <v>CPA Traspaso de Fondos BICE 15-06-2024</v>
      </c>
      <c r="AT31" s="13"/>
      <c r="AU31" s="18">
        <f>AT30</f>
        <v>0</v>
      </c>
      <c r="AX31" s="1">
        <v>45473</v>
      </c>
      <c r="AY31" s="26"/>
      <c r="BB31" s="11"/>
      <c r="BC31" s="12">
        <v>110208</v>
      </c>
      <c r="BD31" s="12" t="s">
        <v>145</v>
      </c>
      <c r="BE31" s="12" t="str">
        <f>BE30</f>
        <v>CPA Pago Operaciones Locales BCI OP 648 15-06-yyy</v>
      </c>
      <c r="BF31" s="13"/>
      <c r="BG31" s="18">
        <f>BF30</f>
        <v>0</v>
      </c>
    </row>
    <row r="32" spans="1:59" x14ac:dyDescent="0.25">
      <c r="A32" s="1">
        <v>45474</v>
      </c>
      <c r="B32" s="26">
        <f>HLOOKUP(A32,Hoja2!$R$2:$AV$12,11,FALSE)</f>
        <v>0</v>
      </c>
      <c r="C32" s="26">
        <f>HLOOKUP(A32,Hoja2!$R$2:$AV$13,12,FALSE)</f>
        <v>0</v>
      </c>
      <c r="E32" s="15">
        <v>45459</v>
      </c>
      <c r="F32" s="8">
        <v>110209</v>
      </c>
      <c r="G32" s="8" t="s">
        <v>144</v>
      </c>
      <c r="H32" s="8" t="str">
        <f>"CPA Recaudación por Transbank "&amp;TEXT($E32,"dd-mm-aaa")</f>
        <v>CPA Recaudación por Transbank 16-06-2024</v>
      </c>
      <c r="I32" s="8" t="str">
        <f>"CPA Recaudación por Transbank "&amp;TEXT(E32,"dd-mm-aaa")</f>
        <v>CPA Recaudación por Transbank 16-06-2024</v>
      </c>
      <c r="J32" s="16">
        <f>+B17</f>
        <v>0</v>
      </c>
      <c r="K32" s="17"/>
      <c r="L32" s="3"/>
      <c r="N32" s="1">
        <v>45474</v>
      </c>
      <c r="O32" s="26"/>
      <c r="R32" s="15">
        <v>45459</v>
      </c>
      <c r="S32" s="8">
        <v>110608</v>
      </c>
      <c r="T32" s="8" t="s">
        <v>62</v>
      </c>
      <c r="U32" s="8" t="str">
        <f>"CPA LIQ CORRESPONSAL "&amp;TEXT(R32,"dd-mm-aaa")</f>
        <v>CPA LIQ CORRESPONSAL 16-06-2024</v>
      </c>
      <c r="V32" s="16">
        <f>+O17</f>
        <v>0</v>
      </c>
      <c r="W32" s="17"/>
      <c r="Z32" s="1">
        <v>45474</v>
      </c>
      <c r="AA32" s="26">
        <f>HLOOKUP(Z32,Hoja2!$R$2:$AV$44,43,FALSE)</f>
        <v>0</v>
      </c>
      <c r="AD32" s="15">
        <v>45459</v>
      </c>
      <c r="AE32" s="8">
        <v>110213</v>
      </c>
      <c r="AF32" s="8" t="s">
        <v>120</v>
      </c>
      <c r="AG32" t="str">
        <f>"CPA Fondeo WALLET CLP "&amp;TEXT(AD32,"dd-mm-aaa")</f>
        <v>CPA Fondeo WALLET CLP 16-06-2024</v>
      </c>
      <c r="AH32" s="16">
        <f>+AA17</f>
        <v>0</v>
      </c>
      <c r="AI32" s="17"/>
      <c r="AL32" s="1">
        <v>45474</v>
      </c>
      <c r="AM32" s="26"/>
      <c r="AP32" s="15">
        <v>45459</v>
      </c>
      <c r="AQ32" s="8">
        <v>110204</v>
      </c>
      <c r="AR32" s="8" t="s">
        <v>51</v>
      </c>
      <c r="AS32" s="8" t="str">
        <f>"CPA Traspaso de Fondos BICE "&amp;TEXT(AP32,"dd-mm-aaa")</f>
        <v>CPA Traspaso de Fondos BICE 16-06-2024</v>
      </c>
      <c r="AT32" s="16">
        <f>+AM17</f>
        <v>0</v>
      </c>
      <c r="AU32" s="17"/>
      <c r="AX32" s="1">
        <v>45474</v>
      </c>
      <c r="AY32" s="26"/>
      <c r="BB32" s="15">
        <v>45459</v>
      </c>
      <c r="BC32" s="8">
        <v>211102</v>
      </c>
      <c r="BD32" s="8" t="s">
        <v>18</v>
      </c>
      <c r="BE32" s="8" t="str">
        <f>"CPA Pago Operaciones Locales BCI OP 648 "&amp;TEXT(BB32,"dd-mm-yyy")</f>
        <v>CPA Pago Operaciones Locales BCI OP 648 16-06-yyy</v>
      </c>
      <c r="BF32" s="16">
        <f>+AY17</f>
        <v>0</v>
      </c>
      <c r="BG32" s="17"/>
    </row>
    <row r="33" spans="2:59" x14ac:dyDescent="0.25">
      <c r="B33" s="26">
        <f>SUM(B2:B32)</f>
        <v>1048685693</v>
      </c>
      <c r="C33" s="26">
        <f>SUM(C2:C32)</f>
        <v>0</v>
      </c>
      <c r="E33" s="11"/>
      <c r="F33" s="12">
        <v>110260</v>
      </c>
      <c r="G33" s="12" t="s">
        <v>26</v>
      </c>
      <c r="H33" s="12" t="str">
        <f t="shared" ref="H33" si="78">H32</f>
        <v>CPA Recaudación por Transbank 16-06-2024</v>
      </c>
      <c r="I33" s="12" t="str">
        <f>+I32</f>
        <v>CPA Recaudación por Transbank 16-06-2024</v>
      </c>
      <c r="J33" s="13"/>
      <c r="K33" s="18">
        <f>J32</f>
        <v>0</v>
      </c>
      <c r="R33" s="11"/>
      <c r="S33" s="12">
        <v>110209</v>
      </c>
      <c r="T33" s="12" t="s">
        <v>144</v>
      </c>
      <c r="U33" s="12" t="str">
        <f t="shared" ref="U33:U41" si="79">U32</f>
        <v>CPA LIQ CORRESPONSAL 16-06-2024</v>
      </c>
      <c r="V33" s="13"/>
      <c r="W33" s="18">
        <f t="shared" ref="W33" si="80">V32</f>
        <v>0</v>
      </c>
      <c r="AD33" s="11"/>
      <c r="AE33" s="12">
        <v>110209</v>
      </c>
      <c r="AF33" s="12" t="s">
        <v>144</v>
      </c>
      <c r="AG33" s="12" t="str">
        <f t="shared" ref="AG33" si="81">AG32</f>
        <v>CPA Fondeo WALLET CLP 16-06-2024</v>
      </c>
      <c r="AH33" s="13"/>
      <c r="AI33" s="18">
        <f t="shared" ref="AI33" si="82">AH32</f>
        <v>0</v>
      </c>
      <c r="AP33" s="11"/>
      <c r="AQ33" s="12">
        <v>110208</v>
      </c>
      <c r="AR33" s="12" t="s">
        <v>145</v>
      </c>
      <c r="AS33" s="12" t="str">
        <f t="shared" ref="AS33:AS41" si="83">AS32</f>
        <v>CPA Traspaso de Fondos BICE 16-06-2024</v>
      </c>
      <c r="AT33" s="13"/>
      <c r="AU33" s="18">
        <f t="shared" ref="AU33" si="84">AT32</f>
        <v>0</v>
      </c>
      <c r="BB33" s="11"/>
      <c r="BC33" s="12">
        <v>110208</v>
      </c>
      <c r="BD33" s="12" t="s">
        <v>145</v>
      </c>
      <c r="BE33" s="12" t="str">
        <f t="shared" ref="BE33:BE41" si="85">BE32</f>
        <v>CPA Pago Operaciones Locales BCI OP 648 16-06-yyy</v>
      </c>
      <c r="BF33" s="13"/>
      <c r="BG33" s="18">
        <f t="shared" ref="BG33" si="86">BF32</f>
        <v>0</v>
      </c>
    </row>
    <row r="34" spans="2:59" x14ac:dyDescent="0.25">
      <c r="E34" s="15">
        <v>45460</v>
      </c>
      <c r="F34" s="8">
        <v>110209</v>
      </c>
      <c r="G34" s="8" t="s">
        <v>144</v>
      </c>
      <c r="H34" s="8" t="str">
        <f>"CPA Recaudación por Transbank "&amp;TEXT($E34,"dd-mm-aaa")</f>
        <v>CPA Recaudación por Transbank 17-06-2024</v>
      </c>
      <c r="I34" s="8" t="str">
        <f>"CPA Recaudación por Transbank "&amp;TEXT(E34,"dd-mm-aaa")</f>
        <v>CPA Recaudación por Transbank 17-06-2024</v>
      </c>
      <c r="J34" s="16">
        <f>+B18</f>
        <v>0</v>
      </c>
      <c r="K34" s="17"/>
      <c r="L34" s="3"/>
      <c r="R34" s="15">
        <v>45460</v>
      </c>
      <c r="S34" s="8">
        <v>110608</v>
      </c>
      <c r="T34" s="8" t="s">
        <v>62</v>
      </c>
      <c r="U34" s="8" t="str">
        <f>"CPA LIQ CORRESPONSAL "&amp;TEXT(R34,"dd-mm-aaa")</f>
        <v>CPA LIQ CORRESPONSAL 17-06-2024</v>
      </c>
      <c r="V34" s="16">
        <f>+O18</f>
        <v>0</v>
      </c>
      <c r="W34" s="17"/>
      <c r="AD34" s="15">
        <v>45460</v>
      </c>
      <c r="AE34" s="8">
        <v>110213</v>
      </c>
      <c r="AF34" s="8" t="s">
        <v>120</v>
      </c>
      <c r="AG34" t="str">
        <f>"CPA Fondeo WALLET CLP "&amp;TEXT(AD34,"dd-mm-aaa")</f>
        <v>CPA Fondeo WALLET CLP 17-06-2024</v>
      </c>
      <c r="AH34" s="16">
        <f>+AA18</f>
        <v>0</v>
      </c>
      <c r="AI34" s="17"/>
      <c r="AP34" s="15">
        <v>45460</v>
      </c>
      <c r="AQ34" s="8">
        <v>110204</v>
      </c>
      <c r="AR34" s="8" t="s">
        <v>51</v>
      </c>
      <c r="AS34" s="8" t="str">
        <f>"CPA Traspaso de Fondos BICE "&amp;TEXT(AP34,"dd-mm-aaa")</f>
        <v>CPA Traspaso de Fondos BICE 17-06-2024</v>
      </c>
      <c r="AT34" s="16">
        <f>+AM18</f>
        <v>0</v>
      </c>
      <c r="AU34" s="17"/>
      <c r="BB34" s="15">
        <v>45460</v>
      </c>
      <c r="BC34" s="8">
        <v>211102</v>
      </c>
      <c r="BD34" s="8" t="s">
        <v>18</v>
      </c>
      <c r="BE34" s="8" t="str">
        <f>"CPA Pago Operaciones Locales BCI OP 648 "&amp;TEXT(BB34,"dd-mm-yyy")</f>
        <v>CPA Pago Operaciones Locales BCI OP 648 17-06-yyy</v>
      </c>
      <c r="BF34" s="16">
        <f>+AY18</f>
        <v>0</v>
      </c>
      <c r="BG34" s="17"/>
    </row>
    <row r="35" spans="2:59" x14ac:dyDescent="0.25">
      <c r="E35" s="11"/>
      <c r="F35" s="12">
        <v>110260</v>
      </c>
      <c r="G35" s="12" t="s">
        <v>26</v>
      </c>
      <c r="H35" s="12" t="str">
        <f t="shared" ref="H35" si="87">H34</f>
        <v>CPA Recaudación por Transbank 17-06-2024</v>
      </c>
      <c r="I35" s="12" t="str">
        <f>+I34</f>
        <v>CPA Recaudación por Transbank 17-06-2024</v>
      </c>
      <c r="J35" s="13"/>
      <c r="K35" s="18">
        <f>J34</f>
        <v>0</v>
      </c>
      <c r="R35" s="11"/>
      <c r="S35" s="12">
        <v>110209</v>
      </c>
      <c r="T35" s="12" t="s">
        <v>144</v>
      </c>
      <c r="U35" s="12" t="str">
        <f t="shared" si="79"/>
        <v>CPA LIQ CORRESPONSAL 17-06-2024</v>
      </c>
      <c r="V35" s="13"/>
      <c r="W35" s="18">
        <f t="shared" ref="W35" si="88">V34</f>
        <v>0</v>
      </c>
      <c r="AD35" s="11"/>
      <c r="AE35" s="12">
        <v>110209</v>
      </c>
      <c r="AF35" s="12" t="s">
        <v>144</v>
      </c>
      <c r="AG35" s="12" t="str">
        <f t="shared" ref="AG35" si="89">AG34</f>
        <v>CPA Fondeo WALLET CLP 17-06-2024</v>
      </c>
      <c r="AH35" s="13"/>
      <c r="AI35" s="18">
        <f t="shared" ref="AI35" si="90">AH34</f>
        <v>0</v>
      </c>
      <c r="AP35" s="11"/>
      <c r="AQ35" s="12">
        <v>110208</v>
      </c>
      <c r="AR35" s="12" t="s">
        <v>145</v>
      </c>
      <c r="AS35" s="12" t="str">
        <f t="shared" si="83"/>
        <v>CPA Traspaso de Fondos BICE 17-06-2024</v>
      </c>
      <c r="AT35" s="13"/>
      <c r="AU35" s="18">
        <f t="shared" ref="AU35" si="91">AT34</f>
        <v>0</v>
      </c>
      <c r="BB35" s="11"/>
      <c r="BC35" s="12">
        <v>110208</v>
      </c>
      <c r="BD35" s="12" t="s">
        <v>145</v>
      </c>
      <c r="BE35" s="12" t="str">
        <f t="shared" si="85"/>
        <v>CPA Pago Operaciones Locales BCI OP 648 17-06-yyy</v>
      </c>
      <c r="BF35" s="13"/>
      <c r="BG35" s="18">
        <f t="shared" ref="BG35" si="92">BF34</f>
        <v>0</v>
      </c>
    </row>
    <row r="36" spans="2:59" x14ac:dyDescent="0.25">
      <c r="E36" s="15">
        <v>45461</v>
      </c>
      <c r="F36" s="8">
        <v>110209</v>
      </c>
      <c r="G36" s="8" t="s">
        <v>144</v>
      </c>
      <c r="H36" s="8" t="str">
        <f>"CPA Recaudación por Transbank "&amp;TEXT($E36,"dd-mm-aaa")</f>
        <v>CPA Recaudación por Transbank 18-06-2024</v>
      </c>
      <c r="I36" s="8" t="str">
        <f>"CPA Recaudación por Transbank "&amp;TEXT(E36,"dd-mm-aaa")</f>
        <v>CPA Recaudación por Transbank 18-06-2024</v>
      </c>
      <c r="J36" s="16">
        <f>+B19</f>
        <v>0</v>
      </c>
      <c r="K36" s="17"/>
      <c r="R36" s="15">
        <v>45461</v>
      </c>
      <c r="S36" s="8">
        <v>110608</v>
      </c>
      <c r="T36" s="8" t="s">
        <v>62</v>
      </c>
      <c r="U36" s="8" t="str">
        <f>"CPA LIQ CORRESPONSAL "&amp;TEXT(R36,"dd-mm-aaa")</f>
        <v>CPA LIQ CORRESPONSAL 18-06-2024</v>
      </c>
      <c r="V36" s="16">
        <f>+O19</f>
        <v>0</v>
      </c>
      <c r="W36" s="17"/>
      <c r="AD36" s="15">
        <v>45461</v>
      </c>
      <c r="AE36" s="8">
        <v>110213</v>
      </c>
      <c r="AF36" s="8" t="s">
        <v>120</v>
      </c>
      <c r="AG36" t="str">
        <f>"CPA Fondeo WALLET CLP "&amp;TEXT(AD36,"dd-mm-aaa")</f>
        <v>CPA Fondeo WALLET CLP 18-06-2024</v>
      </c>
      <c r="AH36" s="16">
        <f>+AA19</f>
        <v>0</v>
      </c>
      <c r="AI36" s="17"/>
      <c r="AP36" s="15">
        <v>45461</v>
      </c>
      <c r="AQ36" s="8">
        <v>110204</v>
      </c>
      <c r="AR36" s="8" t="s">
        <v>51</v>
      </c>
      <c r="AS36" s="8" t="str">
        <f>"CPA Traspaso de Fondos BICE "&amp;TEXT(AP36,"dd-mm-aaa")</f>
        <v>CPA Traspaso de Fondos BICE 18-06-2024</v>
      </c>
      <c r="AT36" s="16">
        <f>+AM19</f>
        <v>0</v>
      </c>
      <c r="AU36" s="17"/>
      <c r="BB36" s="15">
        <v>45461</v>
      </c>
      <c r="BC36" s="8">
        <v>211102</v>
      </c>
      <c r="BD36" s="8" t="s">
        <v>18</v>
      </c>
      <c r="BE36" s="8" t="str">
        <f>"CPA Pago Operaciones Locales BCI OP 648 "&amp;TEXT(BB36,"dd-mm-yyy")</f>
        <v>CPA Pago Operaciones Locales BCI OP 648 18-06-yyy</v>
      </c>
      <c r="BF36" s="16">
        <f>+AY19</f>
        <v>0</v>
      </c>
      <c r="BG36" s="17"/>
    </row>
    <row r="37" spans="2:59" x14ac:dyDescent="0.25">
      <c r="E37" s="11"/>
      <c r="F37" s="12">
        <v>110260</v>
      </c>
      <c r="G37" s="12" t="s">
        <v>26</v>
      </c>
      <c r="H37" s="12" t="str">
        <f t="shared" ref="H37" si="93">H36</f>
        <v>CPA Recaudación por Transbank 18-06-2024</v>
      </c>
      <c r="I37" s="12" t="str">
        <f>+I36</f>
        <v>CPA Recaudación por Transbank 18-06-2024</v>
      </c>
      <c r="J37" s="13"/>
      <c r="K37" s="18">
        <f>J36</f>
        <v>0</v>
      </c>
      <c r="R37" s="11"/>
      <c r="S37" s="12">
        <v>110209</v>
      </c>
      <c r="T37" s="12" t="s">
        <v>144</v>
      </c>
      <c r="U37" s="12" t="str">
        <f>U36</f>
        <v>CPA LIQ CORRESPONSAL 18-06-2024</v>
      </c>
      <c r="V37" s="13"/>
      <c r="W37" s="18">
        <f>V36</f>
        <v>0</v>
      </c>
      <c r="AD37" s="11"/>
      <c r="AE37" s="12">
        <v>110209</v>
      </c>
      <c r="AF37" s="12" t="s">
        <v>144</v>
      </c>
      <c r="AG37" s="12" t="str">
        <f t="shared" ref="AG37" si="94">AG36</f>
        <v>CPA Fondeo WALLET CLP 18-06-2024</v>
      </c>
      <c r="AH37" s="13"/>
      <c r="AI37" s="18">
        <f>AH36</f>
        <v>0</v>
      </c>
      <c r="AP37" s="11"/>
      <c r="AQ37" s="12">
        <v>110208</v>
      </c>
      <c r="AR37" s="12" t="s">
        <v>145</v>
      </c>
      <c r="AS37" s="12" t="str">
        <f>AS36</f>
        <v>CPA Traspaso de Fondos BICE 18-06-2024</v>
      </c>
      <c r="AT37" s="13"/>
      <c r="AU37" s="18">
        <f>AT36</f>
        <v>0</v>
      </c>
      <c r="BB37" s="11"/>
      <c r="BC37" s="12">
        <v>110208</v>
      </c>
      <c r="BD37" s="12" t="s">
        <v>145</v>
      </c>
      <c r="BE37" s="12" t="str">
        <f>BE36</f>
        <v>CPA Pago Operaciones Locales BCI OP 648 18-06-yyy</v>
      </c>
      <c r="BF37" s="13"/>
      <c r="BG37" s="18">
        <f>BF36</f>
        <v>0</v>
      </c>
    </row>
    <row r="38" spans="2:59" x14ac:dyDescent="0.25">
      <c r="E38" s="15">
        <v>45462</v>
      </c>
      <c r="F38" s="8">
        <v>110209</v>
      </c>
      <c r="G38" s="8" t="s">
        <v>144</v>
      </c>
      <c r="H38" s="8" t="str">
        <f>"CPA Recaudación por Transbank "&amp;TEXT($E38,"dd-mm-aaa")</f>
        <v>CPA Recaudación por Transbank 19-06-2024</v>
      </c>
      <c r="I38" s="8" t="str">
        <f>"CPA Recaudación por Transbank "&amp;TEXT(E38,"dd-mm-aaa")</f>
        <v>CPA Recaudación por Transbank 19-06-2024</v>
      </c>
      <c r="J38" s="16">
        <f>+B20</f>
        <v>0</v>
      </c>
      <c r="K38" s="17"/>
      <c r="L38" s="3"/>
      <c r="R38" s="15">
        <v>45462</v>
      </c>
      <c r="S38" s="8">
        <v>110608</v>
      </c>
      <c r="T38" s="8" t="s">
        <v>62</v>
      </c>
      <c r="U38" s="8" t="str">
        <f>"CPA LIQ CORRESPONSAL "&amp;TEXT(R38,"dd-mm-aaa")</f>
        <v>CPA LIQ CORRESPONSAL 19-06-2024</v>
      </c>
      <c r="V38" s="16">
        <f>+O20</f>
        <v>0</v>
      </c>
      <c r="W38" s="17"/>
      <c r="AD38" s="15">
        <v>45462</v>
      </c>
      <c r="AE38" s="8">
        <v>110213</v>
      </c>
      <c r="AF38" s="8" t="s">
        <v>120</v>
      </c>
      <c r="AG38" t="str">
        <f>"CPA Fondeo WALLET CLP "&amp;TEXT(AD38,"dd-mm-aaa")</f>
        <v>CPA Fondeo WALLET CLP 19-06-2024</v>
      </c>
      <c r="AH38" s="16">
        <f>+AA20</f>
        <v>0</v>
      </c>
      <c r="AI38" s="17"/>
      <c r="AP38" s="15">
        <v>45462</v>
      </c>
      <c r="AQ38" s="8">
        <v>110204</v>
      </c>
      <c r="AR38" s="8" t="s">
        <v>51</v>
      </c>
      <c r="AS38" s="8" t="str">
        <f>"CPA Traspaso de Fondos BICE "&amp;TEXT(AP38,"dd-mm-aaa")</f>
        <v>CPA Traspaso de Fondos BICE 19-06-2024</v>
      </c>
      <c r="AT38" s="16">
        <f>+AM20</f>
        <v>0</v>
      </c>
      <c r="AU38" s="17"/>
      <c r="BB38" s="15">
        <v>45462</v>
      </c>
      <c r="BC38" s="8">
        <v>211102</v>
      </c>
      <c r="BD38" s="8" t="s">
        <v>18</v>
      </c>
      <c r="BE38" s="8" t="str">
        <f>"CPA Pago Operaciones Locales BCI OP 648 "&amp;TEXT(BB38,"dd-mm-yyy")</f>
        <v>CPA Pago Operaciones Locales BCI OP 648 19-06-yyy</v>
      </c>
      <c r="BF38" s="16">
        <f>+AY20</f>
        <v>0</v>
      </c>
      <c r="BG38" s="17"/>
    </row>
    <row r="39" spans="2:59" x14ac:dyDescent="0.25">
      <c r="E39" s="11"/>
      <c r="F39" s="12">
        <v>110260</v>
      </c>
      <c r="G39" s="12" t="s">
        <v>26</v>
      </c>
      <c r="H39" s="12" t="str">
        <f t="shared" ref="H39" si="95">H38</f>
        <v>CPA Recaudación por Transbank 19-06-2024</v>
      </c>
      <c r="I39" s="12" t="str">
        <f>+I38</f>
        <v>CPA Recaudación por Transbank 19-06-2024</v>
      </c>
      <c r="J39" s="13"/>
      <c r="K39" s="18">
        <f>J38</f>
        <v>0</v>
      </c>
      <c r="R39" s="11"/>
      <c r="S39" s="12">
        <v>110209</v>
      </c>
      <c r="T39" s="12" t="s">
        <v>144</v>
      </c>
      <c r="U39" s="12" t="str">
        <f t="shared" si="79"/>
        <v>CPA LIQ CORRESPONSAL 19-06-2024</v>
      </c>
      <c r="V39" s="13"/>
      <c r="W39" s="18">
        <f t="shared" ref="W39" si="96">V38</f>
        <v>0</v>
      </c>
      <c r="AD39" s="11"/>
      <c r="AE39" s="12">
        <v>110209</v>
      </c>
      <c r="AF39" s="12" t="s">
        <v>144</v>
      </c>
      <c r="AG39" s="12" t="str">
        <f t="shared" ref="AG39" si="97">AG38</f>
        <v>CPA Fondeo WALLET CLP 19-06-2024</v>
      </c>
      <c r="AH39" s="13"/>
      <c r="AI39" s="18">
        <f t="shared" ref="AI39" si="98">AH38</f>
        <v>0</v>
      </c>
      <c r="AP39" s="11"/>
      <c r="AQ39" s="12">
        <v>110208</v>
      </c>
      <c r="AR39" s="12" t="s">
        <v>145</v>
      </c>
      <c r="AS39" s="12" t="str">
        <f t="shared" si="83"/>
        <v>CPA Traspaso de Fondos BICE 19-06-2024</v>
      </c>
      <c r="AT39" s="13"/>
      <c r="AU39" s="18">
        <f t="shared" ref="AU39" si="99">AT38</f>
        <v>0</v>
      </c>
      <c r="BB39" s="11"/>
      <c r="BC39" s="12">
        <v>110208</v>
      </c>
      <c r="BD39" s="12" t="s">
        <v>145</v>
      </c>
      <c r="BE39" s="12" t="str">
        <f t="shared" si="85"/>
        <v>CPA Pago Operaciones Locales BCI OP 648 19-06-yyy</v>
      </c>
      <c r="BF39" s="13"/>
      <c r="BG39" s="18">
        <f t="shared" ref="BG39" si="100">BF38</f>
        <v>0</v>
      </c>
    </row>
    <row r="40" spans="2:59" x14ac:dyDescent="0.25">
      <c r="E40" s="15">
        <v>45463</v>
      </c>
      <c r="F40" s="8">
        <v>110209</v>
      </c>
      <c r="G40" s="8" t="s">
        <v>144</v>
      </c>
      <c r="H40" s="8" t="str">
        <f>"CPA Recaudación por Transbank "&amp;TEXT($E40,"dd-mm-aaa")</f>
        <v>CPA Recaudación por Transbank 20-06-2024</v>
      </c>
      <c r="I40" s="8" t="str">
        <f>"CPA Recaudación por Transbank "&amp;TEXT(E40,"dd-mm-aaa")</f>
        <v>CPA Recaudación por Transbank 20-06-2024</v>
      </c>
      <c r="J40" s="16">
        <f>+B21</f>
        <v>0</v>
      </c>
      <c r="K40" s="17"/>
      <c r="R40" s="15">
        <v>45463</v>
      </c>
      <c r="S40" s="8">
        <v>110608</v>
      </c>
      <c r="T40" s="8" t="s">
        <v>62</v>
      </c>
      <c r="U40" s="8" t="str">
        <f>"CPA LIQ CORRESPONSAL "&amp;TEXT(R40,"dd-mm-aaa")</f>
        <v>CPA LIQ CORRESPONSAL 20-06-2024</v>
      </c>
      <c r="V40" s="16">
        <f>+O21</f>
        <v>0</v>
      </c>
      <c r="W40" s="17"/>
      <c r="AD40" s="15">
        <v>45463</v>
      </c>
      <c r="AE40" s="8">
        <v>110213</v>
      </c>
      <c r="AF40" s="8" t="s">
        <v>120</v>
      </c>
      <c r="AG40" t="str">
        <f>"CPA Fondeo WALLET CLP "&amp;TEXT(AD40,"dd-mm-aaa")</f>
        <v>CPA Fondeo WALLET CLP 20-06-2024</v>
      </c>
      <c r="AH40" s="16">
        <f>+AA21</f>
        <v>0</v>
      </c>
      <c r="AI40" s="17"/>
      <c r="AP40" s="15">
        <v>45463</v>
      </c>
      <c r="AQ40" s="8">
        <v>110204</v>
      </c>
      <c r="AR40" s="8" t="s">
        <v>51</v>
      </c>
      <c r="AS40" s="8" t="str">
        <f>"CPA Traspaso de Fondos BICE "&amp;TEXT(AP40,"dd-mm-aaa")</f>
        <v>CPA Traspaso de Fondos BICE 20-06-2024</v>
      </c>
      <c r="AT40" s="16">
        <f>+AM21</f>
        <v>0</v>
      </c>
      <c r="AU40" s="17"/>
      <c r="BB40" s="15">
        <v>45463</v>
      </c>
      <c r="BC40" s="8">
        <v>211102</v>
      </c>
      <c r="BD40" s="8" t="s">
        <v>18</v>
      </c>
      <c r="BE40" s="8" t="str">
        <f>"CPA Pago Operaciones Locales BCI OP 648 "&amp;TEXT(BB40,"dd-mm-yyy")</f>
        <v>CPA Pago Operaciones Locales BCI OP 648 20-06-yyy</v>
      </c>
      <c r="BF40" s="16">
        <f>+AY21</f>
        <v>0</v>
      </c>
      <c r="BG40" s="17"/>
    </row>
    <row r="41" spans="2:59" x14ac:dyDescent="0.25">
      <c r="E41" s="11"/>
      <c r="F41" s="12">
        <v>110260</v>
      </c>
      <c r="G41" s="12" t="s">
        <v>26</v>
      </c>
      <c r="H41" s="12" t="str">
        <f t="shared" ref="H41" si="101">H40</f>
        <v>CPA Recaudación por Transbank 20-06-2024</v>
      </c>
      <c r="I41" s="12" t="str">
        <f>+I40</f>
        <v>CPA Recaudación por Transbank 20-06-2024</v>
      </c>
      <c r="J41" s="13"/>
      <c r="K41" s="18">
        <f>J40</f>
        <v>0</v>
      </c>
      <c r="R41" s="11"/>
      <c r="S41" s="12">
        <v>110209</v>
      </c>
      <c r="T41" s="12" t="s">
        <v>144</v>
      </c>
      <c r="U41" s="12" t="str">
        <f t="shared" si="79"/>
        <v>CPA LIQ CORRESPONSAL 20-06-2024</v>
      </c>
      <c r="V41" s="13"/>
      <c r="W41" s="18">
        <f t="shared" ref="W41" si="102">V40</f>
        <v>0</v>
      </c>
      <c r="AD41" s="11"/>
      <c r="AE41" s="12">
        <v>110209</v>
      </c>
      <c r="AF41" s="12" t="s">
        <v>144</v>
      </c>
      <c r="AG41" s="12" t="str">
        <f t="shared" ref="AG41" si="103">AG40</f>
        <v>CPA Fondeo WALLET CLP 20-06-2024</v>
      </c>
      <c r="AH41" s="13"/>
      <c r="AI41" s="18">
        <f>AH40</f>
        <v>0</v>
      </c>
      <c r="AP41" s="11"/>
      <c r="AQ41" s="12">
        <v>110208</v>
      </c>
      <c r="AR41" s="12" t="s">
        <v>145</v>
      </c>
      <c r="AS41" s="12" t="str">
        <f t="shared" si="83"/>
        <v>CPA Traspaso de Fondos BICE 20-06-2024</v>
      </c>
      <c r="AT41" s="13"/>
      <c r="AU41" s="18">
        <f t="shared" ref="AU41" si="104">AT40</f>
        <v>0</v>
      </c>
      <c r="BB41" s="11"/>
      <c r="BC41" s="12">
        <v>110208</v>
      </c>
      <c r="BD41" s="12" t="s">
        <v>145</v>
      </c>
      <c r="BE41" s="12" t="str">
        <f t="shared" si="85"/>
        <v>CPA Pago Operaciones Locales BCI OP 648 20-06-yyy</v>
      </c>
      <c r="BF41" s="13"/>
      <c r="BG41" s="18">
        <f t="shared" ref="BG41" si="105">BF40</f>
        <v>0</v>
      </c>
    </row>
    <row r="42" spans="2:59" x14ac:dyDescent="0.25">
      <c r="E42" s="15">
        <v>45464</v>
      </c>
      <c r="F42" s="8">
        <v>110209</v>
      </c>
      <c r="G42" s="8" t="s">
        <v>144</v>
      </c>
      <c r="H42" s="8" t="str">
        <f>"CPA Recaudación por Transbank "&amp;TEXT($E42,"dd-mm-aaa")</f>
        <v>CPA Recaudación por Transbank 21-06-2024</v>
      </c>
      <c r="I42" s="8" t="str">
        <f>"CPA Recaudación por Transbank "&amp;TEXT(E42,"dd-mm-aaa")</f>
        <v>CPA Recaudación por Transbank 21-06-2024</v>
      </c>
      <c r="J42" s="16">
        <f>+B22</f>
        <v>0</v>
      </c>
      <c r="K42" s="17"/>
      <c r="L42" s="3"/>
      <c r="R42" s="15">
        <v>45464</v>
      </c>
      <c r="S42" s="8">
        <v>110608</v>
      </c>
      <c r="T42" s="8" t="s">
        <v>62</v>
      </c>
      <c r="U42" s="8" t="str">
        <f t="shared" ref="U42:U52" si="106">"CPA LIQ CORRESPONSAL "&amp;TEXT(R42,"dd-mm-aaa")</f>
        <v>CPA LIQ CORRESPONSAL 21-06-2024</v>
      </c>
      <c r="V42" s="16">
        <f t="shared" ref="V42:V52" si="107">+O22</f>
        <v>0</v>
      </c>
      <c r="W42" s="17"/>
      <c r="AD42" s="15">
        <v>45464</v>
      </c>
      <c r="AE42" s="8">
        <v>110213</v>
      </c>
      <c r="AF42" s="8" t="s">
        <v>120</v>
      </c>
      <c r="AG42" t="str">
        <f>"CPA Fondeo WALLET CLP "&amp;TEXT(AD42,"dd-mm-aaa")</f>
        <v>CPA Fondeo WALLET CLP 21-06-2024</v>
      </c>
      <c r="AH42" s="16">
        <f>+AA22</f>
        <v>0</v>
      </c>
      <c r="AI42" s="17"/>
      <c r="AP42" s="15">
        <v>45464</v>
      </c>
      <c r="AQ42" s="8">
        <v>110204</v>
      </c>
      <c r="AR42" s="8" t="s">
        <v>51</v>
      </c>
      <c r="AS42" s="8" t="str">
        <f t="shared" ref="AS42:AS52" si="108">"CPA Traspaso de Fondos BICE "&amp;TEXT(AP42,"dd-mm-aaa")</f>
        <v>CPA Traspaso de Fondos BICE 21-06-2024</v>
      </c>
      <c r="AT42" s="16">
        <f t="shared" ref="AT42:AT52" si="109">+AM22</f>
        <v>0</v>
      </c>
      <c r="AU42" s="17"/>
      <c r="BB42" s="15">
        <v>45464</v>
      </c>
      <c r="BC42" s="8">
        <v>211102</v>
      </c>
      <c r="BD42" s="8" t="s">
        <v>18</v>
      </c>
      <c r="BE42" s="8" t="str">
        <f t="shared" ref="BE42:BE52" si="110">"CPA Pago Operaciones Locales BCI OP 648 "&amp;TEXT(BB42,"dd-mm-yyy")</f>
        <v>CPA Pago Operaciones Locales BCI OP 648 21-06-yyy</v>
      </c>
      <c r="BF42" s="16">
        <f t="shared" ref="BF42:BF52" si="111">+AY22</f>
        <v>0</v>
      </c>
      <c r="BG42" s="17"/>
    </row>
    <row r="43" spans="2:59" x14ac:dyDescent="0.25">
      <c r="E43" s="11"/>
      <c r="F43" s="12">
        <v>110260</v>
      </c>
      <c r="G43" s="12" t="s">
        <v>26</v>
      </c>
      <c r="H43" s="12" t="str">
        <f t="shared" ref="H43" si="112">H42</f>
        <v>CPA Recaudación por Transbank 21-06-2024</v>
      </c>
      <c r="I43" s="12" t="str">
        <f>+I42</f>
        <v>CPA Recaudación por Transbank 21-06-2024</v>
      </c>
      <c r="J43" s="13"/>
      <c r="K43" s="18">
        <f>J42</f>
        <v>0</v>
      </c>
      <c r="L43" s="3"/>
      <c r="R43" s="11"/>
      <c r="S43" s="12">
        <v>110608</v>
      </c>
      <c r="T43" s="12" t="s">
        <v>62</v>
      </c>
      <c r="U43" s="12" t="str">
        <f t="shared" si="106"/>
        <v>CPA LIQ CORRESPONSAL 00-01-1900</v>
      </c>
      <c r="V43" s="13">
        <f t="shared" si="107"/>
        <v>0</v>
      </c>
      <c r="W43" s="18"/>
      <c r="AD43" s="11"/>
      <c r="AE43" s="12">
        <v>110209</v>
      </c>
      <c r="AF43" s="12" t="s">
        <v>144</v>
      </c>
      <c r="AG43" s="12" t="str">
        <f t="shared" ref="AG43" si="113">AG42</f>
        <v>CPA Fondeo WALLET CLP 21-06-2024</v>
      </c>
      <c r="AH43" s="13"/>
      <c r="AI43" s="18">
        <f t="shared" ref="AI43" si="114">AH42</f>
        <v>0</v>
      </c>
      <c r="AP43" s="11"/>
      <c r="AQ43" s="8">
        <v>110204</v>
      </c>
      <c r="AR43" s="8" t="s">
        <v>51</v>
      </c>
      <c r="AS43" s="8" t="str">
        <f t="shared" si="108"/>
        <v>CPA Traspaso de Fondos BICE 00-01-1900</v>
      </c>
      <c r="AT43" s="16">
        <f t="shared" si="109"/>
        <v>0</v>
      </c>
      <c r="AU43" s="17"/>
      <c r="BB43" s="11"/>
      <c r="BC43" s="8">
        <v>211102</v>
      </c>
      <c r="BD43" s="8" t="s">
        <v>18</v>
      </c>
      <c r="BE43" s="8" t="str">
        <f t="shared" si="110"/>
        <v>CPA Pago Operaciones Locales BCI OP 648 00-01-yyy</v>
      </c>
      <c r="BF43" s="16">
        <f t="shared" si="111"/>
        <v>0</v>
      </c>
      <c r="BG43" s="17"/>
    </row>
    <row r="44" spans="2:59" x14ac:dyDescent="0.25">
      <c r="E44" s="15">
        <v>45465</v>
      </c>
      <c r="F44" s="8">
        <v>110209</v>
      </c>
      <c r="G44" s="8" t="s">
        <v>144</v>
      </c>
      <c r="H44" s="8" t="str">
        <f>"CPA Recaudación por Transbank "&amp;TEXT($E44,"dd-mm-aaa")</f>
        <v>CPA Recaudación por Transbank 22-06-2024</v>
      </c>
      <c r="I44" s="8" t="str">
        <f>"CPA Recaudación por Transbank "&amp;TEXT(E44,"dd-mm-aaa")</f>
        <v>CPA Recaudación por Transbank 22-06-2024</v>
      </c>
      <c r="J44" s="16">
        <f>+B23</f>
        <v>0</v>
      </c>
      <c r="K44" s="17"/>
      <c r="L44" s="3"/>
      <c r="R44" s="15">
        <v>45465</v>
      </c>
      <c r="S44" s="8">
        <v>110608</v>
      </c>
      <c r="T44" s="8" t="s">
        <v>62</v>
      </c>
      <c r="U44" s="8" t="str">
        <f t="shared" si="106"/>
        <v>CPA LIQ CORRESPONSAL 22-06-2024</v>
      </c>
      <c r="V44" s="16">
        <f t="shared" si="107"/>
        <v>0</v>
      </c>
      <c r="W44" s="17"/>
      <c r="AD44" s="15">
        <v>45465</v>
      </c>
      <c r="AE44" s="8">
        <v>110213</v>
      </c>
      <c r="AF44" s="8" t="s">
        <v>120</v>
      </c>
      <c r="AG44" t="str">
        <f>"CPA Fondeo WALLET CLP "&amp;TEXT(AD44,"dd-mm-aaa")</f>
        <v>CPA Fondeo WALLET CLP 22-06-2024</v>
      </c>
      <c r="AH44" s="16">
        <f>+AA23</f>
        <v>0</v>
      </c>
      <c r="AI44" s="17"/>
      <c r="AP44" s="15">
        <v>45465</v>
      </c>
      <c r="AQ44" s="8">
        <v>110204</v>
      </c>
      <c r="AR44" s="8" t="s">
        <v>51</v>
      </c>
      <c r="AS44" s="8" t="str">
        <f t="shared" si="108"/>
        <v>CPA Traspaso de Fondos BICE 22-06-2024</v>
      </c>
      <c r="AT44" s="16">
        <f t="shared" si="109"/>
        <v>0</v>
      </c>
      <c r="AU44" s="17"/>
      <c r="BB44" s="15">
        <v>45465</v>
      </c>
      <c r="BC44" s="8">
        <v>211102</v>
      </c>
      <c r="BD44" s="8" t="s">
        <v>18</v>
      </c>
      <c r="BE44" s="8" t="str">
        <f t="shared" si="110"/>
        <v>CPA Pago Operaciones Locales BCI OP 648 22-06-yyy</v>
      </c>
      <c r="BF44" s="16">
        <f t="shared" si="111"/>
        <v>0</v>
      </c>
      <c r="BG44" s="17"/>
    </row>
    <row r="45" spans="2:59" x14ac:dyDescent="0.25">
      <c r="E45" s="11"/>
      <c r="F45" s="12">
        <v>110260</v>
      </c>
      <c r="G45" s="12" t="s">
        <v>26</v>
      </c>
      <c r="H45" s="12" t="str">
        <f t="shared" ref="H45" si="115">H44</f>
        <v>CPA Recaudación por Transbank 22-06-2024</v>
      </c>
      <c r="I45" s="12" t="str">
        <f>+I44</f>
        <v>CPA Recaudación por Transbank 22-06-2024</v>
      </c>
      <c r="J45" s="13"/>
      <c r="K45" s="18">
        <f>J44</f>
        <v>0</v>
      </c>
      <c r="R45" s="11"/>
      <c r="S45" s="12">
        <v>110608</v>
      </c>
      <c r="T45" s="12" t="s">
        <v>62</v>
      </c>
      <c r="U45" s="12" t="str">
        <f t="shared" si="106"/>
        <v>CPA LIQ CORRESPONSAL 00-01-1900</v>
      </c>
      <c r="V45" s="13">
        <f t="shared" si="107"/>
        <v>0</v>
      </c>
      <c r="W45" s="18"/>
      <c r="AD45" s="11"/>
      <c r="AE45" s="12">
        <v>110209</v>
      </c>
      <c r="AF45" s="12" t="s">
        <v>144</v>
      </c>
      <c r="AG45" s="12" t="str">
        <f t="shared" ref="AG45" si="116">AG44</f>
        <v>CPA Fondeo WALLET CLP 22-06-2024</v>
      </c>
      <c r="AH45" s="13"/>
      <c r="AI45" s="18">
        <f t="shared" ref="AI45" si="117">AH44</f>
        <v>0</v>
      </c>
      <c r="AP45" s="11"/>
      <c r="AQ45" s="8">
        <v>110204</v>
      </c>
      <c r="AR45" s="8" t="s">
        <v>51</v>
      </c>
      <c r="AS45" s="8" t="str">
        <f t="shared" si="108"/>
        <v>CPA Traspaso de Fondos BICE 00-01-1900</v>
      </c>
      <c r="AT45" s="16">
        <f t="shared" si="109"/>
        <v>0</v>
      </c>
      <c r="AU45" s="17"/>
      <c r="BB45" s="11"/>
      <c r="BC45" s="8">
        <v>211102</v>
      </c>
      <c r="BD45" s="8" t="s">
        <v>18</v>
      </c>
      <c r="BE45" s="8" t="str">
        <f t="shared" si="110"/>
        <v>CPA Pago Operaciones Locales BCI OP 648 00-01-yyy</v>
      </c>
      <c r="BF45" s="16">
        <f t="shared" si="111"/>
        <v>0</v>
      </c>
      <c r="BG45" s="17"/>
    </row>
    <row r="46" spans="2:59" x14ac:dyDescent="0.25">
      <c r="E46" s="15">
        <v>45466</v>
      </c>
      <c r="F46" s="8">
        <v>110209</v>
      </c>
      <c r="G46" s="8" t="s">
        <v>144</v>
      </c>
      <c r="H46" s="8" t="str">
        <f>"CPA Recaudación por Transbank "&amp;TEXT($E46,"dd-mm-aaa")</f>
        <v>CPA Recaudación por Transbank 23-06-2024</v>
      </c>
      <c r="I46" s="8" t="str">
        <f>"CPA Recaudación por Transbank "&amp;TEXT(E46,"dd-mm-aaa")</f>
        <v>CPA Recaudación por Transbank 23-06-2024</v>
      </c>
      <c r="J46" s="16">
        <f>+B24</f>
        <v>0</v>
      </c>
      <c r="K46" s="17"/>
      <c r="L46" s="3"/>
      <c r="R46" s="15">
        <v>45466</v>
      </c>
      <c r="S46" s="8">
        <v>110608</v>
      </c>
      <c r="T46" s="8" t="s">
        <v>62</v>
      </c>
      <c r="U46" s="8" t="str">
        <f t="shared" si="106"/>
        <v>CPA LIQ CORRESPONSAL 23-06-2024</v>
      </c>
      <c r="V46" s="16">
        <f t="shared" si="107"/>
        <v>0</v>
      </c>
      <c r="W46" s="17"/>
      <c r="AD46" s="15">
        <v>45466</v>
      </c>
      <c r="AE46" s="8">
        <v>110213</v>
      </c>
      <c r="AF46" s="8" t="s">
        <v>120</v>
      </c>
      <c r="AG46" t="str">
        <f>"CPA Fondeo WALLET CLP "&amp;TEXT(AD46,"dd-mm-aaa")</f>
        <v>CPA Fondeo WALLET CLP 23-06-2024</v>
      </c>
      <c r="AH46" s="16">
        <f>+AA24</f>
        <v>0</v>
      </c>
      <c r="AI46" s="17"/>
      <c r="AP46" s="15">
        <v>45466</v>
      </c>
      <c r="AQ46" s="8">
        <v>110204</v>
      </c>
      <c r="AR46" s="8" t="s">
        <v>51</v>
      </c>
      <c r="AS46" s="8" t="str">
        <f t="shared" si="108"/>
        <v>CPA Traspaso de Fondos BICE 23-06-2024</v>
      </c>
      <c r="AT46" s="16">
        <f t="shared" si="109"/>
        <v>0</v>
      </c>
      <c r="AU46" s="17"/>
      <c r="BB46" s="15">
        <v>45466</v>
      </c>
      <c r="BC46" s="8">
        <v>211102</v>
      </c>
      <c r="BD46" s="8" t="s">
        <v>18</v>
      </c>
      <c r="BE46" s="8" t="str">
        <f t="shared" si="110"/>
        <v>CPA Pago Operaciones Locales BCI OP 648 23-06-yyy</v>
      </c>
      <c r="BF46" s="16">
        <f t="shared" si="111"/>
        <v>0</v>
      </c>
      <c r="BG46" s="17"/>
    </row>
    <row r="47" spans="2:59" x14ac:dyDescent="0.25">
      <c r="E47" s="11"/>
      <c r="F47" s="12">
        <v>110260</v>
      </c>
      <c r="G47" s="12" t="s">
        <v>26</v>
      </c>
      <c r="H47" s="12" t="str">
        <f t="shared" ref="H47" si="118">H46</f>
        <v>CPA Recaudación por Transbank 23-06-2024</v>
      </c>
      <c r="I47" s="12" t="str">
        <f>+I46</f>
        <v>CPA Recaudación por Transbank 23-06-2024</v>
      </c>
      <c r="J47" s="13"/>
      <c r="K47" s="18">
        <f>J46</f>
        <v>0</v>
      </c>
      <c r="R47" s="11"/>
      <c r="S47" s="12">
        <v>110608</v>
      </c>
      <c r="T47" s="12" t="s">
        <v>62</v>
      </c>
      <c r="U47" s="12" t="str">
        <f t="shared" si="106"/>
        <v>CPA LIQ CORRESPONSAL 00-01-1900</v>
      </c>
      <c r="V47" s="13">
        <f t="shared" si="107"/>
        <v>0</v>
      </c>
      <c r="W47" s="18"/>
      <c r="AD47" s="11"/>
      <c r="AE47" s="12">
        <v>110209</v>
      </c>
      <c r="AF47" s="12" t="s">
        <v>144</v>
      </c>
      <c r="AG47" s="12" t="str">
        <f t="shared" ref="AG47" si="119">AG46</f>
        <v>CPA Fondeo WALLET CLP 23-06-2024</v>
      </c>
      <c r="AH47" s="13"/>
      <c r="AI47" s="18">
        <f t="shared" ref="AI47" si="120">AH46</f>
        <v>0</v>
      </c>
      <c r="AP47" s="11"/>
      <c r="AQ47" s="8">
        <v>110204</v>
      </c>
      <c r="AR47" s="8" t="s">
        <v>51</v>
      </c>
      <c r="AS47" s="8" t="str">
        <f t="shared" si="108"/>
        <v>CPA Traspaso de Fondos BICE 00-01-1900</v>
      </c>
      <c r="AT47" s="16">
        <f t="shared" si="109"/>
        <v>0</v>
      </c>
      <c r="AU47" s="17"/>
      <c r="BB47" s="11"/>
      <c r="BC47" s="8">
        <v>211102</v>
      </c>
      <c r="BD47" s="8" t="s">
        <v>18</v>
      </c>
      <c r="BE47" s="8" t="str">
        <f t="shared" si="110"/>
        <v>CPA Pago Operaciones Locales BCI OP 648 00-01-yyy</v>
      </c>
      <c r="BF47" s="16">
        <f t="shared" si="111"/>
        <v>0</v>
      </c>
      <c r="BG47" s="17"/>
    </row>
    <row r="48" spans="2:59" x14ac:dyDescent="0.25">
      <c r="E48" s="15">
        <v>45467</v>
      </c>
      <c r="F48" s="8">
        <v>110209</v>
      </c>
      <c r="G48" s="8" t="s">
        <v>144</v>
      </c>
      <c r="H48" s="8" t="str">
        <f>"CPA Recaudación por Transbank "&amp;TEXT($E48,"dd-mm-aaa")</f>
        <v>CPA Recaudación por Transbank 24-06-2024</v>
      </c>
      <c r="I48" s="8" t="str">
        <f>"CPA Recaudación por Transbank "&amp;TEXT(E48,"dd-mm-aaa")</f>
        <v>CPA Recaudación por Transbank 24-06-2024</v>
      </c>
      <c r="J48" s="16">
        <f>+B25</f>
        <v>0</v>
      </c>
      <c r="K48" s="17"/>
      <c r="L48" s="3"/>
      <c r="R48" s="15">
        <v>45467</v>
      </c>
      <c r="S48" s="8">
        <v>110608</v>
      </c>
      <c r="T48" s="8" t="s">
        <v>62</v>
      </c>
      <c r="U48" s="8" t="str">
        <f t="shared" si="106"/>
        <v>CPA LIQ CORRESPONSAL 24-06-2024</v>
      </c>
      <c r="V48" s="16">
        <f t="shared" si="107"/>
        <v>0</v>
      </c>
      <c r="W48" s="17"/>
      <c r="AD48" s="15">
        <v>45467</v>
      </c>
      <c r="AE48" s="8">
        <v>110213</v>
      </c>
      <c r="AF48" s="8" t="s">
        <v>120</v>
      </c>
      <c r="AG48" t="str">
        <f>"CPA Fondeo WALLET CLP "&amp;TEXT(AD48,"dd-mm-aaa")</f>
        <v>CPA Fondeo WALLET CLP 24-06-2024</v>
      </c>
      <c r="AH48" s="16">
        <f>+AA25</f>
        <v>0</v>
      </c>
      <c r="AI48" s="17"/>
      <c r="AP48" s="15">
        <v>45467</v>
      </c>
      <c r="AQ48" s="8">
        <v>110204</v>
      </c>
      <c r="AR48" s="8" t="s">
        <v>51</v>
      </c>
      <c r="AS48" s="8" t="str">
        <f t="shared" si="108"/>
        <v>CPA Traspaso de Fondos BICE 24-06-2024</v>
      </c>
      <c r="AT48" s="16">
        <f t="shared" si="109"/>
        <v>0</v>
      </c>
      <c r="AU48" s="17"/>
      <c r="BB48" s="15">
        <v>45467</v>
      </c>
      <c r="BC48" s="8">
        <v>211102</v>
      </c>
      <c r="BD48" s="8" t="s">
        <v>18</v>
      </c>
      <c r="BE48" s="8" t="str">
        <f t="shared" si="110"/>
        <v>CPA Pago Operaciones Locales BCI OP 648 24-06-yyy</v>
      </c>
      <c r="BF48" s="16">
        <f t="shared" si="111"/>
        <v>0</v>
      </c>
      <c r="BG48" s="17"/>
    </row>
    <row r="49" spans="5:59" x14ac:dyDescent="0.25">
      <c r="E49" s="11"/>
      <c r="F49" s="12">
        <v>110260</v>
      </c>
      <c r="G49" s="12" t="s">
        <v>26</v>
      </c>
      <c r="H49" s="12" t="str">
        <f t="shared" ref="H49" si="121">H48</f>
        <v>CPA Recaudación por Transbank 24-06-2024</v>
      </c>
      <c r="I49" s="12" t="str">
        <f>+I48</f>
        <v>CPA Recaudación por Transbank 24-06-2024</v>
      </c>
      <c r="J49" s="13"/>
      <c r="K49" s="18">
        <f>J48</f>
        <v>0</v>
      </c>
      <c r="L49" s="3"/>
      <c r="R49" s="11"/>
      <c r="S49" s="12">
        <v>110608</v>
      </c>
      <c r="T49" s="12" t="s">
        <v>62</v>
      </c>
      <c r="U49" s="12" t="str">
        <f t="shared" si="106"/>
        <v>CPA LIQ CORRESPONSAL 00-01-1900</v>
      </c>
      <c r="V49" s="13">
        <f t="shared" si="107"/>
        <v>0</v>
      </c>
      <c r="W49" s="18"/>
      <c r="AD49" s="11"/>
      <c r="AE49" s="12">
        <v>110209</v>
      </c>
      <c r="AF49" s="12" t="s">
        <v>144</v>
      </c>
      <c r="AG49" s="12" t="str">
        <f t="shared" ref="AG49" si="122">AG48</f>
        <v>CPA Fondeo WALLET CLP 24-06-2024</v>
      </c>
      <c r="AH49" s="13"/>
      <c r="AI49" s="18">
        <f t="shared" ref="AI49" si="123">AH48</f>
        <v>0</v>
      </c>
      <c r="AP49" s="11"/>
      <c r="AQ49" s="8">
        <v>110204</v>
      </c>
      <c r="AR49" s="8" t="s">
        <v>51</v>
      </c>
      <c r="AS49" s="8" t="str">
        <f t="shared" si="108"/>
        <v>CPA Traspaso de Fondos BICE 00-01-1900</v>
      </c>
      <c r="AT49" s="16">
        <f t="shared" si="109"/>
        <v>0</v>
      </c>
      <c r="AU49" s="17"/>
      <c r="BB49" s="11"/>
      <c r="BC49" s="8">
        <v>211102</v>
      </c>
      <c r="BD49" s="8" t="s">
        <v>18</v>
      </c>
      <c r="BE49" s="8" t="str">
        <f t="shared" si="110"/>
        <v>CPA Pago Operaciones Locales BCI OP 648 00-01-yyy</v>
      </c>
      <c r="BF49" s="16">
        <f t="shared" si="111"/>
        <v>0</v>
      </c>
      <c r="BG49" s="17"/>
    </row>
    <row r="50" spans="5:59" x14ac:dyDescent="0.25">
      <c r="E50" s="15">
        <v>45468</v>
      </c>
      <c r="F50" s="8">
        <v>110209</v>
      </c>
      <c r="G50" s="8" t="s">
        <v>144</v>
      </c>
      <c r="H50" s="8" t="str">
        <f>"CPA Recaudación por Transbank "&amp;TEXT($E50,"dd-mm-aaa")</f>
        <v>CPA Recaudación por Transbank 25-06-2024</v>
      </c>
      <c r="I50" s="8" t="str">
        <f>"CPA Recaudación por Transbank "&amp;TEXT(E50,"dd-mm-aaa")</f>
        <v>CPA Recaudación por Transbank 25-06-2024</v>
      </c>
      <c r="J50" s="16">
        <f>+B26</f>
        <v>0</v>
      </c>
      <c r="K50" s="17"/>
      <c r="L50" s="3"/>
      <c r="R50" s="15">
        <v>45468</v>
      </c>
      <c r="S50" s="8">
        <v>110608</v>
      </c>
      <c r="T50" s="8" t="s">
        <v>62</v>
      </c>
      <c r="U50" s="8" t="str">
        <f t="shared" si="106"/>
        <v>CPA LIQ CORRESPONSAL 25-06-2024</v>
      </c>
      <c r="V50" s="16">
        <f t="shared" si="107"/>
        <v>0</v>
      </c>
      <c r="W50" s="17"/>
      <c r="AD50" s="15">
        <v>45468</v>
      </c>
      <c r="AE50" s="8">
        <v>110213</v>
      </c>
      <c r="AF50" s="8" t="s">
        <v>120</v>
      </c>
      <c r="AG50" t="str">
        <f>"CPA Fondeo WALLET CLP "&amp;TEXT(AD50,"dd-mm-aaa")</f>
        <v>CPA Fondeo WALLET CLP 25-06-2024</v>
      </c>
      <c r="AH50" s="16">
        <f>+AA26</f>
        <v>0</v>
      </c>
      <c r="AI50" s="17"/>
      <c r="AP50" s="15">
        <v>45468</v>
      </c>
      <c r="AQ50" s="8">
        <v>110204</v>
      </c>
      <c r="AR50" s="8" t="s">
        <v>51</v>
      </c>
      <c r="AS50" s="8" t="str">
        <f t="shared" si="108"/>
        <v>CPA Traspaso de Fondos BICE 25-06-2024</v>
      </c>
      <c r="AT50" s="16">
        <f t="shared" si="109"/>
        <v>0</v>
      </c>
      <c r="AU50" s="17"/>
      <c r="BB50" s="15">
        <v>45468</v>
      </c>
      <c r="BC50" s="8">
        <v>211102</v>
      </c>
      <c r="BD50" s="8" t="s">
        <v>18</v>
      </c>
      <c r="BE50" s="8" t="str">
        <f t="shared" si="110"/>
        <v>CPA Pago Operaciones Locales BCI OP 648 25-06-yyy</v>
      </c>
      <c r="BF50" s="16">
        <f t="shared" si="111"/>
        <v>0</v>
      </c>
      <c r="BG50" s="17"/>
    </row>
    <row r="51" spans="5:59" x14ac:dyDescent="0.25">
      <c r="E51" s="11"/>
      <c r="F51" s="12">
        <v>110260</v>
      </c>
      <c r="G51" s="12" t="s">
        <v>26</v>
      </c>
      <c r="H51" s="12" t="str">
        <f t="shared" ref="H51" si="124">H50</f>
        <v>CPA Recaudación por Transbank 25-06-2024</v>
      </c>
      <c r="I51" s="12" t="str">
        <f>+I50</f>
        <v>CPA Recaudación por Transbank 25-06-2024</v>
      </c>
      <c r="J51" s="13"/>
      <c r="K51" s="18">
        <f>J50</f>
        <v>0</v>
      </c>
      <c r="R51" s="11"/>
      <c r="S51" s="12">
        <v>110608</v>
      </c>
      <c r="T51" s="12" t="s">
        <v>62</v>
      </c>
      <c r="U51" s="12" t="str">
        <f t="shared" si="106"/>
        <v>CPA LIQ CORRESPONSAL 00-01-1900</v>
      </c>
      <c r="V51" s="13">
        <f t="shared" si="107"/>
        <v>0</v>
      </c>
      <c r="W51" s="18"/>
      <c r="AD51" s="11"/>
      <c r="AE51" s="12">
        <v>110209</v>
      </c>
      <c r="AF51" s="12" t="s">
        <v>144</v>
      </c>
      <c r="AG51" s="12" t="str">
        <f t="shared" ref="AG51" si="125">AG50</f>
        <v>CPA Fondeo WALLET CLP 25-06-2024</v>
      </c>
      <c r="AH51" s="13"/>
      <c r="AI51" s="18">
        <f t="shared" ref="AI51" si="126">AH50</f>
        <v>0</v>
      </c>
      <c r="AP51" s="11"/>
      <c r="AQ51" s="8">
        <v>110204</v>
      </c>
      <c r="AR51" s="8" t="s">
        <v>51</v>
      </c>
      <c r="AS51" s="8" t="str">
        <f t="shared" si="108"/>
        <v>CPA Traspaso de Fondos BICE 00-01-1900</v>
      </c>
      <c r="AT51" s="16">
        <f t="shared" si="109"/>
        <v>0</v>
      </c>
      <c r="AU51" s="17"/>
      <c r="BB51" s="11"/>
      <c r="BC51" s="8">
        <v>211102</v>
      </c>
      <c r="BD51" s="8" t="s">
        <v>18</v>
      </c>
      <c r="BE51" s="8" t="str">
        <f t="shared" si="110"/>
        <v>CPA Pago Operaciones Locales BCI OP 648 00-01-yyy</v>
      </c>
      <c r="BF51" s="16">
        <f t="shared" si="111"/>
        <v>0</v>
      </c>
      <c r="BG51" s="17"/>
    </row>
    <row r="52" spans="5:59" x14ac:dyDescent="0.25">
      <c r="E52" s="15">
        <v>45469</v>
      </c>
      <c r="F52" s="8">
        <v>110209</v>
      </c>
      <c r="G52" s="8" t="s">
        <v>144</v>
      </c>
      <c r="H52" s="8" t="str">
        <f>"CPA Recaudación por Transbank "&amp;TEXT($E52,"dd-mm-aaa")</f>
        <v>CPA Recaudación por Transbank 26-06-2024</v>
      </c>
      <c r="I52" s="8" t="str">
        <f>"CPA Recaudación por Transbank "&amp;TEXT(E52,"dd-mm-aaa")</f>
        <v>CPA Recaudación por Transbank 26-06-2024</v>
      </c>
      <c r="J52" s="16">
        <f>+B27</f>
        <v>0</v>
      </c>
      <c r="K52" s="17"/>
      <c r="L52" s="3"/>
      <c r="R52" s="15">
        <v>45469</v>
      </c>
      <c r="S52" s="8">
        <v>110608</v>
      </c>
      <c r="T52" s="8" t="s">
        <v>62</v>
      </c>
      <c r="U52" s="8" t="str">
        <f t="shared" si="106"/>
        <v>CPA LIQ CORRESPONSAL 26-06-2024</v>
      </c>
      <c r="V52" s="16">
        <f t="shared" si="107"/>
        <v>0</v>
      </c>
      <c r="W52" s="17"/>
      <c r="AD52" s="15">
        <v>45469</v>
      </c>
      <c r="AE52" s="8">
        <v>110213</v>
      </c>
      <c r="AF52" s="8" t="s">
        <v>120</v>
      </c>
      <c r="AG52" t="str">
        <f>"CPA Fondeo WALLET CLP "&amp;TEXT(AD52,"dd-mm-aaa")</f>
        <v>CPA Fondeo WALLET CLP 26-06-2024</v>
      </c>
      <c r="AH52" s="16">
        <f>+AA27</f>
        <v>0</v>
      </c>
      <c r="AI52" s="17"/>
      <c r="AP52" s="15">
        <v>45469</v>
      </c>
      <c r="AQ52" s="8">
        <v>110204</v>
      </c>
      <c r="AR52" s="8" t="s">
        <v>51</v>
      </c>
      <c r="AS52" s="8" t="str">
        <f t="shared" si="108"/>
        <v>CPA Traspaso de Fondos BICE 26-06-2024</v>
      </c>
      <c r="AT52" s="16">
        <f t="shared" si="109"/>
        <v>0</v>
      </c>
      <c r="AU52" s="17"/>
      <c r="BB52" s="15">
        <v>45469</v>
      </c>
      <c r="BC52" s="8">
        <v>211102</v>
      </c>
      <c r="BD52" s="8" t="s">
        <v>18</v>
      </c>
      <c r="BE52" s="8" t="str">
        <f t="shared" si="110"/>
        <v>CPA Pago Operaciones Locales BCI OP 648 26-06-yyy</v>
      </c>
      <c r="BF52" s="16">
        <f t="shared" si="111"/>
        <v>0</v>
      </c>
      <c r="BG52" s="17"/>
    </row>
    <row r="53" spans="5:59" x14ac:dyDescent="0.25">
      <c r="E53" s="11"/>
      <c r="F53" s="12">
        <v>110260</v>
      </c>
      <c r="G53" s="12" t="s">
        <v>26</v>
      </c>
      <c r="H53" s="12" t="str">
        <f t="shared" ref="H53" si="127">H52</f>
        <v>CPA Recaudación por Transbank 26-06-2024</v>
      </c>
      <c r="I53" s="12" t="str">
        <f>+I52</f>
        <v>CPA Recaudación por Transbank 26-06-2024</v>
      </c>
      <c r="J53" s="13"/>
      <c r="K53" s="18">
        <f>J52</f>
        <v>0</v>
      </c>
      <c r="R53" s="11"/>
      <c r="S53" s="12"/>
      <c r="T53" s="12"/>
      <c r="U53" s="12"/>
      <c r="V53" s="13"/>
      <c r="W53" s="18"/>
      <c r="AD53" s="11"/>
      <c r="AE53" s="12">
        <v>110209</v>
      </c>
      <c r="AF53" s="12" t="s">
        <v>144</v>
      </c>
      <c r="AG53" s="12" t="str">
        <f t="shared" ref="AG53" si="128">AG52</f>
        <v>CPA Fondeo WALLET CLP 26-06-2024</v>
      </c>
      <c r="AH53" s="13"/>
      <c r="AI53" s="18">
        <f t="shared" ref="AI53" si="129">AH52</f>
        <v>0</v>
      </c>
      <c r="AP53" s="11"/>
      <c r="AS53" t="str">
        <f>"CPA Fondeo BICE  CLP "&amp;TEXT(AP53,"dd-mm-aaa")</f>
        <v>CPA Fondeo BICE  CLP 00-01-1900</v>
      </c>
      <c r="BB53" s="11"/>
    </row>
    <row r="54" spans="5:59" x14ac:dyDescent="0.25">
      <c r="E54" s="15">
        <v>45470</v>
      </c>
      <c r="F54" s="8">
        <v>110209</v>
      </c>
      <c r="G54" s="8" t="s">
        <v>144</v>
      </c>
      <c r="H54" s="8" t="str">
        <f>"CPA Recaudación por Transbank "&amp;TEXT($E54,"dd-mm-aaa")</f>
        <v>CPA Recaudación por Transbank 27-06-2024</v>
      </c>
      <c r="I54" s="8" t="str">
        <f>"CPA Recaudación por Transbank "&amp;TEXT(E54,"dd-mm-aaa")</f>
        <v>CPA Recaudación por Transbank 27-06-2024</v>
      </c>
      <c r="J54" s="16">
        <f>+B28</f>
        <v>0</v>
      </c>
      <c r="K54" s="17"/>
      <c r="L54" s="3"/>
      <c r="R54" s="15">
        <v>45470</v>
      </c>
      <c r="S54" s="8"/>
      <c r="T54" s="8"/>
      <c r="U54" s="8"/>
      <c r="V54" s="16"/>
      <c r="W54" s="17"/>
      <c r="AD54" s="15">
        <v>45470</v>
      </c>
      <c r="AE54" s="8">
        <v>110213</v>
      </c>
      <c r="AF54" s="8" t="s">
        <v>120</v>
      </c>
      <c r="AG54" t="str">
        <f>"CPA Fondeo WALLET CLP "&amp;TEXT(AD54,"dd-mm-aaa")</f>
        <v>CPA Fondeo WALLET CLP 27-06-2024</v>
      </c>
      <c r="AH54" s="16">
        <f>+AA28</f>
        <v>0</v>
      </c>
      <c r="AI54" s="17"/>
      <c r="AP54" s="15">
        <v>45470</v>
      </c>
      <c r="BB54" s="15">
        <v>45470</v>
      </c>
    </row>
    <row r="55" spans="5:59" x14ac:dyDescent="0.25">
      <c r="E55" s="11"/>
      <c r="F55" s="12">
        <v>110260</v>
      </c>
      <c r="G55" s="12" t="s">
        <v>26</v>
      </c>
      <c r="H55" s="12" t="str">
        <f t="shared" ref="H55" si="130">H54</f>
        <v>CPA Recaudación por Transbank 27-06-2024</v>
      </c>
      <c r="I55" s="12" t="str">
        <f>+I54</f>
        <v>CPA Recaudación por Transbank 27-06-2024</v>
      </c>
      <c r="J55" s="13"/>
      <c r="K55" s="18">
        <f>J54</f>
        <v>0</v>
      </c>
      <c r="L55" s="3"/>
      <c r="R55" s="11"/>
      <c r="S55" s="12"/>
      <c r="T55" s="12"/>
      <c r="U55" s="12"/>
      <c r="V55" s="13"/>
      <c r="W55" s="18"/>
      <c r="AD55" s="11"/>
      <c r="AE55" s="12">
        <v>110209</v>
      </c>
      <c r="AF55" s="12" t="s">
        <v>144</v>
      </c>
      <c r="AG55" s="12" t="str">
        <f t="shared" ref="AG55" si="131">AG54</f>
        <v>CPA Fondeo WALLET CLP 27-06-2024</v>
      </c>
      <c r="AH55" s="13"/>
      <c r="AI55" s="18">
        <f t="shared" ref="AI55" si="132">AH54</f>
        <v>0</v>
      </c>
      <c r="AP55" s="11"/>
      <c r="BB55" s="11"/>
    </row>
    <row r="56" spans="5:59" x14ac:dyDescent="0.25">
      <c r="E56" s="15">
        <v>45471</v>
      </c>
      <c r="F56" s="8">
        <v>110209</v>
      </c>
      <c r="G56" s="8" t="s">
        <v>144</v>
      </c>
      <c r="H56" s="8" t="str">
        <f>"CPA Recaudación por Transbank "&amp;TEXT($E56,"dd-mm-aaa")</f>
        <v>CPA Recaudación por Transbank 28-06-2024</v>
      </c>
      <c r="I56" s="8" t="str">
        <f>"CPA Recaudación por Transbank "&amp;TEXT(E56,"dd-mm-aaa")</f>
        <v>CPA Recaudación por Transbank 28-06-2024</v>
      </c>
      <c r="J56" s="16">
        <f>+B29</f>
        <v>0</v>
      </c>
      <c r="K56" s="17"/>
      <c r="L56" s="3"/>
      <c r="R56" s="15">
        <v>45471</v>
      </c>
      <c r="S56" s="8"/>
      <c r="T56" s="8"/>
      <c r="U56" s="8"/>
      <c r="V56" s="16"/>
      <c r="W56" s="17"/>
      <c r="AD56" s="15">
        <v>45471</v>
      </c>
      <c r="AE56" s="8">
        <v>110213</v>
      </c>
      <c r="AF56" s="8" t="s">
        <v>120</v>
      </c>
      <c r="AG56" t="str">
        <f>"CPA Fondeo WALLET CLP "&amp;TEXT(AD56,"dd-mm-aaa")</f>
        <v>CPA Fondeo WALLET CLP 28-06-2024</v>
      </c>
      <c r="AH56" s="16">
        <f>+AA29</f>
        <v>0</v>
      </c>
      <c r="AI56" s="17"/>
      <c r="AP56" s="15">
        <v>45471</v>
      </c>
      <c r="BB56" s="15">
        <v>45471</v>
      </c>
    </row>
    <row r="57" spans="5:59" x14ac:dyDescent="0.25">
      <c r="E57" s="11"/>
      <c r="F57" s="12">
        <v>110260</v>
      </c>
      <c r="G57" s="12" t="s">
        <v>26</v>
      </c>
      <c r="H57" s="12" t="str">
        <f t="shared" ref="H57" si="133">H56</f>
        <v>CPA Recaudación por Transbank 28-06-2024</v>
      </c>
      <c r="I57" s="12" t="str">
        <f>+I56</f>
        <v>CPA Recaudación por Transbank 28-06-2024</v>
      </c>
      <c r="J57" s="13"/>
      <c r="K57" s="18">
        <f>J56</f>
        <v>0</v>
      </c>
      <c r="R57" s="11"/>
      <c r="S57" s="12"/>
      <c r="T57" s="12"/>
      <c r="U57" s="12"/>
      <c r="V57" s="13"/>
      <c r="W57" s="18"/>
      <c r="AD57" s="11"/>
      <c r="AE57" s="12">
        <v>110209</v>
      </c>
      <c r="AF57" s="12" t="s">
        <v>144</v>
      </c>
      <c r="AG57" s="12" t="str">
        <f t="shared" ref="AG57" si="134">AG56</f>
        <v>CPA Fondeo WALLET CLP 28-06-2024</v>
      </c>
      <c r="AH57" s="13"/>
      <c r="AI57" s="18">
        <f t="shared" ref="AI57" si="135">AH56</f>
        <v>0</v>
      </c>
      <c r="AP57" s="11"/>
      <c r="BB57" s="11"/>
    </row>
    <row r="58" spans="5:59" x14ac:dyDescent="0.25">
      <c r="E58" s="15">
        <v>45472</v>
      </c>
      <c r="F58" s="8">
        <v>110209</v>
      </c>
      <c r="G58" s="8" t="s">
        <v>144</v>
      </c>
      <c r="H58" s="8" t="str">
        <f>"CPA Recaudación por Transbank "&amp;TEXT($E58,"dd-mm-aaa")</f>
        <v>CPA Recaudación por Transbank 29-06-2024</v>
      </c>
      <c r="I58" s="8" t="str">
        <f>"CPA Recaudación por Transbank "&amp;TEXT(E58,"dd-mm-aaa")</f>
        <v>CPA Recaudación por Transbank 29-06-2024</v>
      </c>
      <c r="J58" s="16">
        <f>+B30</f>
        <v>0</v>
      </c>
      <c r="K58" s="17"/>
      <c r="L58" s="3"/>
      <c r="R58" s="15">
        <v>45472</v>
      </c>
      <c r="S58" s="8"/>
      <c r="T58" s="8"/>
      <c r="U58" s="8"/>
      <c r="V58" s="16"/>
      <c r="W58" s="17"/>
      <c r="AD58" s="15">
        <v>45472</v>
      </c>
      <c r="AE58" s="8">
        <v>110213</v>
      </c>
      <c r="AF58" s="8" t="s">
        <v>120</v>
      </c>
      <c r="AG58" t="str">
        <f>"CPA Fondeo WALLET CLP "&amp;TEXT(AD58,"dd-mm-aaa")</f>
        <v>CPA Fondeo WALLET CLP 29-06-2024</v>
      </c>
      <c r="AH58" s="16">
        <f>+AA30</f>
        <v>0</v>
      </c>
      <c r="AI58" s="17"/>
      <c r="AP58" s="15">
        <v>45472</v>
      </c>
      <c r="BB58" s="15">
        <v>45472</v>
      </c>
    </row>
    <row r="59" spans="5:59" x14ac:dyDescent="0.25">
      <c r="E59" s="11"/>
      <c r="F59" s="12">
        <v>110260</v>
      </c>
      <c r="G59" s="12" t="s">
        <v>26</v>
      </c>
      <c r="H59" s="12" t="str">
        <f t="shared" ref="H59" si="136">H58</f>
        <v>CPA Recaudación por Transbank 29-06-2024</v>
      </c>
      <c r="I59" s="12" t="str">
        <f>+I58</f>
        <v>CPA Recaudación por Transbank 29-06-2024</v>
      </c>
      <c r="J59" s="13"/>
      <c r="K59" s="18">
        <f>J58</f>
        <v>0</v>
      </c>
      <c r="R59" s="11"/>
      <c r="S59" s="12"/>
      <c r="T59" s="12"/>
      <c r="U59" s="12"/>
      <c r="V59" s="13"/>
      <c r="W59" s="18"/>
      <c r="AD59" s="11"/>
      <c r="AE59" s="12">
        <v>110209</v>
      </c>
      <c r="AF59" s="12" t="s">
        <v>144</v>
      </c>
      <c r="AG59" s="12" t="str">
        <f t="shared" ref="AG59" si="137">AG58</f>
        <v>CPA Fondeo WALLET CLP 29-06-2024</v>
      </c>
      <c r="AH59" s="13"/>
      <c r="AI59" s="18">
        <f t="shared" ref="AI59" si="138">AH58</f>
        <v>0</v>
      </c>
      <c r="AP59" s="11"/>
      <c r="BB59" s="11"/>
    </row>
    <row r="60" spans="5:59" x14ac:dyDescent="0.25">
      <c r="E60" s="15">
        <v>45473</v>
      </c>
      <c r="F60" s="8">
        <v>110209</v>
      </c>
      <c r="G60" s="8" t="s">
        <v>144</v>
      </c>
      <c r="H60" s="8" t="str">
        <f>"CPA Recaudación por Transbank "&amp;TEXT($E60,"dd-mm-aaa")</f>
        <v>CPA Recaudación por Transbank 30-06-2024</v>
      </c>
      <c r="I60" s="8" t="str">
        <f>"CPA Recaudación por Transbank "&amp;TEXT(E60,"dd-mm-aaa")</f>
        <v>CPA Recaudación por Transbank 30-06-2024</v>
      </c>
      <c r="J60" s="16">
        <f>+B31</f>
        <v>0</v>
      </c>
      <c r="K60" s="17"/>
      <c r="L60" s="3"/>
      <c r="R60" s="15">
        <v>45473</v>
      </c>
      <c r="S60" s="8"/>
      <c r="T60" s="8"/>
      <c r="U60" s="8"/>
      <c r="V60" s="16"/>
      <c r="W60" s="17"/>
      <c r="AD60" s="15">
        <v>45473</v>
      </c>
      <c r="AE60" s="8">
        <v>110213</v>
      </c>
      <c r="AF60" s="8" t="s">
        <v>120</v>
      </c>
      <c r="AG60" t="str">
        <f>"CPA Fondeo WALLET CLP "&amp;TEXT(AD60,"dd-mm-aaa")</f>
        <v>CPA Fondeo WALLET CLP 30-06-2024</v>
      </c>
      <c r="AH60" s="16">
        <f>+AA31</f>
        <v>0</v>
      </c>
      <c r="AI60" s="17"/>
      <c r="AP60" s="15">
        <v>45473</v>
      </c>
      <c r="BB60" s="15">
        <v>45473</v>
      </c>
    </row>
    <row r="61" spans="5:59" x14ac:dyDescent="0.25">
      <c r="E61" s="11"/>
      <c r="F61" s="12">
        <v>110260</v>
      </c>
      <c r="G61" s="12" t="s">
        <v>26</v>
      </c>
      <c r="H61" s="12" t="str">
        <f t="shared" ref="H61" si="139">H60</f>
        <v>CPA Recaudación por Transbank 30-06-2024</v>
      </c>
      <c r="I61" s="12" t="str">
        <f>+I60</f>
        <v>CPA Recaudación por Transbank 30-06-2024</v>
      </c>
      <c r="J61" s="13"/>
      <c r="K61" s="18">
        <f>J60</f>
        <v>0</v>
      </c>
      <c r="L61" s="3"/>
      <c r="R61" s="11"/>
      <c r="S61" s="12"/>
      <c r="T61" s="12"/>
      <c r="U61" s="12"/>
      <c r="V61" s="13"/>
      <c r="W61" s="18"/>
      <c r="AD61" s="11"/>
      <c r="AE61" s="12">
        <v>110209</v>
      </c>
      <c r="AF61" s="12" t="s">
        <v>144</v>
      </c>
      <c r="AG61" s="12" t="str">
        <f t="shared" ref="AG61" si="140">AG60</f>
        <v>CPA Fondeo WALLET CLP 30-06-2024</v>
      </c>
      <c r="AH61" s="13"/>
      <c r="AI61" s="18">
        <f t="shared" ref="AI61" si="141">AH60</f>
        <v>0</v>
      </c>
      <c r="AP61" s="11"/>
      <c r="BB61" s="11"/>
    </row>
    <row r="62" spans="5:59" x14ac:dyDescent="0.25">
      <c r="E62" s="15" t="s">
        <v>161</v>
      </c>
      <c r="F62" s="8">
        <v>110209</v>
      </c>
      <c r="G62" s="8" t="s">
        <v>144</v>
      </c>
      <c r="H62" s="8" t="str">
        <f>"CPA Recaudación por Transbank "&amp;TEXT($E62,"dd-mm-aaa")</f>
        <v>CPA Recaudación por Transbank 31/06/2024</v>
      </c>
      <c r="I62" s="8" t="str">
        <f>"CPA Recaudación por Transbank "&amp;TEXT(E62,"dd-mm-aaa")</f>
        <v>CPA Recaudación por Transbank 31/06/2024</v>
      </c>
      <c r="J62" s="16">
        <f>+B32</f>
        <v>0</v>
      </c>
      <c r="K62" s="17"/>
      <c r="L62" s="3"/>
      <c r="R62" s="15" t="s">
        <v>161</v>
      </c>
      <c r="S62" s="8"/>
      <c r="T62" s="8"/>
      <c r="U62" s="8"/>
      <c r="V62" s="16"/>
      <c r="W62" s="17"/>
      <c r="AD62" s="15" t="s">
        <v>161</v>
      </c>
      <c r="AE62" s="8">
        <v>110213</v>
      </c>
      <c r="AF62" s="8" t="s">
        <v>120</v>
      </c>
      <c r="AG62" t="str">
        <f>"CPA Fondeo WALLET CLP "&amp;TEXT(AD62,"dd-mm-aaa")</f>
        <v>CPA Fondeo WALLET CLP 31/06/2024</v>
      </c>
      <c r="AH62" s="16">
        <f>+AA32</f>
        <v>0</v>
      </c>
      <c r="AI62" s="17"/>
      <c r="AP62" s="15" t="s">
        <v>161</v>
      </c>
      <c r="BB62" s="15" t="s">
        <v>161</v>
      </c>
    </row>
    <row r="63" spans="5:59" x14ac:dyDescent="0.25">
      <c r="E63" s="11"/>
      <c r="F63" s="12">
        <v>110260</v>
      </c>
      <c r="G63" s="12" t="s">
        <v>26</v>
      </c>
      <c r="H63" s="12" t="str">
        <f t="shared" ref="H63" si="142">H62</f>
        <v>CPA Recaudación por Transbank 31/06/2024</v>
      </c>
      <c r="I63" s="12" t="str">
        <f>+I62</f>
        <v>CPA Recaudación por Transbank 31/06/2024</v>
      </c>
      <c r="J63" s="13"/>
      <c r="K63" s="18">
        <f>J62</f>
        <v>0</v>
      </c>
      <c r="R63" s="11"/>
      <c r="S63" s="12"/>
      <c r="T63" s="12"/>
      <c r="U63" s="12"/>
      <c r="V63" s="13"/>
      <c r="W63" s="18"/>
      <c r="AD63" s="11"/>
      <c r="AE63" s="12">
        <v>110209</v>
      </c>
      <c r="AF63" s="12" t="s">
        <v>144</v>
      </c>
      <c r="AG63" s="12" t="str">
        <f t="shared" ref="AG63" si="143">AG62</f>
        <v>CPA Fondeo WALLET CLP 31/06/2024</v>
      </c>
      <c r="AH63" s="13"/>
      <c r="AI63" s="18">
        <f t="shared" ref="AI63" si="144">AH62</f>
        <v>0</v>
      </c>
      <c r="AP63" s="11"/>
      <c r="BB63" s="11"/>
    </row>
    <row r="64" spans="5:59" x14ac:dyDescent="0.25">
      <c r="L64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70" spans="12:12" x14ac:dyDescent="0.25">
      <c r="L70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6" spans="12:12" x14ac:dyDescent="0.25">
      <c r="L76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2" spans="12:12" x14ac:dyDescent="0.25">
      <c r="L82" s="3"/>
    </row>
    <row r="86" spans="12:12" x14ac:dyDescent="0.25">
      <c r="L86" s="3"/>
    </row>
    <row r="92" spans="12:12" x14ac:dyDescent="0.25">
      <c r="L92" s="3"/>
    </row>
    <row r="98" spans="12:12" x14ac:dyDescent="0.25">
      <c r="L98" s="3"/>
    </row>
    <row r="104" spans="12:12" x14ac:dyDescent="0.25">
      <c r="L104" s="3"/>
    </row>
    <row r="110" spans="12:12" x14ac:dyDescent="0.25">
      <c r="L110" s="3"/>
    </row>
    <row r="116" spans="12:12" x14ac:dyDescent="0.25">
      <c r="L116" s="3"/>
    </row>
    <row r="122" spans="12:12" x14ac:dyDescent="0.25">
      <c r="L122" s="3"/>
    </row>
    <row r="128" spans="12:12" x14ac:dyDescent="0.25">
      <c r="L128" s="3"/>
    </row>
    <row r="134" spans="12:12" x14ac:dyDescent="0.25">
      <c r="L134" s="3"/>
    </row>
    <row r="140" spans="12:12" x14ac:dyDescent="0.25">
      <c r="L140" s="3"/>
    </row>
  </sheetData>
  <autoFilter ref="E1:K63" xr:uid="{BC1428F1-8873-419C-88A7-D5EEC0FD900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8410-EC44-4D17-848E-349FF0E77576}">
  <dimension ref="A1:J63"/>
  <sheetViews>
    <sheetView showGridLines="0" workbookViewId="0">
      <selection activeCell="G16" sqref="G16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3.28515625" bestFit="1" customWidth="1"/>
    <col min="7" max="7" width="23.140625" bestFit="1" customWidth="1"/>
    <col min="8" max="8" width="45.7109375" bestFit="1" customWidth="1"/>
    <col min="9" max="10" width="12" bestFit="1" customWidth="1"/>
  </cols>
  <sheetData>
    <row r="1" spans="1:10" x14ac:dyDescent="0.25">
      <c r="A1" s="4" t="s">
        <v>0</v>
      </c>
      <c r="B1" s="4"/>
      <c r="C1" s="4" t="s">
        <v>27</v>
      </c>
      <c r="E1" s="22" t="s">
        <v>0</v>
      </c>
      <c r="F1" s="23"/>
      <c r="G1" s="23"/>
      <c r="H1" s="23"/>
      <c r="I1" s="23" t="s">
        <v>5</v>
      </c>
      <c r="J1" s="24" t="s">
        <v>6</v>
      </c>
    </row>
    <row r="2" spans="1:10" x14ac:dyDescent="0.25">
      <c r="A2" s="1">
        <v>45413</v>
      </c>
      <c r="B2" s="42"/>
      <c r="C2" s="26" t="e">
        <f>HLOOKUP(A2,Hoja2!$R$2:$AV$14,13,FALSE)</f>
        <v>#N/A</v>
      </c>
      <c r="E2" s="9">
        <v>45383</v>
      </c>
      <c r="F2">
        <v>110220</v>
      </c>
      <c r="G2" t="s">
        <v>57</v>
      </c>
      <c r="H2" t="str">
        <f>"CPA Recaudación Clientes BCI 553 "&amp;TEXT(E2,"dd-mm-aaa")</f>
        <v>CPA Recaudación Clientes BCI 553 01-04-2024</v>
      </c>
      <c r="I2" s="3" t="e">
        <f>+C2</f>
        <v>#N/A</v>
      </c>
      <c r="J2" s="10"/>
    </row>
    <row r="3" spans="1:10" x14ac:dyDescent="0.25">
      <c r="A3" s="1">
        <v>45414</v>
      </c>
      <c r="B3" s="3"/>
      <c r="C3" s="26" t="e">
        <f>HLOOKUP(A3,Hoja2!$R$2:$AV$14,13,FALSE)</f>
        <v>#N/A</v>
      </c>
      <c r="E3" s="11"/>
      <c r="F3" s="12">
        <v>211101</v>
      </c>
      <c r="G3" s="12" t="s">
        <v>18</v>
      </c>
      <c r="H3" s="12" t="str">
        <f>H2</f>
        <v>CPA Recaudación Clientes BCI 553 01-04-2024</v>
      </c>
      <c r="I3" s="13"/>
      <c r="J3" s="18" t="e">
        <f>I2</f>
        <v>#N/A</v>
      </c>
    </row>
    <row r="4" spans="1:10" x14ac:dyDescent="0.25">
      <c r="A4" s="1">
        <v>45415</v>
      </c>
      <c r="B4" s="3"/>
      <c r="C4" s="26" t="e">
        <f>HLOOKUP(A4,Hoja2!$R$2:$AV$14,13,FALSE)</f>
        <v>#N/A</v>
      </c>
      <c r="E4" s="15">
        <v>45384</v>
      </c>
      <c r="F4">
        <v>110220</v>
      </c>
      <c r="G4" t="s">
        <v>57</v>
      </c>
      <c r="H4" t="str">
        <f>"CPA Recaudación Clientes BCI 553 "&amp;TEXT(E4,"dd-mm-aaa")</f>
        <v>CPA Recaudación Clientes BCI 553 02-04-2024</v>
      </c>
      <c r="I4" s="16" t="e">
        <f>+C3</f>
        <v>#N/A</v>
      </c>
      <c r="J4" s="17"/>
    </row>
    <row r="5" spans="1:10" x14ac:dyDescent="0.25">
      <c r="A5" s="1">
        <v>45416</v>
      </c>
      <c r="B5" s="3"/>
      <c r="C5" s="26" t="e">
        <f>HLOOKUP(A5,Hoja2!$R$2:$AV$14,13,FALSE)</f>
        <v>#N/A</v>
      </c>
      <c r="E5" s="11"/>
      <c r="F5" s="12">
        <v>211101</v>
      </c>
      <c r="G5" s="12" t="s">
        <v>18</v>
      </c>
      <c r="H5" s="12" t="str">
        <f t="shared" ref="H5" si="0">H4</f>
        <v>CPA Recaudación Clientes BCI 553 02-04-2024</v>
      </c>
      <c r="I5" s="13"/>
      <c r="J5" s="18" t="e">
        <f t="shared" ref="J5" si="1">I4</f>
        <v>#N/A</v>
      </c>
    </row>
    <row r="6" spans="1:10" x14ac:dyDescent="0.25">
      <c r="A6" s="1">
        <v>45417</v>
      </c>
      <c r="B6" s="3"/>
      <c r="C6" s="26" t="e">
        <f>HLOOKUP(A6,Hoja2!$R$2:$AV$14,13,FALSE)</f>
        <v>#N/A</v>
      </c>
      <c r="E6" s="15">
        <v>45385</v>
      </c>
      <c r="F6">
        <v>110220</v>
      </c>
      <c r="G6" t="s">
        <v>57</v>
      </c>
      <c r="H6" t="str">
        <f>"CPA Recaudación Clientes BCI 553 "&amp;TEXT(E6,"dd-mm-aaa")</f>
        <v>CPA Recaudación Clientes BCI 553 03-04-2024</v>
      </c>
      <c r="I6" s="16" t="e">
        <f>+C4</f>
        <v>#N/A</v>
      </c>
      <c r="J6" s="17"/>
    </row>
    <row r="7" spans="1:10" x14ac:dyDescent="0.25">
      <c r="A7" s="1">
        <v>45418</v>
      </c>
      <c r="B7" s="3"/>
      <c r="C7" s="26" t="e">
        <f>HLOOKUP(A7,Hoja2!$R$2:$AV$14,13,FALSE)</f>
        <v>#N/A</v>
      </c>
      <c r="E7" s="11"/>
      <c r="F7" s="12">
        <v>211101</v>
      </c>
      <c r="G7" s="12" t="s">
        <v>18</v>
      </c>
      <c r="H7" s="12" t="str">
        <f t="shared" ref="H7" si="2">H6</f>
        <v>CPA Recaudación Clientes BCI 553 03-04-2024</v>
      </c>
      <c r="I7" s="13"/>
      <c r="J7" s="18" t="e">
        <f t="shared" ref="J7" si="3">I6</f>
        <v>#N/A</v>
      </c>
    </row>
    <row r="8" spans="1:10" x14ac:dyDescent="0.25">
      <c r="A8" s="1">
        <v>45419</v>
      </c>
      <c r="B8" s="3"/>
      <c r="C8" s="26" t="e">
        <f>HLOOKUP(A8,Hoja2!$R$2:$AV$14,13,FALSE)</f>
        <v>#N/A</v>
      </c>
      <c r="E8" s="15">
        <v>45416</v>
      </c>
      <c r="F8">
        <v>110220</v>
      </c>
      <c r="G8" t="s">
        <v>57</v>
      </c>
      <c r="H8" t="str">
        <f>"CPA Recaudación Clientes BCI 553 "&amp;TEXT(E8,"dd-mm-aaa")</f>
        <v>CPA Recaudación Clientes BCI 553 04-05-2024</v>
      </c>
      <c r="I8" s="16" t="e">
        <f>+C5</f>
        <v>#N/A</v>
      </c>
      <c r="J8" s="17"/>
    </row>
    <row r="9" spans="1:10" x14ac:dyDescent="0.25">
      <c r="A9" s="1">
        <v>45420</v>
      </c>
      <c r="B9" s="3"/>
      <c r="C9" s="26" t="e">
        <f>HLOOKUP(A9,Hoja2!$R$2:$AV$14,13,FALSE)</f>
        <v>#N/A</v>
      </c>
      <c r="E9" s="20"/>
      <c r="F9" s="12">
        <v>211101</v>
      </c>
      <c r="G9" s="12" t="s">
        <v>18</v>
      </c>
      <c r="H9" s="12" t="str">
        <f t="shared" ref="H9" si="4">H8</f>
        <v>CPA Recaudación Clientes BCI 553 04-05-2024</v>
      </c>
      <c r="J9" s="10" t="e">
        <f t="shared" ref="J9" si="5">I8</f>
        <v>#N/A</v>
      </c>
    </row>
    <row r="10" spans="1:10" x14ac:dyDescent="0.25">
      <c r="A10" s="1">
        <v>45421</v>
      </c>
      <c r="B10" s="3"/>
      <c r="C10" s="26" t="e">
        <f>HLOOKUP(A10,Hoja2!$R$2:$AV$14,13,FALSE)</f>
        <v>#N/A</v>
      </c>
      <c r="E10" s="15">
        <v>45386</v>
      </c>
      <c r="F10">
        <v>110220</v>
      </c>
      <c r="G10" t="s">
        <v>57</v>
      </c>
      <c r="H10" t="str">
        <f>"CPA Recaudación Clientes BCI 553 "&amp;TEXT(E10,"dd-mm-aaa")</f>
        <v>CPA Recaudación Clientes BCI 553 04-04-2024</v>
      </c>
      <c r="I10" s="16" t="e">
        <f>+C6</f>
        <v>#N/A</v>
      </c>
      <c r="J10" s="17"/>
    </row>
    <row r="11" spans="1:10" x14ac:dyDescent="0.25">
      <c r="A11" s="1">
        <v>45422</v>
      </c>
      <c r="B11" s="3"/>
      <c r="C11" s="26" t="e">
        <f>HLOOKUP(A11,Hoja2!$R$2:$AV$14,13,FALSE)</f>
        <v>#N/A</v>
      </c>
      <c r="E11" s="20"/>
      <c r="F11" s="12">
        <v>211101</v>
      </c>
      <c r="G11" s="12" t="s">
        <v>18</v>
      </c>
      <c r="H11" s="12" t="str">
        <f t="shared" ref="H11" si="6">H10</f>
        <v>CPA Recaudación Clientes BCI 553 04-04-2024</v>
      </c>
      <c r="J11" s="10" t="e">
        <f t="shared" ref="J11" si="7">I10</f>
        <v>#N/A</v>
      </c>
    </row>
    <row r="12" spans="1:10" x14ac:dyDescent="0.25">
      <c r="A12" s="1">
        <v>45423</v>
      </c>
      <c r="B12" s="3"/>
      <c r="C12" s="26" t="e">
        <f>HLOOKUP(A12,Hoja2!$R$2:$AV$14,13,FALSE)</f>
        <v>#N/A</v>
      </c>
      <c r="D12" s="19"/>
      <c r="E12" s="15">
        <v>45388</v>
      </c>
      <c r="F12">
        <v>110220</v>
      </c>
      <c r="G12" t="s">
        <v>57</v>
      </c>
      <c r="H12" t="str">
        <f>"CPA Recaudación Clientes BCI 553 "&amp;TEXT(E12,"dd-mm-aaa")</f>
        <v>CPA Recaudación Clientes BCI 553 06-04-2024</v>
      </c>
      <c r="I12" s="16" t="e">
        <f>+C7</f>
        <v>#N/A</v>
      </c>
      <c r="J12" s="17"/>
    </row>
    <row r="13" spans="1:10" x14ac:dyDescent="0.25">
      <c r="A13" s="1">
        <v>45424</v>
      </c>
      <c r="B13" s="3"/>
      <c r="C13" s="26" t="e">
        <f>HLOOKUP(A13,Hoja2!$R$2:$AV$14,13,FALSE)</f>
        <v>#N/A</v>
      </c>
      <c r="D13" s="39"/>
      <c r="E13" s="20"/>
      <c r="F13" s="12">
        <v>211101</v>
      </c>
      <c r="G13" s="12" t="s">
        <v>18</v>
      </c>
      <c r="H13" s="12" t="str">
        <f t="shared" ref="H13" si="8">H12</f>
        <v>CPA Recaudación Clientes BCI 553 06-04-2024</v>
      </c>
      <c r="I13" s="3"/>
      <c r="J13" s="10" t="e">
        <f t="shared" ref="J13" si="9">I12</f>
        <v>#N/A</v>
      </c>
    </row>
    <row r="14" spans="1:10" x14ac:dyDescent="0.25">
      <c r="A14" s="1">
        <v>45425</v>
      </c>
      <c r="B14" s="3"/>
      <c r="C14" s="26" t="e">
        <f>HLOOKUP(A14,Hoja2!$R$2:$AV$14,13,FALSE)</f>
        <v>#N/A</v>
      </c>
      <c r="D14" s="21"/>
      <c r="E14" s="15">
        <v>45389</v>
      </c>
      <c r="F14">
        <v>110220</v>
      </c>
      <c r="G14" t="s">
        <v>57</v>
      </c>
      <c r="H14" t="str">
        <f>"CPA Recaudación Clientes BCI 553 "&amp;TEXT(E14,"dd-mm-aaa")</f>
        <v>CPA Recaudación Clientes BCI 553 07-04-2024</v>
      </c>
      <c r="I14" s="16" t="e">
        <f>+C8</f>
        <v>#N/A</v>
      </c>
      <c r="J14" s="17"/>
    </row>
    <row r="15" spans="1:10" x14ac:dyDescent="0.25">
      <c r="A15" s="1">
        <v>45426</v>
      </c>
      <c r="B15" s="3"/>
      <c r="C15" s="26" t="e">
        <f>HLOOKUP(A15,Hoja2!$R$2:$AV$14,13,FALSE)</f>
        <v>#N/A</v>
      </c>
      <c r="D15" s="40"/>
      <c r="E15" s="20"/>
      <c r="F15" s="12">
        <v>211101</v>
      </c>
      <c r="G15" s="12" t="s">
        <v>18</v>
      </c>
      <c r="H15" s="12" t="str">
        <f t="shared" ref="H15" si="10">H14</f>
        <v>CPA Recaudación Clientes BCI 553 07-04-2024</v>
      </c>
      <c r="I15" s="3"/>
      <c r="J15" s="10" t="e">
        <f t="shared" ref="J15" si="11">I14</f>
        <v>#N/A</v>
      </c>
    </row>
    <row r="16" spans="1:10" x14ac:dyDescent="0.25">
      <c r="A16" s="1">
        <v>45427</v>
      </c>
      <c r="B16" s="3"/>
      <c r="C16" s="26" t="e">
        <f>HLOOKUP(A16,Hoja2!$R$2:$AV$14,13,FALSE)</f>
        <v>#N/A</v>
      </c>
      <c r="D16" s="21"/>
      <c r="E16" s="15">
        <v>45390</v>
      </c>
      <c r="F16">
        <v>110220</v>
      </c>
      <c r="G16" t="s">
        <v>57</v>
      </c>
      <c r="H16" t="str">
        <f>"CPA Recaudación Clientes BCI 553 "&amp;TEXT(E16,"dd-mm-aaa")</f>
        <v>CPA Recaudación Clientes BCI 553 08-04-2024</v>
      </c>
      <c r="I16" s="16" t="e">
        <f>+C9</f>
        <v>#N/A</v>
      </c>
      <c r="J16" s="17"/>
    </row>
    <row r="17" spans="1:10" x14ac:dyDescent="0.25">
      <c r="A17" s="1">
        <v>45428</v>
      </c>
      <c r="B17" s="3"/>
      <c r="C17" s="26" t="e">
        <f>HLOOKUP(A17,Hoja2!$R$2:$AV$14,13,FALSE)</f>
        <v>#N/A</v>
      </c>
      <c r="D17" s="21"/>
      <c r="E17" s="11"/>
      <c r="F17" s="12">
        <v>211101</v>
      </c>
      <c r="G17" s="12" t="s">
        <v>18</v>
      </c>
      <c r="H17" s="12" t="str">
        <f t="shared" ref="H17" si="12">H16</f>
        <v>CPA Recaudación Clientes BCI 553 08-04-2024</v>
      </c>
      <c r="I17" s="13"/>
      <c r="J17" s="18" t="e">
        <f t="shared" ref="J17" si="13">I16</f>
        <v>#N/A</v>
      </c>
    </row>
    <row r="18" spans="1:10" x14ac:dyDescent="0.25">
      <c r="A18" s="1">
        <v>45429</v>
      </c>
      <c r="B18" s="3"/>
      <c r="C18" s="26" t="e">
        <f>HLOOKUP(A18,Hoja2!$R$2:$AV$14,13,FALSE)</f>
        <v>#N/A</v>
      </c>
      <c r="D18" s="21"/>
      <c r="E18" s="15">
        <v>45391</v>
      </c>
      <c r="F18">
        <v>110220</v>
      </c>
      <c r="G18" t="s">
        <v>57</v>
      </c>
      <c r="H18" t="str">
        <f>"CPA Recaudación Clientes BCI 553 "&amp;TEXT(E18,"dd-mm-aaa")</f>
        <v>CPA Recaudación Clientes BCI 553 09-04-2024</v>
      </c>
      <c r="I18" s="16" t="e">
        <f>+C10</f>
        <v>#N/A</v>
      </c>
      <c r="J18" s="17"/>
    </row>
    <row r="19" spans="1:10" x14ac:dyDescent="0.25">
      <c r="A19" s="1">
        <v>45430</v>
      </c>
      <c r="B19" s="3"/>
      <c r="C19" s="26" t="e">
        <f>HLOOKUP(A19,Hoja2!$R$2:$AV$14,13,FALSE)</f>
        <v>#N/A</v>
      </c>
      <c r="D19" s="21"/>
      <c r="E19" s="11"/>
      <c r="F19" s="12">
        <v>211101</v>
      </c>
      <c r="G19" s="12" t="s">
        <v>18</v>
      </c>
      <c r="H19" s="12" t="str">
        <f t="shared" ref="H19" si="14">H18</f>
        <v>CPA Recaudación Clientes BCI 553 09-04-2024</v>
      </c>
      <c r="I19" s="13"/>
      <c r="J19" s="18" t="e">
        <f t="shared" ref="J19" si="15">I18</f>
        <v>#N/A</v>
      </c>
    </row>
    <row r="20" spans="1:10" x14ac:dyDescent="0.25">
      <c r="A20" s="1">
        <v>45431</v>
      </c>
      <c r="B20" s="3"/>
      <c r="C20" s="26" t="e">
        <f>HLOOKUP(A20,Hoja2!$R$2:$AV$14,13,FALSE)</f>
        <v>#N/A</v>
      </c>
      <c r="D20" s="21"/>
      <c r="E20" s="15">
        <v>45392</v>
      </c>
      <c r="F20">
        <v>110220</v>
      </c>
      <c r="G20" t="s">
        <v>57</v>
      </c>
      <c r="H20" t="str">
        <f>"CPA Recaudación Clientes BCI 553 "&amp;TEXT(E20,"dd-mm-aaa")</f>
        <v>CPA Recaudación Clientes BCI 553 10-04-2024</v>
      </c>
      <c r="I20" s="16" t="e">
        <f>+C11</f>
        <v>#N/A</v>
      </c>
      <c r="J20" s="17"/>
    </row>
    <row r="21" spans="1:10" x14ac:dyDescent="0.25">
      <c r="A21" s="1">
        <v>45432</v>
      </c>
      <c r="B21" s="3"/>
      <c r="C21" s="26" t="e">
        <f>HLOOKUP(A21,Hoja2!$R$2:$AV$14,13,FALSE)</f>
        <v>#N/A</v>
      </c>
      <c r="D21" s="21"/>
      <c r="E21" s="9"/>
      <c r="F21" s="12">
        <v>211101</v>
      </c>
      <c r="G21" s="12" t="s">
        <v>18</v>
      </c>
      <c r="H21" s="12" t="str">
        <f t="shared" ref="H21" si="16">H20</f>
        <v>CPA Recaudación Clientes BCI 553 10-04-2024</v>
      </c>
      <c r="I21" s="3"/>
      <c r="J21" s="10" t="e">
        <f t="shared" ref="J21" si="17">I20</f>
        <v>#N/A</v>
      </c>
    </row>
    <row r="22" spans="1:10" x14ac:dyDescent="0.25">
      <c r="A22" s="1">
        <v>45433</v>
      </c>
      <c r="B22" s="3"/>
      <c r="C22" s="26" t="e">
        <f>HLOOKUP(A22,Hoja2!$R$2:$AV$14,13,FALSE)</f>
        <v>#N/A</v>
      </c>
      <c r="D22" s="21"/>
      <c r="E22" s="15">
        <v>45393</v>
      </c>
      <c r="F22">
        <v>110220</v>
      </c>
      <c r="G22" t="s">
        <v>57</v>
      </c>
      <c r="H22" t="str">
        <f>"CPA Recaudación Clientes BCI 553 "&amp;TEXT(E22,"dd-mm-aaa")</f>
        <v>CPA Recaudación Clientes BCI 553 11-04-2024</v>
      </c>
      <c r="I22" s="16" t="e">
        <f>+C12</f>
        <v>#N/A</v>
      </c>
      <c r="J22" s="17"/>
    </row>
    <row r="23" spans="1:10" x14ac:dyDescent="0.25">
      <c r="A23" s="1">
        <v>45434</v>
      </c>
      <c r="B23" s="3"/>
      <c r="C23" s="26" t="e">
        <f>HLOOKUP(A23,Hoja2!$R$2:$AV$14,13,FALSE)</f>
        <v>#N/A</v>
      </c>
      <c r="D23" s="21"/>
      <c r="E23" s="9"/>
      <c r="F23" s="12">
        <v>211101</v>
      </c>
      <c r="G23" s="12" t="s">
        <v>18</v>
      </c>
      <c r="H23" s="12" t="str">
        <f t="shared" ref="H23" si="18">H22</f>
        <v>CPA Recaudación Clientes BCI 553 11-04-2024</v>
      </c>
      <c r="I23" s="3"/>
      <c r="J23" s="10" t="e">
        <f t="shared" ref="J23" si="19">I22</f>
        <v>#N/A</v>
      </c>
    </row>
    <row r="24" spans="1:10" x14ac:dyDescent="0.25">
      <c r="A24" s="1">
        <v>45435</v>
      </c>
      <c r="B24" s="3"/>
      <c r="C24" s="26" t="e">
        <f>HLOOKUP(A24,Hoja2!$R$2:$AV$14,13,FALSE)</f>
        <v>#N/A</v>
      </c>
      <c r="D24" s="21"/>
      <c r="E24" s="15">
        <v>45394</v>
      </c>
      <c r="F24">
        <v>110220</v>
      </c>
      <c r="G24" t="s">
        <v>57</v>
      </c>
      <c r="H24" t="str">
        <f>"CPA Recaudación Clientes BCI 553 "&amp;TEXT(E24,"dd-mm-aaa")</f>
        <v>CPA Recaudación Clientes BCI 553 12-04-2024</v>
      </c>
      <c r="I24" s="16" t="e">
        <f>+C13</f>
        <v>#N/A</v>
      </c>
      <c r="J24" s="17"/>
    </row>
    <row r="25" spans="1:10" x14ac:dyDescent="0.25">
      <c r="A25" s="1">
        <v>45436</v>
      </c>
      <c r="B25" s="3"/>
      <c r="C25" s="26" t="e">
        <f>HLOOKUP(A25,Hoja2!$R$2:$AV$14,13,FALSE)</f>
        <v>#N/A</v>
      </c>
      <c r="D25" s="21"/>
      <c r="E25" s="9"/>
      <c r="F25" s="12">
        <v>211101</v>
      </c>
      <c r="G25" s="12" t="s">
        <v>18</v>
      </c>
      <c r="H25" s="12" t="str">
        <f t="shared" ref="H25" si="20">H24</f>
        <v>CPA Recaudación Clientes BCI 553 12-04-2024</v>
      </c>
      <c r="I25" s="3"/>
      <c r="J25" s="10" t="e">
        <f t="shared" ref="J25" si="21">I24</f>
        <v>#N/A</v>
      </c>
    </row>
    <row r="26" spans="1:10" x14ac:dyDescent="0.25">
      <c r="A26" s="1">
        <v>45437</v>
      </c>
      <c r="B26" s="3"/>
      <c r="C26" s="26" t="e">
        <f>HLOOKUP(A26,Hoja2!$R$2:$AV$14,13,FALSE)</f>
        <v>#N/A</v>
      </c>
      <c r="D26" s="21"/>
      <c r="E26" s="15">
        <v>45395</v>
      </c>
      <c r="F26">
        <v>110220</v>
      </c>
      <c r="G26" t="s">
        <v>57</v>
      </c>
      <c r="H26" t="str">
        <f>"CPA Recaudación Clientes BCI 553 "&amp;TEXT(E26,"dd-mm-aaa")</f>
        <v>CPA Recaudación Clientes BCI 553 13-04-2024</v>
      </c>
      <c r="I26" s="16" t="e">
        <f>+C14</f>
        <v>#N/A</v>
      </c>
      <c r="J26" s="17"/>
    </row>
    <row r="27" spans="1:10" x14ac:dyDescent="0.25">
      <c r="A27" s="1">
        <v>45438</v>
      </c>
      <c r="B27" s="3"/>
      <c r="C27" s="26" t="e">
        <f>HLOOKUP(A27,Hoja2!$R$2:$AV$14,13,FALSE)</f>
        <v>#N/A</v>
      </c>
      <c r="D27" s="21"/>
      <c r="E27" s="9"/>
      <c r="F27" s="12">
        <v>211101</v>
      </c>
      <c r="G27" s="12" t="s">
        <v>18</v>
      </c>
      <c r="H27" s="12" t="str">
        <f t="shared" ref="H27" si="22">H26</f>
        <v>CPA Recaudación Clientes BCI 553 13-04-2024</v>
      </c>
      <c r="I27" s="3"/>
      <c r="J27" s="10" t="e">
        <f t="shared" ref="J27" si="23">I26</f>
        <v>#N/A</v>
      </c>
    </row>
    <row r="28" spans="1:10" x14ac:dyDescent="0.25">
      <c r="A28" s="1">
        <v>45439</v>
      </c>
      <c r="B28" s="3"/>
      <c r="C28" s="26" t="e">
        <f>HLOOKUP(A28,Hoja2!$R$2:$AV$14,13,FALSE)</f>
        <v>#N/A</v>
      </c>
      <c r="E28" s="15">
        <v>45396</v>
      </c>
      <c r="F28">
        <v>110220</v>
      </c>
      <c r="G28" t="s">
        <v>57</v>
      </c>
      <c r="H28" t="str">
        <f>"CPA Recaudación Clientes BCI 553 "&amp;TEXT(E28,"dd-mm-aaa")</f>
        <v>CPA Recaudación Clientes BCI 553 14-04-2024</v>
      </c>
      <c r="I28" s="16" t="e">
        <f>+C15</f>
        <v>#N/A</v>
      </c>
      <c r="J28" s="17"/>
    </row>
    <row r="29" spans="1:10" x14ac:dyDescent="0.25">
      <c r="A29" s="1">
        <v>45440</v>
      </c>
      <c r="B29" s="3"/>
      <c r="C29" s="26" t="e">
        <f>HLOOKUP(A29,Hoja2!$R$2:$AV$14,13,FALSE)</f>
        <v>#N/A</v>
      </c>
      <c r="D29" s="39"/>
      <c r="E29" s="9"/>
      <c r="F29" s="12">
        <v>211101</v>
      </c>
      <c r="G29" s="12" t="s">
        <v>18</v>
      </c>
      <c r="H29" s="12" t="str">
        <f t="shared" ref="H29" si="24">H28</f>
        <v>CPA Recaudación Clientes BCI 553 14-04-2024</v>
      </c>
      <c r="I29" s="3"/>
      <c r="J29" s="10" t="e">
        <f t="shared" ref="J29" si="25">I28</f>
        <v>#N/A</v>
      </c>
    </row>
    <row r="30" spans="1:10" x14ac:dyDescent="0.25">
      <c r="A30" s="1">
        <v>45441</v>
      </c>
      <c r="B30" s="3"/>
      <c r="C30" s="26" t="e">
        <f>HLOOKUP(A30,Hoja2!$R$2:$AV$14,13,FALSE)</f>
        <v>#N/A</v>
      </c>
      <c r="E30" s="15">
        <v>45397</v>
      </c>
      <c r="F30">
        <v>110220</v>
      </c>
      <c r="G30" t="s">
        <v>57</v>
      </c>
      <c r="H30" t="str">
        <f>"CPA Recaudación Clientes BCI 553 "&amp;TEXT(E30,"dd-mm-aaa")</f>
        <v>CPA Recaudación Clientes BCI 553 15-04-2024</v>
      </c>
      <c r="I30" s="16" t="e">
        <f>+C16</f>
        <v>#N/A</v>
      </c>
      <c r="J30" s="17"/>
    </row>
    <row r="31" spans="1:10" x14ac:dyDescent="0.25">
      <c r="A31" s="1">
        <v>45442</v>
      </c>
      <c r="B31" s="3"/>
      <c r="C31" s="26" t="e">
        <f>HLOOKUP(A31,Hoja2!$R$2:$AV$14,13,FALSE)</f>
        <v>#N/A</v>
      </c>
      <c r="E31" s="11"/>
      <c r="F31" s="12">
        <v>211101</v>
      </c>
      <c r="G31" s="12" t="s">
        <v>18</v>
      </c>
      <c r="H31" s="12" t="str">
        <f t="shared" ref="H31" si="26">H30</f>
        <v>CPA Recaudación Clientes BCI 553 15-04-2024</v>
      </c>
      <c r="I31" s="13"/>
      <c r="J31" s="18" t="e">
        <f t="shared" ref="J31" si="27">I30</f>
        <v>#N/A</v>
      </c>
    </row>
    <row r="32" spans="1:10" x14ac:dyDescent="0.25">
      <c r="A32" s="1">
        <v>45443</v>
      </c>
      <c r="B32" s="3"/>
      <c r="C32" s="26" t="e">
        <f>HLOOKUP(A32,Hoja2!$R$2:$AV$14,13,FALSE)</f>
        <v>#N/A</v>
      </c>
      <c r="E32" s="15">
        <v>45398</v>
      </c>
      <c r="F32">
        <v>110220</v>
      </c>
      <c r="G32" t="s">
        <v>57</v>
      </c>
      <c r="H32" t="str">
        <f>"CPA Recaudación Clientes BCI 553 "&amp;TEXT(E32,"dd-mm-aaa")</f>
        <v>CPA Recaudación Clientes BCI 553 16-04-2024</v>
      </c>
      <c r="I32" s="16" t="e">
        <f>+C17</f>
        <v>#N/A</v>
      </c>
      <c r="J32" s="17"/>
    </row>
    <row r="33" spans="1:10" x14ac:dyDescent="0.25">
      <c r="E33" s="11"/>
      <c r="F33" s="12">
        <v>211101</v>
      </c>
      <c r="G33" s="12" t="s">
        <v>18</v>
      </c>
      <c r="H33" s="12" t="str">
        <f t="shared" ref="H33" si="28">H32</f>
        <v>CPA Recaudación Clientes BCI 553 16-04-2024</v>
      </c>
      <c r="I33" s="13"/>
      <c r="J33" s="18" t="e">
        <f t="shared" ref="J33" si="29">I32</f>
        <v>#N/A</v>
      </c>
    </row>
    <row r="34" spans="1:10" x14ac:dyDescent="0.25">
      <c r="E34" s="15">
        <v>45399</v>
      </c>
      <c r="F34">
        <v>110220</v>
      </c>
      <c r="G34" t="s">
        <v>57</v>
      </c>
      <c r="H34" t="str">
        <f>"CPA Recaudación Clientes BCI 553 "&amp;TEXT(E34,"dd-mm-aaa")</f>
        <v>CPA Recaudación Clientes BCI 553 17-04-2024</v>
      </c>
      <c r="I34" s="16" t="e">
        <f>+C18</f>
        <v>#N/A</v>
      </c>
      <c r="J34" s="17"/>
    </row>
    <row r="35" spans="1:10" x14ac:dyDescent="0.25">
      <c r="E35" s="11"/>
      <c r="F35" s="12">
        <v>211101</v>
      </c>
      <c r="G35" s="12" t="s">
        <v>18</v>
      </c>
      <c r="H35" s="12" t="str">
        <f t="shared" ref="H35" si="30">H34</f>
        <v>CPA Recaudación Clientes BCI 553 17-04-2024</v>
      </c>
      <c r="I35" s="13"/>
      <c r="J35" s="18" t="e">
        <f t="shared" ref="J35" si="31">I34</f>
        <v>#N/A</v>
      </c>
    </row>
    <row r="36" spans="1:10" x14ac:dyDescent="0.25">
      <c r="E36" s="15">
        <v>45400</v>
      </c>
      <c r="F36">
        <v>110220</v>
      </c>
      <c r="G36" t="s">
        <v>57</v>
      </c>
      <c r="H36" t="str">
        <f>"CPA Recaudación Clientes BCI 553 "&amp;TEXT(E36,"dd-mm-aaa")</f>
        <v>CPA Recaudación Clientes BCI 553 18-04-2024</v>
      </c>
      <c r="I36" s="16" t="e">
        <f>+C19</f>
        <v>#N/A</v>
      </c>
      <c r="J36" s="17"/>
    </row>
    <row r="37" spans="1:10" x14ac:dyDescent="0.25">
      <c r="E37" s="11"/>
      <c r="F37" s="12">
        <v>211101</v>
      </c>
      <c r="G37" s="12" t="s">
        <v>18</v>
      </c>
      <c r="H37" s="12" t="str">
        <f t="shared" ref="H37" si="32">H36</f>
        <v>CPA Recaudación Clientes BCI 553 18-04-2024</v>
      </c>
      <c r="I37" s="13"/>
      <c r="J37" s="18" t="e">
        <f t="shared" ref="J37" si="33">I36</f>
        <v>#N/A</v>
      </c>
    </row>
    <row r="38" spans="1:10" x14ac:dyDescent="0.25">
      <c r="E38" s="15">
        <v>45401</v>
      </c>
      <c r="F38">
        <v>110220</v>
      </c>
      <c r="G38" t="s">
        <v>57</v>
      </c>
      <c r="H38" t="str">
        <f>"CPA Recaudación Clientes BCI 553 "&amp;TEXT(E38,"dd-mm-aaa")</f>
        <v>CPA Recaudación Clientes BCI 553 19-04-2024</v>
      </c>
      <c r="I38" s="16" t="e">
        <f>+C20</f>
        <v>#N/A</v>
      </c>
      <c r="J38" s="17"/>
    </row>
    <row r="39" spans="1:10" x14ac:dyDescent="0.25">
      <c r="E39" s="11"/>
      <c r="F39" s="12">
        <v>211101</v>
      </c>
      <c r="G39" s="12" t="s">
        <v>18</v>
      </c>
      <c r="H39" s="12" t="str">
        <f t="shared" ref="H39" si="34">H38</f>
        <v>CPA Recaudación Clientes BCI 553 19-04-2024</v>
      </c>
      <c r="I39" s="13"/>
      <c r="J39" s="18" t="e">
        <f t="shared" ref="J39" si="35">I38</f>
        <v>#N/A</v>
      </c>
    </row>
    <row r="40" spans="1:10" x14ac:dyDescent="0.25">
      <c r="E40" s="15">
        <v>45402</v>
      </c>
      <c r="F40">
        <v>110220</v>
      </c>
      <c r="G40" t="s">
        <v>57</v>
      </c>
      <c r="H40" t="str">
        <f>"CPA Recaudación Clientes BCI 553 "&amp;TEXT(E40,"dd-mm-aaa")</f>
        <v>CPA Recaudación Clientes BCI 553 20-04-2024</v>
      </c>
      <c r="I40" s="16" t="e">
        <f>+C21</f>
        <v>#N/A</v>
      </c>
      <c r="J40" s="17"/>
    </row>
    <row r="41" spans="1:10" x14ac:dyDescent="0.25">
      <c r="A41" s="42"/>
      <c r="E41" s="11"/>
      <c r="F41" s="12">
        <v>211101</v>
      </c>
      <c r="G41" s="12" t="s">
        <v>18</v>
      </c>
      <c r="H41" s="12" t="str">
        <f t="shared" ref="H41" si="36">H40</f>
        <v>CPA Recaudación Clientes BCI 553 20-04-2024</v>
      </c>
      <c r="I41" s="13"/>
      <c r="J41" s="18" t="e">
        <f t="shared" ref="J41" si="37">I40</f>
        <v>#N/A</v>
      </c>
    </row>
    <row r="42" spans="1:10" x14ac:dyDescent="0.25">
      <c r="A42" s="42"/>
      <c r="E42" s="15">
        <v>45403</v>
      </c>
      <c r="F42">
        <v>110220</v>
      </c>
      <c r="G42" t="s">
        <v>57</v>
      </c>
      <c r="H42" t="str">
        <f>"CPA Recaudación Clientes BCI 553 "&amp;TEXT(E42,"dd-mm-aaa")</f>
        <v>CPA Recaudación Clientes BCI 553 21-04-2024</v>
      </c>
      <c r="I42" s="16" t="e">
        <f>+C22</f>
        <v>#N/A</v>
      </c>
      <c r="J42" s="17"/>
    </row>
    <row r="43" spans="1:10" x14ac:dyDescent="0.25">
      <c r="A43" s="42"/>
      <c r="E43" s="11"/>
      <c r="F43" s="12">
        <v>211101</v>
      </c>
      <c r="G43" s="12" t="s">
        <v>18</v>
      </c>
      <c r="H43" s="12" t="str">
        <f t="shared" ref="H43" si="38">H42</f>
        <v>CPA Recaudación Clientes BCI 553 21-04-2024</v>
      </c>
      <c r="I43" s="13"/>
      <c r="J43" s="18" t="e">
        <f t="shared" ref="J43" si="39">I42</f>
        <v>#N/A</v>
      </c>
    </row>
    <row r="44" spans="1:10" x14ac:dyDescent="0.25">
      <c r="E44" s="15">
        <v>45404</v>
      </c>
      <c r="F44">
        <v>110220</v>
      </c>
      <c r="G44" t="s">
        <v>57</v>
      </c>
      <c r="H44" t="str">
        <f>"CPA Recaudación Clientes BCI 553 "&amp;TEXT(E44,"dd-mm-aaa")</f>
        <v>CPA Recaudación Clientes BCI 553 22-04-2024</v>
      </c>
      <c r="I44" s="16" t="e">
        <f>+C23</f>
        <v>#N/A</v>
      </c>
      <c r="J44" s="17"/>
    </row>
    <row r="45" spans="1:10" x14ac:dyDescent="0.25">
      <c r="E45" s="11"/>
      <c r="F45" s="12">
        <v>211101</v>
      </c>
      <c r="G45" s="12" t="s">
        <v>18</v>
      </c>
      <c r="H45" s="12" t="str">
        <f t="shared" ref="H45" si="40">H44</f>
        <v>CPA Recaudación Clientes BCI 553 22-04-2024</v>
      </c>
      <c r="I45" s="13"/>
      <c r="J45" s="18" t="e">
        <f t="shared" ref="J45" si="41">I44</f>
        <v>#N/A</v>
      </c>
    </row>
    <row r="46" spans="1:10" x14ac:dyDescent="0.25">
      <c r="E46" s="15">
        <v>45405</v>
      </c>
      <c r="F46">
        <v>110220</v>
      </c>
      <c r="G46" t="s">
        <v>57</v>
      </c>
      <c r="H46" t="str">
        <f>"CPA Recaudación Clientes BCI 553 "&amp;TEXT(E46,"dd-mm-aaa")</f>
        <v>CPA Recaudación Clientes BCI 553 23-04-2024</v>
      </c>
      <c r="I46" s="16" t="e">
        <f>+C24</f>
        <v>#N/A</v>
      </c>
      <c r="J46" s="17"/>
    </row>
    <row r="47" spans="1:10" x14ac:dyDescent="0.25">
      <c r="E47" s="11"/>
      <c r="F47" s="12">
        <v>211101</v>
      </c>
      <c r="G47" s="12" t="s">
        <v>18</v>
      </c>
      <c r="H47" s="12" t="str">
        <f t="shared" ref="H47" si="42">H46</f>
        <v>CPA Recaudación Clientes BCI 553 23-04-2024</v>
      </c>
      <c r="I47" s="13"/>
      <c r="J47" s="18" t="e">
        <f t="shared" ref="J47" si="43">I46</f>
        <v>#N/A</v>
      </c>
    </row>
    <row r="48" spans="1:10" x14ac:dyDescent="0.25">
      <c r="E48" s="15">
        <v>45406</v>
      </c>
      <c r="F48">
        <v>110220</v>
      </c>
      <c r="G48" t="s">
        <v>57</v>
      </c>
      <c r="H48" t="str">
        <f>"CPA Recaudación Clientes BCI 553 "&amp;TEXT(E48,"dd-mm-aaa")</f>
        <v>CPA Recaudación Clientes BCI 553 24-04-2024</v>
      </c>
      <c r="I48" s="16" t="e">
        <f>+C25</f>
        <v>#N/A</v>
      </c>
      <c r="J48" s="17"/>
    </row>
    <row r="49" spans="5:10" x14ac:dyDescent="0.25">
      <c r="E49" s="11"/>
      <c r="F49" s="12">
        <v>211101</v>
      </c>
      <c r="G49" s="12" t="s">
        <v>18</v>
      </c>
      <c r="H49" s="12" t="str">
        <f t="shared" ref="H49" si="44">H48</f>
        <v>CPA Recaudación Clientes BCI 553 24-04-2024</v>
      </c>
      <c r="I49" s="13"/>
      <c r="J49" s="18" t="e">
        <f t="shared" ref="J49" si="45">I48</f>
        <v>#N/A</v>
      </c>
    </row>
    <row r="50" spans="5:10" x14ac:dyDescent="0.25">
      <c r="E50" s="15">
        <v>45407</v>
      </c>
      <c r="F50">
        <v>110220</v>
      </c>
      <c r="G50" t="s">
        <v>57</v>
      </c>
      <c r="H50" t="str">
        <f>"CPA Recaudación Clientes BCI 553 "&amp;TEXT(E50,"dd-mm-aaa")</f>
        <v>CPA Recaudación Clientes BCI 553 25-04-2024</v>
      </c>
      <c r="I50" s="16" t="e">
        <f>+C26</f>
        <v>#N/A</v>
      </c>
      <c r="J50" s="17"/>
    </row>
    <row r="51" spans="5:10" x14ac:dyDescent="0.25">
      <c r="E51" s="11"/>
      <c r="F51" s="12">
        <v>211101</v>
      </c>
      <c r="G51" s="12" t="s">
        <v>18</v>
      </c>
      <c r="H51" s="12" t="str">
        <f t="shared" ref="H51" si="46">H50</f>
        <v>CPA Recaudación Clientes BCI 553 25-04-2024</v>
      </c>
      <c r="I51" s="13"/>
      <c r="J51" s="18" t="e">
        <f t="shared" ref="J51" si="47">I50</f>
        <v>#N/A</v>
      </c>
    </row>
    <row r="52" spans="5:10" x14ac:dyDescent="0.25">
      <c r="E52" s="15">
        <v>45408</v>
      </c>
      <c r="F52">
        <v>110220</v>
      </c>
      <c r="G52" t="s">
        <v>57</v>
      </c>
      <c r="H52" t="str">
        <f>"CPA Recaudación Clientes BCI 553 "&amp;TEXT(E52,"dd-mm-aaa")</f>
        <v>CPA Recaudación Clientes BCI 553 26-04-2024</v>
      </c>
      <c r="I52" s="16" t="e">
        <f>+C27</f>
        <v>#N/A</v>
      </c>
      <c r="J52" s="17"/>
    </row>
    <row r="53" spans="5:10" x14ac:dyDescent="0.25">
      <c r="E53" s="11"/>
      <c r="F53" s="12">
        <v>211101</v>
      </c>
      <c r="G53" s="12" t="s">
        <v>18</v>
      </c>
      <c r="H53" s="12" t="str">
        <f t="shared" ref="H53" si="48">H52</f>
        <v>CPA Recaudación Clientes BCI 553 26-04-2024</v>
      </c>
      <c r="I53" s="13"/>
      <c r="J53" s="18" t="e">
        <f t="shared" ref="J53" si="49">I52</f>
        <v>#N/A</v>
      </c>
    </row>
    <row r="54" spans="5:10" x14ac:dyDescent="0.25">
      <c r="E54" s="15">
        <v>45409</v>
      </c>
      <c r="F54">
        <v>110220</v>
      </c>
      <c r="G54" t="s">
        <v>57</v>
      </c>
      <c r="H54" t="str">
        <f>"CPA Recaudación Clientes BCI 553 "&amp;TEXT(E54,"dd-mm-aaa")</f>
        <v>CPA Recaudación Clientes BCI 553 27-04-2024</v>
      </c>
      <c r="I54" s="16" t="e">
        <f>+C28</f>
        <v>#N/A</v>
      </c>
      <c r="J54" s="17"/>
    </row>
    <row r="55" spans="5:10" x14ac:dyDescent="0.25">
      <c r="E55" s="11"/>
      <c r="F55" s="12">
        <v>211101</v>
      </c>
      <c r="G55" s="12" t="s">
        <v>18</v>
      </c>
      <c r="H55" s="12" t="str">
        <f t="shared" ref="H55" si="50">H54</f>
        <v>CPA Recaudación Clientes BCI 553 27-04-2024</v>
      </c>
      <c r="I55" s="13"/>
      <c r="J55" s="18" t="e">
        <f t="shared" ref="J55" si="51">I54</f>
        <v>#N/A</v>
      </c>
    </row>
    <row r="56" spans="5:10" x14ac:dyDescent="0.25">
      <c r="E56" s="15">
        <v>45410</v>
      </c>
      <c r="F56">
        <v>110220</v>
      </c>
      <c r="G56" t="s">
        <v>57</v>
      </c>
      <c r="H56" t="str">
        <f>"CPA Recaudación Clientes BCI 553 "&amp;TEXT(E56,"dd-mm-aaa")</f>
        <v>CPA Recaudación Clientes BCI 553 28-04-2024</v>
      </c>
      <c r="I56" s="16" t="e">
        <f>+C29</f>
        <v>#N/A</v>
      </c>
      <c r="J56" s="17"/>
    </row>
    <row r="57" spans="5:10" x14ac:dyDescent="0.25">
      <c r="E57" s="11"/>
      <c r="F57" s="12">
        <v>211101</v>
      </c>
      <c r="G57" s="12" t="s">
        <v>18</v>
      </c>
      <c r="H57" s="12" t="str">
        <f t="shared" ref="H57" si="52">H56</f>
        <v>CPA Recaudación Clientes BCI 553 28-04-2024</v>
      </c>
      <c r="I57" s="13"/>
      <c r="J57" s="18" t="e">
        <f t="shared" ref="J57" si="53">I56</f>
        <v>#N/A</v>
      </c>
    </row>
    <row r="58" spans="5:10" x14ac:dyDescent="0.25">
      <c r="E58" s="15">
        <v>45411</v>
      </c>
      <c r="F58">
        <v>110220</v>
      </c>
      <c r="G58" t="s">
        <v>57</v>
      </c>
      <c r="H58" t="str">
        <f>"CPA Recaudación Clientes BCI 553 "&amp;TEXT(E58,"dd-mm-aaa")</f>
        <v>CPA Recaudación Clientes BCI 553 29-04-2024</v>
      </c>
      <c r="I58" s="16" t="e">
        <f>+C30</f>
        <v>#N/A</v>
      </c>
      <c r="J58" s="17"/>
    </row>
    <row r="59" spans="5:10" x14ac:dyDescent="0.25">
      <c r="E59" s="11"/>
      <c r="F59" s="12">
        <v>211101</v>
      </c>
      <c r="G59" s="12" t="s">
        <v>18</v>
      </c>
      <c r="H59" s="12" t="str">
        <f t="shared" ref="H59" si="54">H58</f>
        <v>CPA Recaudación Clientes BCI 553 29-04-2024</v>
      </c>
      <c r="I59" s="13"/>
      <c r="J59" s="18" t="e">
        <f t="shared" ref="J59" si="55">I58</f>
        <v>#N/A</v>
      </c>
    </row>
    <row r="60" spans="5:10" x14ac:dyDescent="0.25">
      <c r="E60" s="15">
        <v>45412</v>
      </c>
      <c r="F60">
        <v>110220</v>
      </c>
      <c r="G60" t="s">
        <v>57</v>
      </c>
      <c r="H60" t="str">
        <f>"CPA Recaudación Clientes BCI 553 "&amp;TEXT(E60,"dd-mm-aaa")</f>
        <v>CPA Recaudación Clientes BCI 553 30-04-2024</v>
      </c>
      <c r="I60" s="16" t="e">
        <f>+C31</f>
        <v>#N/A</v>
      </c>
      <c r="J60" s="17"/>
    </row>
    <row r="61" spans="5:10" x14ac:dyDescent="0.25">
      <c r="E61" s="11"/>
      <c r="F61" s="12">
        <v>211101</v>
      </c>
      <c r="G61" s="12" t="s">
        <v>18</v>
      </c>
      <c r="H61" s="12" t="str">
        <f t="shared" ref="H61" si="56">H60</f>
        <v>CPA Recaudación Clientes BCI 553 30-04-2024</v>
      </c>
      <c r="I61" s="13"/>
      <c r="J61" s="18" t="e">
        <f t="shared" ref="J61" si="57">I60</f>
        <v>#N/A</v>
      </c>
    </row>
    <row r="62" spans="5:10" x14ac:dyDescent="0.25">
      <c r="E62" s="15" t="s">
        <v>155</v>
      </c>
      <c r="F62">
        <v>110220</v>
      </c>
      <c r="G62" t="s">
        <v>57</v>
      </c>
      <c r="H62" t="str">
        <f>"CPA Recaudación Clientes BCI 553 "&amp;TEXT(E62,"dd-mm-aaa")</f>
        <v>CPA Recaudación Clientes BCI 553 31-04-2024</v>
      </c>
      <c r="I62" s="16" t="e">
        <f>+C32</f>
        <v>#N/A</v>
      </c>
      <c r="J62" s="17"/>
    </row>
    <row r="63" spans="5:10" x14ac:dyDescent="0.25">
      <c r="E63" s="11"/>
      <c r="F63" s="12">
        <v>211101</v>
      </c>
      <c r="G63" s="12" t="s">
        <v>18</v>
      </c>
      <c r="H63" s="12" t="str">
        <f t="shared" ref="H63" si="58">H62</f>
        <v>CPA Recaudación Clientes BCI 553 31-04-2024</v>
      </c>
      <c r="I63" s="13"/>
      <c r="J63" s="18" t="e">
        <f t="shared" ref="J63" si="59">I62</f>
        <v>#N/A</v>
      </c>
    </row>
  </sheetData>
  <autoFilter ref="E1:J63" xr:uid="{5DA38CDA-9010-4E07-ABDF-4887936EE683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8CDA-9010-4E07-ABDF-4887936EE683}">
  <dimension ref="A1:AJ63"/>
  <sheetViews>
    <sheetView showGridLines="0" workbookViewId="0">
      <selection activeCell="B10" sqref="B10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3.28515625" bestFit="1" customWidth="1"/>
    <col min="7" max="7" width="23.140625" bestFit="1" customWidth="1"/>
    <col min="8" max="8" width="45.7109375" bestFit="1" customWidth="1"/>
    <col min="9" max="10" width="12" bestFit="1" customWidth="1"/>
    <col min="14" max="14" width="11.140625" bestFit="1" customWidth="1"/>
    <col min="15" max="15" width="12" bestFit="1" customWidth="1"/>
    <col min="16" max="16" width="13.28515625" bestFit="1" customWidth="1"/>
    <col min="20" max="20" width="23.140625" bestFit="1" customWidth="1"/>
    <col min="21" max="21" width="51.42578125" bestFit="1" customWidth="1"/>
    <col min="22" max="23" width="12" bestFit="1" customWidth="1"/>
    <col min="27" max="27" width="11.140625" bestFit="1" customWidth="1"/>
    <col min="28" max="28" width="12" bestFit="1" customWidth="1"/>
    <col min="29" max="29" width="13.28515625" bestFit="1" customWidth="1"/>
    <col min="33" max="33" width="23.140625" bestFit="1" customWidth="1"/>
    <col min="34" max="34" width="51.42578125" bestFit="1" customWidth="1"/>
    <col min="35" max="36" width="12" bestFit="1" customWidth="1"/>
  </cols>
  <sheetData>
    <row r="1" spans="1:36" x14ac:dyDescent="0.25">
      <c r="A1" s="4" t="s">
        <v>0</v>
      </c>
      <c r="B1" s="4"/>
      <c r="C1" s="4" t="s">
        <v>27</v>
      </c>
      <c r="E1" s="22" t="s">
        <v>0</v>
      </c>
      <c r="F1" s="23"/>
      <c r="G1" s="23"/>
      <c r="H1" s="23"/>
      <c r="I1" s="23" t="s">
        <v>5</v>
      </c>
      <c r="J1" s="24" t="s">
        <v>6</v>
      </c>
      <c r="N1" s="4" t="s">
        <v>0</v>
      </c>
      <c r="O1" s="4"/>
      <c r="P1" s="4" t="s">
        <v>27</v>
      </c>
      <c r="R1" s="22" t="s">
        <v>0</v>
      </c>
      <c r="S1" s="95"/>
      <c r="T1" s="95"/>
      <c r="U1" s="23"/>
      <c r="V1" s="23" t="s">
        <v>5</v>
      </c>
      <c r="W1" s="24" t="s">
        <v>6</v>
      </c>
      <c r="AA1" s="4" t="s">
        <v>0</v>
      </c>
      <c r="AB1" s="4"/>
      <c r="AC1" s="4" t="s">
        <v>27</v>
      </c>
      <c r="AE1" s="22" t="s">
        <v>0</v>
      </c>
      <c r="AF1" s="95"/>
      <c r="AG1" s="95"/>
      <c r="AH1" s="23"/>
      <c r="AI1" s="23" t="s">
        <v>5</v>
      </c>
      <c r="AJ1" s="24" t="s">
        <v>6</v>
      </c>
    </row>
    <row r="2" spans="1:36" x14ac:dyDescent="0.25">
      <c r="A2" s="1">
        <v>45413</v>
      </c>
      <c r="B2" s="42"/>
      <c r="C2" s="26" t="e">
        <f>HLOOKUP(A2,Hoja2!$R$2:$AV$10,9,FALSE)</f>
        <v>#N/A</v>
      </c>
      <c r="E2" s="9">
        <v>45413</v>
      </c>
      <c r="F2">
        <v>110206</v>
      </c>
      <c r="G2" t="s">
        <v>45</v>
      </c>
      <c r="H2" t="str">
        <f>"CPA Recaudación Clientes Banco Estado "&amp;TEXT(E2,"dd-mm-aaa")</f>
        <v>CPA Recaudación Clientes Banco Estado 01-05-2024</v>
      </c>
      <c r="I2" s="3" t="e">
        <f>+C2</f>
        <v>#N/A</v>
      </c>
      <c r="J2" s="10"/>
      <c r="N2" s="1">
        <v>45383</v>
      </c>
      <c r="O2" s="42"/>
      <c r="P2" s="26" t="e">
        <f>HLOOKUP(N2,Hoja2!$R$2:$AV$11,10,FALSE)</f>
        <v>#N/A</v>
      </c>
      <c r="R2" s="9">
        <v>45383</v>
      </c>
      <c r="S2" s="8">
        <v>110209</v>
      </c>
      <c r="T2" s="8" t="s">
        <v>55</v>
      </c>
      <c r="U2" t="str">
        <f>"CPA Traspaso de fondos Bco. Estado a BCI 656 "&amp;TEXT(R2,"dd-mm-yyy")</f>
        <v>CPA Traspaso de fondos Bco. Estado a BCI 656 01-04-2024</v>
      </c>
      <c r="V2" s="3" t="e">
        <f>+P2</f>
        <v>#N/A</v>
      </c>
      <c r="W2" s="10"/>
      <c r="AA2" s="1">
        <v>45383</v>
      </c>
      <c r="AB2" s="42"/>
      <c r="AC2" s="26" t="e">
        <f>HLOOKUP(AA2,Hoja2!$R$2:$AV$43,42,FALSE)</f>
        <v>#N/A</v>
      </c>
      <c r="AE2" s="9">
        <v>45383</v>
      </c>
      <c r="AF2" s="8">
        <v>110204</v>
      </c>
      <c r="AG2" s="8" t="s">
        <v>117</v>
      </c>
      <c r="AH2" t="str">
        <f>"CPA Traspaso de fondos Bco. Estado a BICE "&amp;TEXT(AE2,"dd-mm-yyy")</f>
        <v>CPA Traspaso de fondos Bco. Estado a BICE 01-04-2024</v>
      </c>
      <c r="AI2" s="3" t="e">
        <f>+AC2</f>
        <v>#N/A</v>
      </c>
      <c r="AJ2" s="10"/>
    </row>
    <row r="3" spans="1:36" x14ac:dyDescent="0.25">
      <c r="A3" s="1">
        <v>45414</v>
      </c>
      <c r="B3" s="3"/>
      <c r="C3" s="26" t="e">
        <f>HLOOKUP(A3,Hoja2!$R$2:$AV$10,9,FALSE)</f>
        <v>#N/A</v>
      </c>
      <c r="E3" s="11"/>
      <c r="F3" s="12">
        <v>211101</v>
      </c>
      <c r="G3" s="12" t="s">
        <v>18</v>
      </c>
      <c r="H3" s="12" t="str">
        <f>H2</f>
        <v>CPA Recaudación Clientes Banco Estado 01-05-2024</v>
      </c>
      <c r="I3" s="13"/>
      <c r="J3" s="18" t="e">
        <f>I2</f>
        <v>#N/A</v>
      </c>
      <c r="N3" s="1">
        <v>45384</v>
      </c>
      <c r="O3" s="3"/>
      <c r="P3" s="26" t="e">
        <f>HLOOKUP(N3,Hoja2!$R$2:$AV$11,10,FALSE)</f>
        <v>#N/A</v>
      </c>
      <c r="R3" s="11"/>
      <c r="S3">
        <v>110206</v>
      </c>
      <c r="T3" t="s">
        <v>45</v>
      </c>
      <c r="U3" s="12" t="str">
        <f>U2</f>
        <v>CPA Traspaso de fondos Bco. Estado a BCI 656 01-04-2024</v>
      </c>
      <c r="V3" s="13"/>
      <c r="W3" s="18" t="e">
        <f>V2</f>
        <v>#N/A</v>
      </c>
      <c r="AA3" s="1">
        <v>45384</v>
      </c>
      <c r="AB3" s="3"/>
      <c r="AC3" s="26" t="e">
        <f>HLOOKUP(AA3,Hoja2!$R$2:$AV$43,42,FALSE)</f>
        <v>#N/A</v>
      </c>
      <c r="AE3" s="11"/>
      <c r="AF3">
        <v>110206</v>
      </c>
      <c r="AG3" t="s">
        <v>45</v>
      </c>
      <c r="AH3" s="12" t="str">
        <f>AH2</f>
        <v>CPA Traspaso de fondos Bco. Estado a BICE 01-04-2024</v>
      </c>
      <c r="AI3" s="13"/>
      <c r="AJ3" s="18" t="e">
        <f>AI2</f>
        <v>#N/A</v>
      </c>
    </row>
    <row r="4" spans="1:36" x14ac:dyDescent="0.25">
      <c r="A4" s="1">
        <v>45415</v>
      </c>
      <c r="B4" s="3"/>
      <c r="C4" s="26" t="e">
        <f>HLOOKUP(A4,Hoja2!$R$2:$AV$10,9,FALSE)</f>
        <v>#N/A</v>
      </c>
      <c r="E4" s="15">
        <v>45414</v>
      </c>
      <c r="F4" s="8">
        <v>110206</v>
      </c>
      <c r="G4" s="8" t="s">
        <v>45</v>
      </c>
      <c r="H4" t="str">
        <f>"CPA Recaudación Clientes Banco Estado "&amp;TEXT(E4,"dd-mm-aaa")</f>
        <v>CPA Recaudación Clientes Banco Estado 02-05-2024</v>
      </c>
      <c r="I4" s="16" t="e">
        <f>+C3</f>
        <v>#N/A</v>
      </c>
      <c r="J4" s="17"/>
      <c r="N4" s="1">
        <v>45385</v>
      </c>
      <c r="O4" s="3"/>
      <c r="P4" s="26" t="e">
        <f>HLOOKUP(N4,Hoja2!$R$2:$AV$11,10,FALSE)</f>
        <v>#N/A</v>
      </c>
      <c r="R4" s="15">
        <v>45384</v>
      </c>
      <c r="S4" s="8">
        <v>110209</v>
      </c>
      <c r="T4" s="8" t="s">
        <v>55</v>
      </c>
      <c r="U4" t="str">
        <f>"CPA Traspaso de fondos Bco. Estado a BCI 656 "&amp;TEXT(R4,"dd-mm-yyy")</f>
        <v>CPA Traspaso de fondos Bco. Estado a BCI 656 02-04-2024</v>
      </c>
      <c r="V4" s="16" t="e">
        <f>+P3</f>
        <v>#N/A</v>
      </c>
      <c r="W4" s="17"/>
      <c r="AA4" s="1">
        <v>45385</v>
      </c>
      <c r="AB4" s="3"/>
      <c r="AC4" s="26" t="e">
        <f>HLOOKUP(AA4,Hoja2!$R$2:$AV$43,42,FALSE)</f>
        <v>#N/A</v>
      </c>
      <c r="AE4" s="15">
        <v>45384</v>
      </c>
      <c r="AF4" s="8">
        <v>110204</v>
      </c>
      <c r="AG4" s="8" t="s">
        <v>117</v>
      </c>
      <c r="AH4" t="str">
        <f>"CPA Traspaso de fondos Bco. Estado a BICE "&amp;TEXT(AE4,"dd-mm-yyy")</f>
        <v>CPA Traspaso de fondos Bco. Estado a BICE 02-04-2024</v>
      </c>
      <c r="AI4" s="16" t="e">
        <f>+AC3</f>
        <v>#N/A</v>
      </c>
      <c r="AJ4" s="17"/>
    </row>
    <row r="5" spans="1:36" x14ac:dyDescent="0.25">
      <c r="A5" s="1">
        <v>45416</v>
      </c>
      <c r="B5" s="3"/>
      <c r="C5" s="26" t="e">
        <f>HLOOKUP(A5,Hoja2!$R$2:$AV$10,9,FALSE)</f>
        <v>#N/A</v>
      </c>
      <c r="E5" s="11"/>
      <c r="F5" s="12">
        <v>211101</v>
      </c>
      <c r="G5" s="12" t="s">
        <v>18</v>
      </c>
      <c r="H5" s="12" t="str">
        <f t="shared" ref="H5" si="0">H4</f>
        <v>CPA Recaudación Clientes Banco Estado 02-05-2024</v>
      </c>
      <c r="I5" s="13"/>
      <c r="J5" s="18" t="e">
        <f t="shared" ref="J5" si="1">I4</f>
        <v>#N/A</v>
      </c>
      <c r="N5" s="1">
        <v>45386</v>
      </c>
      <c r="O5" s="3"/>
      <c r="P5" s="26" t="e">
        <f>HLOOKUP(N5,Hoja2!$R$2:$AV$11,10,FALSE)</f>
        <v>#N/A</v>
      </c>
      <c r="R5" s="11"/>
      <c r="S5" s="12">
        <v>110206</v>
      </c>
      <c r="T5" s="12" t="s">
        <v>45</v>
      </c>
      <c r="U5" s="12" t="str">
        <f t="shared" ref="U5" si="2">U4</f>
        <v>CPA Traspaso de fondos Bco. Estado a BCI 656 02-04-2024</v>
      </c>
      <c r="V5" s="13"/>
      <c r="W5" s="18" t="e">
        <f t="shared" ref="W5" si="3">V4</f>
        <v>#N/A</v>
      </c>
      <c r="AA5" s="1">
        <v>45386</v>
      </c>
      <c r="AB5" s="3"/>
      <c r="AC5" s="26" t="e">
        <f>HLOOKUP(AA5,Hoja2!$R$2:$AV$43,42,FALSE)</f>
        <v>#N/A</v>
      </c>
      <c r="AE5" s="11"/>
      <c r="AF5" s="12">
        <v>110206</v>
      </c>
      <c r="AG5" s="12" t="s">
        <v>45</v>
      </c>
      <c r="AH5" s="12" t="str">
        <f t="shared" ref="AH5" si="4">AH4</f>
        <v>CPA Traspaso de fondos Bco. Estado a BICE 02-04-2024</v>
      </c>
      <c r="AI5" s="13"/>
      <c r="AJ5" s="18" t="e">
        <f t="shared" ref="AJ5" si="5">AI4</f>
        <v>#N/A</v>
      </c>
    </row>
    <row r="6" spans="1:36" x14ac:dyDescent="0.25">
      <c r="A6" s="1">
        <v>45417</v>
      </c>
      <c r="B6" s="3"/>
      <c r="C6" s="26" t="e">
        <f>HLOOKUP(A6,Hoja2!$R$2:$AV$10,9,FALSE)</f>
        <v>#N/A</v>
      </c>
      <c r="E6" s="15">
        <v>45415</v>
      </c>
      <c r="F6" s="8">
        <v>110206</v>
      </c>
      <c r="G6" s="8" t="s">
        <v>45</v>
      </c>
      <c r="H6" t="str">
        <f>"CPA Recaudación Clientes Banco Estado "&amp;TEXT(E6,"dd-mm-aaa")</f>
        <v>CPA Recaudación Clientes Banco Estado 03-05-2024</v>
      </c>
      <c r="I6" s="16" t="e">
        <f>+C4</f>
        <v>#N/A</v>
      </c>
      <c r="J6" s="17"/>
      <c r="N6" s="1">
        <v>45387</v>
      </c>
      <c r="O6" s="3"/>
      <c r="P6" s="26" t="e">
        <f>HLOOKUP(N6,Hoja2!$R$2:$AV$11,10,FALSE)</f>
        <v>#N/A</v>
      </c>
      <c r="R6" s="15">
        <v>45385</v>
      </c>
      <c r="S6" s="8">
        <v>110209</v>
      </c>
      <c r="T6" s="8" t="s">
        <v>55</v>
      </c>
      <c r="U6" t="str">
        <f>"CPA Traspaso de fondos Bco. Estado a BCI 656 "&amp;TEXT(R6,"dd-mm-yyy")</f>
        <v>CPA Traspaso de fondos Bco. Estado a BCI 656 03-04-2024</v>
      </c>
      <c r="V6" s="16" t="e">
        <f>+P4</f>
        <v>#N/A</v>
      </c>
      <c r="W6" s="17"/>
      <c r="AA6" s="1">
        <v>45387</v>
      </c>
      <c r="AB6" s="3"/>
      <c r="AC6" s="26" t="e">
        <f>HLOOKUP(AA6,Hoja2!$R$2:$AV$43,42,FALSE)</f>
        <v>#N/A</v>
      </c>
      <c r="AE6" s="15">
        <v>45385</v>
      </c>
      <c r="AF6" s="8">
        <v>110204</v>
      </c>
      <c r="AG6" s="8" t="s">
        <v>117</v>
      </c>
      <c r="AH6" t="str">
        <f>"CPA Traspaso de fondos Bco. Estado a BICE "&amp;TEXT(AE6,"dd-mm-yyy")</f>
        <v>CPA Traspaso de fondos Bco. Estado a BICE 03-04-2024</v>
      </c>
      <c r="AI6" s="16" t="e">
        <f>+AC4</f>
        <v>#N/A</v>
      </c>
      <c r="AJ6" s="17"/>
    </row>
    <row r="7" spans="1:36" x14ac:dyDescent="0.25">
      <c r="A7" s="1">
        <v>45418</v>
      </c>
      <c r="B7" s="3"/>
      <c r="C7" s="26" t="e">
        <f>HLOOKUP(A7,Hoja2!$R$2:$AV$10,9,FALSE)</f>
        <v>#N/A</v>
      </c>
      <c r="E7" s="11"/>
      <c r="F7" s="12">
        <v>211101</v>
      </c>
      <c r="G7" s="12" t="s">
        <v>18</v>
      </c>
      <c r="H7" s="12" t="str">
        <f t="shared" ref="H7" si="6">H6</f>
        <v>CPA Recaudación Clientes Banco Estado 03-05-2024</v>
      </c>
      <c r="I7" s="13"/>
      <c r="J7" s="18" t="e">
        <f t="shared" ref="J7" si="7">I6</f>
        <v>#N/A</v>
      </c>
      <c r="N7" s="1">
        <v>45388</v>
      </c>
      <c r="O7" s="3"/>
      <c r="P7" s="26" t="e">
        <f>HLOOKUP(N7,Hoja2!$R$2:$AV$11,10,FALSE)</f>
        <v>#N/A</v>
      </c>
      <c r="R7" s="11"/>
      <c r="S7" s="12">
        <v>110206</v>
      </c>
      <c r="T7" s="12" t="s">
        <v>45</v>
      </c>
      <c r="U7" s="12" t="str">
        <f t="shared" ref="U7" si="8">U6</f>
        <v>CPA Traspaso de fondos Bco. Estado a BCI 656 03-04-2024</v>
      </c>
      <c r="V7" s="13"/>
      <c r="W7" s="18" t="e">
        <f t="shared" ref="W7" si="9">V6</f>
        <v>#N/A</v>
      </c>
      <c r="AA7" s="1">
        <v>45388</v>
      </c>
      <c r="AB7" s="3"/>
      <c r="AC7" s="26" t="e">
        <f>HLOOKUP(AA7,Hoja2!$R$2:$AV$43,42,FALSE)</f>
        <v>#N/A</v>
      </c>
      <c r="AE7" s="11"/>
      <c r="AF7" s="12">
        <v>110206</v>
      </c>
      <c r="AG7" s="12" t="s">
        <v>45</v>
      </c>
      <c r="AH7" s="12" t="str">
        <f t="shared" ref="AH7" si="10">AH6</f>
        <v>CPA Traspaso de fondos Bco. Estado a BICE 03-04-2024</v>
      </c>
      <c r="AI7" s="13"/>
      <c r="AJ7" s="18" t="e">
        <f t="shared" ref="AJ7" si="11">AI6</f>
        <v>#N/A</v>
      </c>
    </row>
    <row r="8" spans="1:36" x14ac:dyDescent="0.25">
      <c r="A8" s="1">
        <v>45419</v>
      </c>
      <c r="B8" s="3"/>
      <c r="C8" s="26" t="e">
        <f>HLOOKUP(A8,Hoja2!$R$2:$AV$10,9,FALSE)</f>
        <v>#N/A</v>
      </c>
      <c r="E8" s="15">
        <v>45416</v>
      </c>
      <c r="F8" s="8">
        <v>110206</v>
      </c>
      <c r="G8" s="8" t="s">
        <v>45</v>
      </c>
      <c r="H8" t="str">
        <f>"CPA Recaudación Clientes Banco Estado "&amp;TEXT(E8,"dd-mm-aaa")</f>
        <v>CPA Recaudación Clientes Banco Estado 04-05-2024</v>
      </c>
      <c r="I8" s="16" t="e">
        <f>+C5</f>
        <v>#N/A</v>
      </c>
      <c r="J8" s="17"/>
      <c r="N8" s="1">
        <v>45389</v>
      </c>
      <c r="O8" s="3"/>
      <c r="P8" s="26" t="e">
        <f>HLOOKUP(N8,Hoja2!$R$2:$AV$11,10,FALSE)</f>
        <v>#N/A</v>
      </c>
      <c r="R8" s="15">
        <v>45386</v>
      </c>
      <c r="S8" s="8">
        <v>110209</v>
      </c>
      <c r="T8" s="8" t="s">
        <v>55</v>
      </c>
      <c r="U8" t="str">
        <f>"CPA Traspaso de fondos Bco. Estado a BCI 656 "&amp;TEXT(R8,"dd-mm-yyy")</f>
        <v>CPA Traspaso de fondos Bco. Estado a BCI 656 04-04-2024</v>
      </c>
      <c r="V8" s="16" t="e">
        <f>+P5</f>
        <v>#N/A</v>
      </c>
      <c r="W8" s="17"/>
      <c r="AA8" s="1">
        <v>45389</v>
      </c>
      <c r="AB8" s="3"/>
      <c r="AC8" s="26" t="e">
        <f>HLOOKUP(AA8,Hoja2!$R$2:$AV$43,42,FALSE)</f>
        <v>#N/A</v>
      </c>
      <c r="AE8" s="15">
        <v>45386</v>
      </c>
      <c r="AF8" s="8">
        <v>110204</v>
      </c>
      <c r="AG8" s="8" t="s">
        <v>117</v>
      </c>
      <c r="AH8" t="str">
        <f>"CPA Traspaso de fondos Bco. Estado a BICE "&amp;TEXT(AE8,"dd-mm-yyy")</f>
        <v>CPA Traspaso de fondos Bco. Estado a BICE 04-04-2024</v>
      </c>
      <c r="AI8" s="16" t="e">
        <f>+AC5</f>
        <v>#N/A</v>
      </c>
      <c r="AJ8" s="17"/>
    </row>
    <row r="9" spans="1:36" x14ac:dyDescent="0.25">
      <c r="A9" s="1">
        <v>45420</v>
      </c>
      <c r="B9" s="3"/>
      <c r="C9" s="26" t="e">
        <f>HLOOKUP(A9,Hoja2!$R$2:$AV$10,9,FALSE)</f>
        <v>#N/A</v>
      </c>
      <c r="E9" s="20"/>
      <c r="F9">
        <v>211101</v>
      </c>
      <c r="G9" t="s">
        <v>18</v>
      </c>
      <c r="H9" s="12" t="str">
        <f t="shared" ref="H9" si="12">H8</f>
        <v>CPA Recaudación Clientes Banco Estado 04-05-2024</v>
      </c>
      <c r="J9" s="10" t="e">
        <f t="shared" ref="J9" si="13">I8</f>
        <v>#N/A</v>
      </c>
      <c r="N9" s="1">
        <v>45390</v>
      </c>
      <c r="O9" s="3"/>
      <c r="P9" s="26" t="e">
        <f>HLOOKUP(N9,Hoja2!$R$2:$AV$11,10,FALSE)</f>
        <v>#N/A</v>
      </c>
      <c r="R9" s="20"/>
      <c r="S9">
        <v>110206</v>
      </c>
      <c r="T9" t="s">
        <v>45</v>
      </c>
      <c r="U9" s="12" t="str">
        <f t="shared" ref="U9" si="14">U8</f>
        <v>CPA Traspaso de fondos Bco. Estado a BCI 656 04-04-2024</v>
      </c>
      <c r="W9" s="10" t="e">
        <f t="shared" ref="W9" si="15">V8</f>
        <v>#N/A</v>
      </c>
      <c r="AA9" s="1">
        <v>45390</v>
      </c>
      <c r="AB9" s="3"/>
      <c r="AC9" s="26" t="e">
        <f>HLOOKUP(AA9,Hoja2!$R$2:$AV$43,42,FALSE)</f>
        <v>#N/A</v>
      </c>
      <c r="AE9" s="20"/>
      <c r="AF9">
        <v>110206</v>
      </c>
      <c r="AG9" t="s">
        <v>45</v>
      </c>
      <c r="AH9" s="12" t="str">
        <f t="shared" ref="AH9" si="16">AH8</f>
        <v>CPA Traspaso de fondos Bco. Estado a BICE 04-04-2024</v>
      </c>
      <c r="AJ9" s="10" t="e">
        <f t="shared" ref="AJ9" si="17">AI8</f>
        <v>#N/A</v>
      </c>
    </row>
    <row r="10" spans="1:36" x14ac:dyDescent="0.25">
      <c r="A10" s="1">
        <v>45421</v>
      </c>
      <c r="B10" s="3"/>
      <c r="C10" s="26" t="e">
        <f>HLOOKUP(A10,Hoja2!$R$2:$AV$10,9,FALSE)</f>
        <v>#N/A</v>
      </c>
      <c r="E10" s="15">
        <v>45417</v>
      </c>
      <c r="F10" s="8">
        <v>110206</v>
      </c>
      <c r="G10" s="8" t="s">
        <v>45</v>
      </c>
      <c r="H10" t="str">
        <f>"CPA Recaudación Clientes Banco Estado "&amp;TEXT(E10,"dd-mm-aaa")</f>
        <v>CPA Recaudación Clientes Banco Estado 05-05-2024</v>
      </c>
      <c r="I10" s="16" t="e">
        <f>+C6</f>
        <v>#N/A</v>
      </c>
      <c r="J10" s="17"/>
      <c r="N10" s="1">
        <v>45391</v>
      </c>
      <c r="O10" s="3"/>
      <c r="P10" s="26" t="e">
        <f>HLOOKUP(N10,Hoja2!$R$2:$AV$11,10,FALSE)</f>
        <v>#N/A</v>
      </c>
      <c r="R10" s="15">
        <v>45387</v>
      </c>
      <c r="S10" s="8">
        <v>110209</v>
      </c>
      <c r="T10" s="8" t="s">
        <v>55</v>
      </c>
      <c r="U10" t="str">
        <f>"CPA Traspaso de fondos Bco. Estado a BCI 656 "&amp;TEXT(R10,"dd-mm-yyy")</f>
        <v>CPA Traspaso de fondos Bco. Estado a BCI 656 05-04-2024</v>
      </c>
      <c r="V10" s="16" t="e">
        <f>+P6</f>
        <v>#N/A</v>
      </c>
      <c r="W10" s="17"/>
      <c r="AA10" s="1">
        <v>45391</v>
      </c>
      <c r="AB10" s="3"/>
      <c r="AC10" s="26" t="e">
        <f>HLOOKUP(AA10,Hoja2!$R$2:$AV$43,42,FALSE)</f>
        <v>#N/A</v>
      </c>
      <c r="AE10" s="15">
        <v>45387</v>
      </c>
      <c r="AF10" s="8">
        <v>110204</v>
      </c>
      <c r="AG10" s="8" t="s">
        <v>117</v>
      </c>
      <c r="AH10" t="str">
        <f>"CPA Traspaso de fondos Bco. Estado a BICE "&amp;TEXT(AE10,"dd-mm-yyy")</f>
        <v>CPA Traspaso de fondos Bco. Estado a BICE 05-04-2024</v>
      </c>
      <c r="AI10" s="16" t="e">
        <f>+AC6</f>
        <v>#N/A</v>
      </c>
      <c r="AJ10" s="17"/>
    </row>
    <row r="11" spans="1:36" x14ac:dyDescent="0.25">
      <c r="A11" s="1">
        <v>45422</v>
      </c>
      <c r="B11" s="3"/>
      <c r="C11" s="26" t="e">
        <f>HLOOKUP(A11,Hoja2!$R$2:$AV$10,9,FALSE)</f>
        <v>#N/A</v>
      </c>
      <c r="E11" s="20"/>
      <c r="F11">
        <v>211101</v>
      </c>
      <c r="G11" t="s">
        <v>18</v>
      </c>
      <c r="H11" s="12" t="str">
        <f t="shared" ref="H11" si="18">H10</f>
        <v>CPA Recaudación Clientes Banco Estado 05-05-2024</v>
      </c>
      <c r="J11" s="10" t="e">
        <f t="shared" ref="J11" si="19">I10</f>
        <v>#N/A</v>
      </c>
      <c r="N11" s="1">
        <v>45392</v>
      </c>
      <c r="O11" s="3"/>
      <c r="P11" s="26" t="e">
        <f>HLOOKUP(N11,Hoja2!$R$2:$AV$11,10,FALSE)</f>
        <v>#N/A</v>
      </c>
      <c r="R11" s="20"/>
      <c r="S11">
        <v>110206</v>
      </c>
      <c r="T11" t="s">
        <v>45</v>
      </c>
      <c r="U11" s="12" t="str">
        <f t="shared" ref="U11" si="20">U10</f>
        <v>CPA Traspaso de fondos Bco. Estado a BCI 656 05-04-2024</v>
      </c>
      <c r="W11" s="10" t="e">
        <f t="shared" ref="W11" si="21">V10</f>
        <v>#N/A</v>
      </c>
      <c r="AA11" s="1">
        <v>45392</v>
      </c>
      <c r="AB11" s="3"/>
      <c r="AC11" s="26" t="e">
        <f>HLOOKUP(AA11,Hoja2!$R$2:$AV$43,42,FALSE)</f>
        <v>#N/A</v>
      </c>
      <c r="AE11" s="20"/>
      <c r="AF11">
        <v>110206</v>
      </c>
      <c r="AG11" t="s">
        <v>45</v>
      </c>
      <c r="AH11" s="12" t="str">
        <f t="shared" ref="AH11" si="22">AH10</f>
        <v>CPA Traspaso de fondos Bco. Estado a BICE 05-04-2024</v>
      </c>
      <c r="AJ11" s="10" t="e">
        <f t="shared" ref="AJ11" si="23">AI10</f>
        <v>#N/A</v>
      </c>
    </row>
    <row r="12" spans="1:36" x14ac:dyDescent="0.25">
      <c r="A12" s="1">
        <v>45423</v>
      </c>
      <c r="B12" s="3"/>
      <c r="C12" s="26" t="e">
        <f>HLOOKUP(A12,Hoja2!$R$2:$AV$10,9,FALSE)</f>
        <v>#N/A</v>
      </c>
      <c r="D12" s="19"/>
      <c r="E12" s="15">
        <v>45418</v>
      </c>
      <c r="F12" s="8">
        <v>110206</v>
      </c>
      <c r="G12" s="8" t="s">
        <v>45</v>
      </c>
      <c r="H12" t="str">
        <f>"CPA Recaudación Clientes Banco Estado "&amp;TEXT(E12,"dd-mm-aaa")</f>
        <v>CPA Recaudación Clientes Banco Estado 06-05-2024</v>
      </c>
      <c r="I12" s="16" t="e">
        <f>+C7</f>
        <v>#N/A</v>
      </c>
      <c r="J12" s="17"/>
      <c r="N12" s="1">
        <v>45393</v>
      </c>
      <c r="O12" s="3"/>
      <c r="P12" s="26" t="e">
        <f>HLOOKUP(N12,Hoja2!$R$2:$AV$11,10,FALSE)</f>
        <v>#N/A</v>
      </c>
      <c r="Q12" s="19"/>
      <c r="R12" s="15">
        <v>45388</v>
      </c>
      <c r="S12" s="8">
        <v>110209</v>
      </c>
      <c r="T12" s="8" t="s">
        <v>55</v>
      </c>
      <c r="U12" t="str">
        <f>"CPA Traspaso de fondos Bco. Estado a BCI 656 "&amp;TEXT(R12,"dd-mm-yyy")</f>
        <v>CPA Traspaso de fondos Bco. Estado a BCI 656 06-04-2024</v>
      </c>
      <c r="V12" s="16" t="e">
        <f>+P7</f>
        <v>#N/A</v>
      </c>
      <c r="W12" s="17"/>
      <c r="AA12" s="1">
        <v>45393</v>
      </c>
      <c r="AB12" s="3"/>
      <c r="AC12" s="26" t="e">
        <f>HLOOKUP(AA12,Hoja2!$R$2:$AV$43,42,FALSE)</f>
        <v>#N/A</v>
      </c>
      <c r="AD12" s="19"/>
      <c r="AE12" s="15">
        <v>45388</v>
      </c>
      <c r="AF12" s="8">
        <v>110204</v>
      </c>
      <c r="AG12" s="8" t="s">
        <v>117</v>
      </c>
      <c r="AH12" t="str">
        <f>"CPA Traspaso de fondos Bco. Estado a BICE "&amp;TEXT(AE12,"dd-mm-yyy")</f>
        <v>CPA Traspaso de fondos Bco. Estado a BICE 06-04-2024</v>
      </c>
      <c r="AI12" s="16" t="e">
        <f>+AC7</f>
        <v>#N/A</v>
      </c>
      <c r="AJ12" s="17"/>
    </row>
    <row r="13" spans="1:36" x14ac:dyDescent="0.25">
      <c r="A13" s="1">
        <v>45424</v>
      </c>
      <c r="B13" s="3"/>
      <c r="C13" s="26" t="e">
        <f>HLOOKUP(A13,Hoja2!$R$2:$AV$10,9,FALSE)</f>
        <v>#N/A</v>
      </c>
      <c r="D13" s="39"/>
      <c r="E13" s="20"/>
      <c r="F13">
        <v>211101</v>
      </c>
      <c r="G13" t="s">
        <v>18</v>
      </c>
      <c r="H13" s="12" t="str">
        <f t="shared" ref="H13" si="24">H12</f>
        <v>CPA Recaudación Clientes Banco Estado 06-05-2024</v>
      </c>
      <c r="I13" s="3"/>
      <c r="J13" s="10" t="e">
        <f t="shared" ref="J13" si="25">I12</f>
        <v>#N/A</v>
      </c>
      <c r="N13" s="1">
        <v>45394</v>
      </c>
      <c r="O13" s="3"/>
      <c r="P13" s="26" t="e">
        <f>HLOOKUP(N13,Hoja2!$R$2:$AV$11,10,FALSE)</f>
        <v>#N/A</v>
      </c>
      <c r="Q13" s="39"/>
      <c r="R13" s="20"/>
      <c r="S13">
        <v>110206</v>
      </c>
      <c r="T13" t="s">
        <v>45</v>
      </c>
      <c r="U13" s="12" t="str">
        <f t="shared" ref="U13" si="26">U12</f>
        <v>CPA Traspaso de fondos Bco. Estado a BCI 656 06-04-2024</v>
      </c>
      <c r="V13" s="3"/>
      <c r="W13" s="10" t="e">
        <f t="shared" ref="W13" si="27">V12</f>
        <v>#N/A</v>
      </c>
      <c r="AA13" s="1">
        <v>45394</v>
      </c>
      <c r="AB13" s="3"/>
      <c r="AC13" s="26" t="e">
        <f>HLOOKUP(AA13,Hoja2!$R$2:$AV$43,42,FALSE)</f>
        <v>#N/A</v>
      </c>
      <c r="AD13" s="39"/>
      <c r="AE13" s="20"/>
      <c r="AF13">
        <v>110206</v>
      </c>
      <c r="AG13" t="s">
        <v>45</v>
      </c>
      <c r="AH13" s="12" t="str">
        <f t="shared" ref="AH13" si="28">AH12</f>
        <v>CPA Traspaso de fondos Bco. Estado a BICE 06-04-2024</v>
      </c>
      <c r="AI13" s="3"/>
      <c r="AJ13" s="10" t="e">
        <f t="shared" ref="AJ13" si="29">AI12</f>
        <v>#N/A</v>
      </c>
    </row>
    <row r="14" spans="1:36" x14ac:dyDescent="0.25">
      <c r="A14" s="1">
        <v>45425</v>
      </c>
      <c r="B14" s="3"/>
      <c r="C14" s="26" t="e">
        <f>HLOOKUP(A14,Hoja2!$R$2:$AV$10,9,FALSE)</f>
        <v>#N/A</v>
      </c>
      <c r="D14" s="21"/>
      <c r="E14" s="15">
        <v>45419</v>
      </c>
      <c r="F14" s="8">
        <v>110206</v>
      </c>
      <c r="G14" s="8" t="s">
        <v>45</v>
      </c>
      <c r="H14" t="str">
        <f>"CPA Recaudación Clientes Banco Estado "&amp;TEXT(E14,"dd-mm-aaa")</f>
        <v>CPA Recaudación Clientes Banco Estado 07-05-2024</v>
      </c>
      <c r="I14" s="16" t="e">
        <f>+C8</f>
        <v>#N/A</v>
      </c>
      <c r="J14" s="17"/>
      <c r="N14" s="1">
        <v>45395</v>
      </c>
      <c r="O14" s="3"/>
      <c r="P14" s="26" t="e">
        <f>HLOOKUP(N14,Hoja2!$R$2:$AV$11,10,FALSE)</f>
        <v>#N/A</v>
      </c>
      <c r="Q14" s="21"/>
      <c r="R14" s="15">
        <v>45389</v>
      </c>
      <c r="S14" s="8">
        <v>110209</v>
      </c>
      <c r="T14" s="8" t="s">
        <v>55</v>
      </c>
      <c r="U14" t="str">
        <f>"CPA Traspaso de fondos Bco. Estado a BCI 656 "&amp;TEXT(R14,"dd-mm-yyy")</f>
        <v>CPA Traspaso de fondos Bco. Estado a BCI 656 07-04-2024</v>
      </c>
      <c r="V14" s="16" t="e">
        <f>+P8</f>
        <v>#N/A</v>
      </c>
      <c r="W14" s="17"/>
      <c r="AA14" s="1">
        <v>45395</v>
      </c>
      <c r="AB14" s="3"/>
      <c r="AC14" s="26" t="e">
        <f>HLOOKUP(AA14,Hoja2!$R$2:$AV$43,42,FALSE)</f>
        <v>#N/A</v>
      </c>
      <c r="AD14" s="21"/>
      <c r="AE14" s="15">
        <v>45389</v>
      </c>
      <c r="AF14" s="8">
        <v>110204</v>
      </c>
      <c r="AG14" s="8" t="s">
        <v>117</v>
      </c>
      <c r="AH14" t="str">
        <f>"CPA Traspaso de fondos Bco. Estado a BICE "&amp;TEXT(AE14,"dd-mm-yyy")</f>
        <v>CPA Traspaso de fondos Bco. Estado a BICE 07-04-2024</v>
      </c>
      <c r="AI14" s="16" t="e">
        <f>+AC8</f>
        <v>#N/A</v>
      </c>
      <c r="AJ14" s="17"/>
    </row>
    <row r="15" spans="1:36" x14ac:dyDescent="0.25">
      <c r="A15" s="1">
        <v>45426</v>
      </c>
      <c r="B15" s="3"/>
      <c r="C15" s="26" t="e">
        <f>HLOOKUP(A15,Hoja2!$R$2:$AV$10,9,FALSE)</f>
        <v>#N/A</v>
      </c>
      <c r="D15" s="40"/>
      <c r="E15" s="20"/>
      <c r="F15">
        <v>211101</v>
      </c>
      <c r="G15" t="s">
        <v>18</v>
      </c>
      <c r="H15" s="12" t="str">
        <f t="shared" ref="H15" si="30">H14</f>
        <v>CPA Recaudación Clientes Banco Estado 07-05-2024</v>
      </c>
      <c r="I15" s="3"/>
      <c r="J15" s="10" t="e">
        <f t="shared" ref="J15" si="31">I14</f>
        <v>#N/A</v>
      </c>
      <c r="N15" s="1">
        <v>45396</v>
      </c>
      <c r="O15" s="3"/>
      <c r="P15" s="26" t="e">
        <f>HLOOKUP(N15,Hoja2!$R$2:$AV$11,10,FALSE)</f>
        <v>#N/A</v>
      </c>
      <c r="Q15" s="40"/>
      <c r="R15" s="20"/>
      <c r="S15">
        <v>110206</v>
      </c>
      <c r="T15" t="s">
        <v>45</v>
      </c>
      <c r="U15" s="12" t="str">
        <f t="shared" ref="U15" si="32">U14</f>
        <v>CPA Traspaso de fondos Bco. Estado a BCI 656 07-04-2024</v>
      </c>
      <c r="V15" s="3"/>
      <c r="W15" s="10" t="e">
        <f t="shared" ref="W15" si="33">V14</f>
        <v>#N/A</v>
      </c>
      <c r="AA15" s="1">
        <v>45396</v>
      </c>
      <c r="AB15" s="3"/>
      <c r="AC15" s="26" t="e">
        <f>HLOOKUP(AA15,Hoja2!$R$2:$AV$43,42,FALSE)</f>
        <v>#N/A</v>
      </c>
      <c r="AD15" s="40"/>
      <c r="AE15" s="20"/>
      <c r="AF15">
        <v>110206</v>
      </c>
      <c r="AG15" t="s">
        <v>45</v>
      </c>
      <c r="AH15" s="12" t="str">
        <f t="shared" ref="AH15" si="34">AH14</f>
        <v>CPA Traspaso de fondos Bco. Estado a BICE 07-04-2024</v>
      </c>
      <c r="AI15" s="3"/>
      <c r="AJ15" s="10" t="e">
        <f t="shared" ref="AJ15" si="35">AI14</f>
        <v>#N/A</v>
      </c>
    </row>
    <row r="16" spans="1:36" x14ac:dyDescent="0.25">
      <c r="A16" s="1">
        <v>45427</v>
      </c>
      <c r="B16" s="3"/>
      <c r="C16" s="26" t="e">
        <f>HLOOKUP(A16,Hoja2!$R$2:$AV$10,9,FALSE)</f>
        <v>#N/A</v>
      </c>
      <c r="D16" s="21"/>
      <c r="E16" s="15">
        <v>45420</v>
      </c>
      <c r="F16" s="8">
        <v>110206</v>
      </c>
      <c r="G16" s="8" t="s">
        <v>45</v>
      </c>
      <c r="H16" t="str">
        <f>"CPA Recaudación Clientes Banco Estado "&amp;TEXT(E16,"dd-mm-aaa")</f>
        <v>CPA Recaudación Clientes Banco Estado 08-05-2024</v>
      </c>
      <c r="I16" s="16" t="e">
        <f>+C9</f>
        <v>#N/A</v>
      </c>
      <c r="J16" s="17"/>
      <c r="N16" s="1">
        <v>45397</v>
      </c>
      <c r="O16" s="3"/>
      <c r="P16" s="26" t="e">
        <f>HLOOKUP(N16,Hoja2!$R$2:$AV$11,10,FALSE)</f>
        <v>#N/A</v>
      </c>
      <c r="Q16" s="21"/>
      <c r="R16" s="15">
        <v>45390</v>
      </c>
      <c r="S16" s="8">
        <v>110209</v>
      </c>
      <c r="T16" s="8" t="s">
        <v>55</v>
      </c>
      <c r="U16" t="str">
        <f>"CPA Traspaso de fondos Bco. Estado a BCI 656 "&amp;TEXT(R16,"dd-mm-yyy")</f>
        <v>CPA Traspaso de fondos Bco. Estado a BCI 656 08-04-2024</v>
      </c>
      <c r="V16" s="16" t="e">
        <f>+P9</f>
        <v>#N/A</v>
      </c>
      <c r="W16" s="17"/>
      <c r="AA16" s="1">
        <v>45397</v>
      </c>
      <c r="AB16" s="3"/>
      <c r="AC16" s="26" t="e">
        <f>HLOOKUP(AA16,Hoja2!$R$2:$AV$43,42,FALSE)</f>
        <v>#N/A</v>
      </c>
      <c r="AD16" s="21"/>
      <c r="AE16" s="15">
        <v>45390</v>
      </c>
      <c r="AF16" s="8">
        <v>110204</v>
      </c>
      <c r="AG16" s="8" t="s">
        <v>117</v>
      </c>
      <c r="AH16" t="str">
        <f>"CPA Traspaso de fondos Bco. Estado a BICE "&amp;TEXT(AE16,"dd-mm-yyy")</f>
        <v>CPA Traspaso de fondos Bco. Estado a BICE 08-04-2024</v>
      </c>
      <c r="AI16" s="16" t="e">
        <f>+AC9</f>
        <v>#N/A</v>
      </c>
      <c r="AJ16" s="17"/>
    </row>
    <row r="17" spans="1:36" x14ac:dyDescent="0.25">
      <c r="A17" s="1">
        <v>45428</v>
      </c>
      <c r="B17" s="3"/>
      <c r="C17" s="26" t="e">
        <f>HLOOKUP(A17,Hoja2!$R$2:$AV$10,9,FALSE)</f>
        <v>#N/A</v>
      </c>
      <c r="D17" s="21"/>
      <c r="E17" s="11"/>
      <c r="F17" s="12">
        <v>211101</v>
      </c>
      <c r="G17" s="12" t="s">
        <v>18</v>
      </c>
      <c r="H17" s="12" t="str">
        <f t="shared" ref="H17" si="36">H16</f>
        <v>CPA Recaudación Clientes Banco Estado 08-05-2024</v>
      </c>
      <c r="I17" s="13"/>
      <c r="J17" s="18" t="e">
        <f t="shared" ref="J17" si="37">I16</f>
        <v>#N/A</v>
      </c>
      <c r="N17" s="1">
        <v>45398</v>
      </c>
      <c r="O17" s="3"/>
      <c r="P17" s="26" t="e">
        <f>HLOOKUP(N17,Hoja2!$R$2:$AV$11,10,FALSE)</f>
        <v>#N/A</v>
      </c>
      <c r="Q17" s="21"/>
      <c r="R17" s="11"/>
      <c r="S17" s="12">
        <v>110206</v>
      </c>
      <c r="T17" s="12" t="s">
        <v>45</v>
      </c>
      <c r="U17" s="12" t="str">
        <f t="shared" ref="U17" si="38">U16</f>
        <v>CPA Traspaso de fondos Bco. Estado a BCI 656 08-04-2024</v>
      </c>
      <c r="V17" s="13"/>
      <c r="W17" s="18" t="e">
        <f t="shared" ref="W17" si="39">V16</f>
        <v>#N/A</v>
      </c>
      <c r="AA17" s="1">
        <v>45398</v>
      </c>
      <c r="AB17" s="3"/>
      <c r="AC17" s="26" t="e">
        <f>HLOOKUP(AA17,Hoja2!$R$2:$AV$43,42,FALSE)</f>
        <v>#N/A</v>
      </c>
      <c r="AD17" s="21"/>
      <c r="AE17" s="11"/>
      <c r="AF17" s="12">
        <v>110206</v>
      </c>
      <c r="AG17" s="12" t="s">
        <v>45</v>
      </c>
      <c r="AH17" s="12" t="str">
        <f t="shared" ref="AH17" si="40">AH16</f>
        <v>CPA Traspaso de fondos Bco. Estado a BICE 08-04-2024</v>
      </c>
      <c r="AI17" s="13"/>
      <c r="AJ17" s="18" t="e">
        <f t="shared" ref="AJ17" si="41">AI16</f>
        <v>#N/A</v>
      </c>
    </row>
    <row r="18" spans="1:36" x14ac:dyDescent="0.25">
      <c r="A18" s="1">
        <v>45429</v>
      </c>
      <c r="B18" s="3"/>
      <c r="C18" s="26" t="e">
        <f>HLOOKUP(A18,Hoja2!$R$2:$AV$10,9,FALSE)</f>
        <v>#N/A</v>
      </c>
      <c r="D18" s="21"/>
      <c r="E18" s="15">
        <v>45421</v>
      </c>
      <c r="F18" s="8">
        <v>110206</v>
      </c>
      <c r="G18" s="8" t="s">
        <v>45</v>
      </c>
      <c r="H18" t="str">
        <f>"CPA Recaudación Clientes Banco Estado "&amp;TEXT(E18,"dd-mm-aaa")</f>
        <v>CPA Recaudación Clientes Banco Estado 09-05-2024</v>
      </c>
      <c r="I18" s="16" t="e">
        <f>+C10</f>
        <v>#N/A</v>
      </c>
      <c r="J18" s="17"/>
      <c r="N18" s="1">
        <v>45399</v>
      </c>
      <c r="O18" s="3"/>
      <c r="P18" s="26" t="e">
        <f>HLOOKUP(N18,Hoja2!$R$2:$AV$11,10,FALSE)</f>
        <v>#N/A</v>
      </c>
      <c r="Q18" s="21"/>
      <c r="R18" s="15">
        <v>45391</v>
      </c>
      <c r="S18" s="8">
        <v>110209</v>
      </c>
      <c r="T18" s="8" t="s">
        <v>55</v>
      </c>
      <c r="U18" t="str">
        <f>"CPA Traspaso de fondos Bco. Estado a BCI 656 "&amp;TEXT(R18,"dd-mm-yyy")</f>
        <v>CPA Traspaso de fondos Bco. Estado a BCI 656 09-04-2024</v>
      </c>
      <c r="V18" s="16" t="e">
        <f>+P10</f>
        <v>#N/A</v>
      </c>
      <c r="W18" s="17"/>
      <c r="AA18" s="1">
        <v>45399</v>
      </c>
      <c r="AB18" s="3"/>
      <c r="AC18" s="26" t="e">
        <f>HLOOKUP(AA18,Hoja2!$R$2:$AV$43,42,FALSE)</f>
        <v>#N/A</v>
      </c>
      <c r="AD18" s="21"/>
      <c r="AE18" s="15">
        <v>45391</v>
      </c>
      <c r="AF18" s="8">
        <v>110204</v>
      </c>
      <c r="AG18" s="8" t="s">
        <v>117</v>
      </c>
      <c r="AH18" t="str">
        <f>"CPA Traspaso de fondos Bco. Estado a BICE "&amp;TEXT(AE18,"dd-mm-yyy")</f>
        <v>CPA Traspaso de fondos Bco. Estado a BICE 09-04-2024</v>
      </c>
      <c r="AI18" s="16" t="e">
        <f>+AC10</f>
        <v>#N/A</v>
      </c>
      <c r="AJ18" s="17"/>
    </row>
    <row r="19" spans="1:36" x14ac:dyDescent="0.25">
      <c r="A19" s="1">
        <v>45430</v>
      </c>
      <c r="B19" s="3"/>
      <c r="C19" s="26" t="e">
        <f>HLOOKUP(A19,Hoja2!$R$2:$AV$10,9,FALSE)</f>
        <v>#N/A</v>
      </c>
      <c r="D19" s="21"/>
      <c r="E19" s="11"/>
      <c r="F19" s="12">
        <v>211101</v>
      </c>
      <c r="G19" s="12" t="s">
        <v>18</v>
      </c>
      <c r="H19" s="12" t="str">
        <f t="shared" ref="H19" si="42">H18</f>
        <v>CPA Recaudación Clientes Banco Estado 09-05-2024</v>
      </c>
      <c r="I19" s="13"/>
      <c r="J19" s="18" t="e">
        <f t="shared" ref="J19" si="43">I18</f>
        <v>#N/A</v>
      </c>
      <c r="N19" s="1">
        <v>45400</v>
      </c>
      <c r="O19" s="3"/>
      <c r="P19" s="26" t="e">
        <f>HLOOKUP(N19,Hoja2!$R$2:$AV$11,10,FALSE)</f>
        <v>#N/A</v>
      </c>
      <c r="Q19" s="21"/>
      <c r="R19" s="11"/>
      <c r="S19" s="12">
        <v>110206</v>
      </c>
      <c r="T19" s="12" t="s">
        <v>45</v>
      </c>
      <c r="U19" s="12" t="str">
        <f t="shared" ref="U19" si="44">U18</f>
        <v>CPA Traspaso de fondos Bco. Estado a BCI 656 09-04-2024</v>
      </c>
      <c r="V19" s="13"/>
      <c r="W19" s="18" t="e">
        <f t="shared" ref="W19" si="45">V18</f>
        <v>#N/A</v>
      </c>
      <c r="AA19" s="1">
        <v>45400</v>
      </c>
      <c r="AB19" s="3"/>
      <c r="AC19" s="26" t="e">
        <f>HLOOKUP(AA19,Hoja2!$R$2:$AV$43,42,FALSE)</f>
        <v>#N/A</v>
      </c>
      <c r="AD19" s="21"/>
      <c r="AE19" s="11"/>
      <c r="AF19" s="12">
        <v>110206</v>
      </c>
      <c r="AG19" s="12" t="s">
        <v>45</v>
      </c>
      <c r="AH19" s="12" t="str">
        <f t="shared" ref="AH19" si="46">AH18</f>
        <v>CPA Traspaso de fondos Bco. Estado a BICE 09-04-2024</v>
      </c>
      <c r="AI19" s="13"/>
      <c r="AJ19" s="18" t="e">
        <f t="shared" ref="AJ19" si="47">AI18</f>
        <v>#N/A</v>
      </c>
    </row>
    <row r="20" spans="1:36" x14ac:dyDescent="0.25">
      <c r="A20" s="1">
        <v>45431</v>
      </c>
      <c r="B20" s="3"/>
      <c r="C20" s="26" t="e">
        <f>HLOOKUP(A20,Hoja2!$R$2:$AV$10,9,FALSE)</f>
        <v>#N/A</v>
      </c>
      <c r="D20" s="21"/>
      <c r="E20" s="15">
        <v>45422</v>
      </c>
      <c r="F20" s="8">
        <v>110206</v>
      </c>
      <c r="G20" s="8" t="s">
        <v>45</v>
      </c>
      <c r="H20" t="str">
        <f>"CPA Recaudación Clientes Banco Estado "&amp;TEXT(E20,"dd-mm-aaa")</f>
        <v>CPA Recaudación Clientes Banco Estado 10-05-2024</v>
      </c>
      <c r="I20" s="16" t="e">
        <f>+C11</f>
        <v>#N/A</v>
      </c>
      <c r="J20" s="17"/>
      <c r="N20" s="1">
        <v>45401</v>
      </c>
      <c r="O20" s="3"/>
      <c r="P20" s="26" t="e">
        <f>HLOOKUP(N20,Hoja2!$R$2:$AV$11,10,FALSE)</f>
        <v>#N/A</v>
      </c>
      <c r="Q20" s="21"/>
      <c r="R20" s="15">
        <v>45392</v>
      </c>
      <c r="S20" s="8">
        <v>110209</v>
      </c>
      <c r="T20" s="8" t="s">
        <v>55</v>
      </c>
      <c r="U20" t="str">
        <f>"CPA Traspaso de fondos Bco. Estado a BCI 656 "&amp;TEXT(R20,"dd-mm-yyy")</f>
        <v>CPA Traspaso de fondos Bco. Estado a BCI 656 10-04-2024</v>
      </c>
      <c r="V20" s="16" t="e">
        <f>+P11</f>
        <v>#N/A</v>
      </c>
      <c r="W20" s="17"/>
      <c r="AA20" s="1">
        <v>45401</v>
      </c>
      <c r="AB20" s="3"/>
      <c r="AC20" s="26" t="e">
        <f>HLOOKUP(AA20,Hoja2!$R$2:$AV$43,42,FALSE)</f>
        <v>#N/A</v>
      </c>
      <c r="AD20" s="21"/>
      <c r="AE20" s="15">
        <v>45392</v>
      </c>
      <c r="AF20" s="8">
        <v>110204</v>
      </c>
      <c r="AG20" s="8" t="s">
        <v>117</v>
      </c>
      <c r="AH20" t="str">
        <f>"CPA Traspaso de fondos Bco. Estado a BICE "&amp;TEXT(AE20,"dd-mm-yyy")</f>
        <v>CPA Traspaso de fondos Bco. Estado a BICE 10-04-2024</v>
      </c>
      <c r="AI20" s="16" t="e">
        <f>+AC11</f>
        <v>#N/A</v>
      </c>
      <c r="AJ20" s="17"/>
    </row>
    <row r="21" spans="1:36" x14ac:dyDescent="0.25">
      <c r="A21" s="1">
        <v>45432</v>
      </c>
      <c r="B21" s="3"/>
      <c r="C21" s="26" t="e">
        <f>HLOOKUP(A21,Hoja2!$R$2:$AV$10,9,FALSE)</f>
        <v>#N/A</v>
      </c>
      <c r="D21" s="21"/>
      <c r="E21" s="9"/>
      <c r="F21">
        <v>211101</v>
      </c>
      <c r="G21" t="s">
        <v>18</v>
      </c>
      <c r="H21" s="12" t="str">
        <f t="shared" ref="H21" si="48">H20</f>
        <v>CPA Recaudación Clientes Banco Estado 10-05-2024</v>
      </c>
      <c r="I21" s="3"/>
      <c r="J21" s="10" t="e">
        <f t="shared" ref="J21" si="49">I20</f>
        <v>#N/A</v>
      </c>
      <c r="N21" s="1">
        <v>45402</v>
      </c>
      <c r="O21" s="3"/>
      <c r="P21" s="26" t="e">
        <f>HLOOKUP(N21,Hoja2!$R$2:$AV$11,10,FALSE)</f>
        <v>#N/A</v>
      </c>
      <c r="Q21" s="21"/>
      <c r="R21" s="9"/>
      <c r="S21">
        <v>110206</v>
      </c>
      <c r="T21" t="s">
        <v>45</v>
      </c>
      <c r="U21" s="12" t="str">
        <f t="shared" ref="U21" si="50">U20</f>
        <v>CPA Traspaso de fondos Bco. Estado a BCI 656 10-04-2024</v>
      </c>
      <c r="V21" s="3"/>
      <c r="W21" s="10" t="e">
        <f t="shared" ref="W21" si="51">V20</f>
        <v>#N/A</v>
      </c>
      <c r="AA21" s="1">
        <v>45402</v>
      </c>
      <c r="AB21" s="3"/>
      <c r="AC21" s="26" t="e">
        <f>HLOOKUP(AA21,Hoja2!$R$2:$AV$43,42,FALSE)</f>
        <v>#N/A</v>
      </c>
      <c r="AD21" s="21"/>
      <c r="AE21" s="9"/>
      <c r="AF21">
        <v>110206</v>
      </c>
      <c r="AG21" t="s">
        <v>45</v>
      </c>
      <c r="AH21" s="12" t="str">
        <f t="shared" ref="AH21" si="52">AH20</f>
        <v>CPA Traspaso de fondos Bco. Estado a BICE 10-04-2024</v>
      </c>
      <c r="AI21" s="3"/>
      <c r="AJ21" s="10" t="e">
        <f t="shared" ref="AJ21" si="53">AI20</f>
        <v>#N/A</v>
      </c>
    </row>
    <row r="22" spans="1:36" x14ac:dyDescent="0.25">
      <c r="A22" s="1">
        <v>45433</v>
      </c>
      <c r="B22" s="3"/>
      <c r="C22" s="26" t="e">
        <f>HLOOKUP(A22,Hoja2!$R$2:$AV$10,9,FALSE)</f>
        <v>#N/A</v>
      </c>
      <c r="D22" s="21"/>
      <c r="E22" s="15">
        <v>45423</v>
      </c>
      <c r="F22" s="8">
        <v>110206</v>
      </c>
      <c r="G22" s="8" t="s">
        <v>45</v>
      </c>
      <c r="H22" t="str">
        <f>"CPA Recaudación Clientes Banco Estado "&amp;TEXT(E22,"dd-mm-aaa")</f>
        <v>CPA Recaudación Clientes Banco Estado 11-05-2024</v>
      </c>
      <c r="I22" s="16" t="e">
        <f>+C12</f>
        <v>#N/A</v>
      </c>
      <c r="J22" s="17"/>
      <c r="N22" s="1">
        <v>45403</v>
      </c>
      <c r="O22" s="3"/>
      <c r="P22" s="26" t="e">
        <f>HLOOKUP(N22,Hoja2!$R$2:$AV$11,10,FALSE)</f>
        <v>#N/A</v>
      </c>
      <c r="Q22" s="21"/>
      <c r="R22" s="15">
        <v>45393</v>
      </c>
      <c r="S22" s="8">
        <v>110209</v>
      </c>
      <c r="T22" s="8" t="s">
        <v>55</v>
      </c>
      <c r="U22" t="str">
        <f>"CPA Traspaso de fondos Bco. Estado a BCI 656 "&amp;TEXT(R22,"dd-mm-yyy")</f>
        <v>CPA Traspaso de fondos Bco. Estado a BCI 656 11-04-2024</v>
      </c>
      <c r="V22" s="16" t="e">
        <f>+P12</f>
        <v>#N/A</v>
      </c>
      <c r="W22" s="17"/>
      <c r="AA22" s="1">
        <v>45403</v>
      </c>
      <c r="AB22" s="3"/>
      <c r="AC22" s="26" t="e">
        <f>HLOOKUP(AA22,Hoja2!$R$2:$AV$43,42,FALSE)</f>
        <v>#N/A</v>
      </c>
      <c r="AD22" s="21"/>
      <c r="AE22" s="15">
        <v>45393</v>
      </c>
      <c r="AF22" s="8">
        <v>110204</v>
      </c>
      <c r="AG22" s="8" t="s">
        <v>117</v>
      </c>
      <c r="AH22" t="str">
        <f>"CPA Traspaso de fondos Bco. Estado a BICE "&amp;TEXT(AE22,"dd-mm-yyy")</f>
        <v>CPA Traspaso de fondos Bco. Estado a BICE 11-04-2024</v>
      </c>
      <c r="AI22" s="16" t="e">
        <f>+AC12</f>
        <v>#N/A</v>
      </c>
      <c r="AJ22" s="17"/>
    </row>
    <row r="23" spans="1:36" x14ac:dyDescent="0.25">
      <c r="A23" s="1">
        <v>45434</v>
      </c>
      <c r="B23" s="3"/>
      <c r="C23" s="26" t="e">
        <f>HLOOKUP(A23,Hoja2!$R$2:$AV$10,9,FALSE)</f>
        <v>#N/A</v>
      </c>
      <c r="D23" s="21"/>
      <c r="E23" s="9"/>
      <c r="F23">
        <v>211101</v>
      </c>
      <c r="G23" t="s">
        <v>18</v>
      </c>
      <c r="H23" s="12" t="str">
        <f t="shared" ref="H23" si="54">H22</f>
        <v>CPA Recaudación Clientes Banco Estado 11-05-2024</v>
      </c>
      <c r="I23" s="3"/>
      <c r="J23" s="10" t="e">
        <f t="shared" ref="J23" si="55">I22</f>
        <v>#N/A</v>
      </c>
      <c r="N23" s="1">
        <v>45404</v>
      </c>
      <c r="O23" s="3"/>
      <c r="P23" s="26" t="e">
        <f>HLOOKUP(N23,Hoja2!$R$2:$AV$11,10,FALSE)</f>
        <v>#N/A</v>
      </c>
      <c r="Q23" s="21"/>
      <c r="R23" s="9"/>
      <c r="S23">
        <v>110206</v>
      </c>
      <c r="T23" t="s">
        <v>45</v>
      </c>
      <c r="U23" s="12" t="str">
        <f t="shared" ref="U23" si="56">U22</f>
        <v>CPA Traspaso de fondos Bco. Estado a BCI 656 11-04-2024</v>
      </c>
      <c r="V23" s="3"/>
      <c r="W23" s="10" t="e">
        <f t="shared" ref="W23" si="57">V22</f>
        <v>#N/A</v>
      </c>
      <c r="AA23" s="1">
        <v>45404</v>
      </c>
      <c r="AB23" s="3"/>
      <c r="AC23" s="26" t="e">
        <f>HLOOKUP(AA23,Hoja2!$R$2:$AV$43,42,FALSE)</f>
        <v>#N/A</v>
      </c>
      <c r="AD23" s="21"/>
      <c r="AE23" s="9"/>
      <c r="AF23">
        <v>110206</v>
      </c>
      <c r="AG23" t="s">
        <v>45</v>
      </c>
      <c r="AH23" s="12" t="str">
        <f t="shared" ref="AH23" si="58">AH22</f>
        <v>CPA Traspaso de fondos Bco. Estado a BICE 11-04-2024</v>
      </c>
      <c r="AI23" s="3"/>
      <c r="AJ23" s="10" t="e">
        <f t="shared" ref="AJ23" si="59">AI22</f>
        <v>#N/A</v>
      </c>
    </row>
    <row r="24" spans="1:36" x14ac:dyDescent="0.25">
      <c r="A24" s="1">
        <v>45435</v>
      </c>
      <c r="B24" s="3"/>
      <c r="C24" s="26" t="e">
        <f>HLOOKUP(A24,Hoja2!$R$2:$AV$10,9,FALSE)</f>
        <v>#N/A</v>
      </c>
      <c r="D24" s="21"/>
      <c r="E24" s="15">
        <v>45424</v>
      </c>
      <c r="F24" s="8">
        <v>110206</v>
      </c>
      <c r="G24" s="8" t="s">
        <v>45</v>
      </c>
      <c r="H24" t="str">
        <f>"CPA Recaudación Clientes Banco Estado "&amp;TEXT(E24,"dd-mm-aaa")</f>
        <v>CPA Recaudación Clientes Banco Estado 12-05-2024</v>
      </c>
      <c r="I24" s="16" t="e">
        <f>+C13</f>
        <v>#N/A</v>
      </c>
      <c r="J24" s="17"/>
      <c r="N24" s="1">
        <v>45405</v>
      </c>
      <c r="O24" s="3"/>
      <c r="P24" s="26" t="e">
        <f>HLOOKUP(N24,Hoja2!$R$2:$AV$11,10,FALSE)</f>
        <v>#N/A</v>
      </c>
      <c r="Q24" s="21"/>
      <c r="R24" s="15">
        <v>45394</v>
      </c>
      <c r="S24" s="8">
        <v>110209</v>
      </c>
      <c r="T24" s="8" t="s">
        <v>55</v>
      </c>
      <c r="U24" t="str">
        <f>"CPA Traspaso de fondos Bco. Estado a BCI 656 "&amp;TEXT(R24,"dd-mm-yyy")</f>
        <v>CPA Traspaso de fondos Bco. Estado a BCI 656 12-04-2024</v>
      </c>
      <c r="V24" s="16" t="e">
        <f>+P13</f>
        <v>#N/A</v>
      </c>
      <c r="W24" s="17"/>
      <c r="AA24" s="1">
        <v>45405</v>
      </c>
      <c r="AB24" s="3"/>
      <c r="AC24" s="26" t="e">
        <f>HLOOKUP(AA24,Hoja2!$R$2:$AV$43,42,FALSE)</f>
        <v>#N/A</v>
      </c>
      <c r="AD24" s="21"/>
      <c r="AE24" s="15">
        <v>45394</v>
      </c>
      <c r="AF24" s="8">
        <v>110204</v>
      </c>
      <c r="AG24" s="8" t="s">
        <v>117</v>
      </c>
      <c r="AH24" t="str">
        <f>"CPA Traspaso de fondos Bco. Estado a BICE "&amp;TEXT(AE24,"dd-mm-yyy")</f>
        <v>CPA Traspaso de fondos Bco. Estado a BICE 12-04-2024</v>
      </c>
      <c r="AI24" s="16" t="e">
        <f>+AC13</f>
        <v>#N/A</v>
      </c>
      <c r="AJ24" s="17"/>
    </row>
    <row r="25" spans="1:36" x14ac:dyDescent="0.25">
      <c r="A25" s="1">
        <v>45436</v>
      </c>
      <c r="B25" s="3"/>
      <c r="C25" s="26" t="e">
        <f>HLOOKUP(A25,Hoja2!$R$2:$AV$10,9,FALSE)</f>
        <v>#N/A</v>
      </c>
      <c r="D25" s="21"/>
      <c r="E25" s="9"/>
      <c r="F25">
        <v>211101</v>
      </c>
      <c r="G25" t="s">
        <v>18</v>
      </c>
      <c r="H25" s="12" t="str">
        <f t="shared" ref="H25" si="60">H24</f>
        <v>CPA Recaudación Clientes Banco Estado 12-05-2024</v>
      </c>
      <c r="I25" s="3"/>
      <c r="J25" s="10" t="e">
        <f t="shared" ref="J25" si="61">I24</f>
        <v>#N/A</v>
      </c>
      <c r="N25" s="1">
        <v>45406</v>
      </c>
      <c r="O25" s="3"/>
      <c r="P25" s="26" t="e">
        <f>HLOOKUP(N25,Hoja2!$R$2:$AV$11,10,FALSE)</f>
        <v>#N/A</v>
      </c>
      <c r="Q25" s="21"/>
      <c r="R25" s="9"/>
      <c r="S25">
        <v>110206</v>
      </c>
      <c r="T25" t="s">
        <v>45</v>
      </c>
      <c r="U25" s="12" t="str">
        <f t="shared" ref="U25" si="62">U24</f>
        <v>CPA Traspaso de fondos Bco. Estado a BCI 656 12-04-2024</v>
      </c>
      <c r="V25" s="3"/>
      <c r="W25" s="10" t="e">
        <f t="shared" ref="W25" si="63">V24</f>
        <v>#N/A</v>
      </c>
      <c r="AA25" s="1">
        <v>45406</v>
      </c>
      <c r="AB25" s="3"/>
      <c r="AC25" s="26" t="e">
        <f>HLOOKUP(AA25,Hoja2!$R$2:$AV$43,42,FALSE)</f>
        <v>#N/A</v>
      </c>
      <c r="AD25" s="21"/>
      <c r="AE25" s="9"/>
      <c r="AF25">
        <v>110206</v>
      </c>
      <c r="AG25" t="s">
        <v>45</v>
      </c>
      <c r="AH25" s="12" t="str">
        <f t="shared" ref="AH25" si="64">AH24</f>
        <v>CPA Traspaso de fondos Bco. Estado a BICE 12-04-2024</v>
      </c>
      <c r="AI25" s="3"/>
      <c r="AJ25" s="10" t="e">
        <f t="shared" ref="AJ25" si="65">AI24</f>
        <v>#N/A</v>
      </c>
    </row>
    <row r="26" spans="1:36" x14ac:dyDescent="0.25">
      <c r="A26" s="1">
        <v>45437</v>
      </c>
      <c r="B26" s="3"/>
      <c r="C26" s="26" t="e">
        <f>HLOOKUP(A26,Hoja2!$R$2:$AV$10,9,FALSE)</f>
        <v>#N/A</v>
      </c>
      <c r="D26" s="21"/>
      <c r="E26" s="15">
        <v>45425</v>
      </c>
      <c r="F26" s="8">
        <v>110206</v>
      </c>
      <c r="G26" s="8" t="s">
        <v>45</v>
      </c>
      <c r="H26" t="str">
        <f>"CPA Recaudación Clientes Banco Estado "&amp;TEXT(E26,"dd-mm-aaa")</f>
        <v>CPA Recaudación Clientes Banco Estado 13-05-2024</v>
      </c>
      <c r="I26" s="16" t="e">
        <f>+C14</f>
        <v>#N/A</v>
      </c>
      <c r="J26" s="17"/>
      <c r="N26" s="1">
        <v>45407</v>
      </c>
      <c r="O26" s="3"/>
      <c r="P26" s="26" t="e">
        <f>HLOOKUP(N26,Hoja2!$R$2:$AV$11,10,FALSE)</f>
        <v>#N/A</v>
      </c>
      <c r="Q26" s="21"/>
      <c r="R26" s="15">
        <v>45395</v>
      </c>
      <c r="S26" s="8">
        <v>110209</v>
      </c>
      <c r="T26" s="8" t="s">
        <v>55</v>
      </c>
      <c r="U26" t="str">
        <f>"CPA Traspaso de fondos Bco. Estado a BCI 656 "&amp;TEXT(R26,"dd-mm-yyy")</f>
        <v>CPA Traspaso de fondos Bco. Estado a BCI 656 13-04-2024</v>
      </c>
      <c r="V26" s="16" t="e">
        <f>+P14</f>
        <v>#N/A</v>
      </c>
      <c r="W26" s="17"/>
      <c r="AA26" s="1">
        <v>45407</v>
      </c>
      <c r="AB26" s="3"/>
      <c r="AC26" s="26" t="e">
        <f>HLOOKUP(AA26,Hoja2!$R$2:$AV$43,42,FALSE)</f>
        <v>#N/A</v>
      </c>
      <c r="AD26" s="21"/>
      <c r="AE26" s="15">
        <v>45395</v>
      </c>
      <c r="AF26" s="8">
        <v>110204</v>
      </c>
      <c r="AG26" s="8" t="s">
        <v>117</v>
      </c>
      <c r="AH26" t="str">
        <f>"CPA Traspaso de fondos Bco. Estado a BICE "&amp;TEXT(AE26,"dd-mm-yyy")</f>
        <v>CPA Traspaso de fondos Bco. Estado a BICE 13-04-2024</v>
      </c>
      <c r="AI26" s="16" t="e">
        <f>+AC14</f>
        <v>#N/A</v>
      </c>
      <c r="AJ26" s="17"/>
    </row>
    <row r="27" spans="1:36" x14ac:dyDescent="0.25">
      <c r="A27" s="1">
        <v>45438</v>
      </c>
      <c r="B27" s="3"/>
      <c r="C27" s="26" t="e">
        <f>HLOOKUP(A27,Hoja2!$R$2:$AV$10,9,FALSE)</f>
        <v>#N/A</v>
      </c>
      <c r="D27" s="21"/>
      <c r="E27" s="9"/>
      <c r="F27">
        <v>211101</v>
      </c>
      <c r="G27" t="s">
        <v>18</v>
      </c>
      <c r="H27" s="12" t="str">
        <f t="shared" ref="H27" si="66">H26</f>
        <v>CPA Recaudación Clientes Banco Estado 13-05-2024</v>
      </c>
      <c r="I27" s="3"/>
      <c r="J27" s="10" t="e">
        <f t="shared" ref="J27" si="67">I26</f>
        <v>#N/A</v>
      </c>
      <c r="N27" s="1">
        <v>45408</v>
      </c>
      <c r="O27" s="3"/>
      <c r="P27" s="26" t="e">
        <f>HLOOKUP(N27,Hoja2!$R$2:$AV$11,10,FALSE)</f>
        <v>#N/A</v>
      </c>
      <c r="Q27" s="21"/>
      <c r="R27" s="9"/>
      <c r="S27">
        <v>110206</v>
      </c>
      <c r="T27" t="s">
        <v>45</v>
      </c>
      <c r="U27" s="12" t="str">
        <f t="shared" ref="U27" si="68">U26</f>
        <v>CPA Traspaso de fondos Bco. Estado a BCI 656 13-04-2024</v>
      </c>
      <c r="V27" s="3"/>
      <c r="W27" s="10" t="e">
        <f t="shared" ref="W27" si="69">V26</f>
        <v>#N/A</v>
      </c>
      <c r="AA27" s="1">
        <v>45408</v>
      </c>
      <c r="AB27" s="3"/>
      <c r="AC27" s="26" t="e">
        <f>HLOOKUP(AA27,Hoja2!$R$2:$AV$43,42,FALSE)</f>
        <v>#N/A</v>
      </c>
      <c r="AD27" s="21"/>
      <c r="AE27" s="9"/>
      <c r="AF27">
        <v>110206</v>
      </c>
      <c r="AG27" t="s">
        <v>45</v>
      </c>
      <c r="AH27" s="12" t="str">
        <f t="shared" ref="AH27" si="70">AH26</f>
        <v>CPA Traspaso de fondos Bco. Estado a BICE 13-04-2024</v>
      </c>
      <c r="AI27" s="3"/>
      <c r="AJ27" s="10" t="e">
        <f t="shared" ref="AJ27" si="71">AI26</f>
        <v>#N/A</v>
      </c>
    </row>
    <row r="28" spans="1:36" x14ac:dyDescent="0.25">
      <c r="A28" s="1">
        <v>45439</v>
      </c>
      <c r="B28" s="3"/>
      <c r="C28" s="26" t="e">
        <f>HLOOKUP(A28,Hoja2!$R$2:$AV$10,9,FALSE)</f>
        <v>#N/A</v>
      </c>
      <c r="E28" s="15">
        <v>45426</v>
      </c>
      <c r="F28" s="8">
        <v>110206</v>
      </c>
      <c r="G28" s="8" t="s">
        <v>45</v>
      </c>
      <c r="H28" t="str">
        <f>"CPA Recaudación Clientes Banco Estado "&amp;TEXT(E28,"dd-mm-aaa")</f>
        <v>CPA Recaudación Clientes Banco Estado 14-05-2024</v>
      </c>
      <c r="I28" s="16" t="e">
        <f>+C15</f>
        <v>#N/A</v>
      </c>
      <c r="J28" s="17"/>
      <c r="N28" s="1">
        <v>45409</v>
      </c>
      <c r="O28" s="3"/>
      <c r="P28" s="26" t="e">
        <f>HLOOKUP(N28,Hoja2!$R$2:$AV$11,10,FALSE)</f>
        <v>#N/A</v>
      </c>
      <c r="R28" s="15">
        <v>45396</v>
      </c>
      <c r="S28" s="8">
        <v>110209</v>
      </c>
      <c r="T28" s="8" t="s">
        <v>55</v>
      </c>
      <c r="U28" t="str">
        <f>"CPA Traspaso de fondos Bco. Estado a BCI 656 "&amp;TEXT(R28,"dd-mm-yyy")</f>
        <v>CPA Traspaso de fondos Bco. Estado a BCI 656 14-04-2024</v>
      </c>
      <c r="V28" s="16" t="e">
        <f>+P15</f>
        <v>#N/A</v>
      </c>
      <c r="W28" s="17"/>
      <c r="AA28" s="1">
        <v>45409</v>
      </c>
      <c r="AB28" s="3"/>
      <c r="AC28" s="26" t="e">
        <f>HLOOKUP(AA28,Hoja2!$R$2:$AV$43,42,FALSE)</f>
        <v>#N/A</v>
      </c>
      <c r="AE28" s="15">
        <v>45396</v>
      </c>
      <c r="AF28" s="8">
        <v>110204</v>
      </c>
      <c r="AG28" s="8" t="s">
        <v>117</v>
      </c>
      <c r="AH28" t="str">
        <f>"CPA Traspaso de fondos Bco. Estado a BICE "&amp;TEXT(AE28,"dd-mm-yyy")</f>
        <v>CPA Traspaso de fondos Bco. Estado a BICE 14-04-2024</v>
      </c>
      <c r="AI28" s="16" t="e">
        <f>+AC15</f>
        <v>#N/A</v>
      </c>
      <c r="AJ28" s="17"/>
    </row>
    <row r="29" spans="1:36" x14ac:dyDescent="0.25">
      <c r="A29" s="1">
        <v>45440</v>
      </c>
      <c r="B29" s="3"/>
      <c r="C29" s="26" t="e">
        <f>HLOOKUP(A29,Hoja2!$R$2:$AV$10,9,FALSE)</f>
        <v>#N/A</v>
      </c>
      <c r="D29" s="40"/>
      <c r="E29" s="9"/>
      <c r="F29">
        <v>211101</v>
      </c>
      <c r="G29" t="s">
        <v>18</v>
      </c>
      <c r="H29" s="12" t="str">
        <f t="shared" ref="H29" si="72">H28</f>
        <v>CPA Recaudación Clientes Banco Estado 14-05-2024</v>
      </c>
      <c r="I29" s="3"/>
      <c r="J29" s="10" t="e">
        <f t="shared" ref="J29" si="73">I28</f>
        <v>#N/A</v>
      </c>
      <c r="N29" s="1">
        <v>45410</v>
      </c>
      <c r="O29" s="3"/>
      <c r="P29" s="26" t="e">
        <f>HLOOKUP(N29,Hoja2!$R$2:$AV$11,10,FALSE)</f>
        <v>#N/A</v>
      </c>
      <c r="Q29" s="40"/>
      <c r="R29" s="9"/>
      <c r="S29">
        <v>110206</v>
      </c>
      <c r="T29" t="s">
        <v>45</v>
      </c>
      <c r="U29" s="12" t="str">
        <f t="shared" ref="U29" si="74">U28</f>
        <v>CPA Traspaso de fondos Bco. Estado a BCI 656 14-04-2024</v>
      </c>
      <c r="V29" s="3"/>
      <c r="W29" s="10" t="e">
        <f t="shared" ref="W29" si="75">V28</f>
        <v>#N/A</v>
      </c>
      <c r="AA29" s="1">
        <v>45410</v>
      </c>
      <c r="AB29" s="3"/>
      <c r="AC29" s="26" t="e">
        <f>HLOOKUP(AA29,Hoja2!$R$2:$AV$43,42,FALSE)</f>
        <v>#N/A</v>
      </c>
      <c r="AD29" s="40"/>
      <c r="AE29" s="9"/>
      <c r="AF29">
        <v>110206</v>
      </c>
      <c r="AG29" t="s">
        <v>45</v>
      </c>
      <c r="AH29" s="12" t="str">
        <f t="shared" ref="AH29" si="76">AH28</f>
        <v>CPA Traspaso de fondos Bco. Estado a BICE 14-04-2024</v>
      </c>
      <c r="AI29" s="3"/>
      <c r="AJ29" s="10" t="e">
        <f t="shared" ref="AJ29" si="77">AI28</f>
        <v>#N/A</v>
      </c>
    </row>
    <row r="30" spans="1:36" x14ac:dyDescent="0.25">
      <c r="A30" s="1">
        <v>45441</v>
      </c>
      <c r="B30" s="3"/>
      <c r="C30" s="26" t="e">
        <f>HLOOKUP(A30,Hoja2!$R$2:$AV$10,9,FALSE)</f>
        <v>#N/A</v>
      </c>
      <c r="E30" s="15">
        <v>45427</v>
      </c>
      <c r="F30" s="8">
        <v>110206</v>
      </c>
      <c r="G30" s="8" t="s">
        <v>45</v>
      </c>
      <c r="H30" t="str">
        <f>"CPA Recaudación Clientes Banco Estado "&amp;TEXT(E30,"dd-mm-aaa")</f>
        <v>CPA Recaudación Clientes Banco Estado 15-05-2024</v>
      </c>
      <c r="I30" s="16" t="e">
        <f>+C16</f>
        <v>#N/A</v>
      </c>
      <c r="J30" s="17"/>
      <c r="N30" s="1">
        <v>45411</v>
      </c>
      <c r="O30" s="3"/>
      <c r="P30" s="26" t="e">
        <f>HLOOKUP(N30,Hoja2!$R$2:$AV$11,10,FALSE)</f>
        <v>#N/A</v>
      </c>
      <c r="R30" s="15">
        <v>45397</v>
      </c>
      <c r="S30" s="8">
        <v>110209</v>
      </c>
      <c r="T30" s="8" t="s">
        <v>55</v>
      </c>
      <c r="U30" t="str">
        <f>"CPA Traspaso de fondos Bco. Estado a BCI 656 "&amp;TEXT(R30,"dd-mm-yyy")</f>
        <v>CPA Traspaso de fondos Bco. Estado a BCI 656 15-04-2024</v>
      </c>
      <c r="V30" s="16" t="e">
        <f>+P16</f>
        <v>#N/A</v>
      </c>
      <c r="W30" s="17"/>
      <c r="AA30" s="1">
        <v>45411</v>
      </c>
      <c r="AB30" s="3"/>
      <c r="AC30" s="26" t="e">
        <f>HLOOKUP(AA30,Hoja2!$R$2:$AV$43,42,FALSE)</f>
        <v>#N/A</v>
      </c>
      <c r="AE30" s="15">
        <v>45397</v>
      </c>
      <c r="AF30" s="8">
        <v>110204</v>
      </c>
      <c r="AG30" s="8" t="s">
        <v>117</v>
      </c>
      <c r="AH30" t="str">
        <f>"CPA Traspaso de fondos Bco. Estado a BICE "&amp;TEXT(AE30,"dd-mm-yyy")</f>
        <v>CPA Traspaso de fondos Bco. Estado a BICE 15-04-2024</v>
      </c>
      <c r="AI30" s="16" t="e">
        <f>+AC16</f>
        <v>#N/A</v>
      </c>
      <c r="AJ30" s="17"/>
    </row>
    <row r="31" spans="1:36" x14ac:dyDescent="0.25">
      <c r="A31" s="1">
        <v>45442</v>
      </c>
      <c r="B31" s="3"/>
      <c r="C31" s="26" t="e">
        <f>HLOOKUP(A31,Hoja2!$R$2:$AV$10,9,FALSE)</f>
        <v>#N/A</v>
      </c>
      <c r="E31" s="11"/>
      <c r="F31" s="12">
        <v>211101</v>
      </c>
      <c r="G31" s="12" t="s">
        <v>18</v>
      </c>
      <c r="H31" s="12" t="str">
        <f t="shared" ref="H31" si="78">H30</f>
        <v>CPA Recaudación Clientes Banco Estado 15-05-2024</v>
      </c>
      <c r="I31" s="13"/>
      <c r="J31" s="18" t="e">
        <f t="shared" ref="J31" si="79">I30</f>
        <v>#N/A</v>
      </c>
      <c r="N31" s="1">
        <v>45412</v>
      </c>
      <c r="O31" s="3"/>
      <c r="P31" s="26" t="e">
        <f>HLOOKUP(N31,Hoja2!$R$2:$AV$11,10,FALSE)</f>
        <v>#N/A</v>
      </c>
      <c r="R31" s="11"/>
      <c r="S31" s="12">
        <v>110206</v>
      </c>
      <c r="T31" s="12" t="s">
        <v>45</v>
      </c>
      <c r="U31" s="12" t="str">
        <f t="shared" ref="U31" si="80">U30</f>
        <v>CPA Traspaso de fondos Bco. Estado a BCI 656 15-04-2024</v>
      </c>
      <c r="V31" s="13"/>
      <c r="W31" s="18" t="e">
        <f t="shared" ref="W31" si="81">V30</f>
        <v>#N/A</v>
      </c>
      <c r="AA31" s="1">
        <v>45412</v>
      </c>
      <c r="AB31" s="3"/>
      <c r="AC31" s="26" t="e">
        <f>HLOOKUP(AA31,Hoja2!$R$2:$AV$43,42,FALSE)</f>
        <v>#N/A</v>
      </c>
      <c r="AE31" s="11"/>
      <c r="AF31" s="12">
        <v>110206</v>
      </c>
      <c r="AG31" s="12" t="s">
        <v>45</v>
      </c>
      <c r="AH31" s="12" t="str">
        <f t="shared" ref="AH31" si="82">AH30</f>
        <v>CPA Traspaso de fondos Bco. Estado a BICE 15-04-2024</v>
      </c>
      <c r="AI31" s="13"/>
      <c r="AJ31" s="18" t="e">
        <f t="shared" ref="AJ31" si="83">AI30</f>
        <v>#N/A</v>
      </c>
    </row>
    <row r="32" spans="1:36" x14ac:dyDescent="0.25">
      <c r="A32" s="1">
        <v>45443</v>
      </c>
      <c r="B32" s="3"/>
      <c r="C32" s="26" t="e">
        <f>HLOOKUP(A32,Hoja2!$R$2:$AV$10,9,FALSE)</f>
        <v>#N/A</v>
      </c>
      <c r="E32" s="15">
        <v>45428</v>
      </c>
      <c r="F32" s="8">
        <v>110206</v>
      </c>
      <c r="G32" s="8" t="s">
        <v>45</v>
      </c>
      <c r="H32" t="str">
        <f>"CPA Recaudación Clientes Banco Estado "&amp;TEXT(E32,"dd-mm-aaa")</f>
        <v>CPA Recaudación Clientes Banco Estado 16-05-2024</v>
      </c>
      <c r="I32" s="16" t="e">
        <f>+C17</f>
        <v>#N/A</v>
      </c>
      <c r="J32" s="17"/>
      <c r="N32" s="1">
        <v>45413</v>
      </c>
      <c r="O32" s="3"/>
      <c r="P32" s="26" t="e">
        <f>HLOOKUP(N32,Hoja2!$R$2:$AV$11,10,FALSE)</f>
        <v>#N/A</v>
      </c>
      <c r="R32" s="15">
        <v>45398</v>
      </c>
      <c r="S32" s="8">
        <v>110209</v>
      </c>
      <c r="T32" s="8" t="s">
        <v>55</v>
      </c>
      <c r="U32" t="str">
        <f>"CPA Traspaso de fondos Bco. Estado a BCI 656 "&amp;TEXT(R32,"dd-mm-yyy")</f>
        <v>CPA Traspaso de fondos Bco. Estado a BCI 656 16-04-2024</v>
      </c>
      <c r="V32" s="16" t="e">
        <f>+P17</f>
        <v>#N/A</v>
      </c>
      <c r="W32" s="17"/>
      <c r="AA32" s="1">
        <v>45413</v>
      </c>
      <c r="AB32" s="3"/>
      <c r="AC32" s="26" t="e">
        <f>HLOOKUP(AA32,Hoja2!$R$2:$AV$43,42,FALSE)</f>
        <v>#N/A</v>
      </c>
      <c r="AE32" s="15">
        <v>45398</v>
      </c>
      <c r="AF32" s="8">
        <v>110204</v>
      </c>
      <c r="AG32" s="8" t="s">
        <v>117</v>
      </c>
      <c r="AH32" t="str">
        <f>"CPA Traspaso de fondos Bco. Estado a BICE "&amp;TEXT(AE32,"dd-mm-yyy")</f>
        <v>CPA Traspaso de fondos Bco. Estado a BICE 16-04-2024</v>
      </c>
      <c r="AI32" s="16" t="e">
        <f>+AC17</f>
        <v>#N/A</v>
      </c>
      <c r="AJ32" s="17"/>
    </row>
    <row r="33" spans="1:36" x14ac:dyDescent="0.25">
      <c r="E33" s="11"/>
      <c r="F33" s="12">
        <v>211101</v>
      </c>
      <c r="G33" s="12" t="s">
        <v>18</v>
      </c>
      <c r="H33" s="12" t="str">
        <f t="shared" ref="H33" si="84">H32</f>
        <v>CPA Recaudación Clientes Banco Estado 16-05-2024</v>
      </c>
      <c r="I33" s="13"/>
      <c r="J33" s="18" t="e">
        <f t="shared" ref="J33" si="85">I32</f>
        <v>#N/A</v>
      </c>
      <c r="R33" s="11"/>
      <c r="S33" s="12">
        <v>110206</v>
      </c>
      <c r="T33" s="12" t="s">
        <v>45</v>
      </c>
      <c r="U33" s="12" t="str">
        <f t="shared" ref="U33" si="86">U32</f>
        <v>CPA Traspaso de fondos Bco. Estado a BCI 656 16-04-2024</v>
      </c>
      <c r="V33" s="13"/>
      <c r="W33" s="18" t="e">
        <f t="shared" ref="W33" si="87">V32</f>
        <v>#N/A</v>
      </c>
      <c r="AE33" s="11"/>
      <c r="AF33" s="12">
        <v>110206</v>
      </c>
      <c r="AG33" s="12" t="s">
        <v>45</v>
      </c>
      <c r="AH33" s="12" t="str">
        <f t="shared" ref="AH33" si="88">AH32</f>
        <v>CPA Traspaso de fondos Bco. Estado a BICE 16-04-2024</v>
      </c>
      <c r="AI33" s="13"/>
      <c r="AJ33" s="18" t="e">
        <f t="shared" ref="AJ33" si="89">AI32</f>
        <v>#N/A</v>
      </c>
    </row>
    <row r="34" spans="1:36" x14ac:dyDescent="0.25">
      <c r="E34" s="15">
        <v>45429</v>
      </c>
      <c r="F34" s="8">
        <v>110206</v>
      </c>
      <c r="G34" s="8" t="s">
        <v>45</v>
      </c>
      <c r="H34" t="str">
        <f>"CPA Recaudación Clientes Banco Estado "&amp;TEXT(E34,"dd-mm-aaa")</f>
        <v>CPA Recaudación Clientes Banco Estado 17-05-2024</v>
      </c>
      <c r="I34" s="16" t="e">
        <f>+C18</f>
        <v>#N/A</v>
      </c>
      <c r="J34" s="17"/>
      <c r="R34" s="15">
        <v>45399</v>
      </c>
      <c r="S34" s="8">
        <v>110209</v>
      </c>
      <c r="T34" s="8" t="s">
        <v>55</v>
      </c>
      <c r="U34" t="str">
        <f>"CPA Traspaso de fondos Bco. Estado a BCI 656 "&amp;TEXT(R34,"dd-mm-yyy")</f>
        <v>CPA Traspaso de fondos Bco. Estado a BCI 656 17-04-2024</v>
      </c>
      <c r="V34" s="16" t="e">
        <f>+P18</f>
        <v>#N/A</v>
      </c>
      <c r="W34" s="17"/>
      <c r="AE34" s="15">
        <v>45399</v>
      </c>
      <c r="AF34" s="8">
        <v>110204</v>
      </c>
      <c r="AG34" s="8" t="s">
        <v>117</v>
      </c>
      <c r="AH34" t="str">
        <f>"CPA Traspaso de fondos Bco. Estado a BICE "&amp;TEXT(AE34,"dd-mm-yyy")</f>
        <v>CPA Traspaso de fondos Bco. Estado a BICE 17-04-2024</v>
      </c>
      <c r="AI34" s="16" t="e">
        <f>+AC18</f>
        <v>#N/A</v>
      </c>
      <c r="AJ34" s="17"/>
    </row>
    <row r="35" spans="1:36" x14ac:dyDescent="0.25">
      <c r="E35" s="11"/>
      <c r="F35" s="12">
        <v>211101</v>
      </c>
      <c r="G35" s="12" t="s">
        <v>18</v>
      </c>
      <c r="H35" s="12" t="str">
        <f t="shared" ref="H35" si="90">H34</f>
        <v>CPA Recaudación Clientes Banco Estado 17-05-2024</v>
      </c>
      <c r="I35" s="13"/>
      <c r="J35" s="18" t="e">
        <f t="shared" ref="J35" si="91">I34</f>
        <v>#N/A</v>
      </c>
      <c r="R35" s="11"/>
      <c r="S35" s="12">
        <v>110206</v>
      </c>
      <c r="T35" s="12" t="s">
        <v>45</v>
      </c>
      <c r="U35" s="12" t="str">
        <f t="shared" ref="U35" si="92">U34</f>
        <v>CPA Traspaso de fondos Bco. Estado a BCI 656 17-04-2024</v>
      </c>
      <c r="V35" s="13"/>
      <c r="W35" s="18" t="e">
        <f t="shared" ref="W35" si="93">V34</f>
        <v>#N/A</v>
      </c>
      <c r="AE35" s="11"/>
      <c r="AF35" s="12">
        <v>110206</v>
      </c>
      <c r="AG35" s="12" t="s">
        <v>45</v>
      </c>
      <c r="AH35" s="12" t="str">
        <f t="shared" ref="AH35" si="94">AH34</f>
        <v>CPA Traspaso de fondos Bco. Estado a BICE 17-04-2024</v>
      </c>
      <c r="AI35" s="13"/>
      <c r="AJ35" s="18" t="e">
        <f t="shared" ref="AJ35" si="95">AI34</f>
        <v>#N/A</v>
      </c>
    </row>
    <row r="36" spans="1:36" x14ac:dyDescent="0.25">
      <c r="E36" s="15">
        <v>45430</v>
      </c>
      <c r="F36" s="8">
        <v>110206</v>
      </c>
      <c r="G36" s="8" t="s">
        <v>45</v>
      </c>
      <c r="H36" t="str">
        <f>"CPA Recaudación Clientes Banco Estado "&amp;TEXT(E36,"dd-mm-aaa")</f>
        <v>CPA Recaudación Clientes Banco Estado 18-05-2024</v>
      </c>
      <c r="I36" s="16" t="e">
        <f>+C19</f>
        <v>#N/A</v>
      </c>
      <c r="J36" s="17"/>
      <c r="R36" s="15">
        <v>45400</v>
      </c>
      <c r="S36" s="8">
        <v>110209</v>
      </c>
      <c r="T36" s="8" t="s">
        <v>55</v>
      </c>
      <c r="U36" t="str">
        <f>"CPA Traspaso de fondos Bco. Estado a BCI 656 "&amp;TEXT(R36,"dd-mm-yyy")</f>
        <v>CPA Traspaso de fondos Bco. Estado a BCI 656 18-04-2024</v>
      </c>
      <c r="V36" s="16" t="e">
        <f>+P19</f>
        <v>#N/A</v>
      </c>
      <c r="W36" s="17"/>
      <c r="AE36" s="15">
        <v>45400</v>
      </c>
      <c r="AF36" s="8">
        <v>110204</v>
      </c>
      <c r="AG36" s="8" t="s">
        <v>117</v>
      </c>
      <c r="AH36" t="str">
        <f>"CPA Traspaso de fondos Bco. Estado a BICE "&amp;TEXT(AE36,"dd-mm-yyy")</f>
        <v>CPA Traspaso de fondos Bco. Estado a BICE 18-04-2024</v>
      </c>
      <c r="AI36" s="16" t="e">
        <f>+AC19</f>
        <v>#N/A</v>
      </c>
      <c r="AJ36" s="17"/>
    </row>
    <row r="37" spans="1:36" x14ac:dyDescent="0.25">
      <c r="E37" s="11"/>
      <c r="F37" s="12">
        <v>211101</v>
      </c>
      <c r="G37" s="12" t="s">
        <v>18</v>
      </c>
      <c r="H37" s="12" t="str">
        <f t="shared" ref="H37" si="96">H36</f>
        <v>CPA Recaudación Clientes Banco Estado 18-05-2024</v>
      </c>
      <c r="I37" s="13"/>
      <c r="J37" s="18" t="e">
        <f t="shared" ref="J37" si="97">I36</f>
        <v>#N/A</v>
      </c>
      <c r="R37" s="11"/>
      <c r="S37" s="12">
        <v>110206</v>
      </c>
      <c r="T37" s="12" t="s">
        <v>45</v>
      </c>
      <c r="U37" s="12" t="str">
        <f t="shared" ref="U37" si="98">U36</f>
        <v>CPA Traspaso de fondos Bco. Estado a BCI 656 18-04-2024</v>
      </c>
      <c r="V37" s="13"/>
      <c r="W37" s="18" t="e">
        <f t="shared" ref="W37" si="99">V36</f>
        <v>#N/A</v>
      </c>
      <c r="AE37" s="11"/>
      <c r="AF37" s="12">
        <v>110206</v>
      </c>
      <c r="AG37" s="12" t="s">
        <v>45</v>
      </c>
      <c r="AH37" s="12" t="str">
        <f t="shared" ref="AH37" si="100">AH36</f>
        <v>CPA Traspaso de fondos Bco. Estado a BICE 18-04-2024</v>
      </c>
      <c r="AI37" s="13"/>
      <c r="AJ37" s="18" t="e">
        <f t="shared" ref="AJ37" si="101">AI36</f>
        <v>#N/A</v>
      </c>
    </row>
    <row r="38" spans="1:36" x14ac:dyDescent="0.25">
      <c r="E38" s="15">
        <v>45431</v>
      </c>
      <c r="F38" s="8">
        <v>110206</v>
      </c>
      <c r="G38" s="8" t="s">
        <v>45</v>
      </c>
      <c r="H38" t="str">
        <f>"CPA Recaudación Clientes Banco Estado "&amp;TEXT(E38,"dd-mm-aaa")</f>
        <v>CPA Recaudación Clientes Banco Estado 19-05-2024</v>
      </c>
      <c r="I38" s="16" t="e">
        <f>+C20</f>
        <v>#N/A</v>
      </c>
      <c r="J38" s="17"/>
      <c r="R38" s="15">
        <v>45401</v>
      </c>
      <c r="S38" s="8">
        <v>110209</v>
      </c>
      <c r="T38" s="8" t="s">
        <v>55</v>
      </c>
      <c r="U38" t="str">
        <f>"CPA Traspaso de fondos Bco. Estado a BCI 656 "&amp;TEXT(R38,"dd-mm-yyy")</f>
        <v>CPA Traspaso de fondos Bco. Estado a BCI 656 19-04-2024</v>
      </c>
      <c r="V38" s="16" t="e">
        <f>+P20</f>
        <v>#N/A</v>
      </c>
      <c r="W38" s="17"/>
      <c r="AE38" s="15">
        <v>45401</v>
      </c>
      <c r="AF38" s="8">
        <v>110204</v>
      </c>
      <c r="AG38" s="8" t="s">
        <v>117</v>
      </c>
      <c r="AH38" t="str">
        <f>"CPA Traspaso de fondos Bco. Estado a BICE "&amp;TEXT(AE38,"dd-mm-yyy")</f>
        <v>CPA Traspaso de fondos Bco. Estado a BICE 19-04-2024</v>
      </c>
      <c r="AI38" s="16" t="e">
        <f>+AC20</f>
        <v>#N/A</v>
      </c>
      <c r="AJ38" s="17"/>
    </row>
    <row r="39" spans="1:36" x14ac:dyDescent="0.25">
      <c r="E39" s="11"/>
      <c r="F39" s="12">
        <v>211101</v>
      </c>
      <c r="G39" s="12" t="s">
        <v>18</v>
      </c>
      <c r="H39" s="12" t="str">
        <f t="shared" ref="H39" si="102">H38</f>
        <v>CPA Recaudación Clientes Banco Estado 19-05-2024</v>
      </c>
      <c r="I39" s="13"/>
      <c r="J39" s="18" t="e">
        <f t="shared" ref="J39" si="103">I38</f>
        <v>#N/A</v>
      </c>
      <c r="R39" s="11"/>
      <c r="S39" s="12">
        <v>110206</v>
      </c>
      <c r="T39" s="12" t="s">
        <v>45</v>
      </c>
      <c r="U39" s="12" t="str">
        <f t="shared" ref="U39" si="104">U38</f>
        <v>CPA Traspaso de fondos Bco. Estado a BCI 656 19-04-2024</v>
      </c>
      <c r="V39" s="13"/>
      <c r="W39" s="18" t="e">
        <f t="shared" ref="W39" si="105">V38</f>
        <v>#N/A</v>
      </c>
      <c r="AE39" s="11"/>
      <c r="AF39" s="12">
        <v>110206</v>
      </c>
      <c r="AG39" s="12" t="s">
        <v>45</v>
      </c>
      <c r="AH39" s="12" t="str">
        <f t="shared" ref="AH39" si="106">AH38</f>
        <v>CPA Traspaso de fondos Bco. Estado a BICE 19-04-2024</v>
      </c>
      <c r="AI39" s="13"/>
      <c r="AJ39" s="18" t="e">
        <f t="shared" ref="AJ39" si="107">AI38</f>
        <v>#N/A</v>
      </c>
    </row>
    <row r="40" spans="1:36" x14ac:dyDescent="0.25">
      <c r="E40" s="15">
        <v>45432</v>
      </c>
      <c r="F40" s="8">
        <v>110206</v>
      </c>
      <c r="G40" s="8" t="s">
        <v>45</v>
      </c>
      <c r="H40" t="str">
        <f>"CPA Recaudación Clientes Banco Estado "&amp;TEXT(E40,"dd-mm-aaa")</f>
        <v>CPA Recaudación Clientes Banco Estado 20-05-2024</v>
      </c>
      <c r="I40" s="16" t="e">
        <f>+C21</f>
        <v>#N/A</v>
      </c>
      <c r="J40" s="17"/>
      <c r="R40" s="15">
        <v>45402</v>
      </c>
      <c r="S40" s="8">
        <v>110209</v>
      </c>
      <c r="T40" s="8" t="s">
        <v>55</v>
      </c>
      <c r="U40" t="str">
        <f>"CPA Traspaso de fondos Bco. Estado a BCI 656 "&amp;TEXT(R40,"dd-mm-yyy")</f>
        <v>CPA Traspaso de fondos Bco. Estado a BCI 656 20-04-2024</v>
      </c>
      <c r="V40" s="16" t="e">
        <f>+P21</f>
        <v>#N/A</v>
      </c>
      <c r="W40" s="17"/>
      <c r="AE40" s="15">
        <v>45402</v>
      </c>
      <c r="AF40" s="8">
        <v>110204</v>
      </c>
      <c r="AG40" s="8" t="s">
        <v>117</v>
      </c>
      <c r="AH40" t="str">
        <f>"CPA Traspaso de fondos Bco. Estado a BICE "&amp;TEXT(AE40,"dd-mm-yyy")</f>
        <v>CPA Traspaso de fondos Bco. Estado a BICE 20-04-2024</v>
      </c>
      <c r="AI40" s="16" t="e">
        <f>+AC21</f>
        <v>#N/A</v>
      </c>
      <c r="AJ40" s="17"/>
    </row>
    <row r="41" spans="1:36" x14ac:dyDescent="0.25">
      <c r="A41" s="42"/>
      <c r="E41" s="11"/>
      <c r="F41" s="12">
        <v>211101</v>
      </c>
      <c r="G41" s="12" t="s">
        <v>18</v>
      </c>
      <c r="H41" s="12" t="str">
        <f t="shared" ref="H41" si="108">H40</f>
        <v>CPA Recaudación Clientes Banco Estado 20-05-2024</v>
      </c>
      <c r="I41" s="13"/>
      <c r="J41" s="18" t="e">
        <f t="shared" ref="J41" si="109">I40</f>
        <v>#N/A</v>
      </c>
      <c r="N41" s="42"/>
      <c r="R41" s="11"/>
      <c r="S41" s="12">
        <v>110206</v>
      </c>
      <c r="T41" s="12" t="s">
        <v>45</v>
      </c>
      <c r="U41" s="12" t="str">
        <f t="shared" ref="U41" si="110">U40</f>
        <v>CPA Traspaso de fondos Bco. Estado a BCI 656 20-04-2024</v>
      </c>
      <c r="V41" s="13"/>
      <c r="W41" s="18" t="e">
        <f t="shared" ref="W41" si="111">V40</f>
        <v>#N/A</v>
      </c>
      <c r="AA41" s="42"/>
      <c r="AE41" s="11"/>
      <c r="AF41" s="12">
        <v>110206</v>
      </c>
      <c r="AG41" s="12" t="s">
        <v>45</v>
      </c>
      <c r="AH41" s="12" t="str">
        <f t="shared" ref="AH41" si="112">AH40</f>
        <v>CPA Traspaso de fondos Bco. Estado a BICE 20-04-2024</v>
      </c>
      <c r="AI41" s="13"/>
      <c r="AJ41" s="18" t="e">
        <f t="shared" ref="AJ41" si="113">AI40</f>
        <v>#N/A</v>
      </c>
    </row>
    <row r="42" spans="1:36" x14ac:dyDescent="0.25">
      <c r="A42" s="42"/>
      <c r="E42" s="15">
        <v>45433</v>
      </c>
      <c r="F42" s="8">
        <v>110206</v>
      </c>
      <c r="G42" s="8" t="s">
        <v>45</v>
      </c>
      <c r="H42" t="str">
        <f>"CPA Recaudación Clientes Banco Estado "&amp;TEXT(E42,"dd-mm-aaa")</f>
        <v>CPA Recaudación Clientes Banco Estado 21-05-2024</v>
      </c>
      <c r="I42" s="16" t="e">
        <f>+C22</f>
        <v>#N/A</v>
      </c>
      <c r="J42" s="17"/>
      <c r="N42" s="42"/>
      <c r="R42" s="15">
        <v>45403</v>
      </c>
      <c r="S42" s="8">
        <v>110209</v>
      </c>
      <c r="T42" s="8" t="s">
        <v>55</v>
      </c>
      <c r="U42" t="str">
        <f>"CPA Traspaso de fondos Bco. Estado a BCI 656 "&amp;TEXT(R42,"dd-mm-yyy")</f>
        <v>CPA Traspaso de fondos Bco. Estado a BCI 656 21-04-2024</v>
      </c>
      <c r="V42" s="16" t="e">
        <f>+P22</f>
        <v>#N/A</v>
      </c>
      <c r="W42" s="17"/>
      <c r="AA42" s="42"/>
      <c r="AE42" s="15">
        <v>45403</v>
      </c>
      <c r="AF42" s="8">
        <v>110204</v>
      </c>
      <c r="AG42" s="8" t="s">
        <v>117</v>
      </c>
      <c r="AH42" t="str">
        <f>"CPA Traspaso de fondos Bco. Estado a BICE "&amp;TEXT(AE42,"dd-mm-yyy")</f>
        <v>CPA Traspaso de fondos Bco. Estado a BICE 21-04-2024</v>
      </c>
      <c r="AI42" s="16" t="e">
        <f>+AC22</f>
        <v>#N/A</v>
      </c>
      <c r="AJ42" s="17"/>
    </row>
    <row r="43" spans="1:36" x14ac:dyDescent="0.25">
      <c r="A43" s="42"/>
      <c r="E43" s="11"/>
      <c r="F43" s="12">
        <v>211101</v>
      </c>
      <c r="G43" s="12" t="s">
        <v>18</v>
      </c>
      <c r="H43" s="12" t="str">
        <f t="shared" ref="H43" si="114">H42</f>
        <v>CPA Recaudación Clientes Banco Estado 21-05-2024</v>
      </c>
      <c r="I43" s="13"/>
      <c r="J43" s="18" t="e">
        <f t="shared" ref="J43" si="115">I42</f>
        <v>#N/A</v>
      </c>
      <c r="N43" s="42"/>
      <c r="R43" s="11"/>
      <c r="S43" s="12">
        <v>110206</v>
      </c>
      <c r="T43" s="12" t="s">
        <v>45</v>
      </c>
      <c r="U43" s="12" t="str">
        <f t="shared" ref="U43" si="116">U42</f>
        <v>CPA Traspaso de fondos Bco. Estado a BCI 656 21-04-2024</v>
      </c>
      <c r="V43" s="13"/>
      <c r="W43" s="18" t="e">
        <f t="shared" ref="W43" si="117">V42</f>
        <v>#N/A</v>
      </c>
      <c r="AA43" s="42"/>
      <c r="AE43" s="11"/>
      <c r="AF43" s="12">
        <v>110206</v>
      </c>
      <c r="AG43" s="12" t="s">
        <v>45</v>
      </c>
      <c r="AH43" s="12" t="str">
        <f t="shared" ref="AH43" si="118">AH42</f>
        <v>CPA Traspaso de fondos Bco. Estado a BICE 21-04-2024</v>
      </c>
      <c r="AI43" s="13"/>
      <c r="AJ43" s="18" t="e">
        <f t="shared" ref="AJ43" si="119">AI42</f>
        <v>#N/A</v>
      </c>
    </row>
    <row r="44" spans="1:36" x14ac:dyDescent="0.25">
      <c r="E44" s="15">
        <v>45434</v>
      </c>
      <c r="F44" s="8">
        <v>110206</v>
      </c>
      <c r="G44" s="8" t="s">
        <v>45</v>
      </c>
      <c r="H44" t="str">
        <f>"CPA Recaudación Clientes Banco Estado "&amp;TEXT(E44,"dd-mm-aaa")</f>
        <v>CPA Recaudación Clientes Banco Estado 22-05-2024</v>
      </c>
      <c r="I44" s="16" t="e">
        <f>+C23</f>
        <v>#N/A</v>
      </c>
      <c r="J44" s="17"/>
      <c r="R44" s="15">
        <v>45404</v>
      </c>
      <c r="S44" s="8">
        <v>110209</v>
      </c>
      <c r="T44" s="8" t="s">
        <v>55</v>
      </c>
      <c r="U44" t="str">
        <f>"CPA Traspaso de fondos Bco. Estado a BCI 656 "&amp;TEXT(R44,"dd-mm-yyy")</f>
        <v>CPA Traspaso de fondos Bco. Estado a BCI 656 22-04-2024</v>
      </c>
      <c r="V44" s="16" t="e">
        <f>+P23</f>
        <v>#N/A</v>
      </c>
      <c r="W44" s="17"/>
      <c r="AE44" s="15">
        <v>45404</v>
      </c>
      <c r="AF44" s="8">
        <v>110204</v>
      </c>
      <c r="AG44" s="8" t="s">
        <v>117</v>
      </c>
      <c r="AH44" t="str">
        <f>"CPA Traspaso de fondos Bco. Estado a BICE "&amp;TEXT(AE44,"dd-mm-yyy")</f>
        <v>CPA Traspaso de fondos Bco. Estado a BICE 22-04-2024</v>
      </c>
      <c r="AI44" s="16" t="e">
        <f>+AC23</f>
        <v>#N/A</v>
      </c>
      <c r="AJ44" s="17"/>
    </row>
    <row r="45" spans="1:36" x14ac:dyDescent="0.25">
      <c r="E45" s="11"/>
      <c r="F45" s="12">
        <v>211101</v>
      </c>
      <c r="G45" s="12" t="s">
        <v>18</v>
      </c>
      <c r="H45" s="12" t="str">
        <f t="shared" ref="H45" si="120">H44</f>
        <v>CPA Recaudación Clientes Banco Estado 22-05-2024</v>
      </c>
      <c r="I45" s="13"/>
      <c r="J45" s="18" t="e">
        <f t="shared" ref="J45" si="121">I44</f>
        <v>#N/A</v>
      </c>
      <c r="R45" s="11"/>
      <c r="S45" s="12">
        <v>110206</v>
      </c>
      <c r="T45" s="12" t="s">
        <v>45</v>
      </c>
      <c r="U45" s="12" t="str">
        <f t="shared" ref="U45" si="122">U44</f>
        <v>CPA Traspaso de fondos Bco. Estado a BCI 656 22-04-2024</v>
      </c>
      <c r="V45" s="13"/>
      <c r="W45" s="18" t="e">
        <f t="shared" ref="W45" si="123">V44</f>
        <v>#N/A</v>
      </c>
      <c r="AE45" s="11"/>
      <c r="AF45" s="12">
        <v>110206</v>
      </c>
      <c r="AG45" s="12" t="s">
        <v>45</v>
      </c>
      <c r="AH45" s="12" t="str">
        <f t="shared" ref="AH45" si="124">AH44</f>
        <v>CPA Traspaso de fondos Bco. Estado a BICE 22-04-2024</v>
      </c>
      <c r="AI45" s="13"/>
      <c r="AJ45" s="18" t="e">
        <f t="shared" ref="AJ45" si="125">AI44</f>
        <v>#N/A</v>
      </c>
    </row>
    <row r="46" spans="1:36" x14ac:dyDescent="0.25">
      <c r="E46" s="15">
        <v>45435</v>
      </c>
      <c r="F46" s="8">
        <v>110206</v>
      </c>
      <c r="G46" s="8" t="s">
        <v>45</v>
      </c>
      <c r="H46" t="str">
        <f>"CPA Recaudación Clientes Banco Estado "&amp;TEXT(E46,"dd-mm-aaa")</f>
        <v>CPA Recaudación Clientes Banco Estado 23-05-2024</v>
      </c>
      <c r="I46" s="16" t="e">
        <f>+C24</f>
        <v>#N/A</v>
      </c>
      <c r="J46" s="17"/>
      <c r="R46" s="15">
        <v>45405</v>
      </c>
      <c r="S46" s="8">
        <v>110209</v>
      </c>
      <c r="T46" s="8" t="s">
        <v>55</v>
      </c>
      <c r="U46" t="str">
        <f>"CPA Traspaso de fondos Bco. Estado a BCI 656 "&amp;TEXT(R46,"dd-mm-yyy")</f>
        <v>CPA Traspaso de fondos Bco. Estado a BCI 656 23-04-2024</v>
      </c>
      <c r="V46" s="16" t="e">
        <f>+P24</f>
        <v>#N/A</v>
      </c>
      <c r="W46" s="17"/>
      <c r="AE46" s="15">
        <v>45405</v>
      </c>
      <c r="AF46" s="8">
        <v>110204</v>
      </c>
      <c r="AG46" s="8" t="s">
        <v>117</v>
      </c>
      <c r="AH46" t="str">
        <f>"CPA Traspaso de fondos Bco. Estado a BICE "&amp;TEXT(AE46,"dd-mm-yyy")</f>
        <v>CPA Traspaso de fondos Bco. Estado a BICE 23-04-2024</v>
      </c>
      <c r="AI46" s="16" t="e">
        <f>+AC24</f>
        <v>#N/A</v>
      </c>
      <c r="AJ46" s="17"/>
    </row>
    <row r="47" spans="1:36" x14ac:dyDescent="0.25">
      <c r="E47" s="11"/>
      <c r="F47" s="12">
        <v>211101</v>
      </c>
      <c r="G47" s="12" t="s">
        <v>18</v>
      </c>
      <c r="H47" s="12" t="str">
        <f t="shared" ref="H47" si="126">H46</f>
        <v>CPA Recaudación Clientes Banco Estado 23-05-2024</v>
      </c>
      <c r="I47" s="13"/>
      <c r="J47" s="18" t="e">
        <f t="shared" ref="J47" si="127">I46</f>
        <v>#N/A</v>
      </c>
      <c r="R47" s="11"/>
      <c r="S47" s="12">
        <v>110206</v>
      </c>
      <c r="T47" s="12" t="s">
        <v>45</v>
      </c>
      <c r="U47" s="12" t="str">
        <f t="shared" ref="U47" si="128">U46</f>
        <v>CPA Traspaso de fondos Bco. Estado a BCI 656 23-04-2024</v>
      </c>
      <c r="V47" s="13"/>
      <c r="W47" s="18" t="e">
        <f t="shared" ref="W47" si="129">V46</f>
        <v>#N/A</v>
      </c>
      <c r="AE47" s="11"/>
      <c r="AF47" s="12">
        <v>110206</v>
      </c>
      <c r="AG47" s="12" t="s">
        <v>45</v>
      </c>
      <c r="AH47" s="12" t="str">
        <f t="shared" ref="AH47" si="130">AH46</f>
        <v>CPA Traspaso de fondos Bco. Estado a BICE 23-04-2024</v>
      </c>
      <c r="AI47" s="13"/>
      <c r="AJ47" s="18" t="e">
        <f t="shared" ref="AJ47" si="131">AI46</f>
        <v>#N/A</v>
      </c>
    </row>
    <row r="48" spans="1:36" x14ac:dyDescent="0.25">
      <c r="E48" s="15">
        <v>45436</v>
      </c>
      <c r="F48" s="8">
        <v>110206</v>
      </c>
      <c r="G48" s="8" t="s">
        <v>45</v>
      </c>
      <c r="H48" t="str">
        <f>"CPA Recaudación Clientes Banco Estado "&amp;TEXT(E48,"dd-mm-aaa")</f>
        <v>CPA Recaudación Clientes Banco Estado 24-05-2024</v>
      </c>
      <c r="I48" s="16" t="e">
        <f>+C25</f>
        <v>#N/A</v>
      </c>
      <c r="J48" s="17"/>
      <c r="R48" s="15">
        <v>45406</v>
      </c>
      <c r="S48" s="8">
        <v>110209</v>
      </c>
      <c r="T48" s="8" t="s">
        <v>55</v>
      </c>
      <c r="U48" t="str">
        <f>"CPA Traspaso de fondos Bco. Estado a BCI 656 "&amp;TEXT(R48,"dd-mm-yyy")</f>
        <v>CPA Traspaso de fondos Bco. Estado a BCI 656 24-04-2024</v>
      </c>
      <c r="V48" s="16" t="e">
        <f>+P25</f>
        <v>#N/A</v>
      </c>
      <c r="W48" s="17"/>
      <c r="AE48" s="15">
        <v>45406</v>
      </c>
      <c r="AF48" s="8">
        <v>110204</v>
      </c>
      <c r="AG48" s="8" t="s">
        <v>117</v>
      </c>
      <c r="AH48" t="str">
        <f>"CPA Traspaso de fondos Bco. Estado a BICE "&amp;TEXT(AE48,"dd-mm-yyy")</f>
        <v>CPA Traspaso de fondos Bco. Estado a BICE 24-04-2024</v>
      </c>
      <c r="AI48" s="16" t="e">
        <f>+AC25</f>
        <v>#N/A</v>
      </c>
      <c r="AJ48" s="17"/>
    </row>
    <row r="49" spans="5:36" x14ac:dyDescent="0.25">
      <c r="E49" s="11"/>
      <c r="F49" s="12">
        <v>211101</v>
      </c>
      <c r="G49" s="12" t="s">
        <v>18</v>
      </c>
      <c r="H49" s="12" t="str">
        <f t="shared" ref="H49" si="132">H48</f>
        <v>CPA Recaudación Clientes Banco Estado 24-05-2024</v>
      </c>
      <c r="I49" s="13"/>
      <c r="J49" s="18" t="e">
        <f t="shared" ref="J49" si="133">I48</f>
        <v>#N/A</v>
      </c>
      <c r="R49" s="11"/>
      <c r="S49" s="12">
        <v>110206</v>
      </c>
      <c r="T49" s="12" t="s">
        <v>45</v>
      </c>
      <c r="U49" s="12" t="str">
        <f t="shared" ref="U49" si="134">U48</f>
        <v>CPA Traspaso de fondos Bco. Estado a BCI 656 24-04-2024</v>
      </c>
      <c r="V49" s="13"/>
      <c r="W49" s="18" t="e">
        <f t="shared" ref="W49" si="135">V48</f>
        <v>#N/A</v>
      </c>
      <c r="AE49" s="11"/>
      <c r="AF49" s="12">
        <v>110206</v>
      </c>
      <c r="AG49" s="12" t="s">
        <v>45</v>
      </c>
      <c r="AH49" s="12" t="str">
        <f t="shared" ref="AH49" si="136">AH48</f>
        <v>CPA Traspaso de fondos Bco. Estado a BICE 24-04-2024</v>
      </c>
      <c r="AI49" s="13"/>
      <c r="AJ49" s="18" t="e">
        <f t="shared" ref="AJ49" si="137">AI48</f>
        <v>#N/A</v>
      </c>
    </row>
    <row r="50" spans="5:36" x14ac:dyDescent="0.25">
      <c r="E50" s="15">
        <v>45437</v>
      </c>
      <c r="F50" s="8">
        <v>110206</v>
      </c>
      <c r="G50" s="8" t="s">
        <v>45</v>
      </c>
      <c r="H50" t="str">
        <f>"CPA Recaudación Clientes Banco Estado "&amp;TEXT(E50,"dd-mm-aaa")</f>
        <v>CPA Recaudación Clientes Banco Estado 25-05-2024</v>
      </c>
      <c r="I50" s="16" t="e">
        <f>+C26</f>
        <v>#N/A</v>
      </c>
      <c r="J50" s="17"/>
      <c r="R50" s="15">
        <v>45407</v>
      </c>
      <c r="S50" s="8">
        <v>110209</v>
      </c>
      <c r="T50" s="8" t="s">
        <v>55</v>
      </c>
      <c r="U50" t="str">
        <f>"CPA Traspaso de fondos Bco. Estado a BCI 656 "&amp;TEXT(R50,"dd-mm-yyy")</f>
        <v>CPA Traspaso de fondos Bco. Estado a BCI 656 25-04-2024</v>
      </c>
      <c r="V50" s="16" t="e">
        <f>+P26</f>
        <v>#N/A</v>
      </c>
      <c r="W50" s="17"/>
      <c r="AE50" s="15">
        <v>45407</v>
      </c>
      <c r="AF50" s="8">
        <v>110204</v>
      </c>
      <c r="AG50" s="8" t="s">
        <v>117</v>
      </c>
      <c r="AH50" t="str">
        <f>"CPA Traspaso de fondos Bco. Estado a BICE "&amp;TEXT(AE50,"dd-mm-yyy")</f>
        <v>CPA Traspaso de fondos Bco. Estado a BICE 25-04-2024</v>
      </c>
      <c r="AI50" s="16" t="e">
        <f>+AC26</f>
        <v>#N/A</v>
      </c>
      <c r="AJ50" s="17"/>
    </row>
    <row r="51" spans="5:36" x14ac:dyDescent="0.25">
      <c r="E51" s="11"/>
      <c r="F51" s="12">
        <v>211101</v>
      </c>
      <c r="G51" s="12" t="s">
        <v>18</v>
      </c>
      <c r="H51" s="12" t="str">
        <f t="shared" ref="H51" si="138">H50</f>
        <v>CPA Recaudación Clientes Banco Estado 25-05-2024</v>
      </c>
      <c r="I51" s="13"/>
      <c r="J51" s="18" t="e">
        <f t="shared" ref="J51" si="139">I50</f>
        <v>#N/A</v>
      </c>
      <c r="R51" s="11"/>
      <c r="S51" s="12">
        <v>110206</v>
      </c>
      <c r="T51" s="12" t="s">
        <v>45</v>
      </c>
      <c r="U51" s="12" t="str">
        <f t="shared" ref="U51" si="140">U50</f>
        <v>CPA Traspaso de fondos Bco. Estado a BCI 656 25-04-2024</v>
      </c>
      <c r="V51" s="13"/>
      <c r="W51" s="18" t="e">
        <f t="shared" ref="W51" si="141">V50</f>
        <v>#N/A</v>
      </c>
      <c r="AE51" s="11"/>
      <c r="AF51" s="12">
        <v>110206</v>
      </c>
      <c r="AG51" s="12" t="s">
        <v>45</v>
      </c>
      <c r="AH51" s="12" t="str">
        <f t="shared" ref="AH51" si="142">AH50</f>
        <v>CPA Traspaso de fondos Bco. Estado a BICE 25-04-2024</v>
      </c>
      <c r="AI51" s="13"/>
      <c r="AJ51" s="18" t="e">
        <f t="shared" ref="AJ51" si="143">AI50</f>
        <v>#N/A</v>
      </c>
    </row>
    <row r="52" spans="5:36" x14ac:dyDescent="0.25">
      <c r="E52" s="15">
        <v>45438</v>
      </c>
      <c r="F52" s="8">
        <v>110206</v>
      </c>
      <c r="G52" s="8" t="s">
        <v>45</v>
      </c>
      <c r="H52" t="str">
        <f>"CPA Recaudación Clientes Banco Estado "&amp;TEXT(E52,"dd-mm-aaa")</f>
        <v>CPA Recaudación Clientes Banco Estado 26-05-2024</v>
      </c>
      <c r="I52" s="16" t="e">
        <f>+C27</f>
        <v>#N/A</v>
      </c>
      <c r="J52" s="17"/>
      <c r="R52" s="15">
        <v>45408</v>
      </c>
      <c r="S52" s="8">
        <v>110209</v>
      </c>
      <c r="T52" s="8" t="s">
        <v>55</v>
      </c>
      <c r="U52" t="str">
        <f>"CPA Traspaso de fondos Bco. Estado a BCI 656 "&amp;TEXT(R52,"dd-mm-yyy")</f>
        <v>CPA Traspaso de fondos Bco. Estado a BCI 656 26-04-2024</v>
      </c>
      <c r="V52" s="16" t="e">
        <f>+P27</f>
        <v>#N/A</v>
      </c>
      <c r="W52" s="17"/>
      <c r="AE52" s="15">
        <v>45408</v>
      </c>
      <c r="AF52" s="8">
        <v>110204</v>
      </c>
      <c r="AG52" s="8" t="s">
        <v>117</v>
      </c>
      <c r="AH52" t="str">
        <f>"CPA Traspaso de fondos Bco. Estado a BICE "&amp;TEXT(AE52,"dd-mm-yyy")</f>
        <v>CPA Traspaso de fondos Bco. Estado a BICE 26-04-2024</v>
      </c>
      <c r="AI52" s="16" t="e">
        <f>+AC27</f>
        <v>#N/A</v>
      </c>
      <c r="AJ52" s="17"/>
    </row>
    <row r="53" spans="5:36" x14ac:dyDescent="0.25">
      <c r="E53" s="11"/>
      <c r="F53" s="12">
        <v>211101</v>
      </c>
      <c r="G53" s="12" t="s">
        <v>18</v>
      </c>
      <c r="H53" s="12" t="str">
        <f t="shared" ref="H53" si="144">H52</f>
        <v>CPA Recaudación Clientes Banco Estado 26-05-2024</v>
      </c>
      <c r="I53" s="13"/>
      <c r="J53" s="18" t="e">
        <f t="shared" ref="J53" si="145">I52</f>
        <v>#N/A</v>
      </c>
      <c r="R53" s="11"/>
      <c r="S53" s="12">
        <v>110206</v>
      </c>
      <c r="T53" s="12" t="s">
        <v>45</v>
      </c>
      <c r="U53" s="12" t="str">
        <f t="shared" ref="U53" si="146">U52</f>
        <v>CPA Traspaso de fondos Bco. Estado a BCI 656 26-04-2024</v>
      </c>
      <c r="V53" s="13"/>
      <c r="W53" s="18" t="e">
        <f t="shared" ref="W53" si="147">V52</f>
        <v>#N/A</v>
      </c>
      <c r="AE53" s="11"/>
      <c r="AF53" s="12">
        <v>110206</v>
      </c>
      <c r="AG53" s="12" t="s">
        <v>45</v>
      </c>
      <c r="AH53" s="12" t="str">
        <f t="shared" ref="AH53" si="148">AH52</f>
        <v>CPA Traspaso de fondos Bco. Estado a BICE 26-04-2024</v>
      </c>
      <c r="AI53" s="13"/>
      <c r="AJ53" s="18" t="e">
        <f t="shared" ref="AJ53" si="149">AI52</f>
        <v>#N/A</v>
      </c>
    </row>
    <row r="54" spans="5:36" x14ac:dyDescent="0.25">
      <c r="E54" s="15">
        <v>45439</v>
      </c>
      <c r="F54" s="8">
        <v>110206</v>
      </c>
      <c r="G54" s="8" t="s">
        <v>45</v>
      </c>
      <c r="H54" t="str">
        <f>"CPA Recaudación Clientes Banco Estado "&amp;TEXT(E54,"dd-mm-aaa")</f>
        <v>CPA Recaudación Clientes Banco Estado 27-05-2024</v>
      </c>
      <c r="I54" s="16" t="e">
        <f>+C28</f>
        <v>#N/A</v>
      </c>
      <c r="J54" s="17"/>
      <c r="R54" s="15">
        <v>45409</v>
      </c>
      <c r="S54" s="8">
        <v>110209</v>
      </c>
      <c r="T54" s="8" t="s">
        <v>55</v>
      </c>
      <c r="U54" t="str">
        <f>"CPA Traspaso de fondos Bco. Estado a BCI 656 "&amp;TEXT(R54,"dd-mm-yyy")</f>
        <v>CPA Traspaso de fondos Bco. Estado a BCI 656 27-04-2024</v>
      </c>
      <c r="V54" s="16" t="e">
        <f>+P28</f>
        <v>#N/A</v>
      </c>
      <c r="W54" s="17"/>
      <c r="AE54" s="15">
        <v>45409</v>
      </c>
      <c r="AF54" s="8">
        <v>110204</v>
      </c>
      <c r="AG54" s="8" t="s">
        <v>117</v>
      </c>
      <c r="AH54" t="str">
        <f>"CPA Traspaso de fondos Bco. Estado a BICE "&amp;TEXT(AE54,"dd-mm-yyy")</f>
        <v>CPA Traspaso de fondos Bco. Estado a BICE 27-04-2024</v>
      </c>
      <c r="AI54" s="16" t="e">
        <f>+AC28</f>
        <v>#N/A</v>
      </c>
      <c r="AJ54" s="17"/>
    </row>
    <row r="55" spans="5:36" x14ac:dyDescent="0.25">
      <c r="E55" s="11"/>
      <c r="F55" s="12">
        <v>211101</v>
      </c>
      <c r="G55" s="12" t="s">
        <v>18</v>
      </c>
      <c r="H55" s="12" t="str">
        <f t="shared" ref="H55" si="150">H54</f>
        <v>CPA Recaudación Clientes Banco Estado 27-05-2024</v>
      </c>
      <c r="I55" s="13"/>
      <c r="J55" s="18" t="e">
        <f t="shared" ref="J55" si="151">I54</f>
        <v>#N/A</v>
      </c>
      <c r="R55" s="11"/>
      <c r="S55" s="12">
        <v>110206</v>
      </c>
      <c r="T55" s="12" t="s">
        <v>45</v>
      </c>
      <c r="U55" s="12" t="str">
        <f t="shared" ref="U55" si="152">U54</f>
        <v>CPA Traspaso de fondos Bco. Estado a BCI 656 27-04-2024</v>
      </c>
      <c r="V55" s="13"/>
      <c r="W55" s="18" t="e">
        <f t="shared" ref="W55" si="153">V54</f>
        <v>#N/A</v>
      </c>
      <c r="AE55" s="11"/>
      <c r="AF55" s="12">
        <v>110206</v>
      </c>
      <c r="AG55" s="12" t="s">
        <v>45</v>
      </c>
      <c r="AH55" s="12" t="str">
        <f t="shared" ref="AH55" si="154">AH54</f>
        <v>CPA Traspaso de fondos Bco. Estado a BICE 27-04-2024</v>
      </c>
      <c r="AI55" s="13"/>
      <c r="AJ55" s="18" t="e">
        <f t="shared" ref="AJ55" si="155">AI54</f>
        <v>#N/A</v>
      </c>
    </row>
    <row r="56" spans="5:36" x14ac:dyDescent="0.25">
      <c r="E56" s="15">
        <v>45440</v>
      </c>
      <c r="F56" s="8">
        <v>110206</v>
      </c>
      <c r="G56" s="8" t="s">
        <v>45</v>
      </c>
      <c r="H56" t="str">
        <f>"CPA Recaudación Clientes Banco Estado "&amp;TEXT(E56,"dd-mm-aaa")</f>
        <v>CPA Recaudación Clientes Banco Estado 28-05-2024</v>
      </c>
      <c r="I56" s="16" t="e">
        <f>+C29</f>
        <v>#N/A</v>
      </c>
      <c r="J56" s="17"/>
      <c r="R56" s="15">
        <v>45410</v>
      </c>
      <c r="S56" s="8">
        <v>110209</v>
      </c>
      <c r="T56" s="8" t="s">
        <v>55</v>
      </c>
      <c r="U56" t="str">
        <f>"CPA Traspaso de fondos Bco. Estado a BCI 656 "&amp;TEXT(R56,"dd-mm-yyy")</f>
        <v>CPA Traspaso de fondos Bco. Estado a BCI 656 28-04-2024</v>
      </c>
      <c r="V56" s="16" t="e">
        <f>+P29</f>
        <v>#N/A</v>
      </c>
      <c r="W56" s="17"/>
      <c r="AE56" s="15">
        <v>45410</v>
      </c>
      <c r="AF56" s="8">
        <v>110204</v>
      </c>
      <c r="AG56" s="8" t="s">
        <v>117</v>
      </c>
      <c r="AH56" t="str">
        <f>"CPA Traspaso de fondos Bco. Estado a BICE "&amp;TEXT(AE56,"dd-mm-yyy")</f>
        <v>CPA Traspaso de fondos Bco. Estado a BICE 28-04-2024</v>
      </c>
      <c r="AI56" s="16" t="e">
        <f>+AC29</f>
        <v>#N/A</v>
      </c>
      <c r="AJ56" s="17"/>
    </row>
    <row r="57" spans="5:36" x14ac:dyDescent="0.25">
      <c r="E57" s="11"/>
      <c r="F57" s="12">
        <v>211101</v>
      </c>
      <c r="G57" s="12" t="s">
        <v>18</v>
      </c>
      <c r="H57" s="12" t="str">
        <f t="shared" ref="H57" si="156">H56</f>
        <v>CPA Recaudación Clientes Banco Estado 28-05-2024</v>
      </c>
      <c r="I57" s="13"/>
      <c r="J57" s="18" t="e">
        <f t="shared" ref="J57" si="157">I56</f>
        <v>#N/A</v>
      </c>
      <c r="R57" s="11"/>
      <c r="S57" s="12">
        <v>110206</v>
      </c>
      <c r="T57" s="12" t="s">
        <v>45</v>
      </c>
      <c r="U57" s="12" t="str">
        <f t="shared" ref="U57" si="158">U56</f>
        <v>CPA Traspaso de fondos Bco. Estado a BCI 656 28-04-2024</v>
      </c>
      <c r="V57" s="13"/>
      <c r="W57" s="18" t="e">
        <f t="shared" ref="W57" si="159">V56</f>
        <v>#N/A</v>
      </c>
      <c r="AE57" s="11"/>
      <c r="AF57" s="12">
        <v>110206</v>
      </c>
      <c r="AG57" s="12" t="s">
        <v>45</v>
      </c>
      <c r="AH57" s="12" t="str">
        <f t="shared" ref="AH57" si="160">AH56</f>
        <v>CPA Traspaso de fondos Bco. Estado a BICE 28-04-2024</v>
      </c>
      <c r="AI57" s="13"/>
      <c r="AJ57" s="18" t="e">
        <f t="shared" ref="AJ57" si="161">AI56</f>
        <v>#N/A</v>
      </c>
    </row>
    <row r="58" spans="5:36" x14ac:dyDescent="0.25">
      <c r="E58" s="15">
        <v>45441</v>
      </c>
      <c r="F58" s="8">
        <v>110206</v>
      </c>
      <c r="G58" s="8" t="s">
        <v>45</v>
      </c>
      <c r="H58" t="str">
        <f>"CPA Recaudación Clientes Banco Estado "&amp;TEXT(E58,"dd-mm-aaa")</f>
        <v>CPA Recaudación Clientes Banco Estado 29-05-2024</v>
      </c>
      <c r="I58" s="16" t="e">
        <f>+C30</f>
        <v>#N/A</v>
      </c>
      <c r="J58" s="17"/>
      <c r="R58" s="15">
        <v>45411</v>
      </c>
      <c r="S58" s="8">
        <v>110209</v>
      </c>
      <c r="T58" s="8" t="s">
        <v>55</v>
      </c>
      <c r="U58" t="str">
        <f>"CPA Traspaso de fondos Bco. Estado a BCI 656 "&amp;TEXT(R58,"dd-mm-yyy")</f>
        <v>CPA Traspaso de fondos Bco. Estado a BCI 656 29-04-2024</v>
      </c>
      <c r="V58" s="16" t="e">
        <f>+P30</f>
        <v>#N/A</v>
      </c>
      <c r="W58" s="17"/>
      <c r="AE58" s="15">
        <v>45411</v>
      </c>
      <c r="AF58" s="8">
        <v>110204</v>
      </c>
      <c r="AG58" s="8" t="s">
        <v>117</v>
      </c>
      <c r="AH58" t="str">
        <f>"CPA Traspaso de fondos Bco. Estado a BICE "&amp;TEXT(AE58,"dd-mm-yyy")</f>
        <v>CPA Traspaso de fondos Bco. Estado a BICE 29-04-2024</v>
      </c>
      <c r="AI58" s="16" t="e">
        <f>+AC30</f>
        <v>#N/A</v>
      </c>
      <c r="AJ58" s="17"/>
    </row>
    <row r="59" spans="5:36" x14ac:dyDescent="0.25">
      <c r="E59" s="11"/>
      <c r="F59" s="12">
        <v>211101</v>
      </c>
      <c r="G59" s="12" t="s">
        <v>18</v>
      </c>
      <c r="H59" s="12" t="str">
        <f t="shared" ref="H59" si="162">H58</f>
        <v>CPA Recaudación Clientes Banco Estado 29-05-2024</v>
      </c>
      <c r="I59" s="13"/>
      <c r="J59" s="18" t="e">
        <f t="shared" ref="J59" si="163">I58</f>
        <v>#N/A</v>
      </c>
      <c r="R59" s="11"/>
      <c r="S59" s="12">
        <v>110206</v>
      </c>
      <c r="T59" s="12" t="s">
        <v>45</v>
      </c>
      <c r="U59" s="12" t="str">
        <f t="shared" ref="U59" si="164">U58</f>
        <v>CPA Traspaso de fondos Bco. Estado a BCI 656 29-04-2024</v>
      </c>
      <c r="V59" s="13"/>
      <c r="W59" s="18" t="e">
        <f t="shared" ref="W59" si="165">V58</f>
        <v>#N/A</v>
      </c>
      <c r="AE59" s="11"/>
      <c r="AF59" s="12">
        <v>110206</v>
      </c>
      <c r="AG59" s="12" t="s">
        <v>45</v>
      </c>
      <c r="AH59" s="12" t="str">
        <f t="shared" ref="AH59" si="166">AH58</f>
        <v>CPA Traspaso de fondos Bco. Estado a BICE 29-04-2024</v>
      </c>
      <c r="AI59" s="13"/>
      <c r="AJ59" s="18" t="e">
        <f t="shared" ref="AJ59" si="167">AI58</f>
        <v>#N/A</v>
      </c>
    </row>
    <row r="60" spans="5:36" x14ac:dyDescent="0.25">
      <c r="E60" s="15">
        <v>45442</v>
      </c>
      <c r="F60" s="8">
        <v>110206</v>
      </c>
      <c r="G60" s="8" t="s">
        <v>45</v>
      </c>
      <c r="H60" t="str">
        <f>"CPA Recaudación Clientes Banco Estado "&amp;TEXT(E60,"dd-mm-aaa")</f>
        <v>CPA Recaudación Clientes Banco Estado 30-05-2024</v>
      </c>
      <c r="I60" s="16" t="e">
        <f>+C31</f>
        <v>#N/A</v>
      </c>
      <c r="J60" s="17"/>
      <c r="R60" s="15">
        <v>45412</v>
      </c>
      <c r="S60" s="8">
        <v>110209</v>
      </c>
      <c r="T60" s="8" t="s">
        <v>55</v>
      </c>
      <c r="U60" t="str">
        <f>"CPA Traspaso de fondos Bco. Estado a BCI 656 "&amp;TEXT(R60,"dd-mm-yyy")</f>
        <v>CPA Traspaso de fondos Bco. Estado a BCI 656 30-04-2024</v>
      </c>
      <c r="V60" s="16" t="e">
        <f>+P31</f>
        <v>#N/A</v>
      </c>
      <c r="W60" s="17"/>
      <c r="AE60" s="15">
        <v>45412</v>
      </c>
      <c r="AF60" s="8">
        <v>110204</v>
      </c>
      <c r="AG60" s="8" t="s">
        <v>117</v>
      </c>
      <c r="AH60" t="str">
        <f>"CPA Traspaso de fondos Bco. Estado a BICE "&amp;TEXT(AE60,"dd-mm-yyy")</f>
        <v>CPA Traspaso de fondos Bco. Estado a BICE 30-04-2024</v>
      </c>
      <c r="AI60" s="16" t="e">
        <f>+AC31</f>
        <v>#N/A</v>
      </c>
      <c r="AJ60" s="17"/>
    </row>
    <row r="61" spans="5:36" x14ac:dyDescent="0.25">
      <c r="E61" s="11"/>
      <c r="F61" s="12">
        <v>211101</v>
      </c>
      <c r="G61" s="12" t="s">
        <v>18</v>
      </c>
      <c r="H61" s="12" t="str">
        <f t="shared" ref="H61" si="168">H60</f>
        <v>CPA Recaudación Clientes Banco Estado 30-05-2024</v>
      </c>
      <c r="I61" s="13"/>
      <c r="J61" s="18" t="e">
        <f t="shared" ref="J61" si="169">I60</f>
        <v>#N/A</v>
      </c>
      <c r="R61" s="11"/>
      <c r="S61" s="12">
        <v>110206</v>
      </c>
      <c r="T61" s="12" t="s">
        <v>45</v>
      </c>
      <c r="U61" s="12" t="str">
        <f t="shared" ref="U61" si="170">U60</f>
        <v>CPA Traspaso de fondos Bco. Estado a BCI 656 30-04-2024</v>
      </c>
      <c r="V61" s="13"/>
      <c r="W61" s="18" t="e">
        <f t="shared" ref="W61" si="171">V60</f>
        <v>#N/A</v>
      </c>
      <c r="AE61" s="11"/>
      <c r="AF61" s="12">
        <v>110206</v>
      </c>
      <c r="AG61" s="12" t="s">
        <v>45</v>
      </c>
      <c r="AH61" s="12" t="str">
        <f t="shared" ref="AH61" si="172">AH60</f>
        <v>CPA Traspaso de fondos Bco. Estado a BICE 30-04-2024</v>
      </c>
      <c r="AI61" s="13"/>
      <c r="AJ61" s="18" t="e">
        <f t="shared" ref="AJ61" si="173">AI60</f>
        <v>#N/A</v>
      </c>
    </row>
    <row r="62" spans="5:36" x14ac:dyDescent="0.25">
      <c r="E62" s="15">
        <v>45443</v>
      </c>
      <c r="F62" s="8">
        <v>110206</v>
      </c>
      <c r="G62" s="8" t="s">
        <v>45</v>
      </c>
      <c r="H62" t="str">
        <f>"CPA Recaudación Clientes Banco Estado "&amp;TEXT(E62,"dd-mm-aaa")</f>
        <v>CPA Recaudación Clientes Banco Estado 31-05-2024</v>
      </c>
      <c r="I62" s="16" t="e">
        <f>+C32</f>
        <v>#N/A</v>
      </c>
      <c r="J62" s="17"/>
      <c r="R62" s="15" t="s">
        <v>155</v>
      </c>
      <c r="S62" s="8">
        <v>110209</v>
      </c>
      <c r="T62" s="8" t="s">
        <v>55</v>
      </c>
      <c r="U62" t="str">
        <f>"CPA Traspaso de fondos Bco. Estado a BCI 656 "&amp;TEXT(R62,"dd-mm-yyy")</f>
        <v>CPA Traspaso de fondos Bco. Estado a BCI 656 31-04-2024</v>
      </c>
      <c r="V62" s="16" t="e">
        <f>+P32</f>
        <v>#N/A</v>
      </c>
      <c r="W62" s="17"/>
      <c r="AE62" s="15" t="s">
        <v>155</v>
      </c>
      <c r="AF62" s="8">
        <v>110204</v>
      </c>
      <c r="AG62" s="8" t="s">
        <v>117</v>
      </c>
      <c r="AH62" t="str">
        <f>"CPA Traspaso de fondos Bco. Estado a BICE "&amp;TEXT(AE62,"dd-mm-yyy")</f>
        <v>CPA Traspaso de fondos Bco. Estado a BICE 31-04-2024</v>
      </c>
      <c r="AI62" s="16" t="e">
        <f>+AC32</f>
        <v>#N/A</v>
      </c>
      <c r="AJ62" s="17"/>
    </row>
    <row r="63" spans="5:36" x14ac:dyDescent="0.25">
      <c r="E63" s="11"/>
      <c r="F63" s="12">
        <v>211101</v>
      </c>
      <c r="G63" s="12" t="s">
        <v>18</v>
      </c>
      <c r="H63" s="12" t="str">
        <f t="shared" ref="H63" si="174">H62</f>
        <v>CPA Recaudación Clientes Banco Estado 31-05-2024</v>
      </c>
      <c r="I63" s="13"/>
      <c r="J63" s="18" t="e">
        <f t="shared" ref="J63" si="175">I62</f>
        <v>#N/A</v>
      </c>
      <c r="R63" s="11"/>
      <c r="S63" s="12">
        <v>110206</v>
      </c>
      <c r="T63" s="12" t="s">
        <v>45</v>
      </c>
      <c r="U63" s="12" t="str">
        <f t="shared" ref="U63" si="176">U62</f>
        <v>CPA Traspaso de fondos Bco. Estado a BCI 656 31-04-2024</v>
      </c>
      <c r="V63" s="13"/>
      <c r="W63" s="18" t="e">
        <f t="shared" ref="W63" si="177">V62</f>
        <v>#N/A</v>
      </c>
      <c r="AE63" s="11"/>
      <c r="AF63" s="12">
        <v>110206</v>
      </c>
      <c r="AG63" s="12" t="s">
        <v>45</v>
      </c>
      <c r="AH63" s="12" t="str">
        <f t="shared" ref="AH63" si="178">AH62</f>
        <v>CPA Traspaso de fondos Bco. Estado a BICE 31-04-2024</v>
      </c>
      <c r="AI63" s="13"/>
      <c r="AJ63" s="18" t="e">
        <f t="shared" ref="AJ63" si="179">AI62</f>
        <v>#N/A</v>
      </c>
    </row>
  </sheetData>
  <autoFilter ref="AE1:AJ63" xr:uid="{5DA38CDA-9010-4E07-ABDF-4887936EE683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B557-53FF-4987-BF2B-8F1D211F05E9}">
  <dimension ref="A1:Z63"/>
  <sheetViews>
    <sheetView showGridLines="0" workbookViewId="0">
      <selection activeCell="U9" sqref="U9"/>
    </sheetView>
  </sheetViews>
  <sheetFormatPr baseColWidth="10" defaultRowHeight="15" outlineLevelCol="1" x14ac:dyDescent="0.25"/>
  <cols>
    <col min="1" max="1" width="11.140625" bestFit="1" customWidth="1"/>
    <col min="2" max="2" width="14.5703125" bestFit="1" customWidth="1" outlineLevel="1"/>
    <col min="3" max="4" width="12" customWidth="1" outlineLevel="1"/>
    <col min="5" max="5" width="13.5703125" bestFit="1" customWidth="1" outlineLevel="1"/>
    <col min="6" max="6" width="11.42578125" outlineLevel="1"/>
    <col min="7" max="8" width="11.42578125" customWidth="1" outlineLevel="1"/>
    <col min="9" max="9" width="23.140625" customWidth="1" outlineLevel="1"/>
    <col min="10" max="10" width="53.7109375" bestFit="1" customWidth="1" outlineLevel="1"/>
    <col min="11" max="12" width="13.5703125" customWidth="1" outlineLevel="1"/>
    <col min="17" max="17" width="11.140625" bestFit="1" customWidth="1"/>
    <col min="18" max="18" width="13.5703125" customWidth="1" outlineLevel="1"/>
    <col min="19" max="19" width="12" customWidth="1" outlineLevel="1"/>
    <col min="20" max="22" width="11.42578125" outlineLevel="1"/>
    <col min="23" max="23" width="26.140625" bestFit="1" customWidth="1" outlineLevel="1"/>
    <col min="24" max="24" width="55" customWidth="1" outlineLevel="1"/>
    <col min="25" max="26" width="13.5703125" customWidth="1" outlineLevel="1"/>
  </cols>
  <sheetData>
    <row r="1" spans="1:26" x14ac:dyDescent="0.25">
      <c r="A1" s="4" t="s">
        <v>0</v>
      </c>
      <c r="B1" s="4"/>
      <c r="C1" s="75"/>
      <c r="G1" s="22" t="s">
        <v>0</v>
      </c>
      <c r="H1" s="23"/>
      <c r="I1" s="23"/>
      <c r="J1" s="23" t="s">
        <v>56</v>
      </c>
      <c r="K1" s="23" t="s">
        <v>5</v>
      </c>
      <c r="L1" s="24" t="s">
        <v>6</v>
      </c>
      <c r="Q1" s="4" t="s">
        <v>0</v>
      </c>
      <c r="R1" s="4" t="s">
        <v>27</v>
      </c>
      <c r="S1" s="75" t="s">
        <v>58</v>
      </c>
      <c r="U1" s="22" t="s">
        <v>0</v>
      </c>
      <c r="V1" s="23"/>
      <c r="W1" s="23"/>
      <c r="X1" s="23"/>
      <c r="Y1" s="23" t="s">
        <v>5</v>
      </c>
      <c r="Z1" s="24" t="s">
        <v>6</v>
      </c>
    </row>
    <row r="2" spans="1:26" x14ac:dyDescent="0.25">
      <c r="A2" s="1">
        <v>45413</v>
      </c>
      <c r="B2" s="26" t="e">
        <f>HLOOKUP(A2,Hoja2!$R$2:$AV$15,14,FALSE)</f>
        <v>#N/A</v>
      </c>
      <c r="C2" s="77" t="e">
        <f>HLOOKUP(A2,Hoja2!$R$2:$AV$16,15,FALSE)</f>
        <v>#N/A</v>
      </c>
      <c r="D2" s="26" t="e">
        <f>HLOOKUP(A2,Hoja2!$R$2:$AV$17,16,FALSE)</f>
        <v>#N/A</v>
      </c>
      <c r="E2" s="26"/>
      <c r="G2" s="9">
        <v>45413</v>
      </c>
      <c r="H2">
        <v>110205</v>
      </c>
      <c r="I2" t="s">
        <v>59</v>
      </c>
      <c r="J2" t="e">
        <f>"CPA Compra Divisas " &amp;D2&amp;" T/C "&amp;C2&amp;" "&amp;TEXT($G2,"dd-mm-aaa")</f>
        <v>#N/A</v>
      </c>
      <c r="K2" s="3" t="e">
        <f>+B2</f>
        <v>#N/A</v>
      </c>
      <c r="L2" s="10"/>
      <c r="M2" s="3"/>
      <c r="Q2" s="1">
        <v>45413</v>
      </c>
      <c r="R2" s="26" t="e">
        <f>HLOOKUP(Q2,Hoja2!$R$2:$AV$8,7,FALSE)</f>
        <v>#N/A</v>
      </c>
      <c r="S2" s="3"/>
      <c r="U2" s="9">
        <v>45413</v>
      </c>
      <c r="V2" s="8">
        <v>110204</v>
      </c>
      <c r="W2" s="8" t="s">
        <v>51</v>
      </c>
      <c r="X2" t="str">
        <f>"CPA LIQ CORRESPONSAL GC BICE "&amp;TEXT(U2,"dd-mm-aaa")</f>
        <v>CPA LIQ CORRESPONSAL GC BICE 01-05-2024</v>
      </c>
      <c r="Y2" s="3" t="e">
        <f>+R2</f>
        <v>#N/A</v>
      </c>
      <c r="Z2" s="10"/>
    </row>
    <row r="3" spans="1:26" x14ac:dyDescent="0.25">
      <c r="A3" s="1">
        <v>45414</v>
      </c>
      <c r="B3" s="26" t="e">
        <f>HLOOKUP(A3,Hoja2!$R$2:$AV$15,14,FALSE)</f>
        <v>#N/A</v>
      </c>
      <c r="C3" s="77" t="e">
        <f>HLOOKUP(A3,Hoja2!$R$2:$AV$16,15,FALSE)</f>
        <v>#N/A</v>
      </c>
      <c r="D3" s="26" t="e">
        <f>HLOOKUP(A3,Hoja2!$R$2:$AV$17,16,FALSE)</f>
        <v>#N/A</v>
      </c>
      <c r="E3" s="26"/>
      <c r="G3" s="11"/>
      <c r="H3" s="12">
        <v>110204</v>
      </c>
      <c r="I3" s="12" t="s">
        <v>51</v>
      </c>
      <c r="J3" s="12" t="e">
        <f>+J2</f>
        <v>#N/A</v>
      </c>
      <c r="K3" s="13"/>
      <c r="L3" s="18" t="e">
        <f>+K2</f>
        <v>#N/A</v>
      </c>
      <c r="Q3" s="1">
        <v>45414</v>
      </c>
      <c r="R3" s="26" t="e">
        <f>HLOOKUP(Q3,Hoja2!$R$2:$AV$8,7,FALSE)</f>
        <v>#N/A</v>
      </c>
      <c r="U3" s="11"/>
      <c r="V3" s="12">
        <v>110608</v>
      </c>
      <c r="W3" s="12" t="s">
        <v>62</v>
      </c>
      <c r="X3" s="12" t="str">
        <f>X2</f>
        <v>CPA LIQ CORRESPONSAL GC BICE 01-05-2024</v>
      </c>
      <c r="Y3" s="13"/>
      <c r="Z3" s="18" t="e">
        <f>Y2</f>
        <v>#N/A</v>
      </c>
    </row>
    <row r="4" spans="1:26" x14ac:dyDescent="0.25">
      <c r="A4" s="1">
        <v>45415</v>
      </c>
      <c r="B4" s="26" t="e">
        <f>HLOOKUP(A4,Hoja2!$R$2:$AV$15,14,FALSE)</f>
        <v>#N/A</v>
      </c>
      <c r="C4" s="77" t="e">
        <f>HLOOKUP(A4,Hoja2!$R$2:$AV$16,15,FALSE)</f>
        <v>#N/A</v>
      </c>
      <c r="D4" s="26" t="e">
        <f>HLOOKUP(A4,Hoja2!$R$2:$AV$17,16,FALSE)</f>
        <v>#N/A</v>
      </c>
      <c r="E4" s="26"/>
      <c r="G4" s="15">
        <v>45414</v>
      </c>
      <c r="H4">
        <v>110205</v>
      </c>
      <c r="I4" t="s">
        <v>59</v>
      </c>
      <c r="J4" t="e">
        <f>"CPA Compra Divisas " &amp;D3&amp;" T/C "&amp;C3&amp;" "&amp;TEXT($G4,"dd-mm-aaa")</f>
        <v>#N/A</v>
      </c>
      <c r="K4" s="3" t="e">
        <f>+B3</f>
        <v>#N/A</v>
      </c>
      <c r="L4" s="10"/>
      <c r="Q4" s="1">
        <v>45415</v>
      </c>
      <c r="R4" s="26" t="e">
        <f>HLOOKUP(Q4,Hoja2!$R$2:$AV$8,7,FALSE)</f>
        <v>#N/A</v>
      </c>
      <c r="U4" s="15">
        <v>45414</v>
      </c>
      <c r="V4" s="8">
        <v>110204</v>
      </c>
      <c r="W4" s="8" t="s">
        <v>51</v>
      </c>
      <c r="X4" s="8" t="str">
        <f>"CPA LIQ CORRESPONSAL GC BICE "&amp;TEXT(U4,"dd-mm-aaa")</f>
        <v>CPA LIQ CORRESPONSAL GC BICE 02-05-2024</v>
      </c>
      <c r="Y4" s="16" t="e">
        <f>+R3</f>
        <v>#N/A</v>
      </c>
      <c r="Z4" s="17"/>
    </row>
    <row r="5" spans="1:26" x14ac:dyDescent="0.25">
      <c r="A5" s="1">
        <v>45416</v>
      </c>
      <c r="B5" s="26" t="e">
        <f>HLOOKUP(A5,Hoja2!$R$2:$AV$15,14,FALSE)</f>
        <v>#N/A</v>
      </c>
      <c r="C5" s="77" t="e">
        <f>HLOOKUP(A5,Hoja2!$R$2:$AV$16,15,FALSE)</f>
        <v>#N/A</v>
      </c>
      <c r="D5" s="26" t="e">
        <f>HLOOKUP(A5,Hoja2!$R$2:$AV$17,16,FALSE)</f>
        <v>#N/A</v>
      </c>
      <c r="E5" s="26"/>
      <c r="G5" s="11"/>
      <c r="H5" s="12">
        <v>110204</v>
      </c>
      <c r="I5" s="12" t="s">
        <v>51</v>
      </c>
      <c r="J5" s="12" t="e">
        <f>+J4</f>
        <v>#N/A</v>
      </c>
      <c r="K5" s="13"/>
      <c r="L5" s="18" t="e">
        <f t="shared" ref="L5" si="0">+K4</f>
        <v>#N/A</v>
      </c>
      <c r="Q5" s="1">
        <v>45416</v>
      </c>
      <c r="R5" s="26" t="e">
        <f>HLOOKUP(Q5,Hoja2!$R$2:$AV$8,7,FALSE)</f>
        <v>#N/A</v>
      </c>
      <c r="U5" s="11"/>
      <c r="V5" s="12">
        <v>110608</v>
      </c>
      <c r="W5" s="12" t="s">
        <v>62</v>
      </c>
      <c r="X5" s="12" t="str">
        <f>X4</f>
        <v>CPA LIQ CORRESPONSAL GC BICE 02-05-2024</v>
      </c>
      <c r="Y5" s="13"/>
      <c r="Z5" s="18" t="e">
        <f>Y4</f>
        <v>#N/A</v>
      </c>
    </row>
    <row r="6" spans="1:26" x14ac:dyDescent="0.25">
      <c r="A6" s="1">
        <v>45417</v>
      </c>
      <c r="B6" s="26" t="e">
        <f>HLOOKUP(A6,Hoja2!$R$2:$AV$15,14,FALSE)</f>
        <v>#N/A</v>
      </c>
      <c r="C6" s="77" t="e">
        <f>HLOOKUP(A6,Hoja2!$R$2:$AV$16,15,FALSE)</f>
        <v>#N/A</v>
      </c>
      <c r="D6" s="26" t="e">
        <f>HLOOKUP(A6,Hoja2!$R$2:$AV$17,16,FALSE)</f>
        <v>#N/A</v>
      </c>
      <c r="E6" s="26"/>
      <c r="G6" s="15">
        <v>45415</v>
      </c>
      <c r="H6">
        <v>110205</v>
      </c>
      <c r="I6" t="s">
        <v>59</v>
      </c>
      <c r="J6" t="e">
        <f>"CPA Compra Divisas " &amp;D4&amp;" T/C "&amp;C4&amp;" "&amp;TEXT($G6,"dd-mm-aaa")</f>
        <v>#N/A</v>
      </c>
      <c r="K6" s="3" t="e">
        <f>+B4</f>
        <v>#N/A</v>
      </c>
      <c r="L6" s="10"/>
      <c r="Q6" s="1">
        <v>45417</v>
      </c>
      <c r="R6" s="26" t="e">
        <f>HLOOKUP(Q6,Hoja2!$R$2:$AV$8,7,FALSE)</f>
        <v>#N/A</v>
      </c>
      <c r="U6" s="15">
        <v>45415</v>
      </c>
      <c r="V6" s="8">
        <v>110204</v>
      </c>
      <c r="W6" s="8" t="s">
        <v>51</v>
      </c>
      <c r="X6" s="8" t="str">
        <f>"CPA LIQ CORRESPONSAL GC BICE "&amp;TEXT(U6,"dd-mm-aaa")</f>
        <v>CPA LIQ CORRESPONSAL GC BICE 03-05-2024</v>
      </c>
      <c r="Y6" s="16" t="e">
        <f>+R4</f>
        <v>#N/A</v>
      </c>
      <c r="Z6" s="17"/>
    </row>
    <row r="7" spans="1:26" x14ac:dyDescent="0.25">
      <c r="A7" s="1">
        <v>45418</v>
      </c>
      <c r="B7" s="26" t="e">
        <f>HLOOKUP(A7,Hoja2!$R$2:$AV$15,14,FALSE)</f>
        <v>#N/A</v>
      </c>
      <c r="C7" s="77" t="e">
        <f>HLOOKUP(A7,Hoja2!$R$2:$AV$16,15,FALSE)</f>
        <v>#N/A</v>
      </c>
      <c r="D7" s="26" t="e">
        <f>HLOOKUP(A7,Hoja2!$R$2:$AV$17,16,FALSE)</f>
        <v>#N/A</v>
      </c>
      <c r="E7" s="26"/>
      <c r="G7" s="11"/>
      <c r="H7" s="12">
        <v>110204</v>
      </c>
      <c r="I7" s="12" t="s">
        <v>51</v>
      </c>
      <c r="J7" s="12" t="e">
        <f>+J6</f>
        <v>#N/A</v>
      </c>
      <c r="K7" s="13"/>
      <c r="L7" s="18" t="e">
        <f t="shared" ref="L7" si="1">+K6</f>
        <v>#N/A</v>
      </c>
      <c r="Q7" s="1">
        <v>45418</v>
      </c>
      <c r="R7" s="26" t="e">
        <f>HLOOKUP(Q7,Hoja2!$R$2:$AV$8,7,FALSE)</f>
        <v>#N/A</v>
      </c>
      <c r="U7" s="11"/>
      <c r="V7" s="12">
        <v>110608</v>
      </c>
      <c r="W7" s="12" t="s">
        <v>62</v>
      </c>
      <c r="X7" s="12" t="str">
        <f>X6</f>
        <v>CPA LIQ CORRESPONSAL GC BICE 03-05-2024</v>
      </c>
      <c r="Y7" s="13"/>
      <c r="Z7" s="18" t="e">
        <f>Y6</f>
        <v>#N/A</v>
      </c>
    </row>
    <row r="8" spans="1:26" x14ac:dyDescent="0.25">
      <c r="A8" s="1">
        <v>45419</v>
      </c>
      <c r="B8" s="26" t="e">
        <f>HLOOKUP(A8,Hoja2!$R$2:$AV$15,14,FALSE)</f>
        <v>#N/A</v>
      </c>
      <c r="C8" s="77" t="e">
        <f>HLOOKUP(A8,Hoja2!$R$2:$AV$16,15,FALSE)</f>
        <v>#N/A</v>
      </c>
      <c r="D8" s="26" t="e">
        <f>HLOOKUP(A8,Hoja2!$R$2:$AV$17,16,FALSE)</f>
        <v>#N/A</v>
      </c>
      <c r="E8" s="26"/>
      <c r="G8" s="15">
        <v>45416</v>
      </c>
      <c r="H8">
        <v>110205</v>
      </c>
      <c r="I8" t="s">
        <v>59</v>
      </c>
      <c r="J8" t="e">
        <f>"CPA Compra Divisas " &amp;D5&amp;" T/C "&amp;C5&amp;" "&amp;TEXT($G8,"dd-mm-aaa")</f>
        <v>#N/A</v>
      </c>
      <c r="K8" s="3" t="e">
        <f>+B5</f>
        <v>#N/A</v>
      </c>
      <c r="L8" s="10"/>
      <c r="Q8" s="1">
        <v>45419</v>
      </c>
      <c r="R8" s="26" t="e">
        <f>HLOOKUP(Q8,Hoja2!$R$2:$AV$8,7,FALSE)</f>
        <v>#N/A</v>
      </c>
      <c r="U8" s="15">
        <v>45416</v>
      </c>
      <c r="V8" s="8">
        <v>110204</v>
      </c>
      <c r="W8" s="8" t="s">
        <v>51</v>
      </c>
      <c r="X8" s="8" t="str">
        <f>"CPA LIQ CORRESPONSAL GC BICE "&amp;TEXT(U8,"dd-mm-aaa")</f>
        <v>CPA LIQ CORRESPONSAL GC BICE 04-05-2024</v>
      </c>
      <c r="Y8" s="16" t="e">
        <f>+R5</f>
        <v>#N/A</v>
      </c>
      <c r="Z8" s="17"/>
    </row>
    <row r="9" spans="1:26" x14ac:dyDescent="0.25">
      <c r="A9" s="1">
        <v>45420</v>
      </c>
      <c r="B9" s="26" t="e">
        <f>HLOOKUP(A9,Hoja2!$R$2:$AV$15,14,FALSE)</f>
        <v>#N/A</v>
      </c>
      <c r="C9" s="77" t="e">
        <f>HLOOKUP(A9,Hoja2!$R$2:$AV$16,15,FALSE)</f>
        <v>#N/A</v>
      </c>
      <c r="D9" s="26" t="e">
        <f>HLOOKUP(A9,Hoja2!$R$2:$AV$17,16,FALSE)</f>
        <v>#N/A</v>
      </c>
      <c r="E9" s="26"/>
      <c r="G9" s="20"/>
      <c r="H9" s="12">
        <v>110204</v>
      </c>
      <c r="I9" s="12" t="s">
        <v>51</v>
      </c>
      <c r="J9" s="12" t="e">
        <f>+J8</f>
        <v>#N/A</v>
      </c>
      <c r="K9" s="13"/>
      <c r="L9" s="18" t="e">
        <f t="shared" ref="L9" si="2">+K8</f>
        <v>#N/A</v>
      </c>
      <c r="Q9" s="1">
        <v>45420</v>
      </c>
      <c r="R9" s="26" t="e">
        <f>HLOOKUP(Q9,Hoja2!$R$2:$AV$8,7,FALSE)</f>
        <v>#N/A</v>
      </c>
      <c r="U9" s="20"/>
      <c r="V9">
        <v>110608</v>
      </c>
      <c r="W9" t="s">
        <v>62</v>
      </c>
      <c r="X9" t="str">
        <f>X8</f>
        <v>CPA LIQ CORRESPONSAL GC BICE 04-05-2024</v>
      </c>
      <c r="Z9" s="10" t="e">
        <f>Y8</f>
        <v>#N/A</v>
      </c>
    </row>
    <row r="10" spans="1:26" x14ac:dyDescent="0.25">
      <c r="A10" s="1">
        <v>45421</v>
      </c>
      <c r="B10" s="26" t="e">
        <f>HLOOKUP(A10,Hoja2!$R$2:$AV$15,14,FALSE)</f>
        <v>#N/A</v>
      </c>
      <c r="C10" s="77" t="e">
        <f>HLOOKUP(A10,Hoja2!$R$2:$AV$16,15,FALSE)</f>
        <v>#N/A</v>
      </c>
      <c r="D10" s="26" t="e">
        <f>HLOOKUP(A10,Hoja2!$R$2:$AV$17,16,FALSE)</f>
        <v>#N/A</v>
      </c>
      <c r="E10" s="26"/>
      <c r="G10" s="15">
        <v>45417</v>
      </c>
      <c r="H10">
        <v>110205</v>
      </c>
      <c r="I10" t="s">
        <v>59</v>
      </c>
      <c r="J10" t="e">
        <f>"CPA Compra Divisas " &amp;D6&amp;" T/C "&amp;C6&amp;" "&amp;TEXT($G10,"dd-mm-aaa")</f>
        <v>#N/A</v>
      </c>
      <c r="K10" s="3" t="e">
        <f>+B6</f>
        <v>#N/A</v>
      </c>
      <c r="L10" s="10"/>
      <c r="Q10" s="1">
        <v>45421</v>
      </c>
      <c r="R10" s="26" t="e">
        <f>HLOOKUP(Q10,Hoja2!$R$2:$AV$8,7,FALSE)</f>
        <v>#N/A</v>
      </c>
      <c r="U10" s="15">
        <v>45417</v>
      </c>
      <c r="V10" s="8">
        <v>110204</v>
      </c>
      <c r="W10" s="8" t="s">
        <v>51</v>
      </c>
      <c r="X10" s="8" t="str">
        <f>"CPA LIQ CORRESPONSAL GC BICE "&amp;TEXT(U10,"dd-mm-aaa")</f>
        <v>CPA LIQ CORRESPONSAL GC BICE 05-05-2024</v>
      </c>
      <c r="Y10" s="16" t="e">
        <f>+R6</f>
        <v>#N/A</v>
      </c>
      <c r="Z10" s="17"/>
    </row>
    <row r="11" spans="1:26" x14ac:dyDescent="0.25">
      <c r="A11" s="1">
        <v>45422</v>
      </c>
      <c r="B11" s="26" t="e">
        <f>HLOOKUP(A11,Hoja2!$R$2:$AV$15,14,FALSE)</f>
        <v>#N/A</v>
      </c>
      <c r="C11" s="77" t="e">
        <f>HLOOKUP(A11,Hoja2!$R$2:$AV$16,15,FALSE)</f>
        <v>#N/A</v>
      </c>
      <c r="D11" s="26" t="e">
        <f>HLOOKUP(A11,Hoja2!$R$2:$AV$17,16,FALSE)</f>
        <v>#N/A</v>
      </c>
      <c r="E11" s="26"/>
      <c r="G11" s="20"/>
      <c r="H11" s="12">
        <v>110204</v>
      </c>
      <c r="I11" s="12" t="s">
        <v>51</v>
      </c>
      <c r="J11" s="12" t="e">
        <f>+J10</f>
        <v>#N/A</v>
      </c>
      <c r="K11" s="13"/>
      <c r="L11" s="18" t="e">
        <f t="shared" ref="L11" si="3">+K10</f>
        <v>#N/A</v>
      </c>
      <c r="Q11" s="1">
        <v>45422</v>
      </c>
      <c r="R11" s="26" t="e">
        <f>HLOOKUP(Q11,Hoja2!$R$2:$AV$8,7,FALSE)</f>
        <v>#N/A</v>
      </c>
      <c r="U11" s="20"/>
      <c r="V11">
        <v>110608</v>
      </c>
      <c r="W11" t="s">
        <v>62</v>
      </c>
      <c r="X11" t="str">
        <f>X10</f>
        <v>CPA LIQ CORRESPONSAL GC BICE 05-05-2024</v>
      </c>
      <c r="Z11" s="10" t="e">
        <f>Y10</f>
        <v>#N/A</v>
      </c>
    </row>
    <row r="12" spans="1:26" x14ac:dyDescent="0.25">
      <c r="A12" s="1">
        <v>45423</v>
      </c>
      <c r="B12" s="26" t="e">
        <f>HLOOKUP(A12,Hoja2!$R$2:$AV$15,14,FALSE)</f>
        <v>#N/A</v>
      </c>
      <c r="C12" s="77" t="e">
        <f>HLOOKUP(A12,Hoja2!$R$2:$AV$16,15,FALSE)</f>
        <v>#N/A</v>
      </c>
      <c r="D12" s="26" t="e">
        <f>HLOOKUP(A12,Hoja2!$R$2:$AV$17,16,FALSE)</f>
        <v>#N/A</v>
      </c>
      <c r="E12" s="26"/>
      <c r="G12" s="15">
        <v>45418</v>
      </c>
      <c r="H12">
        <v>110205</v>
      </c>
      <c r="I12" t="s">
        <v>59</v>
      </c>
      <c r="J12" t="e">
        <f>"CPA Compra Divisas " &amp;D7&amp;" T/C "&amp;C7&amp;" "&amp;TEXT($G12,"dd-mm-aaa")</f>
        <v>#N/A</v>
      </c>
      <c r="K12" s="3" t="e">
        <f>+B7</f>
        <v>#N/A</v>
      </c>
      <c r="L12" s="10"/>
      <c r="Q12" s="1">
        <v>45423</v>
      </c>
      <c r="R12" s="26" t="e">
        <f>HLOOKUP(Q12,Hoja2!$R$2:$AV$8,7,FALSE)</f>
        <v>#N/A</v>
      </c>
      <c r="T12" s="19"/>
      <c r="U12" s="15">
        <v>45418</v>
      </c>
      <c r="V12" s="8">
        <v>110204</v>
      </c>
      <c r="W12" s="8" t="s">
        <v>51</v>
      </c>
      <c r="X12" s="8" t="str">
        <f>"CPA LIQ CORRESPONSAL GC BICE "&amp;TEXT(U12,"dd-mm-aaa")</f>
        <v>CPA LIQ CORRESPONSAL GC BICE 06-05-2024</v>
      </c>
      <c r="Y12" s="16" t="e">
        <f>+R7</f>
        <v>#N/A</v>
      </c>
      <c r="Z12" s="17"/>
    </row>
    <row r="13" spans="1:26" x14ac:dyDescent="0.25">
      <c r="A13" s="1">
        <v>45424</v>
      </c>
      <c r="B13" s="26" t="e">
        <f>HLOOKUP(A13,Hoja2!$R$2:$AV$15,14,FALSE)</f>
        <v>#N/A</v>
      </c>
      <c r="C13" s="77" t="e">
        <f>HLOOKUP(A13,Hoja2!$R$2:$AV$16,15,FALSE)</f>
        <v>#N/A</v>
      </c>
      <c r="D13" s="26" t="e">
        <f>HLOOKUP(A13,Hoja2!$R$2:$AV$17,16,FALSE)</f>
        <v>#N/A</v>
      </c>
      <c r="E13" s="26"/>
      <c r="F13" s="39"/>
      <c r="G13" s="20"/>
      <c r="H13" s="12">
        <v>110204</v>
      </c>
      <c r="I13" s="12" t="s">
        <v>51</v>
      </c>
      <c r="J13" s="12" t="e">
        <f>+J12</f>
        <v>#N/A</v>
      </c>
      <c r="K13" s="13"/>
      <c r="L13" s="18" t="e">
        <f t="shared" ref="L13" si="4">+K12</f>
        <v>#N/A</v>
      </c>
      <c r="Q13" s="1">
        <v>45424</v>
      </c>
      <c r="R13" s="26" t="e">
        <f>HLOOKUP(Q13,Hoja2!$R$2:$AV$8,7,FALSE)</f>
        <v>#N/A</v>
      </c>
      <c r="T13" s="39"/>
      <c r="U13" s="20"/>
      <c r="V13">
        <v>110608</v>
      </c>
      <c r="W13" t="s">
        <v>62</v>
      </c>
      <c r="X13" t="str">
        <f>X12</f>
        <v>CPA LIQ CORRESPONSAL GC BICE 06-05-2024</v>
      </c>
      <c r="Y13" s="3"/>
      <c r="Z13" s="10" t="e">
        <f>Y12</f>
        <v>#N/A</v>
      </c>
    </row>
    <row r="14" spans="1:26" x14ac:dyDescent="0.25">
      <c r="A14" s="1">
        <v>45425</v>
      </c>
      <c r="B14" s="26" t="e">
        <f>HLOOKUP(A14,Hoja2!$R$2:$AV$15,14,FALSE)</f>
        <v>#N/A</v>
      </c>
      <c r="C14" s="77" t="e">
        <f>HLOOKUP(A14,Hoja2!$R$2:$AV$16,15,FALSE)</f>
        <v>#N/A</v>
      </c>
      <c r="D14" s="26" t="e">
        <f>HLOOKUP(A14,Hoja2!$R$2:$AV$17,16,FALSE)</f>
        <v>#N/A</v>
      </c>
      <c r="E14" s="26"/>
      <c r="F14" s="21"/>
      <c r="G14" s="15">
        <v>45419</v>
      </c>
      <c r="H14">
        <v>110205</v>
      </c>
      <c r="I14" t="s">
        <v>59</v>
      </c>
      <c r="J14" t="e">
        <f>"CPA Compra Divisas " &amp;D8&amp;" T/C "&amp;C8&amp;" "&amp;TEXT($G14,"dd-mm-aaa")</f>
        <v>#N/A</v>
      </c>
      <c r="K14" s="3" t="e">
        <f>+B8</f>
        <v>#N/A</v>
      </c>
      <c r="L14" s="10"/>
      <c r="Q14" s="1">
        <v>45425</v>
      </c>
      <c r="R14" s="26" t="e">
        <f>HLOOKUP(Q14,Hoja2!$R$2:$AV$8,7,FALSE)</f>
        <v>#N/A</v>
      </c>
      <c r="T14" s="21"/>
      <c r="U14" s="15">
        <v>45419</v>
      </c>
      <c r="V14" s="8">
        <v>110204</v>
      </c>
      <c r="W14" s="8" t="s">
        <v>51</v>
      </c>
      <c r="X14" s="8" t="str">
        <f>"CPA LIQ CORRESPONSAL GC BICE "&amp;TEXT(U14,"dd-mm-aaa")</f>
        <v>CPA LIQ CORRESPONSAL GC BICE 07-05-2024</v>
      </c>
      <c r="Y14" s="16" t="e">
        <f>+R8</f>
        <v>#N/A</v>
      </c>
      <c r="Z14" s="17"/>
    </row>
    <row r="15" spans="1:26" x14ac:dyDescent="0.25">
      <c r="A15" s="1">
        <v>45426</v>
      </c>
      <c r="B15" s="26" t="e">
        <f>HLOOKUP(A15,Hoja2!$R$2:$AV$15,14,FALSE)</f>
        <v>#N/A</v>
      </c>
      <c r="C15" s="77" t="e">
        <f>HLOOKUP(A15,Hoja2!$R$2:$AV$16,15,FALSE)</f>
        <v>#N/A</v>
      </c>
      <c r="D15" s="26" t="e">
        <f>HLOOKUP(A15,Hoja2!$R$2:$AV$17,16,FALSE)</f>
        <v>#N/A</v>
      </c>
      <c r="E15" s="26"/>
      <c r="F15" s="40"/>
      <c r="G15" s="20"/>
      <c r="H15" s="12">
        <v>110204</v>
      </c>
      <c r="I15" s="12" t="s">
        <v>51</v>
      </c>
      <c r="J15" s="12" t="e">
        <f>+J14</f>
        <v>#N/A</v>
      </c>
      <c r="K15" s="13"/>
      <c r="L15" s="18" t="e">
        <f t="shared" ref="L15" si="5">+K14</f>
        <v>#N/A</v>
      </c>
      <c r="Q15" s="1">
        <v>45426</v>
      </c>
      <c r="R15" s="26" t="e">
        <f>HLOOKUP(Q15,Hoja2!$R$2:$AV$8,7,FALSE)</f>
        <v>#N/A</v>
      </c>
      <c r="T15" s="40"/>
      <c r="U15" s="20"/>
      <c r="V15">
        <v>110608</v>
      </c>
      <c r="W15" t="s">
        <v>62</v>
      </c>
      <c r="X15" t="str">
        <f>X14</f>
        <v>CPA LIQ CORRESPONSAL GC BICE 07-05-2024</v>
      </c>
      <c r="Y15" s="3"/>
      <c r="Z15" s="10" t="e">
        <f>Y14</f>
        <v>#N/A</v>
      </c>
    </row>
    <row r="16" spans="1:26" x14ac:dyDescent="0.25">
      <c r="A16" s="1">
        <v>45427</v>
      </c>
      <c r="B16" s="26" t="e">
        <f>HLOOKUP(A16,Hoja2!$R$2:$AV$15,14,FALSE)</f>
        <v>#N/A</v>
      </c>
      <c r="C16" s="77" t="e">
        <f>HLOOKUP(A16,Hoja2!$R$2:$AV$16,15,FALSE)</f>
        <v>#N/A</v>
      </c>
      <c r="D16" s="26" t="e">
        <f>HLOOKUP(A16,Hoja2!$R$2:$AV$17,16,FALSE)</f>
        <v>#N/A</v>
      </c>
      <c r="E16" s="26"/>
      <c r="F16" s="21"/>
      <c r="G16" s="15">
        <v>45420</v>
      </c>
      <c r="H16">
        <v>110205</v>
      </c>
      <c r="I16" t="s">
        <v>59</v>
      </c>
      <c r="J16" t="e">
        <f>"CPA Compra Divisas " &amp;D9&amp;" T/C "&amp;C9&amp;" "&amp;TEXT($G16,"dd-mm-aaa")</f>
        <v>#N/A</v>
      </c>
      <c r="K16" s="3" t="e">
        <f>+B9</f>
        <v>#N/A</v>
      </c>
      <c r="L16" s="10"/>
      <c r="Q16" s="1">
        <v>45427</v>
      </c>
      <c r="R16" s="26" t="e">
        <f>HLOOKUP(Q16,Hoja2!$R$2:$AV$8,7,FALSE)</f>
        <v>#N/A</v>
      </c>
      <c r="T16" s="21"/>
      <c r="U16" s="15">
        <v>45420</v>
      </c>
      <c r="V16" s="8">
        <v>110204</v>
      </c>
      <c r="W16" s="8" t="s">
        <v>51</v>
      </c>
      <c r="X16" s="8" t="str">
        <f>"CPA LIQ CORRESPONSAL GC BICE "&amp;TEXT(U16,"dd-mm-aaa")</f>
        <v>CPA LIQ CORRESPONSAL GC BICE 08-05-2024</v>
      </c>
      <c r="Y16" s="16" t="e">
        <f>+R9</f>
        <v>#N/A</v>
      </c>
      <c r="Z16" s="17"/>
    </row>
    <row r="17" spans="1:26" x14ac:dyDescent="0.25">
      <c r="A17" s="1">
        <v>45428</v>
      </c>
      <c r="B17" s="26" t="e">
        <f>HLOOKUP(A17,Hoja2!$R$2:$AV$15,14,FALSE)</f>
        <v>#N/A</v>
      </c>
      <c r="C17" s="77" t="e">
        <f>HLOOKUP(A17,Hoja2!$R$2:$AV$16,15,FALSE)</f>
        <v>#N/A</v>
      </c>
      <c r="D17" s="26" t="e">
        <f>HLOOKUP(A17,Hoja2!$R$2:$AV$17,16,FALSE)</f>
        <v>#N/A</v>
      </c>
      <c r="E17" s="26"/>
      <c r="F17" s="21"/>
      <c r="G17" s="11"/>
      <c r="H17" s="12">
        <v>110204</v>
      </c>
      <c r="I17" s="12" t="s">
        <v>51</v>
      </c>
      <c r="J17" s="12" t="e">
        <f>+J16</f>
        <v>#N/A</v>
      </c>
      <c r="K17" s="13"/>
      <c r="L17" s="18" t="e">
        <f t="shared" ref="L17" si="6">+K16</f>
        <v>#N/A</v>
      </c>
      <c r="Q17" s="1">
        <v>45428</v>
      </c>
      <c r="R17" s="26" t="e">
        <f>HLOOKUP(Q17,Hoja2!$R$2:$AV$8,7,FALSE)</f>
        <v>#N/A</v>
      </c>
      <c r="T17" s="21"/>
      <c r="U17" s="11"/>
      <c r="V17" s="12">
        <v>110608</v>
      </c>
      <c r="W17" s="12" t="s">
        <v>62</v>
      </c>
      <c r="X17" s="12" t="str">
        <f>X16</f>
        <v>CPA LIQ CORRESPONSAL GC BICE 08-05-2024</v>
      </c>
      <c r="Y17" s="13"/>
      <c r="Z17" s="18" t="e">
        <f>Y16</f>
        <v>#N/A</v>
      </c>
    </row>
    <row r="18" spans="1:26" x14ac:dyDescent="0.25">
      <c r="A18" s="1">
        <v>45429</v>
      </c>
      <c r="B18" s="26" t="e">
        <f>HLOOKUP(A18,Hoja2!$R$2:$AV$15,14,FALSE)</f>
        <v>#N/A</v>
      </c>
      <c r="C18" s="77" t="e">
        <f>HLOOKUP(A18,Hoja2!$R$2:$AV$16,15,FALSE)</f>
        <v>#N/A</v>
      </c>
      <c r="D18" s="26" t="e">
        <f>HLOOKUP(A18,Hoja2!$R$2:$AV$17,16,FALSE)</f>
        <v>#N/A</v>
      </c>
      <c r="E18" s="26"/>
      <c r="F18" s="21"/>
      <c r="G18" s="15">
        <v>45421</v>
      </c>
      <c r="H18">
        <v>110205</v>
      </c>
      <c r="I18" t="s">
        <v>59</v>
      </c>
      <c r="J18" t="e">
        <f>"CPA Compra Divisas " &amp;D10&amp;" T/C "&amp;C10&amp;" "&amp;TEXT($G18,"dd-mm-aaa")</f>
        <v>#N/A</v>
      </c>
      <c r="K18" s="3" t="e">
        <f>+B10</f>
        <v>#N/A</v>
      </c>
      <c r="L18" s="10"/>
      <c r="Q18" s="1">
        <v>45429</v>
      </c>
      <c r="R18" s="26" t="e">
        <f>HLOOKUP(Q18,Hoja2!$R$2:$AV$8,7,FALSE)</f>
        <v>#N/A</v>
      </c>
      <c r="T18" s="21"/>
      <c r="U18" s="15">
        <v>45421</v>
      </c>
      <c r="V18" s="8">
        <v>110204</v>
      </c>
      <c r="W18" s="8" t="s">
        <v>51</v>
      </c>
      <c r="X18" s="8" t="str">
        <f>"CPA LIQ CORRESPONSAL GC BICE "&amp;TEXT(U18,"dd-mm-aaa")</f>
        <v>CPA LIQ CORRESPONSAL GC BICE 09-05-2024</v>
      </c>
      <c r="Y18" s="16" t="e">
        <f>+R10</f>
        <v>#N/A</v>
      </c>
      <c r="Z18" s="17"/>
    </row>
    <row r="19" spans="1:26" x14ac:dyDescent="0.25">
      <c r="A19" s="1">
        <v>45430</v>
      </c>
      <c r="B19" s="26" t="e">
        <f>HLOOKUP(A19,Hoja2!$R$2:$AV$15,14,FALSE)</f>
        <v>#N/A</v>
      </c>
      <c r="C19" s="77" t="e">
        <f>HLOOKUP(A19,Hoja2!$R$2:$AV$16,15,FALSE)</f>
        <v>#N/A</v>
      </c>
      <c r="D19" s="26" t="e">
        <f>HLOOKUP(A19,Hoja2!$R$2:$AV$17,16,FALSE)</f>
        <v>#N/A</v>
      </c>
      <c r="E19" s="26"/>
      <c r="F19" s="21"/>
      <c r="G19" s="11"/>
      <c r="H19" s="12">
        <v>110204</v>
      </c>
      <c r="I19" s="12" t="s">
        <v>51</v>
      </c>
      <c r="J19" s="12" t="e">
        <f>+J18</f>
        <v>#N/A</v>
      </c>
      <c r="K19" s="13"/>
      <c r="L19" s="18" t="e">
        <f t="shared" ref="L19" si="7">+K18</f>
        <v>#N/A</v>
      </c>
      <c r="Q19" s="1">
        <v>45430</v>
      </c>
      <c r="R19" s="26" t="e">
        <f>HLOOKUP(Q19,Hoja2!$R$2:$AV$8,7,FALSE)</f>
        <v>#N/A</v>
      </c>
      <c r="T19" s="21"/>
      <c r="U19" s="11"/>
      <c r="V19" s="12">
        <v>110608</v>
      </c>
      <c r="W19" s="12" t="s">
        <v>62</v>
      </c>
      <c r="X19" s="12" t="str">
        <f>X18</f>
        <v>CPA LIQ CORRESPONSAL GC BICE 09-05-2024</v>
      </c>
      <c r="Y19" s="13"/>
      <c r="Z19" s="18" t="e">
        <f>Y18</f>
        <v>#N/A</v>
      </c>
    </row>
    <row r="20" spans="1:26" x14ac:dyDescent="0.25">
      <c r="A20" s="1">
        <v>45431</v>
      </c>
      <c r="B20" s="26" t="e">
        <f>HLOOKUP(A20,Hoja2!$R$2:$AV$15,14,FALSE)</f>
        <v>#N/A</v>
      </c>
      <c r="C20" s="77" t="e">
        <f>HLOOKUP(A20,Hoja2!$R$2:$AV$16,15,FALSE)</f>
        <v>#N/A</v>
      </c>
      <c r="D20" s="26" t="e">
        <f>HLOOKUP(A20,Hoja2!$R$2:$AV$17,16,FALSE)</f>
        <v>#N/A</v>
      </c>
      <c r="E20" s="26"/>
      <c r="F20" s="21"/>
      <c r="G20" s="15">
        <v>45422</v>
      </c>
      <c r="H20">
        <v>110205</v>
      </c>
      <c r="I20" t="s">
        <v>59</v>
      </c>
      <c r="J20" t="e">
        <f>"CPA Compra Divisas " &amp;D11&amp;" T/C "&amp;C11&amp;" "&amp;TEXT($G20,"dd-mm-aaa")</f>
        <v>#N/A</v>
      </c>
      <c r="K20" s="3" t="e">
        <f>+B11</f>
        <v>#N/A</v>
      </c>
      <c r="L20" s="10"/>
      <c r="Q20" s="1">
        <v>45431</v>
      </c>
      <c r="R20" s="26" t="e">
        <f>HLOOKUP(Q20,Hoja2!$R$2:$AV$8,7,FALSE)</f>
        <v>#N/A</v>
      </c>
      <c r="T20" s="21"/>
      <c r="U20" s="15">
        <v>45422</v>
      </c>
      <c r="V20" s="8">
        <v>110204</v>
      </c>
      <c r="W20" s="8" t="s">
        <v>51</v>
      </c>
      <c r="X20" s="8" t="str">
        <f>"CPA LIQ CORRESPONSAL GC BICE "&amp;TEXT(U20,"dd-mm-aaa")</f>
        <v>CPA LIQ CORRESPONSAL GC BICE 10-05-2024</v>
      </c>
      <c r="Y20" s="16" t="e">
        <f>+R11</f>
        <v>#N/A</v>
      </c>
      <c r="Z20" s="17"/>
    </row>
    <row r="21" spans="1:26" x14ac:dyDescent="0.25">
      <c r="A21" s="1">
        <v>45432</v>
      </c>
      <c r="B21" s="26" t="e">
        <f>HLOOKUP(A21,Hoja2!$R$2:$AV$15,14,FALSE)</f>
        <v>#N/A</v>
      </c>
      <c r="C21" s="77" t="e">
        <f>HLOOKUP(A21,Hoja2!$R$2:$AV$16,15,FALSE)</f>
        <v>#N/A</v>
      </c>
      <c r="D21" s="26" t="e">
        <f>HLOOKUP(A21,Hoja2!$R$2:$AV$17,16,FALSE)</f>
        <v>#N/A</v>
      </c>
      <c r="E21" s="26"/>
      <c r="F21" s="21"/>
      <c r="G21" s="9"/>
      <c r="H21" s="12">
        <v>110204</v>
      </c>
      <c r="I21" s="12" t="s">
        <v>51</v>
      </c>
      <c r="J21" s="12" t="e">
        <f>+J20</f>
        <v>#N/A</v>
      </c>
      <c r="K21" s="13"/>
      <c r="L21" s="18" t="e">
        <f t="shared" ref="L21" si="8">+K20</f>
        <v>#N/A</v>
      </c>
      <c r="Q21" s="1">
        <v>45432</v>
      </c>
      <c r="R21" s="26" t="e">
        <f>HLOOKUP(Q21,Hoja2!$R$2:$AV$8,7,FALSE)</f>
        <v>#N/A</v>
      </c>
      <c r="T21" s="21"/>
      <c r="U21" s="9"/>
      <c r="V21">
        <v>110608</v>
      </c>
      <c r="W21" t="s">
        <v>62</v>
      </c>
      <c r="X21" t="str">
        <f>X20</f>
        <v>CPA LIQ CORRESPONSAL GC BICE 10-05-2024</v>
      </c>
      <c r="Y21" s="3"/>
      <c r="Z21" s="10" t="e">
        <f>Y20</f>
        <v>#N/A</v>
      </c>
    </row>
    <row r="22" spans="1:26" x14ac:dyDescent="0.25">
      <c r="A22" s="1">
        <v>45433</v>
      </c>
      <c r="B22" s="26" t="e">
        <f>HLOOKUP(A22,Hoja2!$R$2:$AV$15,14,FALSE)</f>
        <v>#N/A</v>
      </c>
      <c r="C22" s="77" t="e">
        <f>HLOOKUP(A22,Hoja2!$R$2:$AV$16,15,FALSE)</f>
        <v>#N/A</v>
      </c>
      <c r="D22" s="26" t="e">
        <f>HLOOKUP(A22,Hoja2!$R$2:$AV$17,16,FALSE)</f>
        <v>#N/A</v>
      </c>
      <c r="E22" s="26"/>
      <c r="F22" s="21"/>
      <c r="G22" s="15">
        <v>45423</v>
      </c>
      <c r="H22">
        <v>110205</v>
      </c>
      <c r="I22" t="s">
        <v>59</v>
      </c>
      <c r="J22" t="e">
        <f>"CPA Compra Divisas " &amp;D12&amp;" T/C "&amp;C12&amp;" "&amp;TEXT($G22,"dd-mm-aaa")</f>
        <v>#N/A</v>
      </c>
      <c r="K22" s="3" t="e">
        <f>+B12</f>
        <v>#N/A</v>
      </c>
      <c r="L22" s="10"/>
      <c r="Q22" s="1">
        <v>45433</v>
      </c>
      <c r="R22" s="26" t="e">
        <f>HLOOKUP(Q22,Hoja2!$R$2:$AV$8,7,FALSE)</f>
        <v>#N/A</v>
      </c>
      <c r="T22" s="21"/>
      <c r="U22" s="15">
        <v>45423</v>
      </c>
      <c r="V22" s="8">
        <v>110204</v>
      </c>
      <c r="W22" s="8" t="s">
        <v>51</v>
      </c>
      <c r="X22" s="8" t="str">
        <f>"CPA LIQ CORRESPONSAL GC BICE "&amp;TEXT(U22,"dd-mm-aaa")</f>
        <v>CPA LIQ CORRESPONSAL GC BICE 11-05-2024</v>
      </c>
      <c r="Y22" s="16" t="e">
        <f>+R12</f>
        <v>#N/A</v>
      </c>
      <c r="Z22" s="17"/>
    </row>
    <row r="23" spans="1:26" x14ac:dyDescent="0.25">
      <c r="A23" s="1">
        <v>45434</v>
      </c>
      <c r="B23" s="26" t="e">
        <f>HLOOKUP(A23,Hoja2!$R$2:$AV$15,14,FALSE)</f>
        <v>#N/A</v>
      </c>
      <c r="C23" s="77" t="e">
        <f>HLOOKUP(A23,Hoja2!$R$2:$AV$16,15,FALSE)</f>
        <v>#N/A</v>
      </c>
      <c r="D23" s="26" t="e">
        <f>HLOOKUP(A23,Hoja2!$R$2:$AV$17,16,FALSE)</f>
        <v>#N/A</v>
      </c>
      <c r="E23" s="26"/>
      <c r="F23" s="21"/>
      <c r="G23" s="9"/>
      <c r="H23" s="12">
        <v>110204</v>
      </c>
      <c r="I23" s="12" t="s">
        <v>51</v>
      </c>
      <c r="J23" s="12" t="e">
        <f>+J22</f>
        <v>#N/A</v>
      </c>
      <c r="K23" s="13"/>
      <c r="L23" s="18" t="e">
        <f t="shared" ref="L23" si="9">+K22</f>
        <v>#N/A</v>
      </c>
      <c r="Q23" s="1">
        <v>45434</v>
      </c>
      <c r="R23" s="26" t="e">
        <f>HLOOKUP(Q23,Hoja2!$R$2:$AV$8,7,FALSE)</f>
        <v>#N/A</v>
      </c>
      <c r="T23" s="21"/>
      <c r="U23" s="9"/>
      <c r="V23">
        <v>110608</v>
      </c>
      <c r="W23" t="s">
        <v>62</v>
      </c>
      <c r="X23" t="str">
        <f>X22</f>
        <v>CPA LIQ CORRESPONSAL GC BICE 11-05-2024</v>
      </c>
      <c r="Y23" s="3"/>
      <c r="Z23" s="10" t="e">
        <f>Y22</f>
        <v>#N/A</v>
      </c>
    </row>
    <row r="24" spans="1:26" x14ac:dyDescent="0.25">
      <c r="A24" s="1">
        <v>45435</v>
      </c>
      <c r="B24" s="26" t="e">
        <f>HLOOKUP(A24,Hoja2!$R$2:$AV$15,14,FALSE)</f>
        <v>#N/A</v>
      </c>
      <c r="C24" s="77" t="e">
        <f>HLOOKUP(A24,Hoja2!$R$2:$AV$16,15,FALSE)</f>
        <v>#N/A</v>
      </c>
      <c r="D24" s="26" t="e">
        <f>HLOOKUP(A24,Hoja2!$R$2:$AV$17,16,FALSE)</f>
        <v>#N/A</v>
      </c>
      <c r="E24" s="26"/>
      <c r="F24" s="21"/>
      <c r="G24" s="15">
        <v>45424</v>
      </c>
      <c r="H24">
        <v>110205</v>
      </c>
      <c r="I24" t="s">
        <v>59</v>
      </c>
      <c r="J24" t="e">
        <f>"CPA Compra Divisas " &amp;D13&amp;" T/C "&amp;C13&amp;" "&amp;TEXT($G24,"dd-mm-aaa")</f>
        <v>#N/A</v>
      </c>
      <c r="K24" s="3" t="e">
        <f>+B13</f>
        <v>#N/A</v>
      </c>
      <c r="L24" s="10"/>
      <c r="Q24" s="1">
        <v>45435</v>
      </c>
      <c r="R24" s="26" t="e">
        <f>HLOOKUP(Q24,Hoja2!$R$2:$AV$8,7,FALSE)</f>
        <v>#N/A</v>
      </c>
      <c r="T24" s="21"/>
      <c r="U24" s="15">
        <v>45424</v>
      </c>
      <c r="V24" s="8">
        <v>110204</v>
      </c>
      <c r="W24" s="8" t="s">
        <v>51</v>
      </c>
      <c r="X24" s="8" t="str">
        <f>"CPA LIQ CORRESPONSAL GC BICE "&amp;TEXT(U24,"dd-mm-aaa")</f>
        <v>CPA LIQ CORRESPONSAL GC BICE 12-05-2024</v>
      </c>
      <c r="Y24" s="16" t="e">
        <f>+R13</f>
        <v>#N/A</v>
      </c>
      <c r="Z24" s="17"/>
    </row>
    <row r="25" spans="1:26" x14ac:dyDescent="0.25">
      <c r="A25" s="1">
        <v>45436</v>
      </c>
      <c r="B25" s="26" t="e">
        <f>HLOOKUP(A25,Hoja2!$R$2:$AV$15,14,FALSE)</f>
        <v>#N/A</v>
      </c>
      <c r="C25" s="77" t="e">
        <f>HLOOKUP(A25,Hoja2!$R$2:$AV$16,15,FALSE)</f>
        <v>#N/A</v>
      </c>
      <c r="D25" s="26" t="e">
        <f>HLOOKUP(A25,Hoja2!$R$2:$AV$17,16,FALSE)</f>
        <v>#N/A</v>
      </c>
      <c r="E25" s="26"/>
      <c r="F25" s="21"/>
      <c r="G25" s="9"/>
      <c r="H25" s="12">
        <v>110204</v>
      </c>
      <c r="I25" s="12" t="s">
        <v>51</v>
      </c>
      <c r="J25" s="12" t="e">
        <f>+J24</f>
        <v>#N/A</v>
      </c>
      <c r="K25" s="13"/>
      <c r="L25" s="18" t="e">
        <f t="shared" ref="L25" si="10">+K24</f>
        <v>#N/A</v>
      </c>
      <c r="Q25" s="1">
        <v>45436</v>
      </c>
      <c r="R25" s="26" t="e">
        <f>HLOOKUP(Q25,Hoja2!$R$2:$AV$8,7,FALSE)</f>
        <v>#N/A</v>
      </c>
      <c r="T25" s="21"/>
      <c r="U25" s="9"/>
      <c r="V25">
        <v>110608</v>
      </c>
      <c r="W25" t="s">
        <v>62</v>
      </c>
      <c r="X25" t="str">
        <f>X24</f>
        <v>CPA LIQ CORRESPONSAL GC BICE 12-05-2024</v>
      </c>
      <c r="Y25" s="3"/>
      <c r="Z25" s="10" t="e">
        <f>Y24</f>
        <v>#N/A</v>
      </c>
    </row>
    <row r="26" spans="1:26" x14ac:dyDescent="0.25">
      <c r="A26" s="1">
        <v>45437</v>
      </c>
      <c r="B26" s="26" t="e">
        <f>HLOOKUP(A26,Hoja2!$R$2:$AV$15,14,FALSE)</f>
        <v>#N/A</v>
      </c>
      <c r="C26" s="77" t="e">
        <f>HLOOKUP(A26,Hoja2!$R$2:$AV$16,15,FALSE)</f>
        <v>#N/A</v>
      </c>
      <c r="D26" s="26" t="e">
        <f>HLOOKUP(A26,Hoja2!$R$2:$AV$17,16,FALSE)</f>
        <v>#N/A</v>
      </c>
      <c r="E26" s="26"/>
      <c r="F26" s="21"/>
      <c r="G26" s="15">
        <v>45425</v>
      </c>
      <c r="H26">
        <v>110205</v>
      </c>
      <c r="I26" t="s">
        <v>59</v>
      </c>
      <c r="J26" t="e">
        <f>"CPA Compra Divisas " &amp;D14&amp;" T/C "&amp;C14&amp;" "&amp;TEXT($G26,"dd-mm-aaa")</f>
        <v>#N/A</v>
      </c>
      <c r="K26" s="3" t="e">
        <f>+B14</f>
        <v>#N/A</v>
      </c>
      <c r="L26" s="10"/>
      <c r="Q26" s="1">
        <v>45437</v>
      </c>
      <c r="R26" s="26" t="e">
        <f>HLOOKUP(Q26,Hoja2!$R$2:$AV$8,7,FALSE)</f>
        <v>#N/A</v>
      </c>
      <c r="T26" s="21"/>
      <c r="U26" s="15">
        <v>45425</v>
      </c>
      <c r="V26" s="8">
        <v>110204</v>
      </c>
      <c r="W26" s="8" t="s">
        <v>51</v>
      </c>
      <c r="X26" s="8" t="str">
        <f>"CPA LIQ CORRESPONSAL GC BICE "&amp;TEXT(U26,"dd-mm-aaa")</f>
        <v>CPA LIQ CORRESPONSAL GC BICE 13-05-2024</v>
      </c>
      <c r="Y26" s="16" t="e">
        <f>+R14</f>
        <v>#N/A</v>
      </c>
      <c r="Z26" s="17"/>
    </row>
    <row r="27" spans="1:26" x14ac:dyDescent="0.25">
      <c r="A27" s="1">
        <v>45438</v>
      </c>
      <c r="B27" s="26" t="e">
        <f>HLOOKUP(A27,Hoja2!$R$2:$AV$15,14,FALSE)</f>
        <v>#N/A</v>
      </c>
      <c r="C27" s="77" t="e">
        <f>HLOOKUP(A27,Hoja2!$R$2:$AV$16,15,FALSE)</f>
        <v>#N/A</v>
      </c>
      <c r="D27" s="26" t="e">
        <f>HLOOKUP(A27,Hoja2!$R$2:$AV$17,16,FALSE)</f>
        <v>#N/A</v>
      </c>
      <c r="E27" s="26"/>
      <c r="F27" s="21"/>
      <c r="G27" s="9"/>
      <c r="H27" s="12">
        <v>110204</v>
      </c>
      <c r="I27" s="12" t="s">
        <v>51</v>
      </c>
      <c r="J27" s="12" t="e">
        <f>+J26</f>
        <v>#N/A</v>
      </c>
      <c r="K27" s="13"/>
      <c r="L27" s="18" t="e">
        <f t="shared" ref="L27" si="11">+K26</f>
        <v>#N/A</v>
      </c>
      <c r="Q27" s="1">
        <v>45438</v>
      </c>
      <c r="R27" s="26" t="e">
        <f>HLOOKUP(Q27,Hoja2!$R$2:$AV$8,7,FALSE)</f>
        <v>#N/A</v>
      </c>
      <c r="T27" s="21"/>
      <c r="U27" s="9"/>
      <c r="V27">
        <v>110608</v>
      </c>
      <c r="W27" t="s">
        <v>62</v>
      </c>
      <c r="X27" t="str">
        <f>X26</f>
        <v>CPA LIQ CORRESPONSAL GC BICE 13-05-2024</v>
      </c>
      <c r="Y27" s="3"/>
      <c r="Z27" s="10" t="e">
        <f>Y26</f>
        <v>#N/A</v>
      </c>
    </row>
    <row r="28" spans="1:26" x14ac:dyDescent="0.25">
      <c r="A28" s="1">
        <v>45439</v>
      </c>
      <c r="B28" s="26" t="e">
        <f>HLOOKUP(A28,Hoja2!$R$2:$AV$15,14,FALSE)</f>
        <v>#N/A</v>
      </c>
      <c r="C28" s="77" t="e">
        <f>HLOOKUP(A28,Hoja2!$R$2:$AV$16,15,FALSE)</f>
        <v>#N/A</v>
      </c>
      <c r="D28" s="26" t="e">
        <f>HLOOKUP(A28,Hoja2!$R$2:$AV$17,16,FALSE)</f>
        <v>#N/A</v>
      </c>
      <c r="E28" s="26"/>
      <c r="G28" s="15">
        <v>45426</v>
      </c>
      <c r="H28">
        <v>110205</v>
      </c>
      <c r="I28" t="s">
        <v>59</v>
      </c>
      <c r="J28" t="e">
        <f>"CPA Compra Divisas " &amp;D15&amp;" T/C "&amp;C15&amp;" "&amp;TEXT($G28,"dd-mm-aaa")</f>
        <v>#N/A</v>
      </c>
      <c r="K28" s="3" t="e">
        <f>+B15</f>
        <v>#N/A</v>
      </c>
      <c r="L28" s="10"/>
      <c r="Q28" s="1">
        <v>45439</v>
      </c>
      <c r="R28" s="26" t="e">
        <f>HLOOKUP(Q28,Hoja2!$R$2:$AV$8,7,FALSE)</f>
        <v>#N/A</v>
      </c>
      <c r="U28" s="15">
        <v>45426</v>
      </c>
      <c r="V28" s="8">
        <v>110204</v>
      </c>
      <c r="W28" s="8" t="s">
        <v>51</v>
      </c>
      <c r="X28" s="8" t="str">
        <f>"CPA LIQ CORRESPONSAL GC BICE "&amp;TEXT(U28,"dd-mm-aaa")</f>
        <v>CPA LIQ CORRESPONSAL GC BICE 14-05-2024</v>
      </c>
      <c r="Y28" s="16" t="e">
        <f>+R15</f>
        <v>#N/A</v>
      </c>
      <c r="Z28" s="17"/>
    </row>
    <row r="29" spans="1:26" x14ac:dyDescent="0.25">
      <c r="A29" s="1">
        <v>45440</v>
      </c>
      <c r="B29" s="26" t="e">
        <f>HLOOKUP(A29,Hoja2!$R$2:$AV$15,14,FALSE)</f>
        <v>#N/A</v>
      </c>
      <c r="C29" s="77" t="e">
        <f>HLOOKUP(A29,Hoja2!$R$2:$AV$16,15,FALSE)</f>
        <v>#N/A</v>
      </c>
      <c r="D29" s="26" t="e">
        <f>HLOOKUP(A29,Hoja2!$R$2:$AV$17,16,FALSE)</f>
        <v>#N/A</v>
      </c>
      <c r="E29" s="26"/>
      <c r="F29" s="39"/>
      <c r="G29" s="9"/>
      <c r="H29" s="12">
        <v>110204</v>
      </c>
      <c r="I29" s="12" t="s">
        <v>51</v>
      </c>
      <c r="J29" s="12" t="e">
        <f>+J28</f>
        <v>#N/A</v>
      </c>
      <c r="K29" s="13"/>
      <c r="L29" s="18" t="e">
        <f t="shared" ref="L29" si="12">+K28</f>
        <v>#N/A</v>
      </c>
      <c r="Q29" s="1">
        <v>45440</v>
      </c>
      <c r="R29" s="26" t="e">
        <f>HLOOKUP(Q29,Hoja2!$R$2:$AV$8,7,FALSE)</f>
        <v>#N/A</v>
      </c>
      <c r="T29" s="39"/>
      <c r="U29" s="9"/>
      <c r="V29">
        <v>110608</v>
      </c>
      <c r="W29" t="s">
        <v>62</v>
      </c>
      <c r="X29" t="str">
        <f>X28</f>
        <v>CPA LIQ CORRESPONSAL GC BICE 14-05-2024</v>
      </c>
      <c r="Y29" s="3"/>
      <c r="Z29" s="10" t="e">
        <f>Y28</f>
        <v>#N/A</v>
      </c>
    </row>
    <row r="30" spans="1:26" x14ac:dyDescent="0.25">
      <c r="A30" s="1">
        <v>45441</v>
      </c>
      <c r="B30" s="26" t="e">
        <f>HLOOKUP(A30,Hoja2!$R$2:$AV$15,14,FALSE)</f>
        <v>#N/A</v>
      </c>
      <c r="C30" s="77" t="e">
        <f>HLOOKUP(A30,Hoja2!$R$2:$AV$16,15,FALSE)</f>
        <v>#N/A</v>
      </c>
      <c r="D30" s="26" t="e">
        <f>HLOOKUP(A30,Hoja2!$R$2:$AV$17,16,FALSE)</f>
        <v>#N/A</v>
      </c>
      <c r="E30" s="26"/>
      <c r="G30" s="15">
        <v>45427</v>
      </c>
      <c r="H30">
        <v>110205</v>
      </c>
      <c r="I30" t="s">
        <v>59</v>
      </c>
      <c r="J30" t="e">
        <f>"CPA Compra Divisas " &amp;D16&amp;" T/C "&amp;C16&amp;" "&amp;TEXT($G30,"dd-mm-aaa")</f>
        <v>#N/A</v>
      </c>
      <c r="K30" s="3" t="e">
        <f>+B16</f>
        <v>#N/A</v>
      </c>
      <c r="L30" s="10"/>
      <c r="Q30" s="1">
        <v>45441</v>
      </c>
      <c r="R30" s="26" t="e">
        <f>HLOOKUP(Q30,Hoja2!$R$2:$AV$8,7,FALSE)</f>
        <v>#N/A</v>
      </c>
      <c r="U30" s="15">
        <v>45427</v>
      </c>
      <c r="V30" s="8">
        <v>110204</v>
      </c>
      <c r="W30" s="8" t="s">
        <v>51</v>
      </c>
      <c r="X30" s="8" t="str">
        <f>"CPA LIQ CORRESPONSAL GC BICE "&amp;TEXT(U30,"dd-mm-aaa")</f>
        <v>CPA LIQ CORRESPONSAL GC BICE 15-05-2024</v>
      </c>
      <c r="Y30" s="16" t="e">
        <f>+R16</f>
        <v>#N/A</v>
      </c>
      <c r="Z30" s="17"/>
    </row>
    <row r="31" spans="1:26" x14ac:dyDescent="0.25">
      <c r="A31" s="1">
        <v>45442</v>
      </c>
      <c r="B31" s="26" t="e">
        <f>HLOOKUP(A31,Hoja2!$R$2:$AV$15,14,FALSE)</f>
        <v>#N/A</v>
      </c>
      <c r="C31" s="77" t="e">
        <f>HLOOKUP(A31,Hoja2!$R$2:$AV$16,15,FALSE)</f>
        <v>#N/A</v>
      </c>
      <c r="D31" s="26" t="e">
        <f>HLOOKUP(A31,Hoja2!$R$2:$AV$17,16,FALSE)</f>
        <v>#N/A</v>
      </c>
      <c r="E31" s="26"/>
      <c r="G31" s="11"/>
      <c r="H31" s="12">
        <v>110204</v>
      </c>
      <c r="I31" s="12" t="s">
        <v>51</v>
      </c>
      <c r="J31" s="12" t="e">
        <f>+J30</f>
        <v>#N/A</v>
      </c>
      <c r="K31" s="13"/>
      <c r="L31" s="18" t="e">
        <f t="shared" ref="L31" si="13">+K30</f>
        <v>#N/A</v>
      </c>
      <c r="Q31" s="1">
        <v>45442</v>
      </c>
      <c r="R31" s="26" t="e">
        <f>HLOOKUP(Q31,Hoja2!$R$2:$AV$8,7,FALSE)</f>
        <v>#N/A</v>
      </c>
      <c r="U31" s="11"/>
      <c r="V31" s="12">
        <v>110608</v>
      </c>
      <c r="W31" s="12" t="s">
        <v>62</v>
      </c>
      <c r="X31" s="12" t="str">
        <f>X30</f>
        <v>CPA LIQ CORRESPONSAL GC BICE 15-05-2024</v>
      </c>
      <c r="Y31" s="13"/>
      <c r="Z31" s="18" t="e">
        <f>Y30</f>
        <v>#N/A</v>
      </c>
    </row>
    <row r="32" spans="1:26" x14ac:dyDescent="0.25">
      <c r="A32" s="1">
        <v>45443</v>
      </c>
      <c r="B32" s="26" t="e">
        <f>HLOOKUP(A32,Hoja2!$R$2:$AV$15,14,FALSE)</f>
        <v>#N/A</v>
      </c>
      <c r="C32" s="77" t="e">
        <f>HLOOKUP(A32,Hoja2!$R$2:$AV$16,15,FALSE)</f>
        <v>#N/A</v>
      </c>
      <c r="D32" s="26" t="e">
        <f>HLOOKUP(A32,Hoja2!$R$2:$AV$17,16,FALSE)</f>
        <v>#N/A</v>
      </c>
      <c r="E32" s="26"/>
      <c r="G32" s="15">
        <v>45428</v>
      </c>
      <c r="H32">
        <v>110205</v>
      </c>
      <c r="I32" t="s">
        <v>59</v>
      </c>
      <c r="J32" t="e">
        <f>"CPA Compra Divisas " &amp;D17&amp;" T/C "&amp;C17&amp;" "&amp;TEXT($G32,"dd-mm-aaa")</f>
        <v>#N/A</v>
      </c>
      <c r="K32" s="3" t="e">
        <f>+B17</f>
        <v>#N/A</v>
      </c>
      <c r="L32" s="10"/>
      <c r="M32" s="3"/>
      <c r="Q32" s="1">
        <v>45443</v>
      </c>
      <c r="R32" s="26" t="e">
        <f>HLOOKUP(Q32,Hoja2!$R$2:$AV$8,7,FALSE)</f>
        <v>#N/A</v>
      </c>
      <c r="U32" s="15">
        <v>45428</v>
      </c>
      <c r="V32" s="8">
        <v>110204</v>
      </c>
      <c r="W32" s="8" t="s">
        <v>51</v>
      </c>
      <c r="X32" s="8" t="str">
        <f>"CPA LIQ CORRESPONSAL GC BICE "&amp;TEXT(U32,"dd-mm-aaa")</f>
        <v>CPA LIQ CORRESPONSAL GC BICE 16-05-2024</v>
      </c>
      <c r="Y32" s="16" t="e">
        <f>+R17</f>
        <v>#N/A</v>
      </c>
      <c r="Z32" s="17"/>
    </row>
    <row r="33" spans="1:26" x14ac:dyDescent="0.25">
      <c r="B33" s="3" t="e">
        <f>SUM(B2:B32)</f>
        <v>#N/A</v>
      </c>
      <c r="G33" s="11"/>
      <c r="H33" s="12">
        <v>110204</v>
      </c>
      <c r="I33" s="12" t="s">
        <v>51</v>
      </c>
      <c r="J33" s="12" t="e">
        <f>+J32</f>
        <v>#N/A</v>
      </c>
      <c r="K33" s="13"/>
      <c r="L33" s="18" t="e">
        <f t="shared" ref="L33" si="14">+K32</f>
        <v>#N/A</v>
      </c>
      <c r="R33" s="26"/>
      <c r="U33" s="11"/>
      <c r="V33" s="12">
        <v>110608</v>
      </c>
      <c r="W33" s="12" t="s">
        <v>62</v>
      </c>
      <c r="X33" s="12" t="str">
        <f>X32</f>
        <v>CPA LIQ CORRESPONSAL GC BICE 16-05-2024</v>
      </c>
      <c r="Y33" s="13"/>
      <c r="Z33" s="18" t="e">
        <f>Y32</f>
        <v>#N/A</v>
      </c>
    </row>
    <row r="34" spans="1:26" x14ac:dyDescent="0.25">
      <c r="G34" s="15">
        <v>45429</v>
      </c>
      <c r="H34">
        <v>110205</v>
      </c>
      <c r="I34" t="s">
        <v>59</v>
      </c>
      <c r="J34" t="e">
        <f>"CPA Compra Divisas " &amp;D18&amp;" T/C "&amp;C18&amp;" "&amp;TEXT($G34,"dd-mm-aaa")</f>
        <v>#N/A</v>
      </c>
      <c r="K34" s="3" t="e">
        <f>+B18</f>
        <v>#N/A</v>
      </c>
      <c r="L34" s="10"/>
      <c r="R34" s="26"/>
      <c r="U34" s="15">
        <v>45429</v>
      </c>
      <c r="V34" s="8">
        <v>110204</v>
      </c>
      <c r="W34" s="8" t="s">
        <v>51</v>
      </c>
      <c r="X34" s="8" t="str">
        <f>"CPA LIQ CORRESPONSAL GC BICE "&amp;TEXT(U34,"dd-mm-aaa")</f>
        <v>CPA LIQ CORRESPONSAL GC BICE 17-05-2024</v>
      </c>
      <c r="Y34" s="16" t="e">
        <f>+R18</f>
        <v>#N/A</v>
      </c>
      <c r="Z34" s="17"/>
    </row>
    <row r="35" spans="1:26" x14ac:dyDescent="0.25">
      <c r="G35" s="11"/>
      <c r="H35" s="12">
        <v>110204</v>
      </c>
      <c r="I35" s="12" t="s">
        <v>51</v>
      </c>
      <c r="J35" s="12" t="e">
        <f>+J34</f>
        <v>#N/A</v>
      </c>
      <c r="K35" s="13"/>
      <c r="L35" s="18" t="e">
        <f t="shared" ref="L35" si="15">+K34</f>
        <v>#N/A</v>
      </c>
      <c r="R35" s="26"/>
      <c r="U35" s="11"/>
      <c r="V35" s="12">
        <v>110608</v>
      </c>
      <c r="W35" s="12" t="s">
        <v>62</v>
      </c>
      <c r="X35" s="12" t="str">
        <f>X34</f>
        <v>CPA LIQ CORRESPONSAL GC BICE 17-05-2024</v>
      </c>
      <c r="Y35" s="13"/>
      <c r="Z35" s="18" t="e">
        <f>Y34</f>
        <v>#N/A</v>
      </c>
    </row>
    <row r="36" spans="1:26" x14ac:dyDescent="0.25">
      <c r="G36" s="15">
        <v>45430</v>
      </c>
      <c r="H36">
        <v>110205</v>
      </c>
      <c r="I36" t="s">
        <v>59</v>
      </c>
      <c r="J36" t="e">
        <f>"CPA Compra Divisas " &amp;D19&amp;" T/C "&amp;C19&amp;" "&amp;TEXT($G36,"dd-mm-aaa")</f>
        <v>#N/A</v>
      </c>
      <c r="K36" s="3" t="e">
        <f>+B19</f>
        <v>#N/A</v>
      </c>
      <c r="L36" s="10"/>
      <c r="U36" s="15">
        <v>45430</v>
      </c>
      <c r="V36" s="8">
        <v>110204</v>
      </c>
      <c r="W36" s="8" t="s">
        <v>51</v>
      </c>
      <c r="X36" s="8" t="str">
        <f>"CPA LIQ CORRESPONSAL GC BICE "&amp;TEXT(U36,"dd-mm-aaa")</f>
        <v>CPA LIQ CORRESPONSAL GC BICE 18-05-2024</v>
      </c>
      <c r="Y36" s="16" t="e">
        <f>+R19</f>
        <v>#N/A</v>
      </c>
      <c r="Z36" s="17"/>
    </row>
    <row r="37" spans="1:26" x14ac:dyDescent="0.25">
      <c r="G37" s="11"/>
      <c r="H37" s="12">
        <v>110204</v>
      </c>
      <c r="I37" s="12" t="s">
        <v>51</v>
      </c>
      <c r="J37" s="12" t="e">
        <f>+J36</f>
        <v>#N/A</v>
      </c>
      <c r="K37" s="13"/>
      <c r="L37" s="18" t="e">
        <f t="shared" ref="L37" si="16">+K36</f>
        <v>#N/A</v>
      </c>
      <c r="U37" s="11"/>
      <c r="V37" s="12">
        <v>110608</v>
      </c>
      <c r="W37" s="12" t="s">
        <v>62</v>
      </c>
      <c r="X37" s="12" t="str">
        <f>X36</f>
        <v>CPA LIQ CORRESPONSAL GC BICE 18-05-2024</v>
      </c>
      <c r="Y37" s="13"/>
      <c r="Z37" s="18" t="e">
        <f>Y36</f>
        <v>#N/A</v>
      </c>
    </row>
    <row r="38" spans="1:26" x14ac:dyDescent="0.25">
      <c r="G38" s="15">
        <v>45431</v>
      </c>
      <c r="H38">
        <v>110205</v>
      </c>
      <c r="I38" t="s">
        <v>59</v>
      </c>
      <c r="J38" t="e">
        <f>"CPA Compra Divisas " &amp;D20&amp;" T/C "&amp;C20&amp;" "&amp;TEXT($G38,"dd-mm-aaa")</f>
        <v>#N/A</v>
      </c>
      <c r="K38" s="3" t="e">
        <f>+B20</f>
        <v>#N/A</v>
      </c>
      <c r="L38" s="10"/>
      <c r="U38" s="15">
        <v>45431</v>
      </c>
      <c r="V38" s="8">
        <v>110204</v>
      </c>
      <c r="W38" s="8" t="s">
        <v>51</v>
      </c>
      <c r="X38" s="8" t="str">
        <f>"CPA LIQ CORRESPONSAL GC BICE "&amp;TEXT(U38,"dd-mm-aaa")</f>
        <v>CPA LIQ CORRESPONSAL GC BICE 19-05-2024</v>
      </c>
      <c r="Y38" s="16" t="e">
        <f>+R20</f>
        <v>#N/A</v>
      </c>
      <c r="Z38" s="17"/>
    </row>
    <row r="39" spans="1:26" x14ac:dyDescent="0.25">
      <c r="G39" s="11"/>
      <c r="H39" s="12">
        <v>110204</v>
      </c>
      <c r="I39" s="12" t="s">
        <v>51</v>
      </c>
      <c r="J39" s="12" t="e">
        <f>+J38</f>
        <v>#N/A</v>
      </c>
      <c r="K39" s="13"/>
      <c r="L39" s="18" t="e">
        <f t="shared" ref="L39" si="17">+K38</f>
        <v>#N/A</v>
      </c>
      <c r="U39" s="11"/>
      <c r="V39" s="12">
        <v>110608</v>
      </c>
      <c r="W39" s="12" t="s">
        <v>62</v>
      </c>
      <c r="X39" s="12" t="str">
        <f>X38</f>
        <v>CPA LIQ CORRESPONSAL GC BICE 19-05-2024</v>
      </c>
      <c r="Y39" s="13"/>
      <c r="Z39" s="18" t="e">
        <f>Y38</f>
        <v>#N/A</v>
      </c>
    </row>
    <row r="40" spans="1:26" x14ac:dyDescent="0.25">
      <c r="G40" s="15">
        <v>45432</v>
      </c>
      <c r="H40">
        <v>110205</v>
      </c>
      <c r="I40" t="s">
        <v>59</v>
      </c>
      <c r="J40" t="e">
        <f>"CPA Compra Divisas " &amp;D21&amp;" T/C "&amp;C21&amp;" "&amp;TEXT($G40,"dd-mm-aaa")</f>
        <v>#N/A</v>
      </c>
      <c r="K40" s="3" t="e">
        <f>+B21</f>
        <v>#N/A</v>
      </c>
      <c r="L40" s="10"/>
      <c r="U40" s="15">
        <v>45432</v>
      </c>
      <c r="V40" s="8">
        <v>110204</v>
      </c>
      <c r="W40" s="8" t="s">
        <v>51</v>
      </c>
      <c r="X40" s="8" t="str">
        <f>"CPA LIQ CORRESPONSAL GC BICE "&amp;TEXT(U40,"dd-mm-aaa")</f>
        <v>CPA LIQ CORRESPONSAL GC BICE 20-05-2024</v>
      </c>
      <c r="Y40" s="16" t="e">
        <f>+R21</f>
        <v>#N/A</v>
      </c>
      <c r="Z40" s="17"/>
    </row>
    <row r="41" spans="1:26" x14ac:dyDescent="0.25">
      <c r="A41" s="42"/>
      <c r="G41" s="11"/>
      <c r="H41" s="12">
        <v>110204</v>
      </c>
      <c r="I41" s="12" t="s">
        <v>51</v>
      </c>
      <c r="J41" s="12" t="e">
        <f>+J40</f>
        <v>#N/A</v>
      </c>
      <c r="K41" s="13"/>
      <c r="L41" s="18" t="e">
        <f t="shared" ref="L41" si="18">+K40</f>
        <v>#N/A</v>
      </c>
      <c r="Q41" s="42"/>
      <c r="U41" s="11"/>
      <c r="V41" s="12">
        <v>110608</v>
      </c>
      <c r="W41" s="12" t="s">
        <v>62</v>
      </c>
      <c r="X41" s="12" t="str">
        <f>X40</f>
        <v>CPA LIQ CORRESPONSAL GC BICE 20-05-2024</v>
      </c>
      <c r="Y41" s="13"/>
      <c r="Z41" s="18" t="e">
        <f>Y40</f>
        <v>#N/A</v>
      </c>
    </row>
    <row r="42" spans="1:26" x14ac:dyDescent="0.25">
      <c r="A42" s="42"/>
      <c r="G42" s="15">
        <v>45433</v>
      </c>
      <c r="H42">
        <v>110205</v>
      </c>
      <c r="I42" t="s">
        <v>59</v>
      </c>
      <c r="J42" t="e">
        <f>"CPA Compra Divisas " &amp;D22&amp;" T/C "&amp;C22&amp;" "&amp;TEXT($G42,"dd-mm-aaa")</f>
        <v>#N/A</v>
      </c>
      <c r="K42" s="3" t="e">
        <f>+B22</f>
        <v>#N/A</v>
      </c>
      <c r="L42" s="10"/>
      <c r="Q42" s="42"/>
      <c r="U42" s="15">
        <v>45433</v>
      </c>
      <c r="V42" s="8">
        <v>110204</v>
      </c>
      <c r="W42" s="8" t="s">
        <v>51</v>
      </c>
      <c r="X42" s="8" t="str">
        <f>"CPA LIQ CORRESPONSAL GC BICE "&amp;TEXT(U42,"dd-mm-aaa")</f>
        <v>CPA LIQ CORRESPONSAL GC BICE 21-05-2024</v>
      </c>
      <c r="Y42" s="16" t="e">
        <f>+R22</f>
        <v>#N/A</v>
      </c>
      <c r="Z42" s="17"/>
    </row>
    <row r="43" spans="1:26" x14ac:dyDescent="0.25">
      <c r="A43" s="42"/>
      <c r="G43" s="11"/>
      <c r="H43" s="12">
        <v>110204</v>
      </c>
      <c r="I43" s="12" t="s">
        <v>51</v>
      </c>
      <c r="J43" s="12" t="e">
        <f>+J42</f>
        <v>#N/A</v>
      </c>
      <c r="K43" s="13"/>
      <c r="L43" s="18" t="e">
        <f t="shared" ref="L43" si="19">+K42</f>
        <v>#N/A</v>
      </c>
      <c r="Q43" s="42"/>
      <c r="U43" s="11"/>
      <c r="V43" s="12">
        <v>110608</v>
      </c>
      <c r="W43" s="12" t="s">
        <v>62</v>
      </c>
      <c r="X43" s="12" t="str">
        <f>X42</f>
        <v>CPA LIQ CORRESPONSAL GC BICE 21-05-2024</v>
      </c>
      <c r="Y43" s="13"/>
      <c r="Z43" s="18" t="e">
        <f>Y42</f>
        <v>#N/A</v>
      </c>
    </row>
    <row r="44" spans="1:26" x14ac:dyDescent="0.25">
      <c r="G44" s="15">
        <v>45434</v>
      </c>
      <c r="H44">
        <v>110205</v>
      </c>
      <c r="I44" t="s">
        <v>59</v>
      </c>
      <c r="J44" t="e">
        <f>"CPA Compra Divisas " &amp;D23&amp;" T/C "&amp;C23&amp;" "&amp;TEXT($G44,"dd-mm-aaa")</f>
        <v>#N/A</v>
      </c>
      <c r="K44" s="3" t="e">
        <f>+B23</f>
        <v>#N/A</v>
      </c>
      <c r="L44" s="10"/>
      <c r="U44" s="15">
        <v>45434</v>
      </c>
      <c r="V44" s="8">
        <v>110204</v>
      </c>
      <c r="W44" s="8" t="s">
        <v>51</v>
      </c>
      <c r="X44" s="8" t="str">
        <f>"CPA LIQ CORRESPONSAL GC BICE "&amp;TEXT(U44,"dd-mm-aaa")</f>
        <v>CPA LIQ CORRESPONSAL GC BICE 22-05-2024</v>
      </c>
      <c r="Y44" s="16" t="e">
        <f>+R23</f>
        <v>#N/A</v>
      </c>
      <c r="Z44" s="17"/>
    </row>
    <row r="45" spans="1:26" x14ac:dyDescent="0.25">
      <c r="G45" s="11"/>
      <c r="H45" s="12">
        <v>110204</v>
      </c>
      <c r="I45" s="12" t="s">
        <v>51</v>
      </c>
      <c r="J45" s="12" t="e">
        <f>+J44</f>
        <v>#N/A</v>
      </c>
      <c r="K45" s="13"/>
      <c r="L45" s="18" t="e">
        <f t="shared" ref="L45" si="20">+K44</f>
        <v>#N/A</v>
      </c>
      <c r="U45" s="11"/>
      <c r="V45" s="12">
        <v>110608</v>
      </c>
      <c r="W45" s="12" t="s">
        <v>62</v>
      </c>
      <c r="X45" s="12" t="str">
        <f>X44</f>
        <v>CPA LIQ CORRESPONSAL GC BICE 22-05-2024</v>
      </c>
      <c r="Y45" s="13"/>
      <c r="Z45" s="18" t="e">
        <f>Y44</f>
        <v>#N/A</v>
      </c>
    </row>
    <row r="46" spans="1:26" x14ac:dyDescent="0.25">
      <c r="G46" s="15">
        <v>45435</v>
      </c>
      <c r="H46">
        <v>110205</v>
      </c>
      <c r="I46" t="s">
        <v>59</v>
      </c>
      <c r="J46" t="e">
        <f>"CPA Compra Divisas " &amp;D24&amp;" T/C "&amp;C24&amp;" "&amp;TEXT($G46,"dd-mm-aaa")</f>
        <v>#N/A</v>
      </c>
      <c r="K46" s="3" t="e">
        <f>+B24</f>
        <v>#N/A</v>
      </c>
      <c r="L46" s="10"/>
      <c r="U46" s="15">
        <v>45435</v>
      </c>
      <c r="V46" s="8">
        <v>110204</v>
      </c>
      <c r="W46" s="8" t="s">
        <v>51</v>
      </c>
      <c r="X46" s="8" t="str">
        <f>"CPA LIQ CORRESPONSAL GC BICE "&amp;TEXT(U46,"dd-mm-aaa")</f>
        <v>CPA LIQ CORRESPONSAL GC BICE 23-05-2024</v>
      </c>
      <c r="Y46" s="16" t="e">
        <f>+R24</f>
        <v>#N/A</v>
      </c>
      <c r="Z46" s="17"/>
    </row>
    <row r="47" spans="1:26" x14ac:dyDescent="0.25">
      <c r="G47" s="11"/>
      <c r="H47" s="12">
        <v>110204</v>
      </c>
      <c r="I47" s="12" t="s">
        <v>51</v>
      </c>
      <c r="J47" s="12" t="e">
        <f>+J46</f>
        <v>#N/A</v>
      </c>
      <c r="K47" s="13"/>
      <c r="L47" s="18" t="e">
        <f t="shared" ref="L47" si="21">+K46</f>
        <v>#N/A</v>
      </c>
      <c r="U47" s="11"/>
      <c r="V47" s="12">
        <v>110608</v>
      </c>
      <c r="W47" s="12" t="s">
        <v>62</v>
      </c>
      <c r="X47" s="12" t="str">
        <f>X46</f>
        <v>CPA LIQ CORRESPONSAL GC BICE 23-05-2024</v>
      </c>
      <c r="Y47" s="13"/>
      <c r="Z47" s="18" t="e">
        <f>Y46</f>
        <v>#N/A</v>
      </c>
    </row>
    <row r="48" spans="1:26" x14ac:dyDescent="0.25">
      <c r="G48" s="15">
        <v>45436</v>
      </c>
      <c r="H48">
        <v>110205</v>
      </c>
      <c r="I48" t="s">
        <v>59</v>
      </c>
      <c r="J48" t="e">
        <f>"CPA Compra Divisas " &amp;D25&amp;" T/C "&amp;C25&amp;" "&amp;TEXT($G48,"dd-mm-aaa")</f>
        <v>#N/A</v>
      </c>
      <c r="K48" s="3" t="e">
        <f>+B25</f>
        <v>#N/A</v>
      </c>
      <c r="L48" s="10"/>
      <c r="U48" s="15">
        <v>45436</v>
      </c>
      <c r="V48" s="8">
        <v>110204</v>
      </c>
      <c r="W48" s="8" t="s">
        <v>51</v>
      </c>
      <c r="X48" s="8" t="str">
        <f>"CPA LIQ CORRESPONSAL GC BICE "&amp;TEXT(U48,"dd-mm-aaa")</f>
        <v>CPA LIQ CORRESPONSAL GC BICE 24-05-2024</v>
      </c>
      <c r="Y48" s="16" t="e">
        <f>+R25</f>
        <v>#N/A</v>
      </c>
      <c r="Z48" s="17"/>
    </row>
    <row r="49" spans="7:26" x14ac:dyDescent="0.25">
      <c r="G49" s="11"/>
      <c r="H49" s="12">
        <v>110204</v>
      </c>
      <c r="I49" s="12" t="s">
        <v>51</v>
      </c>
      <c r="J49" s="12" t="e">
        <f>+J48</f>
        <v>#N/A</v>
      </c>
      <c r="K49" s="13"/>
      <c r="L49" s="18" t="e">
        <f t="shared" ref="L49" si="22">+K48</f>
        <v>#N/A</v>
      </c>
      <c r="U49" s="11"/>
      <c r="V49" s="12">
        <v>110608</v>
      </c>
      <c r="W49" s="12" t="s">
        <v>62</v>
      </c>
      <c r="X49" s="12" t="str">
        <f>X48</f>
        <v>CPA LIQ CORRESPONSAL GC BICE 24-05-2024</v>
      </c>
      <c r="Y49" s="13"/>
      <c r="Z49" s="18" t="e">
        <f>Y48</f>
        <v>#N/A</v>
      </c>
    </row>
    <row r="50" spans="7:26" x14ac:dyDescent="0.25">
      <c r="G50" s="15">
        <v>45437</v>
      </c>
      <c r="H50">
        <v>110205</v>
      </c>
      <c r="I50" t="s">
        <v>59</v>
      </c>
      <c r="J50" t="e">
        <f>"CPA Compra Divisas " &amp;D26&amp;" T/C "&amp;C26&amp;" "&amp;TEXT($G50,"dd-mm-aaa")</f>
        <v>#N/A</v>
      </c>
      <c r="K50" s="3" t="e">
        <f>+B26</f>
        <v>#N/A</v>
      </c>
      <c r="L50" s="10"/>
      <c r="U50" s="15">
        <v>45437</v>
      </c>
      <c r="V50" s="8">
        <v>110204</v>
      </c>
      <c r="W50" s="8" t="s">
        <v>51</v>
      </c>
      <c r="X50" s="8" t="str">
        <f>"CPA LIQ CORRESPONSAL GC BICE "&amp;TEXT(U50,"dd-mm-aaa")</f>
        <v>CPA LIQ CORRESPONSAL GC BICE 25-05-2024</v>
      </c>
      <c r="Y50" s="16" t="e">
        <f>+R26</f>
        <v>#N/A</v>
      </c>
      <c r="Z50" s="17"/>
    </row>
    <row r="51" spans="7:26" x14ac:dyDescent="0.25">
      <c r="G51" s="11"/>
      <c r="H51" s="12">
        <v>110204</v>
      </c>
      <c r="I51" s="12" t="s">
        <v>51</v>
      </c>
      <c r="J51" s="12" t="e">
        <f>+J50</f>
        <v>#N/A</v>
      </c>
      <c r="K51" s="13"/>
      <c r="L51" s="18" t="e">
        <f t="shared" ref="L51" si="23">+K50</f>
        <v>#N/A</v>
      </c>
      <c r="U51" s="11"/>
      <c r="V51" s="12">
        <v>110608</v>
      </c>
      <c r="W51" s="12" t="s">
        <v>62</v>
      </c>
      <c r="X51" s="12" t="str">
        <f>X50</f>
        <v>CPA LIQ CORRESPONSAL GC BICE 25-05-2024</v>
      </c>
      <c r="Y51" s="13"/>
      <c r="Z51" s="18" t="e">
        <f>Y50</f>
        <v>#N/A</v>
      </c>
    </row>
    <row r="52" spans="7:26" x14ac:dyDescent="0.25">
      <c r="G52" s="15">
        <v>45438</v>
      </c>
      <c r="H52">
        <v>110205</v>
      </c>
      <c r="I52" t="s">
        <v>59</v>
      </c>
      <c r="J52" t="e">
        <f>"CPA Compra Divisas " &amp;D27&amp;" T/C "&amp;C27&amp;" "&amp;TEXT($G52,"dd-mm-aaa")</f>
        <v>#N/A</v>
      </c>
      <c r="K52" s="3" t="e">
        <f>+B27</f>
        <v>#N/A</v>
      </c>
      <c r="L52" s="10"/>
      <c r="U52" s="15">
        <v>45438</v>
      </c>
      <c r="V52" s="8">
        <v>110204</v>
      </c>
      <c r="W52" s="8" t="s">
        <v>51</v>
      </c>
      <c r="X52" s="8" t="str">
        <f>"CPA LIQ CORRESPONSAL GC BICE "&amp;TEXT(U52,"dd-mm-aaa")</f>
        <v>CPA LIQ CORRESPONSAL GC BICE 26-05-2024</v>
      </c>
      <c r="Y52" s="16" t="e">
        <f>+R27</f>
        <v>#N/A</v>
      </c>
      <c r="Z52" s="17"/>
    </row>
    <row r="53" spans="7:26" x14ac:dyDescent="0.25">
      <c r="G53" s="11"/>
      <c r="H53" s="12">
        <v>110204</v>
      </c>
      <c r="I53" s="12" t="s">
        <v>51</v>
      </c>
      <c r="J53" s="12" t="e">
        <f>+J52</f>
        <v>#N/A</v>
      </c>
      <c r="K53" s="13"/>
      <c r="L53" s="18" t="e">
        <f t="shared" ref="L53" si="24">+K52</f>
        <v>#N/A</v>
      </c>
      <c r="U53" s="11"/>
      <c r="V53" s="12">
        <v>110608</v>
      </c>
      <c r="W53" s="12" t="s">
        <v>62</v>
      </c>
      <c r="X53" s="12" t="str">
        <f>X52</f>
        <v>CPA LIQ CORRESPONSAL GC BICE 26-05-2024</v>
      </c>
      <c r="Y53" s="13"/>
      <c r="Z53" s="18" t="e">
        <f>Y52</f>
        <v>#N/A</v>
      </c>
    </row>
    <row r="54" spans="7:26" x14ac:dyDescent="0.25">
      <c r="G54" s="15">
        <v>45439</v>
      </c>
      <c r="H54">
        <v>110205</v>
      </c>
      <c r="I54" t="s">
        <v>59</v>
      </c>
      <c r="J54" t="e">
        <f>"CPA Compra Divisas " &amp;D28&amp;" T/C "&amp;C28&amp;" "&amp;TEXT($G54,"dd-mm-aaa")</f>
        <v>#N/A</v>
      </c>
      <c r="K54" s="3" t="e">
        <f>+B28</f>
        <v>#N/A</v>
      </c>
      <c r="L54" s="10"/>
      <c r="U54" s="15">
        <v>45439</v>
      </c>
      <c r="V54" s="8">
        <v>110204</v>
      </c>
      <c r="W54" s="8" t="s">
        <v>51</v>
      </c>
      <c r="X54" s="8" t="str">
        <f>"CPA LIQ CORRESPONSAL GC BICE "&amp;TEXT(U54,"dd-mm-aaa")</f>
        <v>CPA LIQ CORRESPONSAL GC BICE 27-05-2024</v>
      </c>
      <c r="Y54" s="16" t="e">
        <f>+R28</f>
        <v>#N/A</v>
      </c>
      <c r="Z54" s="17"/>
    </row>
    <row r="55" spans="7:26" x14ac:dyDescent="0.25">
      <c r="G55" s="11"/>
      <c r="H55" s="12">
        <v>110204</v>
      </c>
      <c r="I55" s="12" t="s">
        <v>51</v>
      </c>
      <c r="J55" s="12" t="e">
        <f>+J54</f>
        <v>#N/A</v>
      </c>
      <c r="K55" s="13"/>
      <c r="L55" s="18" t="e">
        <f t="shared" ref="L55" si="25">+K54</f>
        <v>#N/A</v>
      </c>
      <c r="U55" s="11"/>
      <c r="V55" s="12">
        <v>110608</v>
      </c>
      <c r="W55" s="12" t="s">
        <v>62</v>
      </c>
      <c r="X55" s="12" t="str">
        <f>X54</f>
        <v>CPA LIQ CORRESPONSAL GC BICE 27-05-2024</v>
      </c>
      <c r="Y55" s="13"/>
      <c r="Z55" s="18" t="e">
        <f>Y54</f>
        <v>#N/A</v>
      </c>
    </row>
    <row r="56" spans="7:26" x14ac:dyDescent="0.25">
      <c r="G56" s="15">
        <v>45440</v>
      </c>
      <c r="H56">
        <v>110205</v>
      </c>
      <c r="I56" t="s">
        <v>59</v>
      </c>
      <c r="J56" t="e">
        <f>"CPA Compra Divisas " &amp;D29&amp;" T/C "&amp;C29&amp;" "&amp;TEXT($G56,"dd-mm-aaa")</f>
        <v>#N/A</v>
      </c>
      <c r="K56" s="3" t="e">
        <f>+B29</f>
        <v>#N/A</v>
      </c>
      <c r="L56" s="10"/>
      <c r="U56" s="15">
        <v>45440</v>
      </c>
      <c r="V56" s="8">
        <v>110204</v>
      </c>
      <c r="W56" s="8" t="s">
        <v>51</v>
      </c>
      <c r="X56" s="8" t="str">
        <f>"CPA LIQ CORRESPONSAL GC BICE "&amp;TEXT(U56,"dd-mm-aaa")</f>
        <v>CPA LIQ CORRESPONSAL GC BICE 28-05-2024</v>
      </c>
      <c r="Y56" s="16" t="e">
        <f>+R29</f>
        <v>#N/A</v>
      </c>
      <c r="Z56" s="17"/>
    </row>
    <row r="57" spans="7:26" x14ac:dyDescent="0.25">
      <c r="G57" s="11"/>
      <c r="H57" s="12">
        <v>110204</v>
      </c>
      <c r="I57" s="12" t="s">
        <v>51</v>
      </c>
      <c r="J57" s="12" t="e">
        <f>+J56</f>
        <v>#N/A</v>
      </c>
      <c r="K57" s="13"/>
      <c r="L57" s="18" t="e">
        <f t="shared" ref="L57" si="26">+K56</f>
        <v>#N/A</v>
      </c>
      <c r="U57" s="11"/>
      <c r="V57" s="12">
        <v>110608</v>
      </c>
      <c r="W57" s="12" t="s">
        <v>62</v>
      </c>
      <c r="X57" s="12" t="str">
        <f>X56</f>
        <v>CPA LIQ CORRESPONSAL GC BICE 28-05-2024</v>
      </c>
      <c r="Y57" s="13"/>
      <c r="Z57" s="18" t="e">
        <f>Y56</f>
        <v>#N/A</v>
      </c>
    </row>
    <row r="58" spans="7:26" x14ac:dyDescent="0.25">
      <c r="G58" s="15">
        <v>45441</v>
      </c>
      <c r="H58">
        <v>110205</v>
      </c>
      <c r="I58" t="s">
        <v>59</v>
      </c>
      <c r="J58" t="e">
        <f>"CPA Compra Divisas " &amp;D30&amp;" T/C "&amp;C30&amp;" "&amp;TEXT($G58,"dd-mm-aaa")</f>
        <v>#N/A</v>
      </c>
      <c r="K58" s="3" t="e">
        <f>+B30</f>
        <v>#N/A</v>
      </c>
      <c r="L58" s="10"/>
      <c r="U58" s="15">
        <v>45441</v>
      </c>
      <c r="V58" s="8">
        <v>110204</v>
      </c>
      <c r="W58" s="8" t="s">
        <v>51</v>
      </c>
      <c r="X58" s="8" t="str">
        <f>"CPA LIQ CORRESPONSAL GC BICE "&amp;TEXT(U58,"dd-mm-aaa")</f>
        <v>CPA LIQ CORRESPONSAL GC BICE 29-05-2024</v>
      </c>
      <c r="Y58" s="16" t="e">
        <f>+R30</f>
        <v>#N/A</v>
      </c>
      <c r="Z58" s="17"/>
    </row>
    <row r="59" spans="7:26" x14ac:dyDescent="0.25">
      <c r="G59" s="11"/>
      <c r="H59" s="12">
        <v>110204</v>
      </c>
      <c r="I59" s="12" t="s">
        <v>51</v>
      </c>
      <c r="J59" s="12" t="e">
        <f>+J58</f>
        <v>#N/A</v>
      </c>
      <c r="K59" s="13"/>
      <c r="L59" s="18" t="e">
        <f t="shared" ref="L59" si="27">+K58</f>
        <v>#N/A</v>
      </c>
      <c r="U59" s="11"/>
      <c r="V59" s="12">
        <v>110608</v>
      </c>
      <c r="W59" s="12" t="s">
        <v>62</v>
      </c>
      <c r="X59" s="12" t="str">
        <f>X58</f>
        <v>CPA LIQ CORRESPONSAL GC BICE 29-05-2024</v>
      </c>
      <c r="Y59" s="13"/>
      <c r="Z59" s="18" t="e">
        <f>Y58</f>
        <v>#N/A</v>
      </c>
    </row>
    <row r="60" spans="7:26" x14ac:dyDescent="0.25">
      <c r="G60" s="15">
        <v>45442</v>
      </c>
      <c r="H60">
        <v>110205</v>
      </c>
      <c r="I60" t="s">
        <v>59</v>
      </c>
      <c r="J60" t="e">
        <f>"CPA Compra Divisas " &amp;D31&amp;" T/C "&amp;C31&amp;" "&amp;TEXT($G60,"dd-mm-aaa")</f>
        <v>#N/A</v>
      </c>
      <c r="K60" s="3" t="e">
        <f>+B31</f>
        <v>#N/A</v>
      </c>
      <c r="L60" s="10"/>
      <c r="U60" s="15">
        <v>45442</v>
      </c>
      <c r="V60" s="8">
        <v>110204</v>
      </c>
      <c r="W60" s="8" t="s">
        <v>51</v>
      </c>
      <c r="X60" s="8" t="str">
        <f>"CPA LIQ CORRESPONSAL GC BICE "&amp;TEXT(U60,"dd-mm-aaa")</f>
        <v>CPA LIQ CORRESPONSAL GC BICE 30-05-2024</v>
      </c>
      <c r="Y60" s="16" t="e">
        <f>+R31</f>
        <v>#N/A</v>
      </c>
      <c r="Z60" s="17"/>
    </row>
    <row r="61" spans="7:26" x14ac:dyDescent="0.25">
      <c r="G61" s="11"/>
      <c r="H61" s="12">
        <v>110204</v>
      </c>
      <c r="I61" s="12" t="s">
        <v>51</v>
      </c>
      <c r="J61" s="12" t="e">
        <f>+J60</f>
        <v>#N/A</v>
      </c>
      <c r="K61" s="13"/>
      <c r="L61" s="18" t="e">
        <f t="shared" ref="L61" si="28">+K60</f>
        <v>#N/A</v>
      </c>
      <c r="U61" s="11"/>
      <c r="V61" s="12">
        <v>110608</v>
      </c>
      <c r="W61" s="12" t="s">
        <v>62</v>
      </c>
      <c r="X61" s="12" t="str">
        <f>X60</f>
        <v>CPA LIQ CORRESPONSAL GC BICE 30-05-2024</v>
      </c>
      <c r="Y61" s="13"/>
      <c r="Z61" s="18" t="e">
        <f>Y60</f>
        <v>#N/A</v>
      </c>
    </row>
    <row r="62" spans="7:26" x14ac:dyDescent="0.25">
      <c r="G62" s="15">
        <v>45443</v>
      </c>
      <c r="H62">
        <v>110205</v>
      </c>
      <c r="I62" t="s">
        <v>59</v>
      </c>
      <c r="J62" t="e">
        <f>"CPA Compra Divisas " &amp;D32&amp;" T/C "&amp;C32&amp;" "&amp;TEXT($G62,"dd-mm-aaa")</f>
        <v>#N/A</v>
      </c>
      <c r="K62" s="3" t="e">
        <f>+B32</f>
        <v>#N/A</v>
      </c>
      <c r="L62" s="10"/>
      <c r="U62" s="15">
        <v>45443</v>
      </c>
      <c r="V62" s="8">
        <v>110204</v>
      </c>
      <c r="W62" s="8" t="s">
        <v>51</v>
      </c>
      <c r="X62" s="8" t="str">
        <f>"CPA LIQ CORRESPONSAL GC BICE "&amp;TEXT(U62,"dd-mm-aaa")</f>
        <v>CPA LIQ CORRESPONSAL GC BICE 31-05-2024</v>
      </c>
      <c r="Y62" s="16" t="e">
        <f>+R32</f>
        <v>#N/A</v>
      </c>
      <c r="Z62" s="17"/>
    </row>
    <row r="63" spans="7:26" x14ac:dyDescent="0.25">
      <c r="G63" s="11"/>
      <c r="H63" s="12">
        <v>110204</v>
      </c>
      <c r="I63" s="12" t="s">
        <v>51</v>
      </c>
      <c r="J63" s="12" t="e">
        <f>+J62</f>
        <v>#N/A</v>
      </c>
      <c r="K63" s="13"/>
      <c r="L63" s="18" t="e">
        <f t="shared" ref="L63" si="29">+K62</f>
        <v>#N/A</v>
      </c>
      <c r="U63" s="11"/>
      <c r="V63" s="12">
        <v>110608</v>
      </c>
      <c r="W63" s="12" t="s">
        <v>62</v>
      </c>
      <c r="X63" s="12" t="str">
        <f>X62</f>
        <v>CPA LIQ CORRESPONSAL GC BICE 31-05-2024</v>
      </c>
      <c r="Y63" s="13"/>
      <c r="Z63" s="18" t="e">
        <f>Y62</f>
        <v>#N/A</v>
      </c>
    </row>
  </sheetData>
  <autoFilter ref="U1:Z63" xr:uid="{A59CB557-53FF-4987-BF2B-8F1D211F05E9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E447-EF11-452A-A67B-F6EF9070379E}">
  <dimension ref="A1:BS63"/>
  <sheetViews>
    <sheetView showGridLines="0" topLeftCell="BE1" workbookViewId="0">
      <selection activeCell="BJ11" sqref="BJ11"/>
    </sheetView>
  </sheetViews>
  <sheetFormatPr baseColWidth="10" defaultRowHeight="15" outlineLevelCol="1" x14ac:dyDescent="0.25"/>
  <cols>
    <col min="1" max="1" width="11.5703125" customWidth="1" outlineLevel="1"/>
    <col min="2" max="2" width="13.5703125" customWidth="1" outlineLevel="1"/>
    <col min="3" max="4" width="12" customWidth="1" outlineLevel="1"/>
    <col min="5" max="5" width="13.5703125" customWidth="1" outlineLevel="1"/>
    <col min="6" max="8" width="11.42578125" customWidth="1" outlineLevel="1"/>
    <col min="9" max="9" width="23.140625" customWidth="1" outlineLevel="1"/>
    <col min="10" max="10" width="61.42578125" customWidth="1" outlineLevel="1"/>
    <col min="11" max="12" width="13.5703125" customWidth="1" outlineLevel="1"/>
    <col min="16" max="16" width="11.5703125" customWidth="1" outlineLevel="1"/>
    <col min="17" max="17" width="13.5703125" customWidth="1" outlineLevel="1"/>
    <col min="18" max="19" width="12" customWidth="1" outlineLevel="1"/>
    <col min="20" max="20" width="16.85546875" customWidth="1" outlineLevel="1"/>
    <col min="21" max="23" width="11.42578125" customWidth="1" outlineLevel="1"/>
    <col min="24" max="24" width="25.5703125" customWidth="1" outlineLevel="1"/>
    <col min="25" max="25" width="61.42578125" customWidth="1" outlineLevel="1"/>
    <col min="26" max="27" width="13.5703125" customWidth="1" outlineLevel="1"/>
    <col min="30" max="30" width="11.5703125" customWidth="1" outlineLevel="1"/>
    <col min="31" max="31" width="13.5703125" customWidth="1" outlineLevel="1"/>
    <col min="32" max="33" width="12" customWidth="1" outlineLevel="1"/>
    <col min="34" max="34" width="16.85546875" bestFit="1" customWidth="1" outlineLevel="1"/>
    <col min="35" max="37" width="11.42578125" outlineLevel="1"/>
    <col min="38" max="38" width="25.5703125" bestFit="1" customWidth="1" outlineLevel="1"/>
    <col min="39" max="39" width="61.42578125" bestFit="1" customWidth="1" outlineLevel="1"/>
    <col min="40" max="41" width="13.5703125" customWidth="1" outlineLevel="1"/>
    <col min="45" max="45" width="11.5703125" customWidth="1" outlineLevel="1"/>
    <col min="46" max="46" width="13.5703125" customWidth="1" outlineLevel="1"/>
    <col min="47" max="48" width="12" customWidth="1" outlineLevel="1"/>
    <col min="49" max="49" width="16.85546875" bestFit="1" customWidth="1" outlineLevel="1"/>
    <col min="50" max="52" width="11.42578125" outlineLevel="1"/>
    <col min="53" max="53" width="25.5703125" bestFit="1" customWidth="1" outlineLevel="1"/>
    <col min="54" max="54" width="65.28515625" bestFit="1" customWidth="1" outlineLevel="1"/>
    <col min="55" max="56" width="13.5703125" customWidth="1" outlineLevel="1"/>
    <col min="60" max="60" width="11.5703125" customWidth="1" outlineLevel="1"/>
    <col min="61" max="61" width="13.5703125" customWidth="1" outlineLevel="1"/>
    <col min="62" max="63" width="12" customWidth="1" outlineLevel="1"/>
    <col min="64" max="64" width="13.5703125" customWidth="1" outlineLevel="1"/>
    <col min="65" max="67" width="11.42578125" outlineLevel="1"/>
    <col min="68" max="68" width="30.140625" bestFit="1" customWidth="1" outlineLevel="1"/>
    <col min="69" max="69" width="61.42578125" customWidth="1" outlineLevel="1"/>
    <col min="70" max="71" width="13.5703125" customWidth="1" outlineLevel="1"/>
  </cols>
  <sheetData>
    <row r="1" spans="1:71" x14ac:dyDescent="0.25">
      <c r="A1" s="4" t="s">
        <v>0</v>
      </c>
      <c r="B1" s="4"/>
      <c r="C1" s="75"/>
      <c r="E1" t="s">
        <v>84</v>
      </c>
      <c r="G1" s="22" t="s">
        <v>0</v>
      </c>
      <c r="H1" s="23"/>
      <c r="I1" s="23"/>
      <c r="J1" s="23" t="s">
        <v>56</v>
      </c>
      <c r="K1" s="23" t="s">
        <v>5</v>
      </c>
      <c r="L1" s="24" t="s">
        <v>6</v>
      </c>
      <c r="P1" s="4" t="s">
        <v>0</v>
      </c>
      <c r="Q1" s="4"/>
      <c r="R1" s="75"/>
      <c r="T1" t="s">
        <v>88</v>
      </c>
      <c r="V1" s="22" t="s">
        <v>0</v>
      </c>
      <c r="W1" s="23"/>
      <c r="X1" s="23"/>
      <c r="Y1" s="23" t="s">
        <v>56</v>
      </c>
      <c r="Z1" s="23" t="s">
        <v>5</v>
      </c>
      <c r="AA1" s="24" t="s">
        <v>6</v>
      </c>
      <c r="AD1" s="4" t="s">
        <v>0</v>
      </c>
      <c r="AE1" s="4"/>
      <c r="AF1" s="75"/>
      <c r="AH1" t="s">
        <v>93</v>
      </c>
      <c r="AJ1" s="22" t="s">
        <v>0</v>
      </c>
      <c r="AK1" s="23"/>
      <c r="AL1" s="23"/>
      <c r="AM1" s="23" t="s">
        <v>56</v>
      </c>
      <c r="AN1" s="23" t="s">
        <v>5</v>
      </c>
      <c r="AO1" s="24" t="s">
        <v>6</v>
      </c>
      <c r="AS1" s="4" t="s">
        <v>0</v>
      </c>
      <c r="AT1" s="4"/>
      <c r="AU1" s="75"/>
      <c r="AW1" t="s">
        <v>101</v>
      </c>
      <c r="AY1" s="22" t="s">
        <v>0</v>
      </c>
      <c r="AZ1" s="23"/>
      <c r="BA1" s="23"/>
      <c r="BB1" s="23" t="s">
        <v>56</v>
      </c>
      <c r="BC1" s="23" t="s">
        <v>5</v>
      </c>
      <c r="BD1" s="24" t="s">
        <v>6</v>
      </c>
      <c r="BH1" s="4" t="s">
        <v>0</v>
      </c>
      <c r="BI1" s="4"/>
      <c r="BJ1" s="75"/>
      <c r="BL1" t="s">
        <v>84</v>
      </c>
      <c r="BN1" s="22" t="s">
        <v>0</v>
      </c>
      <c r="BO1" s="23"/>
      <c r="BP1" s="23"/>
      <c r="BQ1" s="23" t="s">
        <v>56</v>
      </c>
      <c r="BR1" s="23" t="s">
        <v>5</v>
      </c>
      <c r="BS1" s="24" t="s">
        <v>6</v>
      </c>
    </row>
    <row r="2" spans="1:71" x14ac:dyDescent="0.25">
      <c r="A2" s="1">
        <v>45413</v>
      </c>
      <c r="B2" s="26" t="e">
        <f>HLOOKUP(A2,Hoja2!$R$2:$AV$18,17,FALSE)</f>
        <v>#N/A</v>
      </c>
      <c r="C2" s="77" t="e">
        <f>HLOOKUP(A2,Hoja2!$R$2:$AV$19,18,FALSE)</f>
        <v>#N/A</v>
      </c>
      <c r="D2" s="26" t="e">
        <f>HLOOKUP(A2,Hoja2!$R$2:$AV$20,19,FALSE)</f>
        <v>#N/A</v>
      </c>
      <c r="E2" s="97" t="e">
        <f>HLOOKUP(A2,Hoja2!$R$2:$AV$21,20,FALSE)</f>
        <v>#N/A</v>
      </c>
      <c r="G2" s="9">
        <v>45413</v>
      </c>
      <c r="H2">
        <v>110275</v>
      </c>
      <c r="I2" t="s">
        <v>87</v>
      </c>
      <c r="J2" t="e">
        <f>"CPA Fondeo Bice USD a NIUM "&amp;D2&amp;" USD T/C "&amp;C2</f>
        <v>#N/A</v>
      </c>
      <c r="K2" s="3" t="e">
        <f>+E2</f>
        <v>#N/A</v>
      </c>
      <c r="L2" s="10"/>
      <c r="M2" s="3"/>
      <c r="P2" s="1">
        <v>45413</v>
      </c>
      <c r="Q2" s="26" t="e">
        <f>HLOOKUP(P2,Hoja2!$R$2:$AV$22,21,FALSE)</f>
        <v>#N/A</v>
      </c>
      <c r="R2" s="77" t="e">
        <f>HLOOKUP(P2,Hoja2!$R$2:$AV$23,22,FALSE)</f>
        <v>#N/A</v>
      </c>
      <c r="S2" s="26" t="e">
        <f>HLOOKUP(P2,Hoja2!$R$2:$AV$24,23,FALSE)</f>
        <v>#N/A</v>
      </c>
      <c r="T2" s="97" t="e">
        <f>HLOOKUP(P2,Hoja2!$R$2:$AV$25,24,FALSE)</f>
        <v>#N/A</v>
      </c>
      <c r="V2" s="9">
        <v>45413</v>
      </c>
      <c r="W2">
        <v>110274</v>
      </c>
      <c r="X2" t="s">
        <v>89</v>
      </c>
      <c r="Y2" t="e">
        <f>"CPA Fondeo Bice USD a Facilita Pay " &amp;S2&amp;" USD T/C "&amp;R2</f>
        <v>#N/A</v>
      </c>
      <c r="Z2" s="3" t="e">
        <f>+T2</f>
        <v>#N/A</v>
      </c>
      <c r="AA2" s="10"/>
      <c r="AD2" s="1">
        <v>45413</v>
      </c>
      <c r="AE2" s="26" t="e">
        <f>HLOOKUP(AD2,Hoja2!$R$2:$AV$26,25,FALSE)</f>
        <v>#N/A</v>
      </c>
      <c r="AF2" s="77" t="e">
        <f>HLOOKUP(AD2,Hoja2!$R$2:$AV$27,26,FALSE)</f>
        <v>#N/A</v>
      </c>
      <c r="AG2" s="26" t="e">
        <f>HLOOKUP(AD2,Hoja2!$R$2:$AV$28,27,FALSE)</f>
        <v>#N/A</v>
      </c>
      <c r="AH2" s="97" t="e">
        <f>HLOOKUP(AD2,Hoja2!$R$2:$AV$29,28,FALSE)</f>
        <v>#N/A</v>
      </c>
      <c r="AJ2" s="9">
        <v>45413</v>
      </c>
      <c r="AK2">
        <v>110820</v>
      </c>
      <c r="AL2" t="s">
        <v>97</v>
      </c>
      <c r="AM2" t="e">
        <f>"CPA Fondeo Bice USD a JPM COL " &amp;AG2&amp;" USD T/C "&amp;AF2&amp;".- "&amp;TEXT($G2,"dd-mm-aaa")</f>
        <v>#N/A</v>
      </c>
      <c r="AN2" s="3" t="e">
        <f>+AH2</f>
        <v>#N/A</v>
      </c>
      <c r="AO2" s="10"/>
      <c r="AS2" s="1">
        <v>45413</v>
      </c>
      <c r="AT2" s="26" t="e">
        <f>HLOOKUP(AS2,Hoja2!$R$2:$AV$30,29,FALSE)</f>
        <v>#N/A</v>
      </c>
      <c r="AU2" s="77" t="e">
        <f>HLOOKUP(AS2,Hoja2!$R$2:$AV$31,30,FALSE)</f>
        <v>#N/A</v>
      </c>
      <c r="AV2" s="26" t="e">
        <f>HLOOKUP(AS2,Hoja2!$R$2:$AV$32,31,FALSE)</f>
        <v>#N/A</v>
      </c>
      <c r="AW2" s="97" t="e">
        <f>HLOOKUP(AS2,Hoja2!$R$2:$AV$33,32,FALSE)</f>
        <v>#N/A</v>
      </c>
      <c r="AY2" s="9">
        <v>45413</v>
      </c>
      <c r="AZ2">
        <v>110205</v>
      </c>
      <c r="BA2" t="s">
        <v>59</v>
      </c>
      <c r="BB2" t="e">
        <f>"CPA Rescate DLocal a Bco.Bice USD " &amp;AV2&amp;" USD T/C "&amp;AU2&amp;".- "&amp;TEXT($G2,"dd-mm-aaa")</f>
        <v>#N/A</v>
      </c>
      <c r="BC2" s="3" t="e">
        <f>+AW2</f>
        <v>#N/A</v>
      </c>
      <c r="BD2" s="10"/>
      <c r="BH2" s="1">
        <v>45413</v>
      </c>
      <c r="BI2" s="26" t="e">
        <f>HLOOKUP(BH2,Hoja2!$R$2:$AV$35,34,FALSE)</f>
        <v>#N/A</v>
      </c>
      <c r="BJ2" s="77" t="e">
        <f>HLOOKUP(BH2,Hoja2!$R$2:$AV$36,35,FALSE)</f>
        <v>#N/A</v>
      </c>
      <c r="BK2" s="26" t="e">
        <f>HLOOKUP(BH2,Hoja2!$R$2:$AV$37,36,FALSE)</f>
        <v>#N/A</v>
      </c>
      <c r="BL2" s="97" t="e">
        <f>HLOOKUP(BH2,Hoja2!$R$2:$AV$38,37,FALSE)</f>
        <v>#N/A</v>
      </c>
      <c r="BN2" s="9">
        <v>45413</v>
      </c>
      <c r="BO2">
        <v>110292</v>
      </c>
      <c r="BP2" t="s">
        <v>160</v>
      </c>
      <c r="BQ2" t="e">
        <f>"CPA Fondeo Bice USD a OZ CAMBIO USD "&amp;BK2&amp;" USD T/C "&amp;BJ2</f>
        <v>#N/A</v>
      </c>
      <c r="BR2" s="3" t="e">
        <f>+BL2</f>
        <v>#N/A</v>
      </c>
      <c r="BS2" s="10"/>
    </row>
    <row r="3" spans="1:71" x14ac:dyDescent="0.25">
      <c r="A3" s="1">
        <v>45414</v>
      </c>
      <c r="B3" s="26" t="e">
        <f>HLOOKUP(A3,Hoja2!$R$2:$AV$18,17,FALSE)</f>
        <v>#N/A</v>
      </c>
      <c r="C3" s="77" t="e">
        <f>HLOOKUP(A3,Hoja2!$R$2:$AV$19,18,FALSE)</f>
        <v>#N/A</v>
      </c>
      <c r="D3" s="26" t="e">
        <f>HLOOKUP(A3,Hoja2!$R$2:$AV$20,19,FALSE)</f>
        <v>#N/A</v>
      </c>
      <c r="E3" s="97" t="e">
        <f>HLOOKUP(A3,Hoja2!$R$2:$AV$21,20,FALSE)</f>
        <v>#N/A</v>
      </c>
      <c r="G3" s="11"/>
      <c r="H3" s="12">
        <v>110205</v>
      </c>
      <c r="I3" s="12" t="s">
        <v>59</v>
      </c>
      <c r="J3" s="12" t="e">
        <f>+J2</f>
        <v>#N/A</v>
      </c>
      <c r="K3" s="13"/>
      <c r="L3" s="18" t="e">
        <f>+K2</f>
        <v>#N/A</v>
      </c>
      <c r="P3" s="1">
        <v>45414</v>
      </c>
      <c r="Q3" s="26" t="e">
        <f>HLOOKUP(P3,Hoja2!$R$2:$AV$22,21,FALSE)</f>
        <v>#N/A</v>
      </c>
      <c r="R3" s="77" t="e">
        <f>HLOOKUP(P3,Hoja2!$R$2:$AV$23,22,FALSE)</f>
        <v>#N/A</v>
      </c>
      <c r="S3" s="26" t="e">
        <f>HLOOKUP(P3,Hoja2!$R$2:$AV$24,23,FALSE)</f>
        <v>#N/A</v>
      </c>
      <c r="T3" s="97" t="e">
        <f>HLOOKUP(P3,Hoja2!$R$2:$AV$25,24,FALSE)</f>
        <v>#N/A</v>
      </c>
      <c r="V3" s="11"/>
      <c r="W3" s="12">
        <v>110205</v>
      </c>
      <c r="X3" s="12" t="s">
        <v>59</v>
      </c>
      <c r="Y3" s="12" t="e">
        <f>+Y2</f>
        <v>#N/A</v>
      </c>
      <c r="Z3" s="13"/>
      <c r="AA3" s="18" t="e">
        <f>+Z2</f>
        <v>#N/A</v>
      </c>
      <c r="AD3" s="1">
        <v>45414</v>
      </c>
      <c r="AE3" s="26" t="e">
        <f>HLOOKUP(AD3,Hoja2!$R$2:$AV$26,25,FALSE)</f>
        <v>#N/A</v>
      </c>
      <c r="AF3" s="77" t="e">
        <f>HLOOKUP(AD3,Hoja2!$R$2:$AV$27,26,FALSE)</f>
        <v>#N/A</v>
      </c>
      <c r="AG3" s="26" t="e">
        <f>HLOOKUP(AD3,Hoja2!$R$2:$AV$28,27,FALSE)</f>
        <v>#N/A</v>
      </c>
      <c r="AH3" s="97" t="e">
        <f>HLOOKUP(AD3,Hoja2!$R$2:$AV$29,28,FALSE)</f>
        <v>#N/A</v>
      </c>
      <c r="AJ3" s="11"/>
      <c r="AK3" s="12">
        <v>110205</v>
      </c>
      <c r="AL3" s="12" t="s">
        <v>59</v>
      </c>
      <c r="AM3" s="12" t="e">
        <f>+AM2</f>
        <v>#N/A</v>
      </c>
      <c r="AN3" s="13"/>
      <c r="AO3" s="18" t="e">
        <f>+AN2</f>
        <v>#N/A</v>
      </c>
      <c r="AS3" s="1">
        <v>45414</v>
      </c>
      <c r="AT3" s="26" t="e">
        <f>HLOOKUP(AS3,Hoja2!$R$2:$AV$30,29,FALSE)</f>
        <v>#N/A</v>
      </c>
      <c r="AU3" s="77" t="e">
        <f>HLOOKUP(AS3,Hoja2!$R$2:$AV$31,30,FALSE)</f>
        <v>#N/A</v>
      </c>
      <c r="AV3" s="26" t="e">
        <f>HLOOKUP(AS3,Hoja2!$R$2:$AV$32,31,FALSE)</f>
        <v>#N/A</v>
      </c>
      <c r="AW3" s="97" t="e">
        <f>HLOOKUP(AS3,Hoja2!$R$2:$AV$33,32,FALSE)</f>
        <v>#N/A</v>
      </c>
      <c r="AY3" s="11"/>
      <c r="AZ3" s="12">
        <v>110276</v>
      </c>
      <c r="BA3" s="12" t="s">
        <v>102</v>
      </c>
      <c r="BB3" s="12" t="e">
        <f>+BB2</f>
        <v>#N/A</v>
      </c>
      <c r="BC3" s="13"/>
      <c r="BD3" s="18" t="e">
        <f>+BC2</f>
        <v>#N/A</v>
      </c>
      <c r="BH3" s="1">
        <v>45414</v>
      </c>
      <c r="BI3" s="26" t="e">
        <f>HLOOKUP(BH3,Hoja2!$R$2:$AV$35,34,FALSE)</f>
        <v>#N/A</v>
      </c>
      <c r="BJ3" s="77" t="e">
        <f>HLOOKUP(BH3,Hoja2!$R$2:$AV$36,35,FALSE)</f>
        <v>#N/A</v>
      </c>
      <c r="BK3" s="26" t="e">
        <f>HLOOKUP(BH3,Hoja2!$R$2:$AV$37,36,FALSE)</f>
        <v>#N/A</v>
      </c>
      <c r="BL3" s="97" t="e">
        <f>HLOOKUP(BH3,Hoja2!$R$2:$AV$38,37,FALSE)</f>
        <v>#N/A</v>
      </c>
      <c r="BN3" s="11"/>
      <c r="BO3" s="12">
        <v>110205</v>
      </c>
      <c r="BP3" s="12" t="s">
        <v>59</v>
      </c>
      <c r="BQ3" s="12" t="e">
        <f>+BQ2</f>
        <v>#N/A</v>
      </c>
      <c r="BR3" s="13"/>
      <c r="BS3" s="18" t="e">
        <f>+BR2</f>
        <v>#N/A</v>
      </c>
    </row>
    <row r="4" spans="1:71" x14ac:dyDescent="0.25">
      <c r="A4" s="1">
        <v>45415</v>
      </c>
      <c r="B4" s="26" t="e">
        <f>HLOOKUP(A4,Hoja2!$R$2:$AV$18,17,FALSE)</f>
        <v>#N/A</v>
      </c>
      <c r="C4" s="77" t="e">
        <f>HLOOKUP(A4,Hoja2!$R$2:$AV$19,18,FALSE)</f>
        <v>#N/A</v>
      </c>
      <c r="D4" s="26" t="e">
        <f>HLOOKUP(A4,Hoja2!$R$2:$AV$20,19,FALSE)</f>
        <v>#N/A</v>
      </c>
      <c r="E4" s="97" t="e">
        <f>HLOOKUP(A4,Hoja2!$R$2:$AV$21,20,FALSE)</f>
        <v>#N/A</v>
      </c>
      <c r="G4" s="15">
        <v>45414</v>
      </c>
      <c r="H4">
        <v>110275</v>
      </c>
      <c r="I4" t="s">
        <v>87</v>
      </c>
      <c r="J4" t="e">
        <f>"CPA Fondeo Bice USD a NIUM " &amp;D3&amp;" USD T/C "&amp;C3</f>
        <v>#N/A</v>
      </c>
      <c r="K4" s="3" t="e">
        <f>+E3</f>
        <v>#N/A</v>
      </c>
      <c r="L4" s="10"/>
      <c r="P4" s="1">
        <v>45415</v>
      </c>
      <c r="Q4" s="26" t="e">
        <f>HLOOKUP(P4,Hoja2!$R$2:$AV$22,21,FALSE)</f>
        <v>#N/A</v>
      </c>
      <c r="R4" s="77" t="e">
        <f>HLOOKUP(P4,Hoja2!$R$2:$AV$23,22,FALSE)</f>
        <v>#N/A</v>
      </c>
      <c r="S4" s="26" t="e">
        <f>HLOOKUP(P4,Hoja2!$R$2:$AV$24,23,FALSE)</f>
        <v>#N/A</v>
      </c>
      <c r="T4" s="97" t="e">
        <f>HLOOKUP(P4,Hoja2!$R$2:$AV$25,24,FALSE)</f>
        <v>#N/A</v>
      </c>
      <c r="V4" s="15">
        <v>45414</v>
      </c>
      <c r="W4">
        <v>110274</v>
      </c>
      <c r="X4" t="s">
        <v>89</v>
      </c>
      <c r="Y4" t="e">
        <f>"CPA Fondeo Bice USD a Facilita Pay " &amp;S3&amp;" USD T/C "&amp;R3</f>
        <v>#N/A</v>
      </c>
      <c r="Z4" s="3" t="e">
        <f>+T3</f>
        <v>#N/A</v>
      </c>
      <c r="AA4" s="10"/>
      <c r="AD4" s="1">
        <v>45415</v>
      </c>
      <c r="AE4" s="26" t="e">
        <f>HLOOKUP(AD4,Hoja2!$R$2:$AV$26,25,FALSE)</f>
        <v>#N/A</v>
      </c>
      <c r="AF4" s="77" t="e">
        <f>HLOOKUP(AD4,Hoja2!$R$2:$AV$27,26,FALSE)</f>
        <v>#N/A</v>
      </c>
      <c r="AG4" s="26" t="e">
        <f>HLOOKUP(AD4,Hoja2!$R$2:$AV$28,27,FALSE)</f>
        <v>#N/A</v>
      </c>
      <c r="AH4" s="97" t="e">
        <f>HLOOKUP(AD4,Hoja2!$R$2:$AV$29,28,FALSE)</f>
        <v>#N/A</v>
      </c>
      <c r="AJ4" s="15">
        <v>45414</v>
      </c>
      <c r="AK4">
        <v>110820</v>
      </c>
      <c r="AL4" t="s">
        <v>97</v>
      </c>
      <c r="AM4" t="e">
        <f>"CPA Fondeo Bice USD a JPM COL " &amp;AG3&amp;" USD T/C "&amp;AF3&amp;".- "&amp;TEXT($G4,"dd-mm-aaa")</f>
        <v>#N/A</v>
      </c>
      <c r="AN4" s="3" t="e">
        <f>+AH3</f>
        <v>#N/A</v>
      </c>
      <c r="AO4" s="10"/>
      <c r="AS4" s="1">
        <v>45415</v>
      </c>
      <c r="AT4" s="26" t="e">
        <f>HLOOKUP(AS4,Hoja2!$R$2:$AV$30,29,FALSE)</f>
        <v>#N/A</v>
      </c>
      <c r="AU4" s="77" t="e">
        <f>HLOOKUP(AS4,Hoja2!$R$2:$AV$31,30,FALSE)</f>
        <v>#N/A</v>
      </c>
      <c r="AV4" s="26" t="e">
        <f>HLOOKUP(AS4,Hoja2!$R$2:$AV$32,31,FALSE)</f>
        <v>#N/A</v>
      </c>
      <c r="AW4" s="97" t="e">
        <f>HLOOKUP(AS4,Hoja2!$R$2:$AV$33,32,FALSE)</f>
        <v>#N/A</v>
      </c>
      <c r="AY4" s="15">
        <v>45414</v>
      </c>
      <c r="AZ4">
        <v>110205</v>
      </c>
      <c r="BA4" t="s">
        <v>59</v>
      </c>
      <c r="BB4" t="e">
        <f>"CPA Rescate DLocal a Bco.Bice USD " &amp;AV3&amp;" USD T/C "&amp;AU3&amp;".- "&amp;TEXT($G4,"dd-mm-aaa")</f>
        <v>#N/A</v>
      </c>
      <c r="BC4" s="3" t="e">
        <f>+AW3</f>
        <v>#N/A</v>
      </c>
      <c r="BD4" s="10"/>
      <c r="BH4" s="1">
        <v>45415</v>
      </c>
      <c r="BI4" s="26" t="e">
        <f>HLOOKUP(BH4,Hoja2!$R$2:$AV$35,34,FALSE)</f>
        <v>#N/A</v>
      </c>
      <c r="BJ4" s="77" t="e">
        <f>HLOOKUP(BH4,Hoja2!$R$2:$AV$36,35,FALSE)</f>
        <v>#N/A</v>
      </c>
      <c r="BK4" s="26" t="e">
        <f>HLOOKUP(BH4,Hoja2!$R$2:$AV$37,36,FALSE)</f>
        <v>#N/A</v>
      </c>
      <c r="BL4" s="97" t="e">
        <f>HLOOKUP(BH4,Hoja2!$R$2:$AV$38,37,FALSE)</f>
        <v>#N/A</v>
      </c>
      <c r="BN4" s="15">
        <v>45414</v>
      </c>
      <c r="BO4">
        <v>110292</v>
      </c>
      <c r="BP4" t="s">
        <v>160</v>
      </c>
      <c r="BQ4" t="e">
        <f>"CPA Fondeo Bice USD a OZ CAMBIO USD " &amp;BK3&amp;" USD T/C "&amp;BJ3</f>
        <v>#N/A</v>
      </c>
      <c r="BR4" s="3" t="e">
        <f>+BL3</f>
        <v>#N/A</v>
      </c>
      <c r="BS4" s="10"/>
    </row>
    <row r="5" spans="1:71" x14ac:dyDescent="0.25">
      <c r="A5" s="1">
        <v>45416</v>
      </c>
      <c r="B5" s="26" t="e">
        <f>HLOOKUP(A5,Hoja2!$R$2:$AV$18,17,FALSE)</f>
        <v>#N/A</v>
      </c>
      <c r="C5" s="77" t="e">
        <f>HLOOKUP(A5,Hoja2!$R$2:$AV$19,18,FALSE)</f>
        <v>#N/A</v>
      </c>
      <c r="D5" s="26" t="e">
        <f>HLOOKUP(A5,Hoja2!$R$2:$AV$20,19,FALSE)</f>
        <v>#N/A</v>
      </c>
      <c r="E5" s="97" t="e">
        <f>HLOOKUP(A5,Hoja2!$R$2:$AV$21,20,FALSE)</f>
        <v>#N/A</v>
      </c>
      <c r="G5" s="11"/>
      <c r="H5" s="12">
        <v>110205</v>
      </c>
      <c r="I5" s="12" t="s">
        <v>59</v>
      </c>
      <c r="J5" s="12" t="e">
        <f>+J4</f>
        <v>#N/A</v>
      </c>
      <c r="K5" s="13"/>
      <c r="L5" s="18" t="e">
        <f t="shared" ref="L5" si="0">+K4</f>
        <v>#N/A</v>
      </c>
      <c r="P5" s="1">
        <v>45416</v>
      </c>
      <c r="Q5" s="26" t="e">
        <f>HLOOKUP(P5,Hoja2!$R$2:$AV$22,21,FALSE)</f>
        <v>#N/A</v>
      </c>
      <c r="R5" s="77" t="e">
        <f>HLOOKUP(P5,Hoja2!$R$2:$AV$23,22,FALSE)</f>
        <v>#N/A</v>
      </c>
      <c r="S5" s="26" t="e">
        <f>HLOOKUP(P5,Hoja2!$R$2:$AV$24,23,FALSE)</f>
        <v>#N/A</v>
      </c>
      <c r="T5" s="97" t="e">
        <f>HLOOKUP(P5,Hoja2!$R$2:$AV$25,24,FALSE)</f>
        <v>#N/A</v>
      </c>
      <c r="V5" s="11"/>
      <c r="W5" s="12">
        <v>110205</v>
      </c>
      <c r="X5" s="12" t="s">
        <v>59</v>
      </c>
      <c r="Y5" s="12" t="e">
        <f>+Y4</f>
        <v>#N/A</v>
      </c>
      <c r="Z5" s="13"/>
      <c r="AA5" s="18" t="e">
        <f t="shared" ref="AA5" si="1">+Z4</f>
        <v>#N/A</v>
      </c>
      <c r="AD5" s="1">
        <v>45416</v>
      </c>
      <c r="AE5" s="26" t="e">
        <f>HLOOKUP(AD5,Hoja2!$R$2:$AV$26,25,FALSE)</f>
        <v>#N/A</v>
      </c>
      <c r="AF5" s="77" t="e">
        <f>HLOOKUP(AD5,Hoja2!$R$2:$AV$27,26,FALSE)</f>
        <v>#N/A</v>
      </c>
      <c r="AG5" s="26" t="e">
        <f>HLOOKUP(AD5,Hoja2!$R$2:$AV$28,27,FALSE)</f>
        <v>#N/A</v>
      </c>
      <c r="AH5" s="97" t="e">
        <f>HLOOKUP(AD5,Hoja2!$R$2:$AV$29,28,FALSE)</f>
        <v>#N/A</v>
      </c>
      <c r="AJ5" s="11"/>
      <c r="AK5" s="12">
        <v>110205</v>
      </c>
      <c r="AL5" s="12" t="s">
        <v>59</v>
      </c>
      <c r="AM5" s="12" t="e">
        <f>+AM4</f>
        <v>#N/A</v>
      </c>
      <c r="AN5" s="13"/>
      <c r="AO5" s="18" t="e">
        <f t="shared" ref="AO5" si="2">+AN4</f>
        <v>#N/A</v>
      </c>
      <c r="AS5" s="1">
        <v>45416</v>
      </c>
      <c r="AT5" s="26" t="e">
        <f>HLOOKUP(AS5,Hoja2!$R$2:$AV$30,29,FALSE)</f>
        <v>#N/A</v>
      </c>
      <c r="AU5" s="77" t="e">
        <f>HLOOKUP(AS5,Hoja2!$R$2:$AV$31,30,FALSE)</f>
        <v>#N/A</v>
      </c>
      <c r="AV5" s="26" t="e">
        <f>HLOOKUP(AS5,Hoja2!$R$2:$AV$32,31,FALSE)</f>
        <v>#N/A</v>
      </c>
      <c r="AW5" s="97" t="e">
        <f>HLOOKUP(AS5,Hoja2!$R$2:$AV$33,32,FALSE)</f>
        <v>#N/A</v>
      </c>
      <c r="AY5" s="11"/>
      <c r="AZ5" s="12">
        <v>110276</v>
      </c>
      <c r="BA5" s="12" t="s">
        <v>102</v>
      </c>
      <c r="BB5" s="12" t="e">
        <f>+BB4</f>
        <v>#N/A</v>
      </c>
      <c r="BC5" s="13"/>
      <c r="BD5" s="18" t="e">
        <f t="shared" ref="BD5" si="3">+BC4</f>
        <v>#N/A</v>
      </c>
      <c r="BH5" s="1">
        <v>45416</v>
      </c>
      <c r="BI5" s="26" t="e">
        <f>HLOOKUP(BH5,Hoja2!$R$2:$AV$35,34,FALSE)</f>
        <v>#N/A</v>
      </c>
      <c r="BJ5" s="77" t="e">
        <f>HLOOKUP(BH5,Hoja2!$R$2:$AV$36,35,FALSE)</f>
        <v>#N/A</v>
      </c>
      <c r="BK5" s="26" t="e">
        <f>HLOOKUP(BH5,Hoja2!$R$2:$AV$37,36,FALSE)</f>
        <v>#N/A</v>
      </c>
      <c r="BL5" s="97" t="e">
        <f>HLOOKUP(BH5,Hoja2!$R$2:$AV$38,37,FALSE)</f>
        <v>#N/A</v>
      </c>
      <c r="BN5" s="11"/>
      <c r="BO5" s="12">
        <v>110205</v>
      </c>
      <c r="BP5" s="12" t="s">
        <v>59</v>
      </c>
      <c r="BQ5" s="12" t="e">
        <f>+BQ4</f>
        <v>#N/A</v>
      </c>
      <c r="BR5" s="13"/>
      <c r="BS5" s="18" t="e">
        <f t="shared" ref="BS5" si="4">+BR4</f>
        <v>#N/A</v>
      </c>
    </row>
    <row r="6" spans="1:71" x14ac:dyDescent="0.25">
      <c r="A6" s="1">
        <v>45417</v>
      </c>
      <c r="B6" s="26" t="e">
        <f>HLOOKUP(A6,Hoja2!$R$2:$AV$18,17,FALSE)</f>
        <v>#N/A</v>
      </c>
      <c r="C6" s="77" t="e">
        <f>HLOOKUP(A6,Hoja2!$R$2:$AV$19,18,FALSE)</f>
        <v>#N/A</v>
      </c>
      <c r="D6" s="26" t="e">
        <f>HLOOKUP(A6,Hoja2!$R$2:$AV$20,19,FALSE)</f>
        <v>#N/A</v>
      </c>
      <c r="E6" s="97" t="e">
        <f>HLOOKUP(A6,Hoja2!$R$2:$AV$21,20,FALSE)</f>
        <v>#N/A</v>
      </c>
      <c r="G6" s="15">
        <v>45415</v>
      </c>
      <c r="H6">
        <v>110275</v>
      </c>
      <c r="I6" t="s">
        <v>87</v>
      </c>
      <c r="J6" t="e">
        <f>"CPA Fondeo Bice USD a NIUM " &amp;D4&amp;" USD T/C "&amp;C4</f>
        <v>#N/A</v>
      </c>
      <c r="K6" s="3" t="e">
        <f>+E4</f>
        <v>#N/A</v>
      </c>
      <c r="L6" s="10"/>
      <c r="P6" s="1">
        <v>45417</v>
      </c>
      <c r="Q6" s="26" t="e">
        <f>HLOOKUP(P6,Hoja2!$R$2:$AV$22,21,FALSE)</f>
        <v>#N/A</v>
      </c>
      <c r="R6" s="77" t="e">
        <f>HLOOKUP(P6,Hoja2!$R$2:$AV$23,22,FALSE)</f>
        <v>#N/A</v>
      </c>
      <c r="S6" s="26" t="e">
        <f>HLOOKUP(P6,Hoja2!$R$2:$AV$24,23,FALSE)</f>
        <v>#N/A</v>
      </c>
      <c r="T6" s="97" t="e">
        <f>HLOOKUP(P6,Hoja2!$R$2:$AV$25,24,FALSE)</f>
        <v>#N/A</v>
      </c>
      <c r="V6" s="15">
        <v>45415</v>
      </c>
      <c r="W6">
        <v>110274</v>
      </c>
      <c r="X6" t="s">
        <v>89</v>
      </c>
      <c r="Y6" t="e">
        <f>"CPA Fondeo Bice USD a Facilita Pay " &amp;S4&amp;" USD T/C "&amp;R4</f>
        <v>#N/A</v>
      </c>
      <c r="Z6" s="3" t="e">
        <f>+T4</f>
        <v>#N/A</v>
      </c>
      <c r="AA6" s="10"/>
      <c r="AD6" s="1">
        <v>45417</v>
      </c>
      <c r="AE6" s="26" t="e">
        <f>HLOOKUP(AD6,Hoja2!$R$2:$AV$26,25,FALSE)</f>
        <v>#N/A</v>
      </c>
      <c r="AF6" s="77" t="e">
        <f>HLOOKUP(AD6,Hoja2!$R$2:$AV$27,26,FALSE)</f>
        <v>#N/A</v>
      </c>
      <c r="AG6" s="26" t="e">
        <f>HLOOKUP(AD6,Hoja2!$R$2:$AV$28,27,FALSE)</f>
        <v>#N/A</v>
      </c>
      <c r="AH6" s="97" t="e">
        <f>HLOOKUP(AD6,Hoja2!$R$2:$AV$29,28,FALSE)</f>
        <v>#N/A</v>
      </c>
      <c r="AJ6" s="15">
        <v>45415</v>
      </c>
      <c r="AK6">
        <v>110820</v>
      </c>
      <c r="AL6" t="s">
        <v>97</v>
      </c>
      <c r="AM6" t="e">
        <f>"CPA Fondeo Bice USD a JPM COL " &amp;AG4&amp;" USD T/C "&amp;AF4&amp;".- "&amp;TEXT($G6,"dd-mm-aaa")</f>
        <v>#N/A</v>
      </c>
      <c r="AN6" s="3" t="e">
        <f>+AH4</f>
        <v>#N/A</v>
      </c>
      <c r="AO6" s="10"/>
      <c r="AS6" s="1">
        <v>45417</v>
      </c>
      <c r="AT6" s="26" t="e">
        <f>HLOOKUP(AS6,Hoja2!$R$2:$AV$30,29,FALSE)</f>
        <v>#N/A</v>
      </c>
      <c r="AU6" s="77" t="e">
        <f>HLOOKUP(AS6,Hoja2!$R$2:$AV$31,30,FALSE)</f>
        <v>#N/A</v>
      </c>
      <c r="AV6" s="26" t="e">
        <f>HLOOKUP(AS6,Hoja2!$R$2:$AV$32,31,FALSE)</f>
        <v>#N/A</v>
      </c>
      <c r="AW6" s="97" t="e">
        <f>HLOOKUP(AS6,Hoja2!$R$2:$AV$33,32,FALSE)</f>
        <v>#N/A</v>
      </c>
      <c r="AY6" s="15">
        <v>45415</v>
      </c>
      <c r="AZ6">
        <v>110205</v>
      </c>
      <c r="BA6" t="s">
        <v>59</v>
      </c>
      <c r="BB6" t="e">
        <f>"CPA Rescate DLocal a Bco.Bice USD " &amp;AV4&amp;" USD T/C "&amp;AU4&amp;".- "&amp;TEXT($G6,"dd-mm-aaa")</f>
        <v>#N/A</v>
      </c>
      <c r="BC6" s="3" t="e">
        <f>+AW4</f>
        <v>#N/A</v>
      </c>
      <c r="BD6" s="10"/>
      <c r="BH6" s="1">
        <v>45417</v>
      </c>
      <c r="BI6" s="26" t="e">
        <f>HLOOKUP(BH6,Hoja2!$R$2:$AV$35,34,FALSE)</f>
        <v>#N/A</v>
      </c>
      <c r="BJ6" s="77" t="e">
        <f>HLOOKUP(BH6,Hoja2!$R$2:$AV$36,35,FALSE)</f>
        <v>#N/A</v>
      </c>
      <c r="BK6" s="26" t="e">
        <f>HLOOKUP(BH6,Hoja2!$R$2:$AV$37,36,FALSE)</f>
        <v>#N/A</v>
      </c>
      <c r="BL6" s="97" t="e">
        <f>HLOOKUP(BH6,Hoja2!$R$2:$AV$38,37,FALSE)</f>
        <v>#N/A</v>
      </c>
      <c r="BN6" s="15">
        <v>45415</v>
      </c>
      <c r="BO6">
        <v>110292</v>
      </c>
      <c r="BP6" t="s">
        <v>160</v>
      </c>
      <c r="BQ6" t="e">
        <f>"CPA Fondeo Bice USD a OZ CAMBIO USD " &amp;BK4&amp;" USD T/C "&amp;BJ4</f>
        <v>#N/A</v>
      </c>
      <c r="BR6" s="3" t="e">
        <f>+BL4</f>
        <v>#N/A</v>
      </c>
      <c r="BS6" s="10"/>
    </row>
    <row r="7" spans="1:71" x14ac:dyDescent="0.25">
      <c r="A7" s="1">
        <v>45418</v>
      </c>
      <c r="B7" s="26" t="e">
        <f>HLOOKUP(A7,Hoja2!$R$2:$AV$18,17,FALSE)</f>
        <v>#N/A</v>
      </c>
      <c r="C7" s="77" t="e">
        <f>HLOOKUP(A7,Hoja2!$R$2:$AV$19,18,FALSE)</f>
        <v>#N/A</v>
      </c>
      <c r="D7" s="26" t="e">
        <f>HLOOKUP(A7,Hoja2!$R$2:$AV$20,19,FALSE)</f>
        <v>#N/A</v>
      </c>
      <c r="E7" s="97" t="e">
        <f>HLOOKUP(A7,Hoja2!$R$2:$AV$21,20,FALSE)</f>
        <v>#N/A</v>
      </c>
      <c r="G7" s="11"/>
      <c r="H7" s="12">
        <v>110205</v>
      </c>
      <c r="I7" s="12" t="s">
        <v>59</v>
      </c>
      <c r="J7" s="12" t="e">
        <f>+J6</f>
        <v>#N/A</v>
      </c>
      <c r="K7" s="13"/>
      <c r="L7" s="18" t="e">
        <f t="shared" ref="L7:L63" si="5">+K6</f>
        <v>#N/A</v>
      </c>
      <c r="P7" s="1">
        <v>45418</v>
      </c>
      <c r="Q7" s="26" t="e">
        <f>HLOOKUP(P7,Hoja2!$R$2:$AV$22,21,FALSE)</f>
        <v>#N/A</v>
      </c>
      <c r="R7" s="77" t="e">
        <f>HLOOKUP(P7,Hoja2!$R$2:$AV$23,22,FALSE)</f>
        <v>#N/A</v>
      </c>
      <c r="S7" s="26" t="e">
        <f>HLOOKUP(P7,Hoja2!$R$2:$AV$24,23,FALSE)</f>
        <v>#N/A</v>
      </c>
      <c r="T7" s="97" t="e">
        <f>HLOOKUP(P7,Hoja2!$R$2:$AV$25,24,FALSE)</f>
        <v>#N/A</v>
      </c>
      <c r="V7" s="11"/>
      <c r="W7" s="12">
        <v>110205</v>
      </c>
      <c r="X7" s="12" t="s">
        <v>59</v>
      </c>
      <c r="Y7" s="12" t="e">
        <f>+Y6</f>
        <v>#N/A</v>
      </c>
      <c r="Z7" s="13"/>
      <c r="AA7" s="18" t="e">
        <f t="shared" ref="AA7:AA63" si="6">+Z6</f>
        <v>#N/A</v>
      </c>
      <c r="AD7" s="1">
        <v>45418</v>
      </c>
      <c r="AE7" s="26" t="e">
        <f>HLOOKUP(AD7,Hoja2!$R$2:$AV$26,25,FALSE)</f>
        <v>#N/A</v>
      </c>
      <c r="AF7" s="77" t="e">
        <f>HLOOKUP(AD7,Hoja2!$R$2:$AV$27,26,FALSE)</f>
        <v>#N/A</v>
      </c>
      <c r="AG7" s="26" t="e">
        <f>HLOOKUP(AD7,Hoja2!$R$2:$AV$28,27,FALSE)</f>
        <v>#N/A</v>
      </c>
      <c r="AH7" s="97" t="e">
        <f>HLOOKUP(AD7,Hoja2!$R$2:$AV$29,28,FALSE)</f>
        <v>#N/A</v>
      </c>
      <c r="AJ7" s="11"/>
      <c r="AK7" s="12">
        <v>110205</v>
      </c>
      <c r="AL7" s="12" t="s">
        <v>59</v>
      </c>
      <c r="AM7" s="12" t="e">
        <f>+AM6</f>
        <v>#N/A</v>
      </c>
      <c r="AN7" s="13"/>
      <c r="AO7" s="18" t="e">
        <f t="shared" ref="AO7:AO63" si="7">+AN6</f>
        <v>#N/A</v>
      </c>
      <c r="AS7" s="1">
        <v>45418</v>
      </c>
      <c r="AT7" s="26" t="e">
        <f>HLOOKUP(AS7,Hoja2!$R$2:$AV$30,29,FALSE)</f>
        <v>#N/A</v>
      </c>
      <c r="AU7" s="77" t="e">
        <f>HLOOKUP(AS7,Hoja2!$R$2:$AV$31,30,FALSE)</f>
        <v>#N/A</v>
      </c>
      <c r="AV7" s="26" t="e">
        <f>HLOOKUP(AS7,Hoja2!$R$2:$AV$32,31,FALSE)</f>
        <v>#N/A</v>
      </c>
      <c r="AW7" s="97" t="e">
        <f>HLOOKUP(AS7,Hoja2!$R$2:$AV$33,32,FALSE)</f>
        <v>#N/A</v>
      </c>
      <c r="AY7" s="11"/>
      <c r="AZ7" s="12">
        <v>110276</v>
      </c>
      <c r="BA7" s="12" t="s">
        <v>102</v>
      </c>
      <c r="BB7" s="12" t="e">
        <f>+BB6</f>
        <v>#N/A</v>
      </c>
      <c r="BC7" s="13"/>
      <c r="BD7" s="18" t="e">
        <f t="shared" ref="BD7:BD63" si="8">+BC6</f>
        <v>#N/A</v>
      </c>
      <c r="BH7" s="1">
        <v>45418</v>
      </c>
      <c r="BI7" s="26" t="e">
        <f>HLOOKUP(BH7,Hoja2!$R$2:$AV$35,34,FALSE)</f>
        <v>#N/A</v>
      </c>
      <c r="BJ7" s="77" t="e">
        <f>HLOOKUP(BH7,Hoja2!$R$2:$AV$36,35,FALSE)</f>
        <v>#N/A</v>
      </c>
      <c r="BK7" s="26" t="e">
        <f>HLOOKUP(BH7,Hoja2!$R$2:$AV$37,36,FALSE)</f>
        <v>#N/A</v>
      </c>
      <c r="BL7" s="97" t="e">
        <f>HLOOKUP(BH7,Hoja2!$R$2:$AV$38,37,FALSE)</f>
        <v>#N/A</v>
      </c>
      <c r="BN7" s="11"/>
      <c r="BO7" s="12">
        <v>110205</v>
      </c>
      <c r="BP7" s="12" t="s">
        <v>59</v>
      </c>
      <c r="BQ7" s="12" t="e">
        <f>+BQ6</f>
        <v>#N/A</v>
      </c>
      <c r="BR7" s="13"/>
      <c r="BS7" s="18" t="e">
        <f t="shared" ref="BS7" si="9">+BR6</f>
        <v>#N/A</v>
      </c>
    </row>
    <row r="8" spans="1:71" x14ac:dyDescent="0.25">
      <c r="A8" s="1">
        <v>45419</v>
      </c>
      <c r="B8" s="26" t="e">
        <f>HLOOKUP(A8,Hoja2!$R$2:$AV$18,17,FALSE)</f>
        <v>#N/A</v>
      </c>
      <c r="C8" s="77" t="e">
        <f>HLOOKUP(A8,Hoja2!$R$2:$AV$19,18,FALSE)</f>
        <v>#N/A</v>
      </c>
      <c r="D8" s="26" t="e">
        <f>HLOOKUP(A8,Hoja2!$R$2:$AV$20,19,FALSE)</f>
        <v>#N/A</v>
      </c>
      <c r="E8" s="97" t="e">
        <f>HLOOKUP(A8,Hoja2!$R$2:$AV$21,20,FALSE)</f>
        <v>#N/A</v>
      </c>
      <c r="G8" s="15">
        <v>45416</v>
      </c>
      <c r="H8">
        <v>110275</v>
      </c>
      <c r="I8" t="s">
        <v>87</v>
      </c>
      <c r="J8" t="e">
        <f>"CPA Fondeo Bice USD a NIUM " &amp;D5&amp;" USD T/C "&amp;C5</f>
        <v>#N/A</v>
      </c>
      <c r="K8" s="3" t="e">
        <f>+E5</f>
        <v>#N/A</v>
      </c>
      <c r="L8" s="10"/>
      <c r="P8" s="1">
        <v>45419</v>
      </c>
      <c r="Q8" s="26" t="e">
        <f>HLOOKUP(P8,Hoja2!$R$2:$AV$22,21,FALSE)</f>
        <v>#N/A</v>
      </c>
      <c r="R8" s="77" t="e">
        <f>HLOOKUP(P8,Hoja2!$R$2:$AV$23,22,FALSE)</f>
        <v>#N/A</v>
      </c>
      <c r="S8" s="26" t="e">
        <f>HLOOKUP(P8,Hoja2!$R$2:$AV$24,23,FALSE)</f>
        <v>#N/A</v>
      </c>
      <c r="T8" s="97" t="e">
        <f>HLOOKUP(P8,Hoja2!$R$2:$AV$25,24,FALSE)</f>
        <v>#N/A</v>
      </c>
      <c r="V8" s="15">
        <v>45416</v>
      </c>
      <c r="W8">
        <v>110274</v>
      </c>
      <c r="X8" t="s">
        <v>89</v>
      </c>
      <c r="Y8" t="e">
        <f>"CPA Fondeo Bice USD a Facilita Pay " &amp;S5&amp;" USD T/C "&amp;R5</f>
        <v>#N/A</v>
      </c>
      <c r="Z8" s="3" t="e">
        <f>+T5</f>
        <v>#N/A</v>
      </c>
      <c r="AA8" s="10"/>
      <c r="AD8" s="1">
        <v>45419</v>
      </c>
      <c r="AE8" s="26" t="e">
        <f>HLOOKUP(AD8,Hoja2!$R$2:$AV$26,25,FALSE)</f>
        <v>#N/A</v>
      </c>
      <c r="AF8" s="77" t="e">
        <f>HLOOKUP(AD8,Hoja2!$R$2:$AV$27,26,FALSE)</f>
        <v>#N/A</v>
      </c>
      <c r="AG8" s="26" t="e">
        <f>HLOOKUP(AD8,Hoja2!$R$2:$AV$28,27,FALSE)</f>
        <v>#N/A</v>
      </c>
      <c r="AH8" s="97" t="e">
        <f>HLOOKUP(AD8,Hoja2!$R$2:$AV$29,28,FALSE)</f>
        <v>#N/A</v>
      </c>
      <c r="AJ8" s="15">
        <v>45416</v>
      </c>
      <c r="AK8">
        <v>110820</v>
      </c>
      <c r="AL8" t="s">
        <v>97</v>
      </c>
      <c r="AM8" t="e">
        <f>"CPA Fondeo Bice USD a JPM COL " &amp;AG5&amp;" USD T/C "&amp;AF5&amp;".- "&amp;TEXT($G8,"dd-mm-aaa")</f>
        <v>#N/A</v>
      </c>
      <c r="AN8" s="3" t="e">
        <f>+AH5</f>
        <v>#N/A</v>
      </c>
      <c r="AO8" s="10"/>
      <c r="AS8" s="1">
        <v>45419</v>
      </c>
      <c r="AT8" s="26" t="e">
        <f>HLOOKUP(AS8,Hoja2!$R$2:$AV$30,29,FALSE)</f>
        <v>#N/A</v>
      </c>
      <c r="AU8" s="77" t="e">
        <f>HLOOKUP(AS8,Hoja2!$R$2:$AV$31,30,FALSE)</f>
        <v>#N/A</v>
      </c>
      <c r="AV8" s="26" t="e">
        <f>HLOOKUP(AS8,Hoja2!$R$2:$AV$32,31,FALSE)</f>
        <v>#N/A</v>
      </c>
      <c r="AW8" s="97" t="e">
        <f>HLOOKUP(AS8,Hoja2!$R$2:$AV$33,32,FALSE)</f>
        <v>#N/A</v>
      </c>
      <c r="AY8" s="15">
        <v>45416</v>
      </c>
      <c r="AZ8">
        <v>110205</v>
      </c>
      <c r="BA8" t="s">
        <v>59</v>
      </c>
      <c r="BB8" t="e">
        <f>"CPA Rescate DLocal a Bco.Bice USD " &amp;AV5&amp;" USD T/C "&amp;AU5&amp;".- "&amp;TEXT($G8,"dd-mm-aaa")</f>
        <v>#N/A</v>
      </c>
      <c r="BC8" s="3" t="e">
        <f>+AW5</f>
        <v>#N/A</v>
      </c>
      <c r="BD8" s="10"/>
      <c r="BH8" s="1">
        <v>45419</v>
      </c>
      <c r="BI8" s="26" t="e">
        <f>HLOOKUP(BH8,Hoja2!$R$2:$AV$35,34,FALSE)</f>
        <v>#N/A</v>
      </c>
      <c r="BJ8" s="77" t="e">
        <f>HLOOKUP(BH8,Hoja2!$R$2:$AV$36,35,FALSE)</f>
        <v>#N/A</v>
      </c>
      <c r="BK8" s="26" t="e">
        <f>HLOOKUP(BH8,Hoja2!$R$2:$AV$37,36,FALSE)</f>
        <v>#N/A</v>
      </c>
      <c r="BL8" s="97" t="e">
        <f>HLOOKUP(BH8,Hoja2!$R$2:$AV$38,37,FALSE)</f>
        <v>#N/A</v>
      </c>
      <c r="BN8" s="15">
        <v>45416</v>
      </c>
      <c r="BO8">
        <v>110292</v>
      </c>
      <c r="BP8" t="s">
        <v>160</v>
      </c>
      <c r="BQ8" t="e">
        <f>"CPA Fondeo Bice USD a OZ CAMBIO USD " &amp;BK5&amp;" USD T/C "&amp;BJ5</f>
        <v>#N/A</v>
      </c>
      <c r="BR8" s="3" t="e">
        <f>+BL5</f>
        <v>#N/A</v>
      </c>
      <c r="BS8" s="10"/>
    </row>
    <row r="9" spans="1:71" x14ac:dyDescent="0.25">
      <c r="A9" s="1">
        <v>45420</v>
      </c>
      <c r="B9" s="26" t="e">
        <f>HLOOKUP(A9,Hoja2!$R$2:$AV$18,17,FALSE)</f>
        <v>#N/A</v>
      </c>
      <c r="C9" s="77" t="e">
        <f>HLOOKUP(A9,Hoja2!$R$2:$AV$19,18,FALSE)</f>
        <v>#N/A</v>
      </c>
      <c r="D9" s="26" t="e">
        <f>HLOOKUP(A9,Hoja2!$R$2:$AV$20,19,FALSE)</f>
        <v>#N/A</v>
      </c>
      <c r="E9" s="97" t="e">
        <f>HLOOKUP(A9,Hoja2!$R$2:$AV$21,20,FALSE)</f>
        <v>#N/A</v>
      </c>
      <c r="G9" s="20"/>
      <c r="H9" s="12">
        <v>110205</v>
      </c>
      <c r="I9" s="12" t="s">
        <v>59</v>
      </c>
      <c r="J9" s="12" t="e">
        <f>+J8</f>
        <v>#N/A</v>
      </c>
      <c r="K9" s="13"/>
      <c r="L9" s="18" t="e">
        <f t="shared" si="5"/>
        <v>#N/A</v>
      </c>
      <c r="P9" s="1">
        <v>45420</v>
      </c>
      <c r="Q9" s="26" t="e">
        <f>HLOOKUP(P9,Hoja2!$R$2:$AV$22,21,FALSE)</f>
        <v>#N/A</v>
      </c>
      <c r="R9" s="77" t="e">
        <f>HLOOKUP(P9,Hoja2!$R$2:$AV$23,22,FALSE)</f>
        <v>#N/A</v>
      </c>
      <c r="S9" s="26" t="e">
        <f>HLOOKUP(P9,Hoja2!$R$2:$AV$24,23,FALSE)</f>
        <v>#N/A</v>
      </c>
      <c r="T9" s="97" t="e">
        <f>HLOOKUP(P9,Hoja2!$R$2:$AV$25,24,FALSE)</f>
        <v>#N/A</v>
      </c>
      <c r="V9" s="20"/>
      <c r="W9" s="12">
        <v>110205</v>
      </c>
      <c r="X9" s="12" t="s">
        <v>59</v>
      </c>
      <c r="Y9" s="12" t="e">
        <f>+Y8</f>
        <v>#N/A</v>
      </c>
      <c r="Z9" s="13"/>
      <c r="AA9" s="18" t="e">
        <f t="shared" si="6"/>
        <v>#N/A</v>
      </c>
      <c r="AD9" s="1">
        <v>45420</v>
      </c>
      <c r="AE9" s="26" t="e">
        <f>HLOOKUP(AD9,Hoja2!$R$2:$AV$26,25,FALSE)</f>
        <v>#N/A</v>
      </c>
      <c r="AF9" s="77" t="e">
        <f>HLOOKUP(AD9,Hoja2!$R$2:$AV$27,26,FALSE)</f>
        <v>#N/A</v>
      </c>
      <c r="AG9" s="26" t="e">
        <f>HLOOKUP(AD9,Hoja2!$R$2:$AV$28,27,FALSE)</f>
        <v>#N/A</v>
      </c>
      <c r="AH9" s="97" t="e">
        <f>HLOOKUP(AD9,Hoja2!$R$2:$AV$29,28,FALSE)</f>
        <v>#N/A</v>
      </c>
      <c r="AJ9" s="20"/>
      <c r="AK9" s="12">
        <v>110205</v>
      </c>
      <c r="AL9" s="12" t="s">
        <v>59</v>
      </c>
      <c r="AM9" s="12" t="e">
        <f>+AM8</f>
        <v>#N/A</v>
      </c>
      <c r="AN9" s="13"/>
      <c r="AO9" s="18" t="e">
        <f t="shared" si="7"/>
        <v>#N/A</v>
      </c>
      <c r="AS9" s="1">
        <v>45420</v>
      </c>
      <c r="AT9" s="26" t="e">
        <f>HLOOKUP(AS9,Hoja2!$R$2:$AV$30,29,FALSE)</f>
        <v>#N/A</v>
      </c>
      <c r="AU9" s="77" t="e">
        <f>HLOOKUP(AS9,Hoja2!$R$2:$AV$31,30,FALSE)</f>
        <v>#N/A</v>
      </c>
      <c r="AV9" s="26" t="e">
        <f>HLOOKUP(AS9,Hoja2!$R$2:$AV$32,31,FALSE)</f>
        <v>#N/A</v>
      </c>
      <c r="AW9" s="97" t="e">
        <f>HLOOKUP(AS9,Hoja2!$R$2:$AV$33,32,FALSE)</f>
        <v>#N/A</v>
      </c>
      <c r="AY9" s="20"/>
      <c r="AZ9" s="12">
        <v>110276</v>
      </c>
      <c r="BA9" s="12" t="s">
        <v>102</v>
      </c>
      <c r="BB9" s="12" t="e">
        <f>+BB8</f>
        <v>#N/A</v>
      </c>
      <c r="BC9" s="13"/>
      <c r="BD9" s="18" t="e">
        <f t="shared" si="8"/>
        <v>#N/A</v>
      </c>
      <c r="BH9" s="1">
        <v>45420</v>
      </c>
      <c r="BI9" s="26" t="e">
        <f>HLOOKUP(BH9,Hoja2!$R$2:$AV$35,34,FALSE)</f>
        <v>#N/A</v>
      </c>
      <c r="BJ9" s="77" t="e">
        <f>HLOOKUP(BH9,Hoja2!$R$2:$AV$36,35,FALSE)</f>
        <v>#N/A</v>
      </c>
      <c r="BK9" s="26" t="e">
        <f>HLOOKUP(BH9,Hoja2!$R$2:$AV$37,36,FALSE)</f>
        <v>#N/A</v>
      </c>
      <c r="BL9" s="97" t="e">
        <f>HLOOKUP(BH9,Hoja2!$R$2:$AV$38,37,FALSE)</f>
        <v>#N/A</v>
      </c>
      <c r="BN9" s="20"/>
      <c r="BO9" s="12">
        <v>110205</v>
      </c>
      <c r="BP9" s="12" t="s">
        <v>59</v>
      </c>
      <c r="BQ9" s="12" t="e">
        <f>+BQ8</f>
        <v>#N/A</v>
      </c>
      <c r="BR9" s="13"/>
      <c r="BS9" s="18" t="e">
        <f t="shared" ref="BS9" si="10">+BR8</f>
        <v>#N/A</v>
      </c>
    </row>
    <row r="10" spans="1:71" x14ac:dyDescent="0.25">
      <c r="A10" s="1">
        <v>45421</v>
      </c>
      <c r="B10" s="26" t="e">
        <f>HLOOKUP(A10,Hoja2!$R$2:$AV$18,17,FALSE)</f>
        <v>#N/A</v>
      </c>
      <c r="C10" s="77" t="e">
        <f>HLOOKUP(A10,Hoja2!$R$2:$AV$19,18,FALSE)</f>
        <v>#N/A</v>
      </c>
      <c r="D10" s="26" t="e">
        <f>HLOOKUP(A10,Hoja2!$R$2:$AV$20,19,FALSE)</f>
        <v>#N/A</v>
      </c>
      <c r="E10" s="97" t="e">
        <f>HLOOKUP(A10,Hoja2!$R$2:$AV$21,20,FALSE)</f>
        <v>#N/A</v>
      </c>
      <c r="G10" s="15">
        <v>45417</v>
      </c>
      <c r="H10">
        <v>110275</v>
      </c>
      <c r="I10" t="s">
        <v>87</v>
      </c>
      <c r="J10" t="e">
        <f>"CPA Fondeo Bice USD a NIUM " &amp;D6&amp;" USD T/C "&amp;C6</f>
        <v>#N/A</v>
      </c>
      <c r="K10" s="3" t="e">
        <f>+E6</f>
        <v>#N/A</v>
      </c>
      <c r="L10" s="10"/>
      <c r="P10" s="1">
        <v>45421</v>
      </c>
      <c r="Q10" s="26" t="e">
        <f>HLOOKUP(P10,Hoja2!$R$2:$AV$22,21,FALSE)</f>
        <v>#N/A</v>
      </c>
      <c r="R10" s="77" t="e">
        <f>HLOOKUP(P10,Hoja2!$R$2:$AV$23,22,FALSE)</f>
        <v>#N/A</v>
      </c>
      <c r="S10" s="26" t="e">
        <f>HLOOKUP(P10,Hoja2!$R$2:$AV$24,23,FALSE)</f>
        <v>#N/A</v>
      </c>
      <c r="T10" s="97" t="e">
        <f>HLOOKUP(P10,Hoja2!$R$2:$AV$25,24,FALSE)</f>
        <v>#N/A</v>
      </c>
      <c r="V10" s="15">
        <v>45417</v>
      </c>
      <c r="W10">
        <v>110274</v>
      </c>
      <c r="X10" t="s">
        <v>89</v>
      </c>
      <c r="Y10" t="e">
        <f>"CPA Fondeo Bice USD a Facilita Pay " &amp;S6&amp;" USD T/C "&amp;R6&amp;".- "&amp;TEXT($G10,"dd-mm-aaa")</f>
        <v>#N/A</v>
      </c>
      <c r="Z10" s="3" t="e">
        <f>+T6</f>
        <v>#N/A</v>
      </c>
      <c r="AA10" s="10"/>
      <c r="AD10" s="1">
        <v>45421</v>
      </c>
      <c r="AE10" s="26" t="e">
        <f>HLOOKUP(AD10,Hoja2!$R$2:$AV$26,25,FALSE)</f>
        <v>#N/A</v>
      </c>
      <c r="AF10" s="77" t="e">
        <f>HLOOKUP(AD10,Hoja2!$R$2:$AV$27,26,FALSE)</f>
        <v>#N/A</v>
      </c>
      <c r="AG10" s="26" t="e">
        <f>HLOOKUP(AD10,Hoja2!$R$2:$AV$28,27,FALSE)</f>
        <v>#N/A</v>
      </c>
      <c r="AH10" s="97" t="e">
        <f>HLOOKUP(AD10,Hoja2!$R$2:$AV$29,28,FALSE)</f>
        <v>#N/A</v>
      </c>
      <c r="AJ10" s="15">
        <v>45417</v>
      </c>
      <c r="AK10">
        <v>110820</v>
      </c>
      <c r="AL10" t="s">
        <v>97</v>
      </c>
      <c r="AM10" t="e">
        <f>"CPA Fondeo Bice USD a JPM COL " &amp;AG6&amp;" USD T/C "&amp;AF6&amp;".- "&amp;TEXT($G10,"dd-mm-aaa")</f>
        <v>#N/A</v>
      </c>
      <c r="AN10" s="3" t="e">
        <f>+AH6</f>
        <v>#N/A</v>
      </c>
      <c r="AO10" s="10"/>
      <c r="AS10" s="1">
        <v>45421</v>
      </c>
      <c r="AT10" s="26" t="e">
        <f>HLOOKUP(AS10,Hoja2!$R$2:$AV$30,29,FALSE)</f>
        <v>#N/A</v>
      </c>
      <c r="AU10" s="77" t="e">
        <f>HLOOKUP(AS10,Hoja2!$R$2:$AV$31,30,FALSE)</f>
        <v>#N/A</v>
      </c>
      <c r="AV10" s="26" t="e">
        <f>HLOOKUP(AS10,Hoja2!$R$2:$AV$32,31,FALSE)</f>
        <v>#N/A</v>
      </c>
      <c r="AW10" s="97" t="e">
        <f>HLOOKUP(AS10,Hoja2!$R$2:$AV$33,32,FALSE)</f>
        <v>#N/A</v>
      </c>
      <c r="AY10" s="15">
        <v>45417</v>
      </c>
      <c r="AZ10">
        <v>110205</v>
      </c>
      <c r="BA10" t="s">
        <v>59</v>
      </c>
      <c r="BB10" t="e">
        <f>"CPA Rescate DLocal a Bco.Bice USD " &amp;AV6&amp;" USD T/C "&amp;AU6&amp;".- "&amp;TEXT($G10,"dd-mm-aaa")</f>
        <v>#N/A</v>
      </c>
      <c r="BC10" s="3" t="e">
        <f>+AW6</f>
        <v>#N/A</v>
      </c>
      <c r="BD10" s="10"/>
      <c r="BH10" s="1">
        <v>45421</v>
      </c>
      <c r="BI10" s="26" t="e">
        <f>HLOOKUP(BH10,Hoja2!$R$2:$AV$35,34,FALSE)</f>
        <v>#N/A</v>
      </c>
      <c r="BJ10" s="77" t="e">
        <f>HLOOKUP(BH10,Hoja2!$R$2:$AV$36,35,FALSE)</f>
        <v>#N/A</v>
      </c>
      <c r="BK10" s="26" t="e">
        <f>HLOOKUP(BH10,Hoja2!$R$2:$AV$37,36,FALSE)</f>
        <v>#N/A</v>
      </c>
      <c r="BL10" s="97" t="e">
        <f>HLOOKUP(BH10,Hoja2!$R$2:$AV$38,37,FALSE)</f>
        <v>#N/A</v>
      </c>
      <c r="BN10" s="15">
        <v>45417</v>
      </c>
      <c r="BO10">
        <v>110292</v>
      </c>
      <c r="BP10" t="s">
        <v>160</v>
      </c>
      <c r="BQ10" t="e">
        <f>"CPA Fondeo Bice USD a OZ CAMBIO USD " &amp;BK6&amp;" USD T/C "&amp;BJ6</f>
        <v>#N/A</v>
      </c>
      <c r="BR10" s="3" t="e">
        <f>+BL6</f>
        <v>#N/A</v>
      </c>
      <c r="BS10" s="10"/>
    </row>
    <row r="11" spans="1:71" x14ac:dyDescent="0.25">
      <c r="A11" s="1">
        <v>45422</v>
      </c>
      <c r="B11" s="26" t="e">
        <f>HLOOKUP(A11,Hoja2!$R$2:$AV$18,17,FALSE)</f>
        <v>#N/A</v>
      </c>
      <c r="C11" s="77" t="e">
        <f>HLOOKUP(A11,Hoja2!$R$2:$AV$19,18,FALSE)</f>
        <v>#N/A</v>
      </c>
      <c r="D11" s="26" t="e">
        <f>HLOOKUP(A11,Hoja2!$R$2:$AV$20,19,FALSE)</f>
        <v>#N/A</v>
      </c>
      <c r="E11" s="97" t="e">
        <f>HLOOKUP(A11,Hoja2!$R$2:$AV$21,20,FALSE)</f>
        <v>#N/A</v>
      </c>
      <c r="G11" s="20"/>
      <c r="H11" s="12">
        <v>110205</v>
      </c>
      <c r="I11" s="12" t="s">
        <v>59</v>
      </c>
      <c r="J11" s="12" t="e">
        <f>+J10</f>
        <v>#N/A</v>
      </c>
      <c r="K11" s="13"/>
      <c r="L11" s="18" t="e">
        <f t="shared" si="5"/>
        <v>#N/A</v>
      </c>
      <c r="P11" s="1">
        <v>45422</v>
      </c>
      <c r="Q11" s="26" t="e">
        <f>HLOOKUP(P11,Hoja2!$R$2:$AV$22,21,FALSE)</f>
        <v>#N/A</v>
      </c>
      <c r="R11" s="77" t="e">
        <f>HLOOKUP(P11,Hoja2!$R$2:$AV$23,22,FALSE)</f>
        <v>#N/A</v>
      </c>
      <c r="S11" s="26" t="e">
        <f>HLOOKUP(P11,Hoja2!$R$2:$AV$24,23,FALSE)</f>
        <v>#N/A</v>
      </c>
      <c r="T11" s="97" t="e">
        <f>HLOOKUP(P11,Hoja2!$R$2:$AV$25,24,FALSE)</f>
        <v>#N/A</v>
      </c>
      <c r="V11" s="20"/>
      <c r="W11" s="12">
        <v>110205</v>
      </c>
      <c r="X11" s="12" t="s">
        <v>59</v>
      </c>
      <c r="Y11" s="12" t="e">
        <f>+Y10</f>
        <v>#N/A</v>
      </c>
      <c r="Z11" s="13"/>
      <c r="AA11" s="18" t="e">
        <f t="shared" si="6"/>
        <v>#N/A</v>
      </c>
      <c r="AD11" s="1">
        <v>45422</v>
      </c>
      <c r="AE11" s="26" t="e">
        <f>HLOOKUP(AD11,Hoja2!$R$2:$AV$26,25,FALSE)</f>
        <v>#N/A</v>
      </c>
      <c r="AF11" s="77" t="e">
        <f>HLOOKUP(AD11,Hoja2!$R$2:$AV$27,26,FALSE)</f>
        <v>#N/A</v>
      </c>
      <c r="AG11" s="26" t="e">
        <f>HLOOKUP(AD11,Hoja2!$R$2:$AV$28,27,FALSE)</f>
        <v>#N/A</v>
      </c>
      <c r="AH11" s="97" t="e">
        <f>HLOOKUP(AD11,Hoja2!$R$2:$AV$29,28,FALSE)</f>
        <v>#N/A</v>
      </c>
      <c r="AJ11" s="20"/>
      <c r="AK11" s="12">
        <v>110205</v>
      </c>
      <c r="AL11" s="12" t="s">
        <v>59</v>
      </c>
      <c r="AM11" s="12" t="e">
        <f>+AM10</f>
        <v>#N/A</v>
      </c>
      <c r="AN11" s="13"/>
      <c r="AO11" s="18" t="e">
        <f t="shared" si="7"/>
        <v>#N/A</v>
      </c>
      <c r="AS11" s="1">
        <v>45422</v>
      </c>
      <c r="AT11" s="26" t="e">
        <f>HLOOKUP(AS11,Hoja2!$R$2:$AV$30,29,FALSE)</f>
        <v>#N/A</v>
      </c>
      <c r="AU11" s="77" t="e">
        <f>HLOOKUP(AS11,Hoja2!$R$2:$AV$31,30,FALSE)</f>
        <v>#N/A</v>
      </c>
      <c r="AV11" s="26" t="e">
        <f>HLOOKUP(AS11,Hoja2!$R$2:$AV$32,31,FALSE)</f>
        <v>#N/A</v>
      </c>
      <c r="AW11" s="97" t="e">
        <f>HLOOKUP(AS11,Hoja2!$R$2:$AV$33,32,FALSE)</f>
        <v>#N/A</v>
      </c>
      <c r="AY11" s="20"/>
      <c r="AZ11" s="12">
        <v>110276</v>
      </c>
      <c r="BA11" s="12" t="s">
        <v>102</v>
      </c>
      <c r="BB11" s="12" t="e">
        <f>+BB10</f>
        <v>#N/A</v>
      </c>
      <c r="BC11" s="13"/>
      <c r="BD11" s="18" t="e">
        <f t="shared" si="8"/>
        <v>#N/A</v>
      </c>
      <c r="BH11" s="1">
        <v>45422</v>
      </c>
      <c r="BI11" s="26" t="e">
        <f>HLOOKUP(BH11,Hoja2!$R$2:$AV$35,34,FALSE)</f>
        <v>#N/A</v>
      </c>
      <c r="BJ11" s="77" t="e">
        <f>HLOOKUP(BH11,Hoja2!$R$2:$AV$36,35,FALSE)</f>
        <v>#N/A</v>
      </c>
      <c r="BK11" s="26" t="e">
        <f>HLOOKUP(BH11,Hoja2!$R$2:$AV$37,36,FALSE)</f>
        <v>#N/A</v>
      </c>
      <c r="BL11" s="97" t="e">
        <f>HLOOKUP(BH11,Hoja2!$R$2:$AV$38,37,FALSE)</f>
        <v>#N/A</v>
      </c>
      <c r="BN11" s="20"/>
      <c r="BO11" s="12">
        <v>110205</v>
      </c>
      <c r="BP11" s="12" t="s">
        <v>59</v>
      </c>
      <c r="BQ11" s="12" t="e">
        <f>+BQ10</f>
        <v>#N/A</v>
      </c>
      <c r="BR11" s="13"/>
      <c r="BS11" s="18" t="e">
        <f t="shared" ref="BS11" si="11">+BR10</f>
        <v>#N/A</v>
      </c>
    </row>
    <row r="12" spans="1:71" x14ac:dyDescent="0.25">
      <c r="A12" s="1">
        <v>45423</v>
      </c>
      <c r="B12" s="26" t="e">
        <f>HLOOKUP(A12,Hoja2!$R$2:$AV$18,17,FALSE)</f>
        <v>#N/A</v>
      </c>
      <c r="C12" s="77" t="e">
        <f>HLOOKUP(A12,Hoja2!$R$2:$AV$19,18,FALSE)</f>
        <v>#N/A</v>
      </c>
      <c r="D12" s="26" t="e">
        <f>HLOOKUP(A12,Hoja2!$R$2:$AV$20,19,FALSE)</f>
        <v>#N/A</v>
      </c>
      <c r="E12" s="97" t="e">
        <f>HLOOKUP(A12,Hoja2!$R$2:$AV$21,20,FALSE)</f>
        <v>#N/A</v>
      </c>
      <c r="G12" s="15">
        <v>45418</v>
      </c>
      <c r="H12">
        <v>110275</v>
      </c>
      <c r="I12" t="s">
        <v>87</v>
      </c>
      <c r="J12" t="e">
        <f>"CPA Fondeo Bice USD a NIUM " &amp;D7&amp;" USD T/C "&amp;C7</f>
        <v>#N/A</v>
      </c>
      <c r="K12" s="3" t="e">
        <f>+E7</f>
        <v>#N/A</v>
      </c>
      <c r="L12" s="10"/>
      <c r="P12" s="1">
        <v>45423</v>
      </c>
      <c r="Q12" s="26" t="e">
        <f>HLOOKUP(P12,Hoja2!$R$2:$AV$22,21,FALSE)</f>
        <v>#N/A</v>
      </c>
      <c r="R12" s="77" t="e">
        <f>HLOOKUP(P12,Hoja2!$R$2:$AV$23,22,FALSE)</f>
        <v>#N/A</v>
      </c>
      <c r="S12" s="26" t="e">
        <f>HLOOKUP(P12,Hoja2!$R$2:$AV$24,23,FALSE)</f>
        <v>#N/A</v>
      </c>
      <c r="T12" s="97" t="e">
        <f>HLOOKUP(P12,Hoja2!$R$2:$AV$25,24,FALSE)</f>
        <v>#N/A</v>
      </c>
      <c r="V12" s="15">
        <v>45418</v>
      </c>
      <c r="W12">
        <v>110274</v>
      </c>
      <c r="X12" t="s">
        <v>89</v>
      </c>
      <c r="Y12" t="e">
        <f>"CPA Fondeo Bice USD a Facilita Pay " &amp;S7&amp;" USD T/C "&amp;R7&amp;".- "&amp;TEXT($G12,"dd-mm-aaa")</f>
        <v>#N/A</v>
      </c>
      <c r="Z12" s="3" t="e">
        <f>+T7</f>
        <v>#N/A</v>
      </c>
      <c r="AA12" s="10"/>
      <c r="AD12" s="1">
        <v>45423</v>
      </c>
      <c r="AE12" s="26" t="e">
        <f>HLOOKUP(AD12,Hoja2!$R$2:$AV$26,25,FALSE)</f>
        <v>#N/A</v>
      </c>
      <c r="AF12" s="77" t="e">
        <f>HLOOKUP(AD12,Hoja2!$R$2:$AV$27,26,FALSE)</f>
        <v>#N/A</v>
      </c>
      <c r="AG12" s="26" t="e">
        <f>HLOOKUP(AD12,Hoja2!$R$2:$AV$28,27,FALSE)</f>
        <v>#N/A</v>
      </c>
      <c r="AH12" s="97" t="e">
        <f>HLOOKUP(AD12,Hoja2!$R$2:$AV$29,28,FALSE)</f>
        <v>#N/A</v>
      </c>
      <c r="AJ12" s="15">
        <v>45418</v>
      </c>
      <c r="AK12">
        <v>110820</v>
      </c>
      <c r="AL12" t="s">
        <v>97</v>
      </c>
      <c r="AM12" t="e">
        <f>"CPA Fondeo Bice USD a JPM COL " &amp;AG7&amp;" USD T/C "&amp;AF7&amp;".- "&amp;TEXT($G12,"dd-mm-aaa")</f>
        <v>#N/A</v>
      </c>
      <c r="AN12" s="3" t="e">
        <f>+AH7</f>
        <v>#N/A</v>
      </c>
      <c r="AO12" s="10"/>
      <c r="AS12" s="1">
        <v>45423</v>
      </c>
      <c r="AT12" s="26" t="e">
        <f>HLOOKUP(AS12,Hoja2!$R$2:$AV$30,29,FALSE)</f>
        <v>#N/A</v>
      </c>
      <c r="AU12" s="77" t="e">
        <f>HLOOKUP(AS12,Hoja2!$R$2:$AV$31,30,FALSE)</f>
        <v>#N/A</v>
      </c>
      <c r="AV12" s="26" t="e">
        <f>HLOOKUP(AS12,Hoja2!$R$2:$AV$32,31,FALSE)</f>
        <v>#N/A</v>
      </c>
      <c r="AW12" s="97" t="e">
        <f>HLOOKUP(AS12,Hoja2!$R$2:$AV$33,32,FALSE)</f>
        <v>#N/A</v>
      </c>
      <c r="AY12" s="15">
        <v>45418</v>
      </c>
      <c r="AZ12">
        <v>110205</v>
      </c>
      <c r="BA12" t="s">
        <v>59</v>
      </c>
      <c r="BB12" t="e">
        <f>"CPA Rescate DLocal a Bco.Bice USD " &amp;AV7&amp;" USD T/C "&amp;AU7&amp;".- "&amp;TEXT($G12,"dd-mm-aaa")</f>
        <v>#N/A</v>
      </c>
      <c r="BC12" s="3" t="e">
        <f>+AW7</f>
        <v>#N/A</v>
      </c>
      <c r="BD12" s="10"/>
      <c r="BH12" s="1">
        <v>45423</v>
      </c>
      <c r="BI12" s="26" t="e">
        <f>HLOOKUP(BH12,Hoja2!$R$2:$AV$35,34,FALSE)</f>
        <v>#N/A</v>
      </c>
      <c r="BJ12" s="77" t="e">
        <f>HLOOKUP(BH12,Hoja2!$R$2:$AV$36,35,FALSE)</f>
        <v>#N/A</v>
      </c>
      <c r="BK12" s="26" t="e">
        <f>HLOOKUP(BH12,Hoja2!$R$2:$AV$37,36,FALSE)</f>
        <v>#N/A</v>
      </c>
      <c r="BL12" s="97" t="e">
        <f>HLOOKUP(BH12,Hoja2!$R$2:$AV$38,37,FALSE)</f>
        <v>#N/A</v>
      </c>
      <c r="BN12" s="15">
        <v>45418</v>
      </c>
      <c r="BO12">
        <v>110292</v>
      </c>
      <c r="BP12" t="s">
        <v>160</v>
      </c>
      <c r="BQ12" t="e">
        <f>"CPA Fondeo Bice USD a OZ CAMBIO USD " &amp;BK7&amp;" USD T/C "&amp;BJ7</f>
        <v>#N/A</v>
      </c>
      <c r="BR12" s="3" t="e">
        <f>+BL7</f>
        <v>#N/A</v>
      </c>
      <c r="BS12" s="10"/>
    </row>
    <row r="13" spans="1:71" x14ac:dyDescent="0.25">
      <c r="A13" s="1">
        <v>45424</v>
      </c>
      <c r="B13" s="26" t="e">
        <f>HLOOKUP(A13,Hoja2!$R$2:$AV$18,17,FALSE)</f>
        <v>#N/A</v>
      </c>
      <c r="C13" s="77" t="e">
        <f>HLOOKUP(A13,Hoja2!$R$2:$AV$19,18,FALSE)</f>
        <v>#N/A</v>
      </c>
      <c r="D13" s="26" t="e">
        <f>HLOOKUP(A13,Hoja2!$R$2:$AV$20,19,FALSE)</f>
        <v>#N/A</v>
      </c>
      <c r="E13" s="97" t="e">
        <f>HLOOKUP(A13,Hoja2!$R$2:$AV$21,20,FALSE)</f>
        <v>#N/A</v>
      </c>
      <c r="F13" s="39"/>
      <c r="G13" s="20"/>
      <c r="H13" s="12">
        <v>110205</v>
      </c>
      <c r="I13" s="12" t="s">
        <v>59</v>
      </c>
      <c r="J13" s="12" t="e">
        <f>+J12</f>
        <v>#N/A</v>
      </c>
      <c r="K13" s="13"/>
      <c r="L13" s="18" t="e">
        <f t="shared" si="5"/>
        <v>#N/A</v>
      </c>
      <c r="P13" s="1">
        <v>45424</v>
      </c>
      <c r="Q13" s="26" t="e">
        <f>HLOOKUP(P13,Hoja2!$R$2:$AV$22,21,FALSE)</f>
        <v>#N/A</v>
      </c>
      <c r="R13" s="77" t="e">
        <f>HLOOKUP(P13,Hoja2!$R$2:$AV$23,22,FALSE)</f>
        <v>#N/A</v>
      </c>
      <c r="S13" s="26" t="e">
        <f>HLOOKUP(P13,Hoja2!$R$2:$AV$24,23,FALSE)</f>
        <v>#N/A</v>
      </c>
      <c r="T13" s="97" t="e">
        <f>HLOOKUP(P13,Hoja2!$R$2:$AV$25,24,FALSE)</f>
        <v>#N/A</v>
      </c>
      <c r="U13" s="39"/>
      <c r="V13" s="20"/>
      <c r="W13" s="12">
        <v>110205</v>
      </c>
      <c r="X13" s="12" t="s">
        <v>59</v>
      </c>
      <c r="Y13" s="12" t="e">
        <f>+Y12</f>
        <v>#N/A</v>
      </c>
      <c r="Z13" s="13"/>
      <c r="AA13" s="18" t="e">
        <f t="shared" si="6"/>
        <v>#N/A</v>
      </c>
      <c r="AD13" s="1">
        <v>45424</v>
      </c>
      <c r="AE13" s="26" t="e">
        <f>HLOOKUP(AD13,Hoja2!$R$2:$AV$26,25,FALSE)</f>
        <v>#N/A</v>
      </c>
      <c r="AF13" s="77" t="e">
        <f>HLOOKUP(AD13,Hoja2!$R$2:$AV$27,26,FALSE)</f>
        <v>#N/A</v>
      </c>
      <c r="AG13" s="26" t="e">
        <f>HLOOKUP(AD13,Hoja2!$R$2:$AV$28,27,FALSE)</f>
        <v>#N/A</v>
      </c>
      <c r="AH13" s="97" t="e">
        <f>HLOOKUP(AD13,Hoja2!$R$2:$AV$29,28,FALSE)</f>
        <v>#N/A</v>
      </c>
      <c r="AI13" s="39"/>
      <c r="AJ13" s="20"/>
      <c r="AK13" s="12">
        <v>110205</v>
      </c>
      <c r="AL13" s="12" t="s">
        <v>59</v>
      </c>
      <c r="AM13" s="12" t="e">
        <f>+AM12</f>
        <v>#N/A</v>
      </c>
      <c r="AN13" s="13"/>
      <c r="AO13" s="18" t="e">
        <f t="shared" si="7"/>
        <v>#N/A</v>
      </c>
      <c r="AS13" s="1">
        <v>45424</v>
      </c>
      <c r="AT13" s="26" t="e">
        <f>HLOOKUP(AS13,Hoja2!$R$2:$AV$30,29,FALSE)</f>
        <v>#N/A</v>
      </c>
      <c r="AU13" s="77" t="e">
        <f>HLOOKUP(AS13,Hoja2!$R$2:$AV$31,30,FALSE)</f>
        <v>#N/A</v>
      </c>
      <c r="AV13" s="26" t="e">
        <f>HLOOKUP(AS13,Hoja2!$R$2:$AV$32,31,FALSE)</f>
        <v>#N/A</v>
      </c>
      <c r="AW13" s="97" t="e">
        <f>HLOOKUP(AS13,Hoja2!$R$2:$AV$33,32,FALSE)</f>
        <v>#N/A</v>
      </c>
      <c r="AX13" s="39"/>
      <c r="AY13" s="20"/>
      <c r="AZ13" s="12">
        <v>110276</v>
      </c>
      <c r="BA13" s="12" t="s">
        <v>102</v>
      </c>
      <c r="BB13" s="12" t="e">
        <f>+BB12</f>
        <v>#N/A</v>
      </c>
      <c r="BC13" s="13"/>
      <c r="BD13" s="18" t="e">
        <f t="shared" si="8"/>
        <v>#N/A</v>
      </c>
      <c r="BH13" s="1">
        <v>45424</v>
      </c>
      <c r="BI13" s="26" t="e">
        <f>HLOOKUP(BH13,Hoja2!$R$2:$AV$35,34,FALSE)</f>
        <v>#N/A</v>
      </c>
      <c r="BJ13" s="77" t="e">
        <f>HLOOKUP(BH13,Hoja2!$R$2:$AV$36,35,FALSE)</f>
        <v>#N/A</v>
      </c>
      <c r="BK13" s="26" t="e">
        <f>HLOOKUP(BH13,Hoja2!$R$2:$AV$37,36,FALSE)</f>
        <v>#N/A</v>
      </c>
      <c r="BL13" s="97" t="e">
        <f>HLOOKUP(BH13,Hoja2!$R$2:$AV$38,37,FALSE)</f>
        <v>#N/A</v>
      </c>
      <c r="BM13" s="39"/>
      <c r="BN13" s="20"/>
      <c r="BO13" s="12">
        <v>110205</v>
      </c>
      <c r="BP13" s="12" t="s">
        <v>59</v>
      </c>
      <c r="BQ13" s="12" t="e">
        <f>+BQ12</f>
        <v>#N/A</v>
      </c>
      <c r="BR13" s="13"/>
      <c r="BS13" s="18" t="e">
        <f t="shared" ref="BS13" si="12">+BR12</f>
        <v>#N/A</v>
      </c>
    </row>
    <row r="14" spans="1:71" x14ac:dyDescent="0.25">
      <c r="A14" s="1">
        <v>45425</v>
      </c>
      <c r="B14" s="26" t="e">
        <f>HLOOKUP(A14,Hoja2!$R$2:$AV$18,17,FALSE)</f>
        <v>#N/A</v>
      </c>
      <c r="C14" s="77" t="e">
        <f>HLOOKUP(A14,Hoja2!$R$2:$AV$19,18,FALSE)</f>
        <v>#N/A</v>
      </c>
      <c r="D14" s="26" t="e">
        <f>HLOOKUP(A14,Hoja2!$R$2:$AV$20,19,FALSE)</f>
        <v>#N/A</v>
      </c>
      <c r="E14" s="97" t="e">
        <f>HLOOKUP(A14,Hoja2!$R$2:$AV$21,20,FALSE)</f>
        <v>#N/A</v>
      </c>
      <c r="F14" s="21"/>
      <c r="G14" s="15">
        <v>45419</v>
      </c>
      <c r="H14">
        <v>110275</v>
      </c>
      <c r="I14" t="s">
        <v>87</v>
      </c>
      <c r="J14" t="e">
        <f>"CPA Fondeo Bice USD a NIUM " &amp;D8&amp;" USD T/C "&amp;C8</f>
        <v>#N/A</v>
      </c>
      <c r="K14" s="3" t="e">
        <f>+E8</f>
        <v>#N/A</v>
      </c>
      <c r="L14" s="10"/>
      <c r="P14" s="1">
        <v>45425</v>
      </c>
      <c r="Q14" s="26" t="e">
        <f>HLOOKUP(P14,Hoja2!$R$2:$AV$22,21,FALSE)</f>
        <v>#N/A</v>
      </c>
      <c r="R14" s="77" t="e">
        <f>HLOOKUP(P14,Hoja2!$R$2:$AV$23,22,FALSE)</f>
        <v>#N/A</v>
      </c>
      <c r="S14" s="26" t="e">
        <f>HLOOKUP(P14,Hoja2!$R$2:$AV$24,23,FALSE)</f>
        <v>#N/A</v>
      </c>
      <c r="T14" s="97" t="e">
        <f>HLOOKUP(P14,Hoja2!$R$2:$AV$25,24,FALSE)</f>
        <v>#N/A</v>
      </c>
      <c r="U14" s="21"/>
      <c r="V14" s="15">
        <v>45419</v>
      </c>
      <c r="W14">
        <v>110274</v>
      </c>
      <c r="X14" t="s">
        <v>89</v>
      </c>
      <c r="Y14" t="e">
        <f>"CPA Fondeo Bice USD a Facilita Pay " &amp;S8&amp;" USD T/C "&amp;R8&amp;".- "&amp;TEXT($G14,"dd-mm-aaa")</f>
        <v>#N/A</v>
      </c>
      <c r="Z14" s="3" t="e">
        <f>+T8</f>
        <v>#N/A</v>
      </c>
      <c r="AA14" s="10"/>
      <c r="AD14" s="1">
        <v>45425</v>
      </c>
      <c r="AE14" s="26" t="e">
        <f>HLOOKUP(AD14,Hoja2!$R$2:$AV$26,25,FALSE)</f>
        <v>#N/A</v>
      </c>
      <c r="AF14" s="77" t="e">
        <f>HLOOKUP(AD14,Hoja2!$R$2:$AV$27,26,FALSE)</f>
        <v>#N/A</v>
      </c>
      <c r="AG14" s="26" t="e">
        <f>HLOOKUP(AD14,Hoja2!$R$2:$AV$28,27,FALSE)</f>
        <v>#N/A</v>
      </c>
      <c r="AH14" s="97" t="e">
        <f>HLOOKUP(AD14,Hoja2!$R$2:$AV$29,28,FALSE)</f>
        <v>#N/A</v>
      </c>
      <c r="AI14" s="21"/>
      <c r="AJ14" s="15">
        <v>45419</v>
      </c>
      <c r="AK14">
        <v>110820</v>
      </c>
      <c r="AL14" t="s">
        <v>97</v>
      </c>
      <c r="AM14" t="e">
        <f>"CPA Fondeo Bice USD a JPM COL " &amp;AG8&amp;" USD T/C "&amp;AF8&amp;".- "&amp;TEXT($G14,"dd-mm-aaa")</f>
        <v>#N/A</v>
      </c>
      <c r="AN14" s="3" t="e">
        <f>+AH8</f>
        <v>#N/A</v>
      </c>
      <c r="AO14" s="10"/>
      <c r="AS14" s="1">
        <v>45425</v>
      </c>
      <c r="AT14" s="26" t="e">
        <f>HLOOKUP(AS14,Hoja2!$R$2:$AV$30,29,FALSE)</f>
        <v>#N/A</v>
      </c>
      <c r="AU14" s="77" t="e">
        <f>HLOOKUP(AS14,Hoja2!$R$2:$AV$31,30,FALSE)</f>
        <v>#N/A</v>
      </c>
      <c r="AV14" s="26" t="e">
        <f>HLOOKUP(AS14,Hoja2!$R$2:$AV$32,31,FALSE)</f>
        <v>#N/A</v>
      </c>
      <c r="AW14" s="97" t="e">
        <f>HLOOKUP(AS14,Hoja2!$R$2:$AV$33,32,FALSE)</f>
        <v>#N/A</v>
      </c>
      <c r="AX14" s="21"/>
      <c r="AY14" s="15">
        <v>45419</v>
      </c>
      <c r="AZ14">
        <v>110205</v>
      </c>
      <c r="BA14" t="s">
        <v>59</v>
      </c>
      <c r="BB14" t="e">
        <f>"CPA Rescate DLocal a Bco.Bice USD " &amp;AV8&amp;" USD T/C "&amp;AU8&amp;".- "&amp;TEXT($G14,"dd-mm-aaa")</f>
        <v>#N/A</v>
      </c>
      <c r="BC14" s="3" t="e">
        <f>+AW8</f>
        <v>#N/A</v>
      </c>
      <c r="BD14" s="10"/>
      <c r="BH14" s="1">
        <v>45425</v>
      </c>
      <c r="BI14" s="26" t="e">
        <f>HLOOKUP(BH14,Hoja2!$R$2:$AV$35,34,FALSE)</f>
        <v>#N/A</v>
      </c>
      <c r="BJ14" s="77" t="e">
        <f>HLOOKUP(BH14,Hoja2!$R$2:$AV$36,35,FALSE)</f>
        <v>#N/A</v>
      </c>
      <c r="BK14" s="26" t="e">
        <f>HLOOKUP(BH14,Hoja2!$R$2:$AV$37,36,FALSE)</f>
        <v>#N/A</v>
      </c>
      <c r="BL14" s="97" t="e">
        <f>HLOOKUP(BH14,Hoja2!$R$2:$AV$38,37,FALSE)</f>
        <v>#N/A</v>
      </c>
      <c r="BM14" s="21"/>
      <c r="BN14" s="15">
        <v>45419</v>
      </c>
      <c r="BO14">
        <v>110292</v>
      </c>
      <c r="BP14" t="s">
        <v>160</v>
      </c>
      <c r="BQ14" t="e">
        <f>"CPA Fondeo Bice USD a OZ CAMBIO USD " &amp;BK8&amp;" USD T/C "&amp;BJ8</f>
        <v>#N/A</v>
      </c>
      <c r="BR14" s="3" t="e">
        <f>+BL8</f>
        <v>#N/A</v>
      </c>
      <c r="BS14" s="10"/>
    </row>
    <row r="15" spans="1:71" x14ac:dyDescent="0.25">
      <c r="A15" s="1">
        <v>45426</v>
      </c>
      <c r="B15" s="26" t="e">
        <f>HLOOKUP(A15,Hoja2!$R$2:$AV$18,17,FALSE)</f>
        <v>#N/A</v>
      </c>
      <c r="C15" s="77" t="e">
        <f>HLOOKUP(A15,Hoja2!$R$2:$AV$19,18,FALSE)</f>
        <v>#N/A</v>
      </c>
      <c r="D15" s="26" t="e">
        <f>HLOOKUP(A15,Hoja2!$R$2:$AV$20,19,FALSE)</f>
        <v>#N/A</v>
      </c>
      <c r="E15" s="97" t="e">
        <f>HLOOKUP(A15,Hoja2!$R$2:$AV$21,20,FALSE)</f>
        <v>#N/A</v>
      </c>
      <c r="F15" s="40"/>
      <c r="G15" s="20"/>
      <c r="H15" s="12">
        <v>110205</v>
      </c>
      <c r="I15" s="12" t="s">
        <v>59</v>
      </c>
      <c r="J15" s="12" t="e">
        <f>+J14</f>
        <v>#N/A</v>
      </c>
      <c r="K15" s="13"/>
      <c r="L15" s="18" t="e">
        <f t="shared" si="5"/>
        <v>#N/A</v>
      </c>
      <c r="P15" s="1">
        <v>45426</v>
      </c>
      <c r="Q15" s="26" t="e">
        <f>HLOOKUP(P15,Hoja2!$R$2:$AV$22,21,FALSE)</f>
        <v>#N/A</v>
      </c>
      <c r="R15" s="77" t="e">
        <f>HLOOKUP(P15,Hoja2!$R$2:$AV$23,22,FALSE)</f>
        <v>#N/A</v>
      </c>
      <c r="S15" s="26" t="e">
        <f>HLOOKUP(P15,Hoja2!$R$2:$AV$24,23,FALSE)</f>
        <v>#N/A</v>
      </c>
      <c r="T15" s="97" t="e">
        <f>HLOOKUP(P15,Hoja2!$R$2:$AV$25,24,FALSE)</f>
        <v>#N/A</v>
      </c>
      <c r="U15" s="40"/>
      <c r="V15" s="20"/>
      <c r="W15" s="12">
        <v>110205</v>
      </c>
      <c r="X15" s="12" t="s">
        <v>59</v>
      </c>
      <c r="Y15" s="12" t="e">
        <f>+Y14</f>
        <v>#N/A</v>
      </c>
      <c r="Z15" s="13"/>
      <c r="AA15" s="18" t="e">
        <f t="shared" si="6"/>
        <v>#N/A</v>
      </c>
      <c r="AD15" s="1">
        <v>45426</v>
      </c>
      <c r="AE15" s="26" t="e">
        <f>HLOOKUP(AD15,Hoja2!$R$2:$AV$26,25,FALSE)</f>
        <v>#N/A</v>
      </c>
      <c r="AF15" s="77" t="e">
        <f>HLOOKUP(AD15,Hoja2!$R$2:$AV$27,26,FALSE)</f>
        <v>#N/A</v>
      </c>
      <c r="AG15" s="26" t="e">
        <f>HLOOKUP(AD15,Hoja2!$R$2:$AV$28,27,FALSE)</f>
        <v>#N/A</v>
      </c>
      <c r="AH15" s="97" t="e">
        <f>HLOOKUP(AD15,Hoja2!$R$2:$AV$29,28,FALSE)</f>
        <v>#N/A</v>
      </c>
      <c r="AI15" s="40"/>
      <c r="AJ15" s="20"/>
      <c r="AK15" s="12">
        <v>110205</v>
      </c>
      <c r="AL15" s="12" t="s">
        <v>59</v>
      </c>
      <c r="AM15" s="12" t="e">
        <f>+AM14</f>
        <v>#N/A</v>
      </c>
      <c r="AN15" s="13"/>
      <c r="AO15" s="18" t="e">
        <f t="shared" si="7"/>
        <v>#N/A</v>
      </c>
      <c r="AS15" s="1">
        <v>45426</v>
      </c>
      <c r="AT15" s="26" t="e">
        <f>HLOOKUP(AS15,Hoja2!$R$2:$AV$30,29,FALSE)</f>
        <v>#N/A</v>
      </c>
      <c r="AU15" s="77" t="e">
        <f>HLOOKUP(AS15,Hoja2!$R$2:$AV$31,30,FALSE)</f>
        <v>#N/A</v>
      </c>
      <c r="AV15" s="26" t="e">
        <f>HLOOKUP(AS15,Hoja2!$R$2:$AV$32,31,FALSE)</f>
        <v>#N/A</v>
      </c>
      <c r="AW15" s="97" t="e">
        <f>HLOOKUP(AS15,Hoja2!$R$2:$AV$33,32,FALSE)</f>
        <v>#N/A</v>
      </c>
      <c r="AX15" s="40"/>
      <c r="AY15" s="20"/>
      <c r="AZ15" s="12">
        <v>110276</v>
      </c>
      <c r="BA15" s="12" t="s">
        <v>102</v>
      </c>
      <c r="BB15" s="12" t="e">
        <f>+BB14</f>
        <v>#N/A</v>
      </c>
      <c r="BC15" s="13"/>
      <c r="BD15" s="18" t="e">
        <f t="shared" si="8"/>
        <v>#N/A</v>
      </c>
      <c r="BH15" s="1">
        <v>45426</v>
      </c>
      <c r="BI15" s="26" t="e">
        <f>HLOOKUP(BH15,Hoja2!$R$2:$AV$35,34,FALSE)</f>
        <v>#N/A</v>
      </c>
      <c r="BJ15" s="77" t="e">
        <f>HLOOKUP(BH15,Hoja2!$R$2:$AV$36,35,FALSE)</f>
        <v>#N/A</v>
      </c>
      <c r="BK15" s="26" t="e">
        <f>HLOOKUP(BH15,Hoja2!$R$2:$AV$37,36,FALSE)</f>
        <v>#N/A</v>
      </c>
      <c r="BL15" s="97" t="e">
        <f>HLOOKUP(BH15,Hoja2!$R$2:$AV$38,37,FALSE)</f>
        <v>#N/A</v>
      </c>
      <c r="BM15" s="40"/>
      <c r="BN15" s="20"/>
      <c r="BO15" s="12">
        <v>110205</v>
      </c>
      <c r="BP15" s="12" t="s">
        <v>59</v>
      </c>
      <c r="BQ15" s="12" t="e">
        <f>+BQ14</f>
        <v>#N/A</v>
      </c>
      <c r="BR15" s="13"/>
      <c r="BS15" s="18" t="e">
        <f t="shared" ref="BS15" si="13">+BR14</f>
        <v>#N/A</v>
      </c>
    </row>
    <row r="16" spans="1:71" x14ac:dyDescent="0.25">
      <c r="A16" s="1">
        <v>45427</v>
      </c>
      <c r="B16" s="26" t="e">
        <f>HLOOKUP(A16,Hoja2!$R$2:$AV$18,17,FALSE)</f>
        <v>#N/A</v>
      </c>
      <c r="C16" s="77" t="e">
        <f>HLOOKUP(A16,Hoja2!$R$2:$AV$19,18,FALSE)</f>
        <v>#N/A</v>
      </c>
      <c r="D16" s="26" t="e">
        <f>HLOOKUP(A16,Hoja2!$R$2:$AV$20,19,FALSE)</f>
        <v>#N/A</v>
      </c>
      <c r="E16" s="97" t="e">
        <f>HLOOKUP(A16,Hoja2!$R$2:$AV$21,20,FALSE)</f>
        <v>#N/A</v>
      </c>
      <c r="F16" s="21"/>
      <c r="G16" s="15">
        <v>45420</v>
      </c>
      <c r="H16">
        <v>110275</v>
      </c>
      <c r="I16" t="s">
        <v>87</v>
      </c>
      <c r="J16" t="e">
        <f>"CPA Fondeo Bice USD a NIUM " &amp;D9&amp;" USD T/C "&amp;C9</f>
        <v>#N/A</v>
      </c>
      <c r="K16" s="3" t="e">
        <f>+E9</f>
        <v>#N/A</v>
      </c>
      <c r="L16" s="10"/>
      <c r="P16" s="1">
        <v>45427</v>
      </c>
      <c r="Q16" s="26" t="e">
        <f>HLOOKUP(P16,Hoja2!$R$2:$AV$22,21,FALSE)</f>
        <v>#N/A</v>
      </c>
      <c r="R16" s="77" t="e">
        <f>HLOOKUP(P16,Hoja2!$R$2:$AV$23,22,FALSE)</f>
        <v>#N/A</v>
      </c>
      <c r="S16" s="26" t="e">
        <f>HLOOKUP(P16,Hoja2!$R$2:$AV$24,23,FALSE)</f>
        <v>#N/A</v>
      </c>
      <c r="T16" s="97" t="e">
        <f>HLOOKUP(P16,Hoja2!$R$2:$AV$25,24,FALSE)</f>
        <v>#N/A</v>
      </c>
      <c r="U16" s="21"/>
      <c r="V16" s="15">
        <v>45420</v>
      </c>
      <c r="W16">
        <v>110274</v>
      </c>
      <c r="X16" t="s">
        <v>89</v>
      </c>
      <c r="Y16" t="e">
        <f>"CPA Fondeo Bice USD a Facilita Pay " &amp;S9&amp;" USD T/C "&amp;R9&amp;".- "&amp;TEXT($G16,"dd-mm-aaa")</f>
        <v>#N/A</v>
      </c>
      <c r="Z16" s="3" t="e">
        <f>+T9</f>
        <v>#N/A</v>
      </c>
      <c r="AA16" s="10"/>
      <c r="AD16" s="1">
        <v>45427</v>
      </c>
      <c r="AE16" s="26" t="e">
        <f>HLOOKUP(AD16,Hoja2!$R$2:$AV$26,25,FALSE)</f>
        <v>#N/A</v>
      </c>
      <c r="AF16" s="77" t="e">
        <f>HLOOKUP(AD16,Hoja2!$R$2:$AV$27,26,FALSE)</f>
        <v>#N/A</v>
      </c>
      <c r="AG16" s="26" t="e">
        <f>HLOOKUP(AD16,Hoja2!$R$2:$AV$28,27,FALSE)</f>
        <v>#N/A</v>
      </c>
      <c r="AH16" s="97" t="e">
        <f>HLOOKUP(AD16,Hoja2!$R$2:$AV$29,28,FALSE)</f>
        <v>#N/A</v>
      </c>
      <c r="AI16" s="21"/>
      <c r="AJ16" s="15">
        <v>45420</v>
      </c>
      <c r="AK16">
        <v>110820</v>
      </c>
      <c r="AL16" t="s">
        <v>97</v>
      </c>
      <c r="AM16" t="e">
        <f>"CPA Fondeo Bice USD a JPM COL " &amp;AG9&amp;" USD T/C "&amp;AF9&amp;".- "&amp;TEXT($G16,"dd-mm-aaa")</f>
        <v>#N/A</v>
      </c>
      <c r="AN16" s="3" t="e">
        <f>+AH9</f>
        <v>#N/A</v>
      </c>
      <c r="AO16" s="10"/>
      <c r="AS16" s="1">
        <v>45427</v>
      </c>
      <c r="AT16" s="26" t="e">
        <f>HLOOKUP(AS16,Hoja2!$R$2:$AV$30,29,FALSE)</f>
        <v>#N/A</v>
      </c>
      <c r="AU16" s="77" t="e">
        <f>HLOOKUP(AS16,Hoja2!$R$2:$AV$31,30,FALSE)</f>
        <v>#N/A</v>
      </c>
      <c r="AV16" s="26" t="e">
        <f>HLOOKUP(AS16,Hoja2!$R$2:$AV$32,31,FALSE)</f>
        <v>#N/A</v>
      </c>
      <c r="AW16" s="97" t="e">
        <f>HLOOKUP(AS16,Hoja2!$R$2:$AV$33,32,FALSE)</f>
        <v>#N/A</v>
      </c>
      <c r="AX16" s="21"/>
      <c r="AY16" s="15">
        <v>45420</v>
      </c>
      <c r="AZ16">
        <v>110205</v>
      </c>
      <c r="BA16" t="s">
        <v>59</v>
      </c>
      <c r="BB16" t="e">
        <f>"CPA Rescate DLocal a Bco.Bice USD " &amp;AV9&amp;" USD T/C "&amp;AU9&amp;".- "&amp;TEXT($G16,"dd-mm-aaa")</f>
        <v>#N/A</v>
      </c>
      <c r="BC16" s="3" t="e">
        <f>+AW9</f>
        <v>#N/A</v>
      </c>
      <c r="BD16" s="10"/>
      <c r="BH16" s="1">
        <v>45427</v>
      </c>
      <c r="BI16" s="26" t="e">
        <f>HLOOKUP(BH16,Hoja2!$R$2:$AV$35,34,FALSE)</f>
        <v>#N/A</v>
      </c>
      <c r="BJ16" s="77" t="e">
        <f>HLOOKUP(BH16,Hoja2!$R$2:$AV$36,35,FALSE)</f>
        <v>#N/A</v>
      </c>
      <c r="BK16" s="26" t="e">
        <f>HLOOKUP(BH16,Hoja2!$R$2:$AV$37,36,FALSE)</f>
        <v>#N/A</v>
      </c>
      <c r="BL16" s="97" t="e">
        <f>HLOOKUP(BH16,Hoja2!$R$2:$AV$38,37,FALSE)</f>
        <v>#N/A</v>
      </c>
      <c r="BM16" s="21"/>
      <c r="BN16" s="15">
        <v>45420</v>
      </c>
      <c r="BO16">
        <v>110292</v>
      </c>
      <c r="BP16" t="s">
        <v>160</v>
      </c>
      <c r="BQ16" t="e">
        <f>"CPA Fondeo Bice USD a OZ CAMBIO USD " &amp;BK9&amp;" USD T/C "&amp;BJ9</f>
        <v>#N/A</v>
      </c>
      <c r="BR16" s="3" t="e">
        <f>+BL9</f>
        <v>#N/A</v>
      </c>
      <c r="BS16" s="10"/>
    </row>
    <row r="17" spans="1:71" x14ac:dyDescent="0.25">
      <c r="A17" s="1">
        <v>45428</v>
      </c>
      <c r="B17" s="26" t="e">
        <f>HLOOKUP(A17,Hoja2!$R$2:$AV$18,17,FALSE)</f>
        <v>#N/A</v>
      </c>
      <c r="C17" s="77" t="e">
        <f>HLOOKUP(A17,Hoja2!$R$2:$AV$19,18,FALSE)</f>
        <v>#N/A</v>
      </c>
      <c r="D17" s="26" t="e">
        <f>HLOOKUP(A17,Hoja2!$R$2:$AV$20,19,FALSE)</f>
        <v>#N/A</v>
      </c>
      <c r="E17" s="97" t="e">
        <f>HLOOKUP(A17,Hoja2!$R$2:$AV$21,20,FALSE)</f>
        <v>#N/A</v>
      </c>
      <c r="F17" s="21"/>
      <c r="G17" s="11"/>
      <c r="H17" s="12">
        <v>110205</v>
      </c>
      <c r="I17" s="12" t="s">
        <v>59</v>
      </c>
      <c r="J17" s="12" t="e">
        <f>+J16</f>
        <v>#N/A</v>
      </c>
      <c r="K17" s="13"/>
      <c r="L17" s="18" t="e">
        <f t="shared" si="5"/>
        <v>#N/A</v>
      </c>
      <c r="P17" s="1">
        <v>45428</v>
      </c>
      <c r="Q17" s="26" t="e">
        <f>HLOOKUP(P17,Hoja2!$R$2:$AV$22,21,FALSE)</f>
        <v>#N/A</v>
      </c>
      <c r="R17" s="77" t="e">
        <f>HLOOKUP(P17,Hoja2!$R$2:$AV$23,22,FALSE)</f>
        <v>#N/A</v>
      </c>
      <c r="S17" s="26" t="e">
        <f>HLOOKUP(P17,Hoja2!$R$2:$AV$24,23,FALSE)</f>
        <v>#N/A</v>
      </c>
      <c r="T17" s="97" t="e">
        <f>HLOOKUP(P17,Hoja2!$R$2:$AV$25,24,FALSE)</f>
        <v>#N/A</v>
      </c>
      <c r="U17" s="21"/>
      <c r="V17" s="11"/>
      <c r="W17" s="12">
        <v>110205</v>
      </c>
      <c r="X17" s="12" t="s">
        <v>59</v>
      </c>
      <c r="Y17" s="12" t="e">
        <f>+Y16</f>
        <v>#N/A</v>
      </c>
      <c r="Z17" s="13"/>
      <c r="AA17" s="18" t="e">
        <f t="shared" si="6"/>
        <v>#N/A</v>
      </c>
      <c r="AD17" s="1">
        <v>45428</v>
      </c>
      <c r="AE17" s="26" t="e">
        <f>HLOOKUP(AD17,Hoja2!$R$2:$AV$26,25,FALSE)</f>
        <v>#N/A</v>
      </c>
      <c r="AF17" s="77" t="e">
        <f>HLOOKUP(AD17,Hoja2!$R$2:$AV$27,26,FALSE)</f>
        <v>#N/A</v>
      </c>
      <c r="AG17" s="26" t="e">
        <f>HLOOKUP(AD17,Hoja2!$R$2:$AV$28,27,FALSE)</f>
        <v>#N/A</v>
      </c>
      <c r="AH17" s="97" t="e">
        <f>HLOOKUP(AD17,Hoja2!$R$2:$AV$29,28,FALSE)</f>
        <v>#N/A</v>
      </c>
      <c r="AI17" s="21"/>
      <c r="AJ17" s="11"/>
      <c r="AK17" s="12">
        <v>110205</v>
      </c>
      <c r="AL17" s="12" t="s">
        <v>59</v>
      </c>
      <c r="AM17" s="12" t="e">
        <f>+AM16</f>
        <v>#N/A</v>
      </c>
      <c r="AN17" s="13"/>
      <c r="AO17" s="18" t="e">
        <f t="shared" si="7"/>
        <v>#N/A</v>
      </c>
      <c r="AS17" s="1">
        <v>45428</v>
      </c>
      <c r="AT17" s="26" t="e">
        <f>HLOOKUP(AS17,Hoja2!$R$2:$AV$30,29,FALSE)</f>
        <v>#N/A</v>
      </c>
      <c r="AU17" s="77" t="e">
        <f>HLOOKUP(AS17,Hoja2!$R$2:$AV$31,30,FALSE)</f>
        <v>#N/A</v>
      </c>
      <c r="AV17" s="26" t="e">
        <f>HLOOKUP(AS17,Hoja2!$R$2:$AV$32,31,FALSE)</f>
        <v>#N/A</v>
      </c>
      <c r="AW17" s="97" t="e">
        <f>HLOOKUP(AS17,Hoja2!$R$2:$AV$33,32,FALSE)</f>
        <v>#N/A</v>
      </c>
      <c r="AX17" s="21"/>
      <c r="AY17" s="11"/>
      <c r="AZ17" s="12">
        <v>110276</v>
      </c>
      <c r="BA17" s="12" t="s">
        <v>102</v>
      </c>
      <c r="BB17" s="12" t="e">
        <f>+BB16</f>
        <v>#N/A</v>
      </c>
      <c r="BC17" s="13"/>
      <c r="BD17" s="18" t="e">
        <f t="shared" si="8"/>
        <v>#N/A</v>
      </c>
      <c r="BH17" s="1">
        <v>45428</v>
      </c>
      <c r="BI17" s="26" t="e">
        <f>HLOOKUP(BH17,Hoja2!$R$2:$AV$35,34,FALSE)</f>
        <v>#N/A</v>
      </c>
      <c r="BJ17" s="77" t="e">
        <f>HLOOKUP(BH17,Hoja2!$R$2:$AV$36,35,FALSE)</f>
        <v>#N/A</v>
      </c>
      <c r="BK17" s="26" t="e">
        <f>HLOOKUP(BH17,Hoja2!$R$2:$AV$37,36,FALSE)</f>
        <v>#N/A</v>
      </c>
      <c r="BL17" s="97" t="e">
        <f>HLOOKUP(BH17,Hoja2!$R$2:$AV$38,37,FALSE)</f>
        <v>#N/A</v>
      </c>
      <c r="BM17" s="21"/>
      <c r="BN17" s="11"/>
      <c r="BO17" s="12">
        <v>110205</v>
      </c>
      <c r="BP17" s="12" t="s">
        <v>59</v>
      </c>
      <c r="BQ17" s="12" t="e">
        <f>+BQ16</f>
        <v>#N/A</v>
      </c>
      <c r="BR17" s="13"/>
      <c r="BS17" s="18" t="e">
        <f t="shared" ref="BS17" si="14">+BR16</f>
        <v>#N/A</v>
      </c>
    </row>
    <row r="18" spans="1:71" x14ac:dyDescent="0.25">
      <c r="A18" s="1">
        <v>45429</v>
      </c>
      <c r="B18" s="26" t="e">
        <f>HLOOKUP(A18,Hoja2!$R$2:$AV$18,17,FALSE)</f>
        <v>#N/A</v>
      </c>
      <c r="C18" s="77" t="e">
        <f>HLOOKUP(A18,Hoja2!$R$2:$AV$19,18,FALSE)</f>
        <v>#N/A</v>
      </c>
      <c r="D18" s="26" t="e">
        <f>HLOOKUP(A18,Hoja2!$R$2:$AV$20,19,FALSE)</f>
        <v>#N/A</v>
      </c>
      <c r="E18" s="97" t="e">
        <f>HLOOKUP(A18,Hoja2!$R$2:$AV$21,20,FALSE)</f>
        <v>#N/A</v>
      </c>
      <c r="F18" s="21"/>
      <c r="G18" s="15">
        <v>45421</v>
      </c>
      <c r="H18">
        <v>110275</v>
      </c>
      <c r="I18" t="s">
        <v>87</v>
      </c>
      <c r="J18" t="e">
        <f>"CPA Fondeo Bice USD a NIUM " &amp;D10&amp;" USD T/C "&amp;C10</f>
        <v>#N/A</v>
      </c>
      <c r="K18" s="3" t="e">
        <f>+E10</f>
        <v>#N/A</v>
      </c>
      <c r="L18" s="10"/>
      <c r="P18" s="1">
        <v>45429</v>
      </c>
      <c r="Q18" s="26" t="e">
        <f>HLOOKUP(P18,Hoja2!$R$2:$AV$22,21,FALSE)</f>
        <v>#N/A</v>
      </c>
      <c r="R18" s="77" t="e">
        <f>HLOOKUP(P18,Hoja2!$R$2:$AV$23,22,FALSE)</f>
        <v>#N/A</v>
      </c>
      <c r="S18" s="26" t="e">
        <f>HLOOKUP(P18,Hoja2!$R$2:$AV$24,23,FALSE)</f>
        <v>#N/A</v>
      </c>
      <c r="T18" s="97" t="e">
        <f>HLOOKUP(P18,Hoja2!$R$2:$AV$25,24,FALSE)</f>
        <v>#N/A</v>
      </c>
      <c r="U18" s="21"/>
      <c r="V18" s="15">
        <v>45421</v>
      </c>
      <c r="W18">
        <v>110274</v>
      </c>
      <c r="X18" t="s">
        <v>89</v>
      </c>
      <c r="Y18" t="e">
        <f>"CPA Fondeo Bice USD a Facilita Pay " &amp;S10&amp;" USD T/C "&amp;R10&amp;".- "&amp;TEXT($G18,"dd-mm-aaa")</f>
        <v>#N/A</v>
      </c>
      <c r="Z18" s="3" t="e">
        <f>+T10</f>
        <v>#N/A</v>
      </c>
      <c r="AA18" s="10"/>
      <c r="AD18" s="1">
        <v>45429</v>
      </c>
      <c r="AE18" s="26" t="e">
        <f>HLOOKUP(AD18,Hoja2!$R$2:$AV$26,25,FALSE)</f>
        <v>#N/A</v>
      </c>
      <c r="AF18" s="77" t="e">
        <f>HLOOKUP(AD18,Hoja2!$R$2:$AV$27,26,FALSE)</f>
        <v>#N/A</v>
      </c>
      <c r="AG18" s="26" t="e">
        <f>HLOOKUP(AD18,Hoja2!$R$2:$AV$28,27,FALSE)</f>
        <v>#N/A</v>
      </c>
      <c r="AH18" s="97" t="e">
        <f>HLOOKUP(AD18,Hoja2!$R$2:$AV$29,28,FALSE)</f>
        <v>#N/A</v>
      </c>
      <c r="AI18" s="21"/>
      <c r="AJ18" s="15">
        <v>45421</v>
      </c>
      <c r="AK18">
        <v>110820</v>
      </c>
      <c r="AL18" t="s">
        <v>97</v>
      </c>
      <c r="AM18" t="e">
        <f>"CPA Fondeo Bice USD a JPM COL " &amp;AG10&amp;" USD T/C "&amp;AF10&amp;".- "&amp;TEXT($G18,"dd-mm-aaa")</f>
        <v>#N/A</v>
      </c>
      <c r="AN18" s="3" t="e">
        <f>+AH10</f>
        <v>#N/A</v>
      </c>
      <c r="AO18" s="10"/>
      <c r="AS18" s="1">
        <v>45429</v>
      </c>
      <c r="AT18" s="26" t="e">
        <f>HLOOKUP(AS18,Hoja2!$R$2:$AV$30,29,FALSE)</f>
        <v>#N/A</v>
      </c>
      <c r="AU18" s="77" t="e">
        <f>HLOOKUP(AS18,Hoja2!$R$2:$AV$31,30,FALSE)</f>
        <v>#N/A</v>
      </c>
      <c r="AV18" s="26" t="e">
        <f>HLOOKUP(AS18,Hoja2!$R$2:$AV$32,31,FALSE)</f>
        <v>#N/A</v>
      </c>
      <c r="AW18" s="97" t="e">
        <f>HLOOKUP(AS18,Hoja2!$R$2:$AV$33,32,FALSE)</f>
        <v>#N/A</v>
      </c>
      <c r="AX18" s="21"/>
      <c r="AY18" s="15">
        <v>45421</v>
      </c>
      <c r="AZ18">
        <v>110205</v>
      </c>
      <c r="BA18" t="s">
        <v>59</v>
      </c>
      <c r="BB18" t="e">
        <f>"CPA Rescate DLocal a Bco.Bice USD " &amp;AV10&amp;" USD T/C "&amp;AU10&amp;".- "&amp;TEXT($G18,"dd-mm-aaa")</f>
        <v>#N/A</v>
      </c>
      <c r="BC18" s="3" t="e">
        <f>+AW10</f>
        <v>#N/A</v>
      </c>
      <c r="BD18" s="10"/>
      <c r="BH18" s="1">
        <v>45429</v>
      </c>
      <c r="BI18" s="26" t="e">
        <f>HLOOKUP(BH18,Hoja2!$R$2:$AV$35,34,FALSE)</f>
        <v>#N/A</v>
      </c>
      <c r="BJ18" s="77" t="e">
        <f>HLOOKUP(BH18,Hoja2!$R$2:$AV$36,35,FALSE)</f>
        <v>#N/A</v>
      </c>
      <c r="BK18" s="26" t="e">
        <f>HLOOKUP(BH18,Hoja2!$R$2:$AV$37,36,FALSE)</f>
        <v>#N/A</v>
      </c>
      <c r="BL18" s="97" t="e">
        <f>HLOOKUP(BH18,Hoja2!$R$2:$AV$38,37,FALSE)</f>
        <v>#N/A</v>
      </c>
      <c r="BM18" s="21"/>
      <c r="BN18" s="15">
        <v>45421</v>
      </c>
      <c r="BO18">
        <v>110292</v>
      </c>
      <c r="BP18" t="s">
        <v>160</v>
      </c>
      <c r="BQ18" t="e">
        <f>"CPA Fondeo Bice USD a OZ CAMBIO USD " &amp;BK10&amp;" USD T/C "&amp;BJ10</f>
        <v>#N/A</v>
      </c>
      <c r="BR18" s="3" t="e">
        <f>+BL10</f>
        <v>#N/A</v>
      </c>
      <c r="BS18" s="10"/>
    </row>
    <row r="19" spans="1:71" x14ac:dyDescent="0.25">
      <c r="A19" s="1">
        <v>45430</v>
      </c>
      <c r="B19" s="26" t="e">
        <f>HLOOKUP(A19,Hoja2!$R$2:$AV$18,17,FALSE)</f>
        <v>#N/A</v>
      </c>
      <c r="C19" s="77" t="e">
        <f>HLOOKUP(A19,Hoja2!$R$2:$AV$19,18,FALSE)</f>
        <v>#N/A</v>
      </c>
      <c r="D19" s="26" t="e">
        <f>HLOOKUP(A19,Hoja2!$R$2:$AV$20,19,FALSE)</f>
        <v>#N/A</v>
      </c>
      <c r="E19" s="97" t="e">
        <f>HLOOKUP(A19,Hoja2!$R$2:$AV$21,20,FALSE)</f>
        <v>#N/A</v>
      </c>
      <c r="F19" s="21"/>
      <c r="G19" s="11"/>
      <c r="H19" s="12">
        <v>110205</v>
      </c>
      <c r="I19" s="12" t="s">
        <v>59</v>
      </c>
      <c r="J19" s="12" t="e">
        <f>+J18</f>
        <v>#N/A</v>
      </c>
      <c r="K19" s="13"/>
      <c r="L19" s="18" t="e">
        <f t="shared" si="5"/>
        <v>#N/A</v>
      </c>
      <c r="P19" s="1">
        <v>45430</v>
      </c>
      <c r="Q19" s="26" t="e">
        <f>HLOOKUP(P19,Hoja2!$R$2:$AV$22,21,FALSE)</f>
        <v>#N/A</v>
      </c>
      <c r="R19" s="77" t="e">
        <f>HLOOKUP(P19,Hoja2!$R$2:$AV$23,22,FALSE)</f>
        <v>#N/A</v>
      </c>
      <c r="S19" s="26" t="e">
        <f>HLOOKUP(P19,Hoja2!$R$2:$AV$24,23,FALSE)</f>
        <v>#N/A</v>
      </c>
      <c r="T19" s="97" t="e">
        <f>HLOOKUP(P19,Hoja2!$R$2:$AV$25,24,FALSE)</f>
        <v>#N/A</v>
      </c>
      <c r="U19" s="21"/>
      <c r="V19" s="11"/>
      <c r="W19" s="12">
        <v>110205</v>
      </c>
      <c r="X19" s="12" t="s">
        <v>59</v>
      </c>
      <c r="Y19" s="12" t="e">
        <f>+Y18</f>
        <v>#N/A</v>
      </c>
      <c r="Z19" s="13"/>
      <c r="AA19" s="18" t="e">
        <f t="shared" si="6"/>
        <v>#N/A</v>
      </c>
      <c r="AD19" s="1">
        <v>45430</v>
      </c>
      <c r="AE19" s="26" t="e">
        <f>HLOOKUP(AD19,Hoja2!$R$2:$AV$26,25,FALSE)</f>
        <v>#N/A</v>
      </c>
      <c r="AF19" s="77" t="e">
        <f>HLOOKUP(AD19,Hoja2!$R$2:$AV$27,26,FALSE)</f>
        <v>#N/A</v>
      </c>
      <c r="AG19" s="26" t="e">
        <f>HLOOKUP(AD19,Hoja2!$R$2:$AV$28,27,FALSE)</f>
        <v>#N/A</v>
      </c>
      <c r="AH19" s="97" t="e">
        <f>HLOOKUP(AD19,Hoja2!$R$2:$AV$29,28,FALSE)</f>
        <v>#N/A</v>
      </c>
      <c r="AI19" s="21"/>
      <c r="AJ19" s="11"/>
      <c r="AK19" s="12">
        <v>110205</v>
      </c>
      <c r="AL19" s="12" t="s">
        <v>59</v>
      </c>
      <c r="AM19" s="12" t="e">
        <f>+AM18</f>
        <v>#N/A</v>
      </c>
      <c r="AN19" s="13"/>
      <c r="AO19" s="18" t="e">
        <f t="shared" si="7"/>
        <v>#N/A</v>
      </c>
      <c r="AS19" s="1">
        <v>45430</v>
      </c>
      <c r="AT19" s="26" t="e">
        <f>HLOOKUP(AS19,Hoja2!$R$2:$AV$30,29,FALSE)</f>
        <v>#N/A</v>
      </c>
      <c r="AU19" s="77" t="e">
        <f>HLOOKUP(AS19,Hoja2!$R$2:$AV$31,30,FALSE)</f>
        <v>#N/A</v>
      </c>
      <c r="AV19" s="26" t="e">
        <f>HLOOKUP(AS19,Hoja2!$R$2:$AV$32,31,FALSE)</f>
        <v>#N/A</v>
      </c>
      <c r="AW19" s="97" t="e">
        <f>HLOOKUP(AS19,Hoja2!$R$2:$AV$33,32,FALSE)</f>
        <v>#N/A</v>
      </c>
      <c r="AX19" s="21"/>
      <c r="AY19" s="11"/>
      <c r="AZ19" s="12">
        <v>110276</v>
      </c>
      <c r="BA19" s="12" t="s">
        <v>102</v>
      </c>
      <c r="BB19" s="12" t="e">
        <f>+BB18</f>
        <v>#N/A</v>
      </c>
      <c r="BC19" s="13"/>
      <c r="BD19" s="18" t="e">
        <f t="shared" si="8"/>
        <v>#N/A</v>
      </c>
      <c r="BH19" s="1">
        <v>45430</v>
      </c>
      <c r="BI19" s="26" t="e">
        <f>HLOOKUP(BH19,Hoja2!$R$2:$AV$35,34,FALSE)</f>
        <v>#N/A</v>
      </c>
      <c r="BJ19" s="77" t="e">
        <f>HLOOKUP(BH19,Hoja2!$R$2:$AV$36,35,FALSE)</f>
        <v>#N/A</v>
      </c>
      <c r="BK19" s="26" t="e">
        <f>HLOOKUP(BH19,Hoja2!$R$2:$AV$37,36,FALSE)</f>
        <v>#N/A</v>
      </c>
      <c r="BL19" s="97" t="e">
        <f>HLOOKUP(BH19,Hoja2!$R$2:$AV$38,37,FALSE)</f>
        <v>#N/A</v>
      </c>
      <c r="BM19" s="21"/>
      <c r="BN19" s="11"/>
      <c r="BO19" s="12">
        <v>110205</v>
      </c>
      <c r="BP19" s="12" t="s">
        <v>59</v>
      </c>
      <c r="BQ19" s="12" t="e">
        <f>+BQ18</f>
        <v>#N/A</v>
      </c>
      <c r="BR19" s="13"/>
      <c r="BS19" s="18" t="e">
        <f t="shared" ref="BS19" si="15">+BR18</f>
        <v>#N/A</v>
      </c>
    </row>
    <row r="20" spans="1:71" x14ac:dyDescent="0.25">
      <c r="A20" s="1">
        <v>45431</v>
      </c>
      <c r="B20" s="26" t="e">
        <f>HLOOKUP(A20,Hoja2!$R$2:$AV$18,17,FALSE)</f>
        <v>#N/A</v>
      </c>
      <c r="C20" s="77" t="e">
        <f>HLOOKUP(A20,Hoja2!$R$2:$AV$19,18,FALSE)</f>
        <v>#N/A</v>
      </c>
      <c r="D20" s="26" t="e">
        <f>HLOOKUP(A20,Hoja2!$R$2:$AV$20,19,FALSE)</f>
        <v>#N/A</v>
      </c>
      <c r="E20" s="97" t="e">
        <f>HLOOKUP(A20,Hoja2!$R$2:$AV$21,20,FALSE)</f>
        <v>#N/A</v>
      </c>
      <c r="F20" s="21"/>
      <c r="G20" s="15">
        <v>45422</v>
      </c>
      <c r="H20">
        <v>110275</v>
      </c>
      <c r="I20" t="s">
        <v>87</v>
      </c>
      <c r="J20" t="e">
        <f>"CPA Fondeo Bice USD a NIUM " &amp;D11&amp;" USD T/C "&amp;C11</f>
        <v>#N/A</v>
      </c>
      <c r="K20" s="3" t="e">
        <f>+E11</f>
        <v>#N/A</v>
      </c>
      <c r="L20" s="10"/>
      <c r="P20" s="1">
        <v>45431</v>
      </c>
      <c r="Q20" s="26" t="e">
        <f>HLOOKUP(P20,Hoja2!$R$2:$AV$22,21,FALSE)</f>
        <v>#N/A</v>
      </c>
      <c r="R20" s="77" t="e">
        <f>HLOOKUP(P20,Hoja2!$R$2:$AV$23,22,FALSE)</f>
        <v>#N/A</v>
      </c>
      <c r="S20" s="26" t="e">
        <f>HLOOKUP(P20,Hoja2!$R$2:$AV$24,23,FALSE)</f>
        <v>#N/A</v>
      </c>
      <c r="T20" s="97" t="e">
        <f>HLOOKUP(P20,Hoja2!$R$2:$AV$25,24,FALSE)</f>
        <v>#N/A</v>
      </c>
      <c r="U20" s="21"/>
      <c r="V20" s="15">
        <v>45422</v>
      </c>
      <c r="W20">
        <v>110274</v>
      </c>
      <c r="X20" t="s">
        <v>89</v>
      </c>
      <c r="Y20" t="e">
        <f>"CPA Fondeo Bice USD a Facilita Pay " &amp;S11&amp;" USD T/C "&amp;R11&amp;".- "&amp;TEXT($G20,"dd-mm-aaa")</f>
        <v>#N/A</v>
      </c>
      <c r="Z20" s="3" t="e">
        <f>+T11</f>
        <v>#N/A</v>
      </c>
      <c r="AA20" s="10"/>
      <c r="AD20" s="1">
        <v>45431</v>
      </c>
      <c r="AE20" s="26" t="e">
        <f>HLOOKUP(AD20,Hoja2!$R$2:$AV$26,25,FALSE)</f>
        <v>#N/A</v>
      </c>
      <c r="AF20" s="77" t="e">
        <f>HLOOKUP(AD20,Hoja2!$R$2:$AV$27,26,FALSE)</f>
        <v>#N/A</v>
      </c>
      <c r="AG20" s="26" t="e">
        <f>HLOOKUP(AD20,Hoja2!$R$2:$AV$28,27,FALSE)</f>
        <v>#N/A</v>
      </c>
      <c r="AH20" s="97" t="e">
        <f>HLOOKUP(AD20,Hoja2!$R$2:$AV$29,28,FALSE)</f>
        <v>#N/A</v>
      </c>
      <c r="AI20" s="21"/>
      <c r="AJ20" s="15">
        <v>45422</v>
      </c>
      <c r="AK20">
        <v>110820</v>
      </c>
      <c r="AL20" t="s">
        <v>97</v>
      </c>
      <c r="AM20" t="e">
        <f>"CPA Fondeo Bice USD a JPM COL " &amp;AG11&amp;" USD T/C "&amp;AF11&amp;".- "&amp;TEXT($G20,"dd-mm-aaa")</f>
        <v>#N/A</v>
      </c>
      <c r="AN20" s="3" t="e">
        <f>+AH11</f>
        <v>#N/A</v>
      </c>
      <c r="AO20" s="10"/>
      <c r="AS20" s="1">
        <v>45431</v>
      </c>
      <c r="AT20" s="26" t="e">
        <f>HLOOKUP(AS20,Hoja2!$R$2:$AV$30,29,FALSE)</f>
        <v>#N/A</v>
      </c>
      <c r="AU20" s="77" t="e">
        <f>HLOOKUP(AS20,Hoja2!$R$2:$AV$31,30,FALSE)</f>
        <v>#N/A</v>
      </c>
      <c r="AV20" s="26" t="e">
        <f>HLOOKUP(AS20,Hoja2!$R$2:$AV$32,31,FALSE)</f>
        <v>#N/A</v>
      </c>
      <c r="AW20" s="97" t="e">
        <f>HLOOKUP(AS20,Hoja2!$R$2:$AV$33,32,FALSE)</f>
        <v>#N/A</v>
      </c>
      <c r="AX20" s="21"/>
      <c r="AY20" s="15">
        <v>45422</v>
      </c>
      <c r="AZ20">
        <v>110205</v>
      </c>
      <c r="BA20" t="s">
        <v>59</v>
      </c>
      <c r="BB20" t="e">
        <f>"CPA Rescate DLocal a Bco.Bice USD " &amp;AV11&amp;" USD T/C "&amp;AU11&amp;".- "&amp;TEXT($G20,"dd-mm-aaa")</f>
        <v>#N/A</v>
      </c>
      <c r="BC20" s="3" t="e">
        <f>+AW11</f>
        <v>#N/A</v>
      </c>
      <c r="BD20" s="10"/>
      <c r="BH20" s="1">
        <v>45431</v>
      </c>
      <c r="BI20" s="26" t="e">
        <f>HLOOKUP(BH20,Hoja2!$R$2:$AV$35,34,FALSE)</f>
        <v>#N/A</v>
      </c>
      <c r="BJ20" s="77" t="e">
        <f>HLOOKUP(BH20,Hoja2!$R$2:$AV$36,35,FALSE)</f>
        <v>#N/A</v>
      </c>
      <c r="BK20" s="26" t="e">
        <f>HLOOKUP(BH20,Hoja2!$R$2:$AV$37,36,FALSE)</f>
        <v>#N/A</v>
      </c>
      <c r="BL20" s="97" t="e">
        <f>HLOOKUP(BH20,Hoja2!$R$2:$AV$38,37,FALSE)</f>
        <v>#N/A</v>
      </c>
      <c r="BM20" s="21"/>
      <c r="BN20" s="15">
        <v>45422</v>
      </c>
      <c r="BO20">
        <v>110292</v>
      </c>
      <c r="BP20" t="s">
        <v>160</v>
      </c>
      <c r="BQ20" t="e">
        <f>"CPA Fondeo Bice USD a OZ CAMBIO USD " &amp;BK11&amp;" USD T/C "&amp;BJ11</f>
        <v>#N/A</v>
      </c>
      <c r="BR20" s="3" t="e">
        <f>+BL11</f>
        <v>#N/A</v>
      </c>
      <c r="BS20" s="10"/>
    </row>
    <row r="21" spans="1:71" x14ac:dyDescent="0.25">
      <c r="A21" s="1">
        <v>45432</v>
      </c>
      <c r="B21" s="26" t="e">
        <f>HLOOKUP(A21,Hoja2!$R$2:$AV$18,17,FALSE)</f>
        <v>#N/A</v>
      </c>
      <c r="C21" s="77" t="e">
        <f>HLOOKUP(A21,Hoja2!$R$2:$AV$19,18,FALSE)</f>
        <v>#N/A</v>
      </c>
      <c r="D21" s="26" t="e">
        <f>HLOOKUP(A21,Hoja2!$R$2:$AV$20,19,FALSE)</f>
        <v>#N/A</v>
      </c>
      <c r="E21" s="97" t="e">
        <f>HLOOKUP(A21,Hoja2!$R$2:$AV$21,20,FALSE)</f>
        <v>#N/A</v>
      </c>
      <c r="F21" s="21"/>
      <c r="G21" s="9"/>
      <c r="H21" s="12">
        <v>110205</v>
      </c>
      <c r="I21" s="12" t="s">
        <v>59</v>
      </c>
      <c r="J21" s="12" t="e">
        <f>+J20</f>
        <v>#N/A</v>
      </c>
      <c r="K21" s="13"/>
      <c r="L21" s="18" t="e">
        <f t="shared" si="5"/>
        <v>#N/A</v>
      </c>
      <c r="P21" s="1">
        <v>45432</v>
      </c>
      <c r="Q21" s="26" t="e">
        <f>HLOOKUP(P21,Hoja2!$R$2:$AV$22,21,FALSE)</f>
        <v>#N/A</v>
      </c>
      <c r="R21" s="77" t="e">
        <f>HLOOKUP(P21,Hoja2!$R$2:$AV$23,22,FALSE)</f>
        <v>#N/A</v>
      </c>
      <c r="S21" s="26" t="e">
        <f>HLOOKUP(P21,Hoja2!$R$2:$AV$24,23,FALSE)</f>
        <v>#N/A</v>
      </c>
      <c r="T21" s="97" t="e">
        <f>HLOOKUP(P21,Hoja2!$R$2:$AV$25,24,FALSE)</f>
        <v>#N/A</v>
      </c>
      <c r="U21" s="21"/>
      <c r="V21" s="9"/>
      <c r="W21" s="12">
        <v>110205</v>
      </c>
      <c r="X21" s="12" t="s">
        <v>59</v>
      </c>
      <c r="Y21" s="12" t="e">
        <f>+Y20</f>
        <v>#N/A</v>
      </c>
      <c r="Z21" s="13"/>
      <c r="AA21" s="18" t="e">
        <f t="shared" si="6"/>
        <v>#N/A</v>
      </c>
      <c r="AD21" s="1">
        <v>45432</v>
      </c>
      <c r="AE21" s="26" t="e">
        <f>HLOOKUP(AD21,Hoja2!$R$2:$AV$26,25,FALSE)</f>
        <v>#N/A</v>
      </c>
      <c r="AF21" s="77" t="e">
        <f>HLOOKUP(AD21,Hoja2!$R$2:$AV$27,26,FALSE)</f>
        <v>#N/A</v>
      </c>
      <c r="AG21" s="26" t="e">
        <f>HLOOKUP(AD21,Hoja2!$R$2:$AV$28,27,FALSE)</f>
        <v>#N/A</v>
      </c>
      <c r="AH21" s="97" t="e">
        <f>HLOOKUP(AD21,Hoja2!$R$2:$AV$29,28,FALSE)</f>
        <v>#N/A</v>
      </c>
      <c r="AI21" s="21"/>
      <c r="AJ21" s="9"/>
      <c r="AK21" s="12">
        <v>110205</v>
      </c>
      <c r="AL21" s="12" t="s">
        <v>59</v>
      </c>
      <c r="AM21" s="12" t="e">
        <f>+AM20</f>
        <v>#N/A</v>
      </c>
      <c r="AN21" s="13"/>
      <c r="AO21" s="18" t="e">
        <f t="shared" si="7"/>
        <v>#N/A</v>
      </c>
      <c r="AS21" s="1">
        <v>45432</v>
      </c>
      <c r="AT21" s="26" t="e">
        <f>HLOOKUP(AS21,Hoja2!$R$2:$AV$30,29,FALSE)</f>
        <v>#N/A</v>
      </c>
      <c r="AU21" s="77" t="e">
        <f>HLOOKUP(AS21,Hoja2!$R$2:$AV$31,30,FALSE)</f>
        <v>#N/A</v>
      </c>
      <c r="AV21" s="26" t="e">
        <f>HLOOKUP(AS21,Hoja2!$R$2:$AV$32,31,FALSE)</f>
        <v>#N/A</v>
      </c>
      <c r="AW21" s="97" t="e">
        <f>HLOOKUP(AS21,Hoja2!$R$2:$AV$33,32,FALSE)</f>
        <v>#N/A</v>
      </c>
      <c r="AX21" s="21"/>
      <c r="AY21" s="9"/>
      <c r="AZ21" s="12">
        <v>110276</v>
      </c>
      <c r="BA21" s="12" t="s">
        <v>102</v>
      </c>
      <c r="BB21" s="12" t="e">
        <f>+BB20</f>
        <v>#N/A</v>
      </c>
      <c r="BC21" s="13"/>
      <c r="BD21" s="18" t="e">
        <f t="shared" si="8"/>
        <v>#N/A</v>
      </c>
      <c r="BH21" s="1">
        <v>45432</v>
      </c>
      <c r="BI21" s="26" t="e">
        <f>HLOOKUP(BH21,Hoja2!$R$2:$AV$35,34,FALSE)</f>
        <v>#N/A</v>
      </c>
      <c r="BJ21" s="77" t="e">
        <f>HLOOKUP(BH21,Hoja2!$R$2:$AV$36,35,FALSE)</f>
        <v>#N/A</v>
      </c>
      <c r="BK21" s="26" t="e">
        <f>HLOOKUP(BH21,Hoja2!$R$2:$AV$37,36,FALSE)</f>
        <v>#N/A</v>
      </c>
      <c r="BL21" s="97" t="e">
        <f>HLOOKUP(BH21,Hoja2!$R$2:$AV$38,37,FALSE)</f>
        <v>#N/A</v>
      </c>
      <c r="BM21" s="21"/>
      <c r="BN21" s="9"/>
      <c r="BO21" s="12">
        <v>110205</v>
      </c>
      <c r="BP21" s="12" t="s">
        <v>59</v>
      </c>
      <c r="BQ21" s="12" t="e">
        <f>+BQ20</f>
        <v>#N/A</v>
      </c>
      <c r="BR21" s="13"/>
      <c r="BS21" s="18" t="e">
        <f t="shared" ref="BS21" si="16">+BR20</f>
        <v>#N/A</v>
      </c>
    </row>
    <row r="22" spans="1:71" x14ac:dyDescent="0.25">
      <c r="A22" s="1">
        <v>45433</v>
      </c>
      <c r="B22" s="26" t="e">
        <f>HLOOKUP(A22,Hoja2!$R$2:$AV$18,17,FALSE)</f>
        <v>#N/A</v>
      </c>
      <c r="C22" s="77" t="e">
        <f>HLOOKUP(A22,Hoja2!$R$2:$AV$19,18,FALSE)</f>
        <v>#N/A</v>
      </c>
      <c r="D22" s="26" t="e">
        <f>HLOOKUP(A22,Hoja2!$R$2:$AV$20,19,FALSE)</f>
        <v>#N/A</v>
      </c>
      <c r="E22" s="109" t="e">
        <f>HLOOKUP(A22,Hoja2!$R$2:$AV$21,20,FALSE)</f>
        <v>#N/A</v>
      </c>
      <c r="F22" s="21"/>
      <c r="G22" s="15">
        <v>45423</v>
      </c>
      <c r="H22">
        <v>110275</v>
      </c>
      <c r="I22" t="s">
        <v>87</v>
      </c>
      <c r="J22" t="e">
        <f>"CPA Fondeo Bice USD a NIUM " &amp;D12&amp;" USD T/C "&amp;C12</f>
        <v>#N/A</v>
      </c>
      <c r="K22" s="3" t="e">
        <f>+E12</f>
        <v>#N/A</v>
      </c>
      <c r="L22" s="10"/>
      <c r="P22" s="1">
        <v>45433</v>
      </c>
      <c r="Q22" s="26" t="e">
        <f>HLOOKUP(P22,Hoja2!$R$2:$AV$22,21,FALSE)</f>
        <v>#N/A</v>
      </c>
      <c r="R22" s="77" t="e">
        <f>HLOOKUP(P22,Hoja2!$R$2:$AV$23,22,FALSE)</f>
        <v>#N/A</v>
      </c>
      <c r="S22" s="26" t="e">
        <f>HLOOKUP(P22,Hoja2!$R$2:$AV$24,23,FALSE)</f>
        <v>#N/A</v>
      </c>
      <c r="T22" s="109" t="e">
        <f>HLOOKUP(P22,Hoja2!$R$2:$AV$25,24,FALSE)</f>
        <v>#N/A</v>
      </c>
      <c r="U22" s="21"/>
      <c r="V22" s="15">
        <v>45423</v>
      </c>
      <c r="W22">
        <v>110274</v>
      </c>
      <c r="X22" t="s">
        <v>89</v>
      </c>
      <c r="Y22" t="e">
        <f>"CPA Fondeo Bice USD a Facilita Pay " &amp;S12&amp;" USD T/C "&amp;R12&amp;".- "&amp;TEXT($G22,"dd-mm-aaa")</f>
        <v>#N/A</v>
      </c>
      <c r="Z22" s="3" t="e">
        <f>+T12</f>
        <v>#N/A</v>
      </c>
      <c r="AA22" s="10"/>
      <c r="AD22" s="1">
        <v>45433</v>
      </c>
      <c r="AE22" s="26" t="e">
        <f>HLOOKUP(AD22,Hoja2!$R$2:$AV$26,25,FALSE)</f>
        <v>#N/A</v>
      </c>
      <c r="AF22" s="77" t="e">
        <f>HLOOKUP(AD22,Hoja2!$R$2:$AV$27,26,FALSE)</f>
        <v>#N/A</v>
      </c>
      <c r="AG22" s="26" t="e">
        <f>HLOOKUP(AD22,Hoja2!$R$2:$AV$28,27,FALSE)</f>
        <v>#N/A</v>
      </c>
      <c r="AH22" s="109" t="e">
        <f>HLOOKUP(AD22,Hoja2!$R$2:$AV$29,28,FALSE)</f>
        <v>#N/A</v>
      </c>
      <c r="AI22" s="21"/>
      <c r="AJ22" s="15">
        <v>45423</v>
      </c>
      <c r="AK22">
        <v>110820</v>
      </c>
      <c r="AL22" t="s">
        <v>97</v>
      </c>
      <c r="AM22" t="e">
        <f>"CPA Fondeo Bice USD a JPM COL " &amp;AG12&amp;" USD T/C "&amp;AF12&amp;".- "&amp;TEXT($G22,"dd-mm-aaa")</f>
        <v>#N/A</v>
      </c>
      <c r="AN22" s="3" t="e">
        <f>+AH12</f>
        <v>#N/A</v>
      </c>
      <c r="AO22" s="10"/>
      <c r="AS22" s="1">
        <v>45433</v>
      </c>
      <c r="AT22" s="26" t="e">
        <f>HLOOKUP(AS22,Hoja2!$R$2:$AV$30,29,FALSE)</f>
        <v>#N/A</v>
      </c>
      <c r="AU22" s="77" t="e">
        <f>HLOOKUP(AS22,Hoja2!$R$2:$AV$31,30,FALSE)</f>
        <v>#N/A</v>
      </c>
      <c r="AV22" s="26" t="e">
        <f>HLOOKUP(AS22,Hoja2!$R$2:$AV$32,31,FALSE)</f>
        <v>#N/A</v>
      </c>
      <c r="AW22" s="109" t="e">
        <f>HLOOKUP(AS22,Hoja2!$R$2:$AV$33,32,FALSE)</f>
        <v>#N/A</v>
      </c>
      <c r="AX22" s="21"/>
      <c r="AY22" s="15">
        <v>45423</v>
      </c>
      <c r="AZ22">
        <v>110205</v>
      </c>
      <c r="BA22" t="s">
        <v>59</v>
      </c>
      <c r="BB22" t="e">
        <f>"CPA Rescate DLocal a Bco.Bice USD " &amp;AV12&amp;" USD T/C "&amp;AU12&amp;".- "&amp;TEXT($G22,"dd-mm-aaa")</f>
        <v>#N/A</v>
      </c>
      <c r="BC22" s="3" t="e">
        <f>+AW12</f>
        <v>#N/A</v>
      </c>
      <c r="BD22" s="10"/>
      <c r="BH22" s="1">
        <v>45433</v>
      </c>
      <c r="BI22" s="26" t="e">
        <f>HLOOKUP(BH22,Hoja2!$R$2:$AV$35,34,FALSE)</f>
        <v>#N/A</v>
      </c>
      <c r="BJ22" s="77" t="e">
        <f>HLOOKUP(BH22,Hoja2!$R$2:$AV$36,35,FALSE)</f>
        <v>#N/A</v>
      </c>
      <c r="BK22" s="26" t="e">
        <f>HLOOKUP(BH22,Hoja2!$R$2:$AV$37,36,FALSE)</f>
        <v>#N/A</v>
      </c>
      <c r="BL22" s="109" t="e">
        <f>HLOOKUP(BH22,Hoja2!$R$2:$AV$38,37,FALSE)</f>
        <v>#N/A</v>
      </c>
      <c r="BM22" s="21"/>
      <c r="BN22" s="15">
        <v>45423</v>
      </c>
      <c r="BO22">
        <v>110292</v>
      </c>
      <c r="BP22" t="s">
        <v>160</v>
      </c>
      <c r="BQ22" t="e">
        <f>"CPA Fondeo Bice USD a OZ CAMBIO USD " &amp;BK12&amp;" USD T/C "&amp;BJ12</f>
        <v>#N/A</v>
      </c>
      <c r="BR22" s="3" t="e">
        <f>+BL12</f>
        <v>#N/A</v>
      </c>
      <c r="BS22" s="10"/>
    </row>
    <row r="23" spans="1:71" x14ac:dyDescent="0.25">
      <c r="A23" s="1">
        <v>45434</v>
      </c>
      <c r="B23" s="26" t="e">
        <f>HLOOKUP(A23,Hoja2!$R$2:$AV$18,17,FALSE)</f>
        <v>#N/A</v>
      </c>
      <c r="C23" s="77" t="e">
        <f>HLOOKUP(A23,Hoja2!$R$2:$AV$19,18,FALSE)</f>
        <v>#N/A</v>
      </c>
      <c r="D23" s="26" t="e">
        <f>HLOOKUP(A23,Hoja2!$R$2:$AV$20,19,FALSE)</f>
        <v>#N/A</v>
      </c>
      <c r="E23" s="97" t="e">
        <f>HLOOKUP(A23,Hoja2!$R$2:$AV$21,20,FALSE)</f>
        <v>#N/A</v>
      </c>
      <c r="F23" s="21"/>
      <c r="G23" s="9"/>
      <c r="H23" s="12">
        <v>110205</v>
      </c>
      <c r="I23" s="12" t="s">
        <v>59</v>
      </c>
      <c r="J23" s="12" t="e">
        <f>+J22</f>
        <v>#N/A</v>
      </c>
      <c r="K23" s="13"/>
      <c r="L23" s="18" t="e">
        <f t="shared" si="5"/>
        <v>#N/A</v>
      </c>
      <c r="P23" s="1">
        <v>45434</v>
      </c>
      <c r="Q23" s="26" t="e">
        <f>HLOOKUP(P23,Hoja2!$R$2:$AV$22,21,FALSE)</f>
        <v>#N/A</v>
      </c>
      <c r="R23" s="77" t="e">
        <f>HLOOKUP(P23,Hoja2!$R$2:$AV$23,22,FALSE)</f>
        <v>#N/A</v>
      </c>
      <c r="S23" s="26" t="e">
        <f>HLOOKUP(P23,Hoja2!$R$2:$AV$24,23,FALSE)</f>
        <v>#N/A</v>
      </c>
      <c r="T23" s="97" t="e">
        <f>HLOOKUP(P23,Hoja2!$R$2:$AV$25,24,FALSE)</f>
        <v>#N/A</v>
      </c>
      <c r="U23" s="21"/>
      <c r="V23" s="9"/>
      <c r="W23" s="12">
        <v>110205</v>
      </c>
      <c r="X23" s="12" t="s">
        <v>59</v>
      </c>
      <c r="Y23" s="12" t="e">
        <f>+Y22</f>
        <v>#N/A</v>
      </c>
      <c r="Z23" s="13"/>
      <c r="AA23" s="18" t="e">
        <f t="shared" si="6"/>
        <v>#N/A</v>
      </c>
      <c r="AD23" s="1">
        <v>45434</v>
      </c>
      <c r="AE23" s="26" t="e">
        <f>HLOOKUP(AD23,Hoja2!$R$2:$AV$26,25,FALSE)</f>
        <v>#N/A</v>
      </c>
      <c r="AF23" s="77" t="e">
        <f>HLOOKUP(AD23,Hoja2!$R$2:$AV$27,26,FALSE)</f>
        <v>#N/A</v>
      </c>
      <c r="AG23" s="26" t="e">
        <f>HLOOKUP(AD23,Hoja2!$R$2:$AV$28,27,FALSE)</f>
        <v>#N/A</v>
      </c>
      <c r="AH23" s="97" t="e">
        <f>HLOOKUP(AD23,Hoja2!$R$2:$AV$29,28,FALSE)</f>
        <v>#N/A</v>
      </c>
      <c r="AI23" s="21"/>
      <c r="AJ23" s="9"/>
      <c r="AK23" s="12">
        <v>110205</v>
      </c>
      <c r="AL23" s="12" t="s">
        <v>59</v>
      </c>
      <c r="AM23" s="12" t="e">
        <f>+AM22</f>
        <v>#N/A</v>
      </c>
      <c r="AN23" s="13"/>
      <c r="AO23" s="18" t="e">
        <f t="shared" si="7"/>
        <v>#N/A</v>
      </c>
      <c r="AS23" s="1">
        <v>45434</v>
      </c>
      <c r="AT23" s="26" t="e">
        <f>HLOOKUP(AS23,Hoja2!$R$2:$AV$30,29,FALSE)</f>
        <v>#N/A</v>
      </c>
      <c r="AU23" s="77" t="e">
        <f>HLOOKUP(AS23,Hoja2!$R$2:$AV$31,30,FALSE)</f>
        <v>#N/A</v>
      </c>
      <c r="AV23" s="26" t="e">
        <f>HLOOKUP(AS23,Hoja2!$R$2:$AV$32,31,FALSE)</f>
        <v>#N/A</v>
      </c>
      <c r="AW23" s="97" t="e">
        <f>HLOOKUP(AS23,Hoja2!$R$2:$AV$33,32,FALSE)</f>
        <v>#N/A</v>
      </c>
      <c r="AX23" s="21"/>
      <c r="AY23" s="9"/>
      <c r="AZ23" s="12">
        <v>110276</v>
      </c>
      <c r="BA23" s="12" t="s">
        <v>102</v>
      </c>
      <c r="BB23" s="12" t="e">
        <f>+BB22</f>
        <v>#N/A</v>
      </c>
      <c r="BC23" s="13"/>
      <c r="BD23" s="18" t="e">
        <f t="shared" si="8"/>
        <v>#N/A</v>
      </c>
      <c r="BH23" s="1">
        <v>45434</v>
      </c>
      <c r="BI23" s="26" t="e">
        <f>HLOOKUP(BH23,Hoja2!$R$2:$AV$35,34,FALSE)</f>
        <v>#N/A</v>
      </c>
      <c r="BJ23" s="77" t="e">
        <f>HLOOKUP(BH23,Hoja2!$R$2:$AV$36,35,FALSE)</f>
        <v>#N/A</v>
      </c>
      <c r="BK23" s="26" t="e">
        <f>HLOOKUP(BH23,Hoja2!$R$2:$AV$37,36,FALSE)</f>
        <v>#N/A</v>
      </c>
      <c r="BL23" s="97" t="e">
        <f>HLOOKUP(BH23,Hoja2!$R$2:$AV$38,37,FALSE)</f>
        <v>#N/A</v>
      </c>
      <c r="BM23" s="21"/>
      <c r="BN23" s="9"/>
      <c r="BO23" s="12">
        <v>110205</v>
      </c>
      <c r="BP23" s="12" t="s">
        <v>59</v>
      </c>
      <c r="BQ23" s="12" t="e">
        <f>+BQ22</f>
        <v>#N/A</v>
      </c>
      <c r="BR23" s="13"/>
      <c r="BS23" s="18" t="e">
        <f t="shared" ref="BS23" si="17">+BR22</f>
        <v>#N/A</v>
      </c>
    </row>
    <row r="24" spans="1:71" x14ac:dyDescent="0.25">
      <c r="A24" s="1">
        <v>45435</v>
      </c>
      <c r="B24" s="26" t="e">
        <f>HLOOKUP(A24,Hoja2!$R$2:$AV$18,17,FALSE)</f>
        <v>#N/A</v>
      </c>
      <c r="C24" s="77" t="e">
        <f>HLOOKUP(A24,Hoja2!$R$2:$AV$19,18,FALSE)</f>
        <v>#N/A</v>
      </c>
      <c r="D24" s="26" t="e">
        <f>HLOOKUP(A24,Hoja2!$R$2:$AV$20,19,FALSE)</f>
        <v>#N/A</v>
      </c>
      <c r="E24" s="97" t="e">
        <f>HLOOKUP(A24,Hoja2!$R$2:$AV$21,20,FALSE)</f>
        <v>#N/A</v>
      </c>
      <c r="F24" s="21"/>
      <c r="G24" s="15">
        <v>45424</v>
      </c>
      <c r="H24">
        <v>110275</v>
      </c>
      <c r="I24" t="s">
        <v>87</v>
      </c>
      <c r="J24" t="e">
        <f>"CPA Fondeo Bice USD a NIUM " &amp;D13&amp;" USD T/C "&amp;C13</f>
        <v>#N/A</v>
      </c>
      <c r="K24" s="3" t="e">
        <f>+E13</f>
        <v>#N/A</v>
      </c>
      <c r="L24" s="10"/>
      <c r="P24" s="1">
        <v>45435</v>
      </c>
      <c r="Q24" s="26" t="e">
        <f>HLOOKUP(P24,Hoja2!$R$2:$AV$22,21,FALSE)</f>
        <v>#N/A</v>
      </c>
      <c r="R24" s="77" t="e">
        <f>HLOOKUP(P24,Hoja2!$R$2:$AV$23,22,FALSE)</f>
        <v>#N/A</v>
      </c>
      <c r="S24" s="26" t="e">
        <f>HLOOKUP(P24,Hoja2!$R$2:$AV$24,23,FALSE)</f>
        <v>#N/A</v>
      </c>
      <c r="T24" s="97" t="e">
        <f>HLOOKUP(P24,Hoja2!$R$2:$AV$25,24,FALSE)</f>
        <v>#N/A</v>
      </c>
      <c r="U24" s="21"/>
      <c r="V24" s="15">
        <v>45424</v>
      </c>
      <c r="W24">
        <v>110274</v>
      </c>
      <c r="X24" t="s">
        <v>89</v>
      </c>
      <c r="Y24" t="e">
        <f>"CPA Fondeo Bice USD a Facilita Pay " &amp;S13&amp;" USD T/C "&amp;R13&amp;".- "&amp;TEXT($G24,"dd-mm-aaa")</f>
        <v>#N/A</v>
      </c>
      <c r="Z24" s="3" t="e">
        <f>+T13</f>
        <v>#N/A</v>
      </c>
      <c r="AA24" s="10"/>
      <c r="AD24" s="1">
        <v>45435</v>
      </c>
      <c r="AE24" s="26" t="e">
        <f>HLOOKUP(AD24,Hoja2!$R$2:$AV$26,25,FALSE)</f>
        <v>#N/A</v>
      </c>
      <c r="AF24" s="77" t="e">
        <f>HLOOKUP(AD24,Hoja2!$R$2:$AV$27,26,FALSE)</f>
        <v>#N/A</v>
      </c>
      <c r="AG24" s="26" t="e">
        <f>HLOOKUP(AD24,Hoja2!$R$2:$AV$28,27,FALSE)</f>
        <v>#N/A</v>
      </c>
      <c r="AH24" s="97" t="e">
        <f>HLOOKUP(AD24,Hoja2!$R$2:$AV$29,28,FALSE)</f>
        <v>#N/A</v>
      </c>
      <c r="AI24" s="21"/>
      <c r="AJ24" s="15">
        <v>45424</v>
      </c>
      <c r="AK24">
        <v>110820</v>
      </c>
      <c r="AL24" t="s">
        <v>97</v>
      </c>
      <c r="AM24" t="e">
        <f>"CPA Fondeo Bice USD a JPM COL " &amp;AG13&amp;" USD T/C "&amp;AF13&amp;".- "&amp;TEXT($G24,"dd-mm-aaa")</f>
        <v>#N/A</v>
      </c>
      <c r="AN24" s="3" t="e">
        <f>+AH13</f>
        <v>#N/A</v>
      </c>
      <c r="AO24" s="10"/>
      <c r="AS24" s="1">
        <v>45435</v>
      </c>
      <c r="AT24" s="26" t="e">
        <f>HLOOKUP(AS24,Hoja2!$R$2:$AV$30,29,FALSE)</f>
        <v>#N/A</v>
      </c>
      <c r="AU24" s="77" t="e">
        <f>HLOOKUP(AS24,Hoja2!$R$2:$AV$31,30,FALSE)</f>
        <v>#N/A</v>
      </c>
      <c r="AV24" s="26" t="e">
        <f>HLOOKUP(AS24,Hoja2!$R$2:$AV$32,31,FALSE)</f>
        <v>#N/A</v>
      </c>
      <c r="AW24" s="97" t="e">
        <f>HLOOKUP(AS24,Hoja2!$R$2:$AV$33,32,FALSE)</f>
        <v>#N/A</v>
      </c>
      <c r="AX24" s="21"/>
      <c r="AY24" s="15">
        <v>45424</v>
      </c>
      <c r="AZ24">
        <v>110205</v>
      </c>
      <c r="BA24" t="s">
        <v>59</v>
      </c>
      <c r="BB24" t="e">
        <f>"CPA Rescate DLocal a Bco.Bice USD " &amp;AV13&amp;" USD T/C "&amp;AU13&amp;".- "&amp;TEXT($G24,"dd-mm-aaa")</f>
        <v>#N/A</v>
      </c>
      <c r="BC24" s="3" t="e">
        <f>+AW13</f>
        <v>#N/A</v>
      </c>
      <c r="BD24" s="10"/>
      <c r="BH24" s="1">
        <v>45435</v>
      </c>
      <c r="BI24" s="26" t="e">
        <f>HLOOKUP(BH24,Hoja2!$R$2:$AV$35,34,FALSE)</f>
        <v>#N/A</v>
      </c>
      <c r="BJ24" s="77" t="e">
        <f>HLOOKUP(BH24,Hoja2!$R$2:$AV$36,35,FALSE)</f>
        <v>#N/A</v>
      </c>
      <c r="BK24" s="26" t="e">
        <f>HLOOKUP(BH24,Hoja2!$R$2:$AV$37,36,FALSE)</f>
        <v>#N/A</v>
      </c>
      <c r="BL24" s="97" t="e">
        <f>HLOOKUP(BH24,Hoja2!$R$2:$AV$38,37,FALSE)</f>
        <v>#N/A</v>
      </c>
      <c r="BM24" s="21"/>
      <c r="BN24" s="15">
        <v>45424</v>
      </c>
      <c r="BO24">
        <v>110292</v>
      </c>
      <c r="BP24" t="s">
        <v>160</v>
      </c>
      <c r="BQ24" t="e">
        <f>"CPA Fondeo Bice USD a OZ CAMBIO USD " &amp;BK13&amp;" USD T/C "&amp;BJ13</f>
        <v>#N/A</v>
      </c>
      <c r="BR24" s="3" t="e">
        <f>+BL13</f>
        <v>#N/A</v>
      </c>
      <c r="BS24" s="10"/>
    </row>
    <row r="25" spans="1:71" x14ac:dyDescent="0.25">
      <c r="A25" s="1">
        <v>45436</v>
      </c>
      <c r="B25" s="26" t="e">
        <f>HLOOKUP(A25,Hoja2!$R$2:$AV$18,17,FALSE)</f>
        <v>#N/A</v>
      </c>
      <c r="C25" s="77" t="e">
        <f>HLOOKUP(A25,Hoja2!$R$2:$AV$19,18,FALSE)</f>
        <v>#N/A</v>
      </c>
      <c r="D25" s="26" t="e">
        <f>HLOOKUP(A25,Hoja2!$R$2:$AV$20,19,FALSE)</f>
        <v>#N/A</v>
      </c>
      <c r="E25" s="97" t="e">
        <f>HLOOKUP(A25,Hoja2!$R$2:$AV$21,20,FALSE)</f>
        <v>#N/A</v>
      </c>
      <c r="F25" s="21"/>
      <c r="G25" s="9"/>
      <c r="H25" s="12">
        <v>110205</v>
      </c>
      <c r="I25" s="12" t="s">
        <v>59</v>
      </c>
      <c r="J25" s="12" t="e">
        <f>+J24</f>
        <v>#N/A</v>
      </c>
      <c r="K25" s="13"/>
      <c r="L25" s="18" t="e">
        <f t="shared" si="5"/>
        <v>#N/A</v>
      </c>
      <c r="P25" s="1">
        <v>45436</v>
      </c>
      <c r="Q25" s="26" t="e">
        <f>HLOOKUP(P25,Hoja2!$R$2:$AV$22,21,FALSE)</f>
        <v>#N/A</v>
      </c>
      <c r="R25" s="77" t="e">
        <f>HLOOKUP(P25,Hoja2!$R$2:$AV$23,22,FALSE)</f>
        <v>#N/A</v>
      </c>
      <c r="S25" s="26" t="e">
        <f>HLOOKUP(P25,Hoja2!$R$2:$AV$24,23,FALSE)</f>
        <v>#N/A</v>
      </c>
      <c r="T25" s="97" t="e">
        <f>HLOOKUP(P25,Hoja2!$R$2:$AV$25,24,FALSE)</f>
        <v>#N/A</v>
      </c>
      <c r="U25" s="21"/>
      <c r="V25" s="9"/>
      <c r="W25" s="12">
        <v>110205</v>
      </c>
      <c r="X25" s="12" t="s">
        <v>59</v>
      </c>
      <c r="Y25" s="12" t="e">
        <f>+Y24</f>
        <v>#N/A</v>
      </c>
      <c r="Z25" s="13"/>
      <c r="AA25" s="18" t="e">
        <f t="shared" si="6"/>
        <v>#N/A</v>
      </c>
      <c r="AD25" s="1">
        <v>45436</v>
      </c>
      <c r="AE25" s="26" t="e">
        <f>HLOOKUP(AD25,Hoja2!$R$2:$AV$26,25,FALSE)</f>
        <v>#N/A</v>
      </c>
      <c r="AF25" s="77" t="e">
        <f>HLOOKUP(AD25,Hoja2!$R$2:$AV$27,26,FALSE)</f>
        <v>#N/A</v>
      </c>
      <c r="AG25" s="26" t="e">
        <f>HLOOKUP(AD25,Hoja2!$R$2:$AV$28,27,FALSE)</f>
        <v>#N/A</v>
      </c>
      <c r="AH25" s="97" t="e">
        <f>HLOOKUP(AD25,Hoja2!$R$2:$AV$29,28,FALSE)</f>
        <v>#N/A</v>
      </c>
      <c r="AI25" s="21"/>
      <c r="AJ25" s="9"/>
      <c r="AK25" s="12">
        <v>110205</v>
      </c>
      <c r="AL25" s="12" t="s">
        <v>59</v>
      </c>
      <c r="AM25" s="12" t="e">
        <f>+AM24</f>
        <v>#N/A</v>
      </c>
      <c r="AN25" s="13"/>
      <c r="AO25" s="18" t="e">
        <f t="shared" si="7"/>
        <v>#N/A</v>
      </c>
      <c r="AS25" s="1">
        <v>45436</v>
      </c>
      <c r="AT25" s="26" t="e">
        <f>HLOOKUP(AS25,Hoja2!$R$2:$AV$30,29,FALSE)</f>
        <v>#N/A</v>
      </c>
      <c r="AU25" s="77" t="e">
        <f>HLOOKUP(AS25,Hoja2!$R$2:$AV$31,30,FALSE)</f>
        <v>#N/A</v>
      </c>
      <c r="AV25" s="26" t="e">
        <f>HLOOKUP(AS25,Hoja2!$R$2:$AV$32,31,FALSE)</f>
        <v>#N/A</v>
      </c>
      <c r="AW25" s="97" t="e">
        <f>HLOOKUP(AS25,Hoja2!$R$2:$AV$33,32,FALSE)</f>
        <v>#N/A</v>
      </c>
      <c r="AX25" s="21"/>
      <c r="AY25" s="9"/>
      <c r="AZ25" s="12">
        <v>110276</v>
      </c>
      <c r="BA25" s="12" t="s">
        <v>102</v>
      </c>
      <c r="BB25" s="12" t="e">
        <f>+BB24</f>
        <v>#N/A</v>
      </c>
      <c r="BC25" s="13"/>
      <c r="BD25" s="18" t="e">
        <f t="shared" si="8"/>
        <v>#N/A</v>
      </c>
      <c r="BH25" s="1">
        <v>45436</v>
      </c>
      <c r="BI25" s="26" t="e">
        <f>HLOOKUP(BH25,Hoja2!$R$2:$AV$35,34,FALSE)</f>
        <v>#N/A</v>
      </c>
      <c r="BJ25" s="77" t="e">
        <f>HLOOKUP(BH25,Hoja2!$R$2:$AV$36,35,FALSE)</f>
        <v>#N/A</v>
      </c>
      <c r="BK25" s="26" t="e">
        <f>HLOOKUP(BH25,Hoja2!$R$2:$AV$37,36,FALSE)</f>
        <v>#N/A</v>
      </c>
      <c r="BL25" s="97" t="e">
        <f>HLOOKUP(BH25,Hoja2!$R$2:$AV$38,37,FALSE)</f>
        <v>#N/A</v>
      </c>
      <c r="BM25" s="21"/>
      <c r="BN25" s="9"/>
      <c r="BO25" s="12">
        <v>110205</v>
      </c>
      <c r="BP25" s="12" t="s">
        <v>59</v>
      </c>
      <c r="BQ25" s="12" t="e">
        <f>+BQ24</f>
        <v>#N/A</v>
      </c>
      <c r="BR25" s="13"/>
      <c r="BS25" s="18" t="e">
        <f t="shared" ref="BS25" si="18">+BR24</f>
        <v>#N/A</v>
      </c>
    </row>
    <row r="26" spans="1:71" x14ac:dyDescent="0.25">
      <c r="A26" s="1">
        <v>45437</v>
      </c>
      <c r="B26" s="26" t="e">
        <f>HLOOKUP(A26,Hoja2!$R$2:$AV$18,17,FALSE)</f>
        <v>#N/A</v>
      </c>
      <c r="C26" s="77" t="e">
        <f>HLOOKUP(A26,Hoja2!$R$2:$AV$19,18,FALSE)</f>
        <v>#N/A</v>
      </c>
      <c r="D26" s="26" t="e">
        <f>HLOOKUP(A26,Hoja2!$R$2:$AV$20,19,FALSE)</f>
        <v>#N/A</v>
      </c>
      <c r="E26" s="97" t="e">
        <f>HLOOKUP(A26,Hoja2!$R$2:$AV$21,20,FALSE)</f>
        <v>#N/A</v>
      </c>
      <c r="F26" s="21"/>
      <c r="G26" s="15">
        <v>45425</v>
      </c>
      <c r="H26">
        <v>110275</v>
      </c>
      <c r="I26" t="s">
        <v>87</v>
      </c>
      <c r="J26" t="e">
        <f>"CPA Fondeo Bice USD a NIUM " &amp;D14&amp;" USD T/C "&amp;C14</f>
        <v>#N/A</v>
      </c>
      <c r="K26" s="3" t="e">
        <f>+E14</f>
        <v>#N/A</v>
      </c>
      <c r="L26" s="10"/>
      <c r="P26" s="1">
        <v>45437</v>
      </c>
      <c r="Q26" s="26" t="e">
        <f>HLOOKUP(P26,Hoja2!$R$2:$AV$22,21,FALSE)</f>
        <v>#N/A</v>
      </c>
      <c r="R26" s="77" t="e">
        <f>HLOOKUP(P26,Hoja2!$R$2:$AV$23,22,FALSE)</f>
        <v>#N/A</v>
      </c>
      <c r="S26" s="26" t="e">
        <f>HLOOKUP(P26,Hoja2!$R$2:$AV$24,23,FALSE)</f>
        <v>#N/A</v>
      </c>
      <c r="T26" s="97" t="e">
        <f>HLOOKUP(P26,Hoja2!$R$2:$AV$25,24,FALSE)</f>
        <v>#N/A</v>
      </c>
      <c r="U26" s="21"/>
      <c r="V26" s="15">
        <v>45425</v>
      </c>
      <c r="W26">
        <v>110274</v>
      </c>
      <c r="X26" t="s">
        <v>89</v>
      </c>
      <c r="Y26" t="e">
        <f>"CPA Fondeo Bice USD a Facilita Pay " &amp;S14&amp;" USD T/C "&amp;R14&amp;".- "&amp;TEXT($G26,"dd-mm-aaa")</f>
        <v>#N/A</v>
      </c>
      <c r="Z26" s="3" t="e">
        <f>+T14</f>
        <v>#N/A</v>
      </c>
      <c r="AA26" s="10"/>
      <c r="AD26" s="1">
        <v>45437</v>
      </c>
      <c r="AE26" s="26" t="e">
        <f>HLOOKUP(AD26,Hoja2!$R$2:$AV$26,25,FALSE)</f>
        <v>#N/A</v>
      </c>
      <c r="AF26" s="77" t="e">
        <f>HLOOKUP(AD26,Hoja2!$R$2:$AV$27,26,FALSE)</f>
        <v>#N/A</v>
      </c>
      <c r="AG26" s="26" t="e">
        <f>HLOOKUP(AD26,Hoja2!$R$2:$AV$28,27,FALSE)</f>
        <v>#N/A</v>
      </c>
      <c r="AH26" s="97" t="e">
        <f>HLOOKUP(AD26,Hoja2!$R$2:$AV$29,28,FALSE)</f>
        <v>#N/A</v>
      </c>
      <c r="AI26" s="21"/>
      <c r="AJ26" s="15">
        <v>45425</v>
      </c>
      <c r="AK26">
        <v>110820</v>
      </c>
      <c r="AL26" t="s">
        <v>97</v>
      </c>
      <c r="AM26" t="e">
        <f>"CPA Fondeo Bice USD a JPM COL " &amp;AG14&amp;" USD T/C "&amp;AF14&amp;".- "&amp;TEXT($G26,"dd-mm-aaa")</f>
        <v>#N/A</v>
      </c>
      <c r="AN26" s="3" t="e">
        <f>+AH14</f>
        <v>#N/A</v>
      </c>
      <c r="AO26" s="10"/>
      <c r="AS26" s="1">
        <v>45437</v>
      </c>
      <c r="AT26" s="26" t="e">
        <f>HLOOKUP(AS26,Hoja2!$R$2:$AV$30,29,FALSE)</f>
        <v>#N/A</v>
      </c>
      <c r="AU26" s="77" t="e">
        <f>HLOOKUP(AS26,Hoja2!$R$2:$AV$31,30,FALSE)</f>
        <v>#N/A</v>
      </c>
      <c r="AV26" s="26" t="e">
        <f>HLOOKUP(AS26,Hoja2!$R$2:$AV$32,31,FALSE)</f>
        <v>#N/A</v>
      </c>
      <c r="AW26" s="97" t="e">
        <f>HLOOKUP(AS26,Hoja2!$R$2:$AV$33,32,FALSE)</f>
        <v>#N/A</v>
      </c>
      <c r="AX26" s="21"/>
      <c r="AY26" s="15">
        <v>45425</v>
      </c>
      <c r="AZ26">
        <v>110205</v>
      </c>
      <c r="BA26" t="s">
        <v>59</v>
      </c>
      <c r="BB26" t="e">
        <f>"CPA Rescate DLocal a Bco.Bice USD " &amp;AV14&amp;" USD T/C "&amp;AU14&amp;".- "&amp;TEXT($G26,"dd-mm-aaa")</f>
        <v>#N/A</v>
      </c>
      <c r="BC26" s="3" t="e">
        <f>+AW14</f>
        <v>#N/A</v>
      </c>
      <c r="BD26" s="10"/>
      <c r="BH26" s="1">
        <v>45437</v>
      </c>
      <c r="BI26" s="26" t="e">
        <f>HLOOKUP(BH26,Hoja2!$R$2:$AV$35,34,FALSE)</f>
        <v>#N/A</v>
      </c>
      <c r="BJ26" s="77" t="e">
        <f>HLOOKUP(BH26,Hoja2!$R$2:$AV$36,35,FALSE)</f>
        <v>#N/A</v>
      </c>
      <c r="BK26" s="26" t="e">
        <f>HLOOKUP(BH26,Hoja2!$R$2:$AV$37,36,FALSE)</f>
        <v>#N/A</v>
      </c>
      <c r="BL26" s="97" t="e">
        <f>HLOOKUP(BH26,Hoja2!$R$2:$AV$38,37,FALSE)</f>
        <v>#N/A</v>
      </c>
      <c r="BM26" s="21"/>
      <c r="BN26" s="15">
        <v>45425</v>
      </c>
      <c r="BO26">
        <v>110292</v>
      </c>
      <c r="BP26" t="s">
        <v>160</v>
      </c>
      <c r="BQ26" t="e">
        <f>"CPA Fondeo Bice USD a OZ CAMBIO USD " &amp;BK14&amp;" USD T/C "&amp;BJ14</f>
        <v>#N/A</v>
      </c>
      <c r="BR26" s="3" t="e">
        <f>+BL14</f>
        <v>#N/A</v>
      </c>
      <c r="BS26" s="10"/>
    </row>
    <row r="27" spans="1:71" x14ac:dyDescent="0.25">
      <c r="A27" s="1">
        <v>45438</v>
      </c>
      <c r="B27" s="26" t="e">
        <f>HLOOKUP(A27,Hoja2!$R$2:$AV$18,17,FALSE)</f>
        <v>#N/A</v>
      </c>
      <c r="C27" s="77" t="e">
        <f>HLOOKUP(A27,Hoja2!$R$2:$AV$19,18,FALSE)</f>
        <v>#N/A</v>
      </c>
      <c r="D27" s="26" t="e">
        <f>HLOOKUP(A27,Hoja2!$R$2:$AV$20,19,FALSE)</f>
        <v>#N/A</v>
      </c>
      <c r="E27" s="97" t="e">
        <f>HLOOKUP(A27,Hoja2!$R$2:$AV$21,20,FALSE)</f>
        <v>#N/A</v>
      </c>
      <c r="F27" s="21"/>
      <c r="G27" s="9"/>
      <c r="H27" s="12">
        <v>110205</v>
      </c>
      <c r="I27" s="12" t="s">
        <v>59</v>
      </c>
      <c r="J27" s="12" t="e">
        <f>+J26</f>
        <v>#N/A</v>
      </c>
      <c r="K27" s="13"/>
      <c r="L27" s="18" t="e">
        <f t="shared" si="5"/>
        <v>#N/A</v>
      </c>
      <c r="P27" s="1">
        <v>45438</v>
      </c>
      <c r="Q27" s="26" t="e">
        <f>HLOOKUP(P27,Hoja2!$R$2:$AV$22,21,FALSE)</f>
        <v>#N/A</v>
      </c>
      <c r="R27" s="77" t="e">
        <f>HLOOKUP(P27,Hoja2!$R$2:$AV$23,22,FALSE)</f>
        <v>#N/A</v>
      </c>
      <c r="S27" s="26" t="e">
        <f>HLOOKUP(P27,Hoja2!$R$2:$AV$24,23,FALSE)</f>
        <v>#N/A</v>
      </c>
      <c r="T27" s="97" t="e">
        <f>HLOOKUP(P27,Hoja2!$R$2:$AV$25,24,FALSE)</f>
        <v>#N/A</v>
      </c>
      <c r="U27" s="21"/>
      <c r="V27" s="9"/>
      <c r="W27" s="12">
        <v>110205</v>
      </c>
      <c r="X27" s="12" t="s">
        <v>59</v>
      </c>
      <c r="Y27" s="12" t="e">
        <f>+Y26</f>
        <v>#N/A</v>
      </c>
      <c r="Z27" s="13"/>
      <c r="AA27" s="18" t="e">
        <f t="shared" si="6"/>
        <v>#N/A</v>
      </c>
      <c r="AD27" s="1">
        <v>45438</v>
      </c>
      <c r="AE27" s="26" t="e">
        <f>HLOOKUP(AD27,Hoja2!$R$2:$AV$26,25,FALSE)</f>
        <v>#N/A</v>
      </c>
      <c r="AF27" s="77" t="e">
        <f>HLOOKUP(AD27,Hoja2!$R$2:$AV$27,26,FALSE)</f>
        <v>#N/A</v>
      </c>
      <c r="AG27" s="26" t="e">
        <f>HLOOKUP(AD27,Hoja2!$R$2:$AV$28,27,FALSE)</f>
        <v>#N/A</v>
      </c>
      <c r="AH27" s="97" t="e">
        <f>HLOOKUP(AD27,Hoja2!$R$2:$AV$29,28,FALSE)</f>
        <v>#N/A</v>
      </c>
      <c r="AI27" s="21"/>
      <c r="AJ27" s="9"/>
      <c r="AK27" s="12">
        <v>110205</v>
      </c>
      <c r="AL27" s="12" t="s">
        <v>59</v>
      </c>
      <c r="AM27" s="12" t="e">
        <f>+AM26</f>
        <v>#N/A</v>
      </c>
      <c r="AN27" s="13"/>
      <c r="AO27" s="18" t="e">
        <f t="shared" si="7"/>
        <v>#N/A</v>
      </c>
      <c r="AS27" s="1">
        <v>45438</v>
      </c>
      <c r="AT27" s="26" t="e">
        <f>HLOOKUP(AS27,Hoja2!$R$2:$AV$30,29,FALSE)</f>
        <v>#N/A</v>
      </c>
      <c r="AU27" s="77" t="e">
        <f>HLOOKUP(AS27,Hoja2!$R$2:$AV$31,30,FALSE)</f>
        <v>#N/A</v>
      </c>
      <c r="AV27" s="26" t="e">
        <f>HLOOKUP(AS27,Hoja2!$R$2:$AV$32,31,FALSE)</f>
        <v>#N/A</v>
      </c>
      <c r="AW27" s="97" t="e">
        <f>HLOOKUP(AS27,Hoja2!$R$2:$AV$33,32,FALSE)</f>
        <v>#N/A</v>
      </c>
      <c r="AX27" s="21"/>
      <c r="AY27" s="9"/>
      <c r="AZ27" s="12">
        <v>110276</v>
      </c>
      <c r="BA27" s="12" t="s">
        <v>102</v>
      </c>
      <c r="BB27" s="12" t="e">
        <f>+BB26</f>
        <v>#N/A</v>
      </c>
      <c r="BC27" s="13"/>
      <c r="BD27" s="18" t="e">
        <f t="shared" si="8"/>
        <v>#N/A</v>
      </c>
      <c r="BH27" s="1">
        <v>45438</v>
      </c>
      <c r="BI27" s="26" t="e">
        <f>HLOOKUP(BH27,Hoja2!$R$2:$AV$35,34,FALSE)</f>
        <v>#N/A</v>
      </c>
      <c r="BJ27" s="77" t="e">
        <f>HLOOKUP(BH27,Hoja2!$R$2:$AV$36,35,FALSE)</f>
        <v>#N/A</v>
      </c>
      <c r="BK27" s="26" t="e">
        <f>HLOOKUP(BH27,Hoja2!$R$2:$AV$37,36,FALSE)</f>
        <v>#N/A</v>
      </c>
      <c r="BL27" s="97" t="e">
        <f>HLOOKUP(BH27,Hoja2!$R$2:$AV$38,37,FALSE)</f>
        <v>#N/A</v>
      </c>
      <c r="BM27" s="21"/>
      <c r="BN27" s="9"/>
      <c r="BO27" s="12">
        <v>110205</v>
      </c>
      <c r="BP27" s="12" t="s">
        <v>59</v>
      </c>
      <c r="BQ27" s="12" t="e">
        <f>+BQ26</f>
        <v>#N/A</v>
      </c>
      <c r="BR27" s="13"/>
      <c r="BS27" s="18" t="e">
        <f t="shared" ref="BS27" si="19">+BR26</f>
        <v>#N/A</v>
      </c>
    </row>
    <row r="28" spans="1:71" x14ac:dyDescent="0.25">
      <c r="A28" s="1">
        <v>45439</v>
      </c>
      <c r="B28" s="26" t="e">
        <f>HLOOKUP(A28,Hoja2!$R$2:$AV$18,17,FALSE)</f>
        <v>#N/A</v>
      </c>
      <c r="C28" s="77" t="e">
        <f>HLOOKUP(A28,Hoja2!$R$2:$AV$19,18,FALSE)</f>
        <v>#N/A</v>
      </c>
      <c r="D28" s="26" t="e">
        <f>HLOOKUP(A28,Hoja2!$R$2:$AV$20,19,FALSE)</f>
        <v>#N/A</v>
      </c>
      <c r="E28" s="97" t="e">
        <f>HLOOKUP(A28,Hoja2!$R$2:$AV$21,20,FALSE)</f>
        <v>#N/A</v>
      </c>
      <c r="G28" s="15">
        <v>45426</v>
      </c>
      <c r="H28">
        <v>110275</v>
      </c>
      <c r="I28" t="s">
        <v>87</v>
      </c>
      <c r="J28" t="e">
        <f>"CPA Fondeo Bice USD a NIUM " &amp;D15&amp;" USD T/C "&amp;C15</f>
        <v>#N/A</v>
      </c>
      <c r="K28" s="3" t="e">
        <f>+E15</f>
        <v>#N/A</v>
      </c>
      <c r="L28" s="10"/>
      <c r="P28" s="1">
        <v>45439</v>
      </c>
      <c r="Q28" s="26" t="e">
        <f>HLOOKUP(P28,Hoja2!$R$2:$AV$22,21,FALSE)</f>
        <v>#N/A</v>
      </c>
      <c r="R28" s="77" t="e">
        <f>HLOOKUP(P28,Hoja2!$R$2:$AV$23,22,FALSE)</f>
        <v>#N/A</v>
      </c>
      <c r="S28" s="26" t="e">
        <f>HLOOKUP(P28,Hoja2!$R$2:$AV$24,23,FALSE)</f>
        <v>#N/A</v>
      </c>
      <c r="T28" s="97" t="e">
        <f>HLOOKUP(P28,Hoja2!$R$2:$AV$25,24,FALSE)</f>
        <v>#N/A</v>
      </c>
      <c r="V28" s="15">
        <v>45426</v>
      </c>
      <c r="W28">
        <v>110274</v>
      </c>
      <c r="X28" t="s">
        <v>89</v>
      </c>
      <c r="Y28" t="e">
        <f>"CPA Fondeo Bice USD a Facilita Pay " &amp;S15&amp;" USD T/C "&amp;R15&amp;".- "&amp;TEXT($G28,"dd-mm-aaa")</f>
        <v>#N/A</v>
      </c>
      <c r="Z28" s="3" t="e">
        <f>+T15</f>
        <v>#N/A</v>
      </c>
      <c r="AA28" s="10"/>
      <c r="AD28" s="1">
        <v>45439</v>
      </c>
      <c r="AE28" s="26" t="e">
        <f>HLOOKUP(AD28,Hoja2!$R$2:$AV$26,25,FALSE)</f>
        <v>#N/A</v>
      </c>
      <c r="AF28" s="77" t="e">
        <f>HLOOKUP(AD28,Hoja2!$R$2:$AV$27,26,FALSE)</f>
        <v>#N/A</v>
      </c>
      <c r="AG28" s="26" t="e">
        <f>HLOOKUP(AD28,Hoja2!$R$2:$AV$28,27,FALSE)</f>
        <v>#N/A</v>
      </c>
      <c r="AH28" s="97" t="e">
        <f>HLOOKUP(AD28,Hoja2!$R$2:$AV$29,28,FALSE)</f>
        <v>#N/A</v>
      </c>
      <c r="AJ28" s="15">
        <v>45426</v>
      </c>
      <c r="AK28">
        <v>110820</v>
      </c>
      <c r="AL28" t="s">
        <v>97</v>
      </c>
      <c r="AM28" t="e">
        <f>"CPA Fondeo Bice USD a JPM COL " &amp;AG15&amp;" USD T/C "&amp;AF15&amp;".- "&amp;TEXT($G28,"dd-mm-aaa")</f>
        <v>#N/A</v>
      </c>
      <c r="AN28" s="3" t="e">
        <f>+AH15</f>
        <v>#N/A</v>
      </c>
      <c r="AO28" s="10"/>
      <c r="AS28" s="1">
        <v>45439</v>
      </c>
      <c r="AT28" s="26" t="e">
        <f>HLOOKUP(AS28,Hoja2!$R$2:$AV$30,29,FALSE)</f>
        <v>#N/A</v>
      </c>
      <c r="AU28" s="77" t="e">
        <f>HLOOKUP(AS28,Hoja2!$R$2:$AV$31,30,FALSE)</f>
        <v>#N/A</v>
      </c>
      <c r="AV28" s="26" t="e">
        <f>HLOOKUP(AS28,Hoja2!$R$2:$AV$32,31,FALSE)</f>
        <v>#N/A</v>
      </c>
      <c r="AW28" s="97" t="e">
        <f>HLOOKUP(AS28,Hoja2!$R$2:$AV$33,32,FALSE)</f>
        <v>#N/A</v>
      </c>
      <c r="AY28" s="15">
        <v>45426</v>
      </c>
      <c r="AZ28">
        <v>110205</v>
      </c>
      <c r="BA28" t="s">
        <v>59</v>
      </c>
      <c r="BB28" t="e">
        <f>"CPA Rescate DLocal a Bco.Bice USD " &amp;AV15&amp;" USD T/C "&amp;AU15&amp;".- "&amp;TEXT($G28,"dd-mm-aaa")</f>
        <v>#N/A</v>
      </c>
      <c r="BC28" s="3" t="e">
        <f>+AW15</f>
        <v>#N/A</v>
      </c>
      <c r="BD28" s="10"/>
      <c r="BH28" s="1">
        <v>45439</v>
      </c>
      <c r="BI28" s="26" t="e">
        <f>HLOOKUP(BH28,Hoja2!$R$2:$AV$35,34,FALSE)</f>
        <v>#N/A</v>
      </c>
      <c r="BJ28" s="77" t="e">
        <f>HLOOKUP(BH28,Hoja2!$R$2:$AV$36,35,FALSE)</f>
        <v>#N/A</v>
      </c>
      <c r="BK28" s="26" t="e">
        <f>HLOOKUP(BH28,Hoja2!$R$2:$AV$37,36,FALSE)</f>
        <v>#N/A</v>
      </c>
      <c r="BL28" s="97" t="e">
        <f>HLOOKUP(BH28,Hoja2!$R$2:$AV$38,37,FALSE)</f>
        <v>#N/A</v>
      </c>
      <c r="BN28" s="15">
        <v>45426</v>
      </c>
      <c r="BO28">
        <v>110292</v>
      </c>
      <c r="BP28" t="s">
        <v>160</v>
      </c>
      <c r="BQ28" t="e">
        <f>"CPA Fondeo Bice USD a OZ CAMBIO USD " &amp;BK15&amp;" USD T/C "&amp;BJ15</f>
        <v>#N/A</v>
      </c>
      <c r="BR28" s="3" t="e">
        <f>+BL15</f>
        <v>#N/A</v>
      </c>
      <c r="BS28" s="10"/>
    </row>
    <row r="29" spans="1:71" x14ac:dyDescent="0.25">
      <c r="A29" s="1">
        <v>45440</v>
      </c>
      <c r="B29" s="26" t="e">
        <f>HLOOKUP(A29,Hoja2!$R$2:$AV$18,17,FALSE)</f>
        <v>#N/A</v>
      </c>
      <c r="C29" s="77" t="e">
        <f>HLOOKUP(A29,Hoja2!$R$2:$AV$19,18,FALSE)</f>
        <v>#N/A</v>
      </c>
      <c r="D29" s="26" t="e">
        <f>HLOOKUP(A29,Hoja2!$R$2:$AV$20,19,FALSE)</f>
        <v>#N/A</v>
      </c>
      <c r="E29" s="97" t="e">
        <f>HLOOKUP(A29,Hoja2!$R$2:$AV$21,20,FALSE)</f>
        <v>#N/A</v>
      </c>
      <c r="F29" s="39"/>
      <c r="G29" s="9"/>
      <c r="H29" s="12">
        <v>110205</v>
      </c>
      <c r="I29" s="12" t="s">
        <v>59</v>
      </c>
      <c r="J29" s="12" t="e">
        <f>+J28</f>
        <v>#N/A</v>
      </c>
      <c r="K29" s="13"/>
      <c r="L29" s="18" t="e">
        <f t="shared" si="5"/>
        <v>#N/A</v>
      </c>
      <c r="P29" s="1">
        <v>45440</v>
      </c>
      <c r="Q29" s="26" t="e">
        <f>HLOOKUP(P29,Hoja2!$R$2:$AV$22,21,FALSE)</f>
        <v>#N/A</v>
      </c>
      <c r="R29" s="77" t="e">
        <f>HLOOKUP(P29,Hoja2!$R$2:$AV$23,22,FALSE)</f>
        <v>#N/A</v>
      </c>
      <c r="S29" s="26" t="e">
        <f>HLOOKUP(P29,Hoja2!$R$2:$AV$24,23,FALSE)</f>
        <v>#N/A</v>
      </c>
      <c r="T29" s="97" t="e">
        <f>HLOOKUP(P29,Hoja2!$R$2:$AV$25,24,FALSE)</f>
        <v>#N/A</v>
      </c>
      <c r="U29" s="39"/>
      <c r="V29" s="9"/>
      <c r="W29" s="12">
        <v>110205</v>
      </c>
      <c r="X29" s="12" t="s">
        <v>59</v>
      </c>
      <c r="Y29" s="12" t="e">
        <f>+Y28</f>
        <v>#N/A</v>
      </c>
      <c r="Z29" s="13"/>
      <c r="AA29" s="18" t="e">
        <f t="shared" si="6"/>
        <v>#N/A</v>
      </c>
      <c r="AD29" s="1">
        <v>45440</v>
      </c>
      <c r="AE29" s="26" t="e">
        <f>HLOOKUP(AD29,Hoja2!$R$2:$AV$26,25,FALSE)</f>
        <v>#N/A</v>
      </c>
      <c r="AF29" s="77" t="e">
        <f>HLOOKUP(AD29,Hoja2!$R$2:$AV$27,26,FALSE)</f>
        <v>#N/A</v>
      </c>
      <c r="AG29" s="26" t="e">
        <f>HLOOKUP(AD29,Hoja2!$R$2:$AV$28,27,FALSE)</f>
        <v>#N/A</v>
      </c>
      <c r="AH29" s="97" t="e">
        <f>HLOOKUP(AD29,Hoja2!$R$2:$AV$29,28,FALSE)</f>
        <v>#N/A</v>
      </c>
      <c r="AI29" s="39"/>
      <c r="AJ29" s="9"/>
      <c r="AK29" s="12">
        <v>110205</v>
      </c>
      <c r="AL29" s="12" t="s">
        <v>59</v>
      </c>
      <c r="AM29" s="12" t="e">
        <f>+AM28</f>
        <v>#N/A</v>
      </c>
      <c r="AN29" s="13"/>
      <c r="AO29" s="18" t="e">
        <f t="shared" si="7"/>
        <v>#N/A</v>
      </c>
      <c r="AS29" s="1">
        <v>45440</v>
      </c>
      <c r="AT29" s="26" t="e">
        <f>HLOOKUP(AS29,Hoja2!$R$2:$AV$30,29,FALSE)</f>
        <v>#N/A</v>
      </c>
      <c r="AU29" s="77" t="e">
        <f>HLOOKUP(AS29,Hoja2!$R$2:$AV$31,30,FALSE)</f>
        <v>#N/A</v>
      </c>
      <c r="AV29" s="26" t="e">
        <f>HLOOKUP(AS29,Hoja2!$R$2:$AV$32,31,FALSE)</f>
        <v>#N/A</v>
      </c>
      <c r="AW29" s="97" t="e">
        <f>HLOOKUP(AS29,Hoja2!$R$2:$AV$33,32,FALSE)</f>
        <v>#N/A</v>
      </c>
      <c r="AX29" s="39"/>
      <c r="AY29" s="9"/>
      <c r="AZ29" s="12">
        <v>110276</v>
      </c>
      <c r="BA29" s="12" t="s">
        <v>102</v>
      </c>
      <c r="BB29" s="12" t="e">
        <f>+BB28</f>
        <v>#N/A</v>
      </c>
      <c r="BC29" s="13"/>
      <c r="BD29" s="18" t="e">
        <f t="shared" si="8"/>
        <v>#N/A</v>
      </c>
      <c r="BH29" s="1">
        <v>45440</v>
      </c>
      <c r="BI29" s="26" t="e">
        <f>HLOOKUP(BH29,Hoja2!$R$2:$AV$35,34,FALSE)</f>
        <v>#N/A</v>
      </c>
      <c r="BJ29" s="77" t="e">
        <f>HLOOKUP(BH29,Hoja2!$R$2:$AV$36,35,FALSE)</f>
        <v>#N/A</v>
      </c>
      <c r="BK29" s="26" t="e">
        <f>HLOOKUP(BH29,Hoja2!$R$2:$AV$37,36,FALSE)</f>
        <v>#N/A</v>
      </c>
      <c r="BL29" s="97" t="e">
        <f>HLOOKUP(BH29,Hoja2!$R$2:$AV$38,37,FALSE)</f>
        <v>#N/A</v>
      </c>
      <c r="BM29" s="39"/>
      <c r="BN29" s="9"/>
      <c r="BO29" s="12">
        <v>110205</v>
      </c>
      <c r="BP29" s="12" t="s">
        <v>59</v>
      </c>
      <c r="BQ29" s="12" t="e">
        <f>+BQ28</f>
        <v>#N/A</v>
      </c>
      <c r="BR29" s="13"/>
      <c r="BS29" s="18" t="e">
        <f t="shared" ref="BS29" si="20">+BR28</f>
        <v>#N/A</v>
      </c>
    </row>
    <row r="30" spans="1:71" x14ac:dyDescent="0.25">
      <c r="A30" s="1">
        <v>45441</v>
      </c>
      <c r="B30" s="26" t="e">
        <f>HLOOKUP(A30,Hoja2!$R$2:$AV$18,17,FALSE)</f>
        <v>#N/A</v>
      </c>
      <c r="C30" s="77" t="e">
        <f>HLOOKUP(A30,Hoja2!$R$2:$AV$19,18,FALSE)</f>
        <v>#N/A</v>
      </c>
      <c r="D30" s="26" t="e">
        <f>HLOOKUP(A30,Hoja2!$R$2:$AV$20,19,FALSE)</f>
        <v>#N/A</v>
      </c>
      <c r="E30" s="97" t="e">
        <f>HLOOKUP(A30,Hoja2!$R$2:$AV$21,20,FALSE)</f>
        <v>#N/A</v>
      </c>
      <c r="G30" s="15">
        <v>45427</v>
      </c>
      <c r="H30">
        <v>110275</v>
      </c>
      <c r="I30" t="s">
        <v>87</v>
      </c>
      <c r="J30" t="e">
        <f>"CPA Fondeo Bice USD a NIUM " &amp;D16&amp;" USD T/C "&amp;C16</f>
        <v>#N/A</v>
      </c>
      <c r="K30" s="3" t="e">
        <f>+E16</f>
        <v>#N/A</v>
      </c>
      <c r="L30" s="10"/>
      <c r="P30" s="1">
        <v>45441</v>
      </c>
      <c r="Q30" s="26" t="e">
        <f>HLOOKUP(P30,Hoja2!$R$2:$AV$22,21,FALSE)</f>
        <v>#N/A</v>
      </c>
      <c r="R30" s="77" t="e">
        <f>HLOOKUP(P30,Hoja2!$R$2:$AV$23,22,FALSE)</f>
        <v>#N/A</v>
      </c>
      <c r="S30" s="26" t="e">
        <f>HLOOKUP(P30,Hoja2!$R$2:$AV$24,23,FALSE)</f>
        <v>#N/A</v>
      </c>
      <c r="T30" s="97" t="e">
        <f>HLOOKUP(P30,Hoja2!$R$2:$AV$25,24,FALSE)</f>
        <v>#N/A</v>
      </c>
      <c r="V30" s="15">
        <v>45427</v>
      </c>
      <c r="W30">
        <v>110274</v>
      </c>
      <c r="X30" t="s">
        <v>89</v>
      </c>
      <c r="Y30" t="e">
        <f>"CPA Fondeo Bice USD a Facilita Pay " &amp;S16&amp;" USD T/C "&amp;R16&amp;".- "&amp;TEXT($G30,"dd-mm-aaa")</f>
        <v>#N/A</v>
      </c>
      <c r="Z30" s="3" t="e">
        <f>+T16</f>
        <v>#N/A</v>
      </c>
      <c r="AA30" s="10"/>
      <c r="AD30" s="1">
        <v>45441</v>
      </c>
      <c r="AE30" s="26" t="e">
        <f>HLOOKUP(AD30,Hoja2!$R$2:$AV$26,25,FALSE)</f>
        <v>#N/A</v>
      </c>
      <c r="AF30" s="77" t="e">
        <f>HLOOKUP(AD30,Hoja2!$R$2:$AV$27,26,FALSE)</f>
        <v>#N/A</v>
      </c>
      <c r="AG30" s="26" t="e">
        <f>HLOOKUP(AD30,Hoja2!$R$2:$AV$28,27,FALSE)</f>
        <v>#N/A</v>
      </c>
      <c r="AH30" s="97" t="e">
        <f>HLOOKUP(AD30,Hoja2!$R$2:$AV$29,28,FALSE)</f>
        <v>#N/A</v>
      </c>
      <c r="AJ30" s="15">
        <v>45427</v>
      </c>
      <c r="AK30">
        <v>110820</v>
      </c>
      <c r="AL30" t="s">
        <v>97</v>
      </c>
      <c r="AM30" t="e">
        <f>"CPA Fondeo Bice USD a JPM COL " &amp;AG16&amp;" USD T/C "&amp;AF16&amp;".- "&amp;TEXT($G30,"dd-mm-aaa")</f>
        <v>#N/A</v>
      </c>
      <c r="AN30" s="3" t="e">
        <f>+AH16</f>
        <v>#N/A</v>
      </c>
      <c r="AO30" s="10"/>
      <c r="AS30" s="1">
        <v>45441</v>
      </c>
      <c r="AT30" s="26" t="e">
        <f>HLOOKUP(AS30,Hoja2!$R$2:$AV$30,29,FALSE)</f>
        <v>#N/A</v>
      </c>
      <c r="AU30" s="77" t="e">
        <f>HLOOKUP(AS30,Hoja2!$R$2:$AV$31,30,FALSE)</f>
        <v>#N/A</v>
      </c>
      <c r="AV30" s="26" t="e">
        <f>HLOOKUP(AS30,Hoja2!$R$2:$AV$32,31,FALSE)</f>
        <v>#N/A</v>
      </c>
      <c r="AW30" s="97" t="e">
        <f>HLOOKUP(AS30,Hoja2!$R$2:$AV$33,32,FALSE)</f>
        <v>#N/A</v>
      </c>
      <c r="AY30" s="15">
        <v>45427</v>
      </c>
      <c r="AZ30">
        <v>110205</v>
      </c>
      <c r="BA30" t="s">
        <v>59</v>
      </c>
      <c r="BB30" t="e">
        <f>"CPA Rescate DLocal a Bco.Bice USD " &amp;AV16&amp;" USD T/C "&amp;AU16&amp;".- "&amp;TEXT($G30,"dd-mm-aaa")</f>
        <v>#N/A</v>
      </c>
      <c r="BC30" s="3" t="e">
        <f>+AW16</f>
        <v>#N/A</v>
      </c>
      <c r="BD30" s="10"/>
      <c r="BH30" s="1">
        <v>45441</v>
      </c>
      <c r="BI30" s="26" t="e">
        <f>HLOOKUP(BH30,Hoja2!$R$2:$AV$35,34,FALSE)</f>
        <v>#N/A</v>
      </c>
      <c r="BJ30" s="77" t="e">
        <f>HLOOKUP(BH30,Hoja2!$R$2:$AV$36,35,FALSE)</f>
        <v>#N/A</v>
      </c>
      <c r="BK30" s="26" t="e">
        <f>HLOOKUP(BH30,Hoja2!$R$2:$AV$37,36,FALSE)</f>
        <v>#N/A</v>
      </c>
      <c r="BL30" s="97" t="e">
        <f>HLOOKUP(BH30,Hoja2!$R$2:$AV$38,37,FALSE)</f>
        <v>#N/A</v>
      </c>
      <c r="BN30" s="15">
        <v>45427</v>
      </c>
      <c r="BO30">
        <v>110292</v>
      </c>
      <c r="BP30" t="s">
        <v>160</v>
      </c>
      <c r="BQ30" t="e">
        <f>"CPA Fondeo Bice USD a OZ CAMBIO USD " &amp;BK16&amp;" USD T/C "&amp;BJ16</f>
        <v>#N/A</v>
      </c>
      <c r="BR30" s="3" t="e">
        <f>+BL16</f>
        <v>#N/A</v>
      </c>
      <c r="BS30" s="10"/>
    </row>
    <row r="31" spans="1:71" x14ac:dyDescent="0.25">
      <c r="A31" s="1">
        <v>45442</v>
      </c>
      <c r="B31" s="26" t="e">
        <f>HLOOKUP(A31,Hoja2!$R$2:$AV$18,17,FALSE)</f>
        <v>#N/A</v>
      </c>
      <c r="C31" s="77" t="e">
        <f>HLOOKUP(A31,Hoja2!$R$2:$AV$19,18,FALSE)</f>
        <v>#N/A</v>
      </c>
      <c r="D31" s="26" t="e">
        <f>HLOOKUP(A31,Hoja2!$R$2:$AV$20,19,FALSE)</f>
        <v>#N/A</v>
      </c>
      <c r="E31" s="97" t="e">
        <f>HLOOKUP(A31,Hoja2!$R$2:$AV$21,20,FALSE)</f>
        <v>#N/A</v>
      </c>
      <c r="G31" s="11"/>
      <c r="H31" s="12">
        <v>110205</v>
      </c>
      <c r="I31" s="12" t="s">
        <v>59</v>
      </c>
      <c r="J31" s="12" t="e">
        <f>+J30</f>
        <v>#N/A</v>
      </c>
      <c r="K31" s="13"/>
      <c r="L31" s="18" t="e">
        <f t="shared" si="5"/>
        <v>#N/A</v>
      </c>
      <c r="P31" s="1">
        <v>45442</v>
      </c>
      <c r="Q31" s="26" t="e">
        <f>HLOOKUP(P31,Hoja2!$R$2:$AV$22,21,FALSE)</f>
        <v>#N/A</v>
      </c>
      <c r="R31" s="77" t="e">
        <f>HLOOKUP(P31,Hoja2!$R$2:$AV$23,22,FALSE)</f>
        <v>#N/A</v>
      </c>
      <c r="S31" s="26" t="e">
        <f>HLOOKUP(P31,Hoja2!$R$2:$AV$24,23,FALSE)</f>
        <v>#N/A</v>
      </c>
      <c r="T31" s="97" t="e">
        <f>HLOOKUP(P31,Hoja2!$R$2:$AV$25,24,FALSE)</f>
        <v>#N/A</v>
      </c>
      <c r="V31" s="11"/>
      <c r="W31" s="12">
        <v>110205</v>
      </c>
      <c r="X31" s="12" t="s">
        <v>59</v>
      </c>
      <c r="Y31" s="12" t="e">
        <f>+Y30</f>
        <v>#N/A</v>
      </c>
      <c r="Z31" s="13"/>
      <c r="AA31" s="18" t="e">
        <f t="shared" si="6"/>
        <v>#N/A</v>
      </c>
      <c r="AD31" s="1">
        <v>45442</v>
      </c>
      <c r="AE31" s="26" t="e">
        <f>HLOOKUP(AD31,Hoja2!$R$2:$AV$26,25,FALSE)</f>
        <v>#N/A</v>
      </c>
      <c r="AF31" s="77" t="e">
        <f>HLOOKUP(AD31,Hoja2!$R$2:$AV$27,26,FALSE)</f>
        <v>#N/A</v>
      </c>
      <c r="AG31" s="26" t="e">
        <f>HLOOKUP(AD31,Hoja2!$R$2:$AV$28,27,FALSE)</f>
        <v>#N/A</v>
      </c>
      <c r="AH31" s="97" t="e">
        <f>HLOOKUP(AD31,Hoja2!$R$2:$AV$29,28,FALSE)</f>
        <v>#N/A</v>
      </c>
      <c r="AJ31" s="11"/>
      <c r="AK31" s="12">
        <v>110205</v>
      </c>
      <c r="AL31" s="12" t="s">
        <v>59</v>
      </c>
      <c r="AM31" s="12" t="e">
        <f>+AM30</f>
        <v>#N/A</v>
      </c>
      <c r="AN31" s="13"/>
      <c r="AO31" s="18" t="e">
        <f t="shared" si="7"/>
        <v>#N/A</v>
      </c>
      <c r="AS31" s="1">
        <v>45442</v>
      </c>
      <c r="AT31" s="26" t="e">
        <f>HLOOKUP(AS31,Hoja2!$R$2:$AV$30,29,FALSE)</f>
        <v>#N/A</v>
      </c>
      <c r="AU31" s="77" t="e">
        <f>HLOOKUP(AS31,Hoja2!$R$2:$AV$31,30,FALSE)</f>
        <v>#N/A</v>
      </c>
      <c r="AV31" s="26" t="e">
        <f>HLOOKUP(AS31,Hoja2!$R$2:$AV$32,31,FALSE)</f>
        <v>#N/A</v>
      </c>
      <c r="AW31" s="97" t="e">
        <f>HLOOKUP(AS31,Hoja2!$R$2:$AV$33,32,FALSE)</f>
        <v>#N/A</v>
      </c>
      <c r="AY31" s="11"/>
      <c r="AZ31" s="12">
        <v>110276</v>
      </c>
      <c r="BA31" s="12" t="s">
        <v>102</v>
      </c>
      <c r="BB31" s="12" t="e">
        <f>+BB30</f>
        <v>#N/A</v>
      </c>
      <c r="BC31" s="13"/>
      <c r="BD31" s="18" t="e">
        <f t="shared" si="8"/>
        <v>#N/A</v>
      </c>
      <c r="BH31" s="1">
        <v>45442</v>
      </c>
      <c r="BI31" s="26" t="e">
        <f>HLOOKUP(BH31,Hoja2!$R$2:$AV$35,34,FALSE)</f>
        <v>#N/A</v>
      </c>
      <c r="BJ31" s="77" t="e">
        <f>HLOOKUP(BH31,Hoja2!$R$2:$AV$36,35,FALSE)</f>
        <v>#N/A</v>
      </c>
      <c r="BK31" s="26" t="e">
        <f>HLOOKUP(BH31,Hoja2!$R$2:$AV$37,36,FALSE)</f>
        <v>#N/A</v>
      </c>
      <c r="BL31" s="97" t="e">
        <f>HLOOKUP(BH31,Hoja2!$R$2:$AV$38,37,FALSE)</f>
        <v>#N/A</v>
      </c>
      <c r="BN31" s="11"/>
      <c r="BO31" s="12">
        <v>110205</v>
      </c>
      <c r="BP31" s="12" t="s">
        <v>59</v>
      </c>
      <c r="BQ31" s="12" t="e">
        <f>+BQ30</f>
        <v>#N/A</v>
      </c>
      <c r="BR31" s="13"/>
      <c r="BS31" s="18" t="e">
        <f t="shared" ref="BS31" si="21">+BR30</f>
        <v>#N/A</v>
      </c>
    </row>
    <row r="32" spans="1:71" x14ac:dyDescent="0.25">
      <c r="A32" s="1">
        <v>45443</v>
      </c>
      <c r="B32" s="26" t="e">
        <f>HLOOKUP(A32,Hoja2!$R$2:$AV$18,17,FALSE)</f>
        <v>#N/A</v>
      </c>
      <c r="C32" s="77" t="e">
        <f>HLOOKUP(A32,Hoja2!$R$2:$AV$19,18,FALSE)</f>
        <v>#N/A</v>
      </c>
      <c r="D32" s="26" t="e">
        <f>HLOOKUP(A32,Hoja2!$R$2:$AV$20,19,FALSE)</f>
        <v>#N/A</v>
      </c>
      <c r="E32" s="97" t="e">
        <f>HLOOKUP(A32,Hoja2!$R$2:$AV$21,20,FALSE)</f>
        <v>#N/A</v>
      </c>
      <c r="G32" s="15">
        <v>45428</v>
      </c>
      <c r="H32">
        <v>110275</v>
      </c>
      <c r="I32" t="s">
        <v>87</v>
      </c>
      <c r="J32" t="e">
        <f>"CPA Fondeo Bice USD a NIUM " &amp;D17&amp;" USD T/C "&amp;C17</f>
        <v>#N/A</v>
      </c>
      <c r="K32" s="3" t="e">
        <f>+E17</f>
        <v>#N/A</v>
      </c>
      <c r="L32" s="10"/>
      <c r="M32" s="3"/>
      <c r="P32" s="1">
        <v>45443</v>
      </c>
      <c r="Q32" s="26" t="e">
        <f>HLOOKUP(P32,Hoja2!$R$2:$AV$22,21,FALSE)</f>
        <v>#N/A</v>
      </c>
      <c r="R32" s="77" t="e">
        <f>HLOOKUP(P32,Hoja2!$R$2:$AV$23,22,FALSE)</f>
        <v>#N/A</v>
      </c>
      <c r="S32" s="26" t="e">
        <f>HLOOKUP(P32,Hoja2!$R$2:$AV$24,23,FALSE)</f>
        <v>#N/A</v>
      </c>
      <c r="T32" s="97" t="e">
        <f>HLOOKUP(P32,Hoja2!$R$2:$AV$25,24,FALSE)</f>
        <v>#N/A</v>
      </c>
      <c r="V32" s="15">
        <v>45428</v>
      </c>
      <c r="W32">
        <v>110274</v>
      </c>
      <c r="X32" t="s">
        <v>89</v>
      </c>
      <c r="Y32" t="e">
        <f>"CPA Fondeo Bice USD a Facilita Pay " &amp;S17&amp;" USD T/C "&amp;R17&amp;".- "&amp;TEXT($G32,"dd-mm-aaa")</f>
        <v>#N/A</v>
      </c>
      <c r="Z32" s="3" t="e">
        <f>+T17</f>
        <v>#N/A</v>
      </c>
      <c r="AA32" s="10"/>
      <c r="AD32" s="1">
        <v>45443</v>
      </c>
      <c r="AE32" s="26" t="e">
        <f>HLOOKUP(AD32,Hoja2!$R$2:$AV$26,25,FALSE)</f>
        <v>#N/A</v>
      </c>
      <c r="AF32" s="77" t="e">
        <f>HLOOKUP(AD32,Hoja2!$R$2:$AV$27,26,FALSE)</f>
        <v>#N/A</v>
      </c>
      <c r="AG32" s="26" t="e">
        <f>HLOOKUP(AD32,Hoja2!$R$2:$AV$28,27,FALSE)</f>
        <v>#N/A</v>
      </c>
      <c r="AH32" s="97" t="e">
        <f>HLOOKUP(AD32,Hoja2!$R$2:$AV$29,28,FALSE)</f>
        <v>#N/A</v>
      </c>
      <c r="AJ32" s="15">
        <v>45428</v>
      </c>
      <c r="AK32">
        <v>110820</v>
      </c>
      <c r="AL32" t="s">
        <v>97</v>
      </c>
      <c r="AM32" t="e">
        <f>"CPA Fondeo Bice USD a JPM COL " &amp;AG17&amp;" USD T/C "&amp;AF17&amp;".- "&amp;TEXT($G32,"dd-mm-aaa")</f>
        <v>#N/A</v>
      </c>
      <c r="AN32" s="3" t="e">
        <f>+AH17</f>
        <v>#N/A</v>
      </c>
      <c r="AO32" s="10"/>
      <c r="AS32" s="1">
        <v>45443</v>
      </c>
      <c r="AT32" s="26" t="e">
        <f>HLOOKUP(AS32,Hoja2!$R$2:$AV$30,29,FALSE)</f>
        <v>#N/A</v>
      </c>
      <c r="AU32" s="77" t="e">
        <f>HLOOKUP(AS32,Hoja2!$R$2:$AV$31,30,FALSE)</f>
        <v>#N/A</v>
      </c>
      <c r="AV32" s="26" t="e">
        <f>HLOOKUP(AS32,Hoja2!$R$2:$AV$32,31,FALSE)</f>
        <v>#N/A</v>
      </c>
      <c r="AW32" s="97" t="e">
        <f>HLOOKUP(AS32,Hoja2!$R$2:$AV$33,32,FALSE)</f>
        <v>#N/A</v>
      </c>
      <c r="AY32" s="15">
        <v>45428</v>
      </c>
      <c r="AZ32">
        <v>110205</v>
      </c>
      <c r="BA32" t="s">
        <v>59</v>
      </c>
      <c r="BB32" t="e">
        <f>"CPA Rescate DLocal a Bco.Bice USD " &amp;AV17&amp;" USD T/C "&amp;AU17&amp;".- "&amp;TEXT($G32,"dd-mm-aaa")</f>
        <v>#N/A</v>
      </c>
      <c r="BC32" s="3" t="e">
        <f>+AW17</f>
        <v>#N/A</v>
      </c>
      <c r="BD32" s="10"/>
      <c r="BH32" s="1">
        <v>45443</v>
      </c>
      <c r="BI32" s="26" t="e">
        <f>HLOOKUP(BH32,Hoja2!$R$2:$AV$35,34,FALSE)</f>
        <v>#N/A</v>
      </c>
      <c r="BJ32" s="77" t="e">
        <f>HLOOKUP(BH32,Hoja2!$R$2:$AV$36,35,FALSE)</f>
        <v>#N/A</v>
      </c>
      <c r="BK32" s="26" t="e">
        <f>HLOOKUP(BH32,Hoja2!$R$2:$AV$37,36,FALSE)</f>
        <v>#N/A</v>
      </c>
      <c r="BL32" s="97" t="e">
        <f>HLOOKUP(BH32,Hoja2!$R$2:$AV$38,37,FALSE)</f>
        <v>#N/A</v>
      </c>
      <c r="BN32" s="15">
        <v>45428</v>
      </c>
      <c r="BO32">
        <v>110292</v>
      </c>
      <c r="BP32" t="s">
        <v>160</v>
      </c>
      <c r="BQ32" t="e">
        <f>"CPA Fondeo Bice USD a OZ CAMBIO USD " &amp;BK17&amp;" USD T/C "&amp;BJ17</f>
        <v>#N/A</v>
      </c>
      <c r="BR32" s="3" t="e">
        <f>+BL17</f>
        <v>#N/A</v>
      </c>
      <c r="BS32" s="10"/>
    </row>
    <row r="33" spans="2:71" x14ac:dyDescent="0.25">
      <c r="B33" s="3" t="e">
        <f>SUM(B2:B32)</f>
        <v>#N/A</v>
      </c>
      <c r="E33" s="3" t="e">
        <f>SUM(E2:E32)</f>
        <v>#N/A</v>
      </c>
      <c r="G33" s="11"/>
      <c r="H33" s="12">
        <v>110205</v>
      </c>
      <c r="I33" s="12" t="s">
        <v>59</v>
      </c>
      <c r="J33" s="12" t="e">
        <f>+J32</f>
        <v>#N/A</v>
      </c>
      <c r="K33" s="13"/>
      <c r="L33" s="18" t="e">
        <f t="shared" si="5"/>
        <v>#N/A</v>
      </c>
      <c r="Q33" s="3" t="e">
        <f>SUM(Q2:Q32)</f>
        <v>#N/A</v>
      </c>
      <c r="T33" s="3" t="e">
        <f>SUM(T2:T32)</f>
        <v>#N/A</v>
      </c>
      <c r="V33" s="11"/>
      <c r="W33" s="12">
        <v>110205</v>
      </c>
      <c r="X33" s="12" t="s">
        <v>59</v>
      </c>
      <c r="Y33" s="12" t="e">
        <f>+Y32</f>
        <v>#N/A</v>
      </c>
      <c r="Z33" s="13"/>
      <c r="AA33" s="18" t="e">
        <f t="shared" si="6"/>
        <v>#N/A</v>
      </c>
      <c r="AE33" s="3" t="e">
        <f>SUM(AE2:AE32)</f>
        <v>#N/A</v>
      </c>
      <c r="AH33" s="3" t="e">
        <f>SUM(AH2:AH32)</f>
        <v>#N/A</v>
      </c>
      <c r="AJ33" s="11"/>
      <c r="AK33" s="12">
        <v>110205</v>
      </c>
      <c r="AL33" s="12" t="s">
        <v>59</v>
      </c>
      <c r="AM33" s="12" t="e">
        <f>+AM32</f>
        <v>#N/A</v>
      </c>
      <c r="AN33" s="13"/>
      <c r="AO33" s="18" t="e">
        <f t="shared" si="7"/>
        <v>#N/A</v>
      </c>
      <c r="AT33" s="3" t="e">
        <f>SUM(AT2:AT32)</f>
        <v>#N/A</v>
      </c>
      <c r="AW33" s="3" t="e">
        <f>SUM(AW2:AW32)</f>
        <v>#N/A</v>
      </c>
      <c r="AY33" s="11"/>
      <c r="AZ33" s="12">
        <v>110276</v>
      </c>
      <c r="BA33" s="12" t="s">
        <v>102</v>
      </c>
      <c r="BB33" s="12" t="e">
        <f>+BB32</f>
        <v>#N/A</v>
      </c>
      <c r="BC33" s="13"/>
      <c r="BD33" s="18" t="e">
        <f t="shared" si="8"/>
        <v>#N/A</v>
      </c>
      <c r="BI33" s="3" t="e">
        <f>SUM(BI2:BI32)</f>
        <v>#N/A</v>
      </c>
      <c r="BL33" s="3" t="e">
        <f>SUM(BL2:BL32)</f>
        <v>#N/A</v>
      </c>
      <c r="BN33" s="11"/>
      <c r="BO33" s="12">
        <v>110205</v>
      </c>
      <c r="BP33" s="12" t="s">
        <v>59</v>
      </c>
      <c r="BQ33" s="12" t="e">
        <f>+BQ32</f>
        <v>#N/A</v>
      </c>
      <c r="BR33" s="13"/>
      <c r="BS33" s="18" t="e">
        <f t="shared" ref="BS33" si="22">+BR32</f>
        <v>#N/A</v>
      </c>
    </row>
    <row r="34" spans="2:71" x14ac:dyDescent="0.25">
      <c r="G34" s="15">
        <v>45429</v>
      </c>
      <c r="H34">
        <v>110275</v>
      </c>
      <c r="I34" t="s">
        <v>87</v>
      </c>
      <c r="J34" t="e">
        <f>"CPA Fondeo Bice USD a NIUM " &amp;D18&amp;" USD T/C "&amp;C18</f>
        <v>#N/A</v>
      </c>
      <c r="K34" s="3" t="e">
        <f>+E18</f>
        <v>#N/A</v>
      </c>
      <c r="L34" s="10"/>
      <c r="V34" s="15">
        <v>45429</v>
      </c>
      <c r="W34">
        <v>110274</v>
      </c>
      <c r="X34" t="s">
        <v>89</v>
      </c>
      <c r="Y34" t="e">
        <f>"CPA Fondeo Bice USD a Facilita Pay " &amp;S18&amp;" USD T/C "&amp;R18&amp;".- "&amp;TEXT($G34,"dd-mm-aaa")</f>
        <v>#N/A</v>
      </c>
      <c r="Z34" s="3" t="e">
        <f>+T18</f>
        <v>#N/A</v>
      </c>
      <c r="AA34" s="10"/>
      <c r="AJ34" s="15">
        <v>45429</v>
      </c>
      <c r="AK34">
        <v>110820</v>
      </c>
      <c r="AL34" t="s">
        <v>97</v>
      </c>
      <c r="AM34" t="e">
        <f>"CPA Fondeo Bice USD a JPM COL " &amp;AG18&amp;" USD T/C "&amp;AF18&amp;".- "&amp;TEXT($G34,"dd-mm-aaa")</f>
        <v>#N/A</v>
      </c>
      <c r="AN34" s="3" t="e">
        <f>+AH18</f>
        <v>#N/A</v>
      </c>
      <c r="AO34" s="10"/>
      <c r="AY34" s="15">
        <v>45429</v>
      </c>
      <c r="AZ34">
        <v>110205</v>
      </c>
      <c r="BA34" t="s">
        <v>59</v>
      </c>
      <c r="BB34" t="e">
        <f>"CPA Rescate DLocal a Bco.Bice USD " &amp;AV18&amp;" USD T/C "&amp;AU18&amp;".- "&amp;TEXT($G34,"dd-mm-aaa")</f>
        <v>#N/A</v>
      </c>
      <c r="BC34" s="3" t="e">
        <f>+AW18</f>
        <v>#N/A</v>
      </c>
      <c r="BD34" s="10"/>
      <c r="BN34" s="15">
        <v>45429</v>
      </c>
      <c r="BO34">
        <v>110292</v>
      </c>
      <c r="BP34" t="s">
        <v>160</v>
      </c>
      <c r="BQ34" t="e">
        <f>"CPA Fondeo Bice USD a OZ CAMBIO USD " &amp;BK18&amp;" USD T/C "&amp;BJ18</f>
        <v>#N/A</v>
      </c>
      <c r="BR34" s="3" t="e">
        <f>+BL18</f>
        <v>#N/A</v>
      </c>
      <c r="BS34" s="10"/>
    </row>
    <row r="35" spans="2:71" x14ac:dyDescent="0.25">
      <c r="G35" s="11"/>
      <c r="H35" s="12">
        <v>110205</v>
      </c>
      <c r="I35" s="12" t="s">
        <v>59</v>
      </c>
      <c r="J35" s="12" t="e">
        <f>+J34</f>
        <v>#N/A</v>
      </c>
      <c r="K35" s="13"/>
      <c r="L35" s="18" t="e">
        <f t="shared" si="5"/>
        <v>#N/A</v>
      </c>
      <c r="V35" s="11"/>
      <c r="W35" s="12">
        <v>110205</v>
      </c>
      <c r="X35" s="12" t="s">
        <v>59</v>
      </c>
      <c r="Y35" s="12" t="e">
        <f>+Y34</f>
        <v>#N/A</v>
      </c>
      <c r="Z35" s="13"/>
      <c r="AA35" s="18" t="e">
        <f t="shared" si="6"/>
        <v>#N/A</v>
      </c>
      <c r="AJ35" s="11"/>
      <c r="AK35" s="12">
        <v>110205</v>
      </c>
      <c r="AL35" s="12" t="s">
        <v>59</v>
      </c>
      <c r="AM35" s="12" t="e">
        <f>+AM34</f>
        <v>#N/A</v>
      </c>
      <c r="AN35" s="13"/>
      <c r="AO35" s="18" t="e">
        <f t="shared" si="7"/>
        <v>#N/A</v>
      </c>
      <c r="AT35" s="26"/>
      <c r="AU35" s="77"/>
      <c r="AV35" s="26"/>
      <c r="AW35" s="97">
        <f>AT35*AU35</f>
        <v>0</v>
      </c>
      <c r="AY35" s="11"/>
      <c r="AZ35" s="12">
        <v>110276</v>
      </c>
      <c r="BA35" s="12" t="s">
        <v>102</v>
      </c>
      <c r="BB35" s="12" t="e">
        <f>+BB34</f>
        <v>#N/A</v>
      </c>
      <c r="BC35" s="13"/>
      <c r="BD35" s="18" t="e">
        <f t="shared" si="8"/>
        <v>#N/A</v>
      </c>
      <c r="BN35" s="11"/>
      <c r="BO35" s="12">
        <v>110205</v>
      </c>
      <c r="BP35" s="12" t="s">
        <v>59</v>
      </c>
      <c r="BQ35" s="12" t="e">
        <f>+BQ34</f>
        <v>#N/A</v>
      </c>
      <c r="BR35" s="13"/>
      <c r="BS35" s="18" t="e">
        <f t="shared" ref="BS35" si="23">+BR34</f>
        <v>#N/A</v>
      </c>
    </row>
    <row r="36" spans="2:71" x14ac:dyDescent="0.25">
      <c r="B36" s="2"/>
      <c r="G36" s="15">
        <v>45430</v>
      </c>
      <c r="H36">
        <v>110275</v>
      </c>
      <c r="I36" t="s">
        <v>87</v>
      </c>
      <c r="J36" t="e">
        <f>"CPA Fondeo Bice USD a NIUM " &amp;D19&amp;" USD T/C "&amp;C19</f>
        <v>#N/A</v>
      </c>
      <c r="K36" s="3" t="e">
        <f>+E19</f>
        <v>#N/A</v>
      </c>
      <c r="L36" s="10"/>
      <c r="Q36" s="2"/>
      <c r="V36" s="15">
        <v>45430</v>
      </c>
      <c r="W36">
        <v>110274</v>
      </c>
      <c r="X36" t="s">
        <v>89</v>
      </c>
      <c r="Y36" t="e">
        <f>"CPA Fondeo Bice USD a Facilita Pay " &amp;S19&amp;" USD T/C "&amp;R19</f>
        <v>#N/A</v>
      </c>
      <c r="Z36" s="3" t="e">
        <f>+T19</f>
        <v>#N/A</v>
      </c>
      <c r="AA36" s="10"/>
      <c r="AE36" s="2"/>
      <c r="AJ36" s="15">
        <v>45430</v>
      </c>
      <c r="AK36">
        <v>110820</v>
      </c>
      <c r="AL36" t="s">
        <v>97</v>
      </c>
      <c r="AM36" t="e">
        <f>"CPA Fondeo Bice USD a JPM COL " &amp;AG19&amp;" USD T/C "&amp;AF19&amp;".- "&amp;TEXT($G36,"dd-mm-aaa")</f>
        <v>#N/A</v>
      </c>
      <c r="AN36" s="3" t="e">
        <f>+AH19</f>
        <v>#N/A</v>
      </c>
      <c r="AO36" s="10"/>
      <c r="AT36" s="2"/>
      <c r="AY36" s="15">
        <v>45430</v>
      </c>
      <c r="AZ36">
        <v>110205</v>
      </c>
      <c r="BA36" t="s">
        <v>59</v>
      </c>
      <c r="BB36" t="e">
        <f>"CPA Rescate DLocal a Bco.Bice USD " &amp;AV19&amp;" USD T/C "&amp;AU19&amp;".- "&amp;TEXT($G36,"dd-mm-aaa")</f>
        <v>#N/A</v>
      </c>
      <c r="BC36" s="3" t="e">
        <f>+AW19</f>
        <v>#N/A</v>
      </c>
      <c r="BD36" s="10"/>
      <c r="BI36" s="2"/>
      <c r="BN36" s="15">
        <v>45430</v>
      </c>
      <c r="BO36">
        <v>110292</v>
      </c>
      <c r="BP36" t="s">
        <v>160</v>
      </c>
      <c r="BQ36" t="e">
        <f>"CPA Fondeo Bice USD a OZ CAMBIO USD " &amp;BK19&amp;" USD T/C "&amp;BJ19</f>
        <v>#N/A</v>
      </c>
      <c r="BR36" s="3" t="e">
        <f>+BL19</f>
        <v>#N/A</v>
      </c>
      <c r="BS36" s="10"/>
    </row>
    <row r="37" spans="2:71" x14ac:dyDescent="0.25">
      <c r="B37" s="2"/>
      <c r="G37" s="11"/>
      <c r="H37" s="12">
        <v>110205</v>
      </c>
      <c r="I37" s="12" t="s">
        <v>59</v>
      </c>
      <c r="J37" s="12" t="e">
        <f>+J36</f>
        <v>#N/A</v>
      </c>
      <c r="K37" s="13"/>
      <c r="L37" s="18" t="e">
        <f t="shared" si="5"/>
        <v>#N/A</v>
      </c>
      <c r="Q37" s="2"/>
      <c r="V37" s="11"/>
      <c r="W37" s="12">
        <v>110205</v>
      </c>
      <c r="X37" s="12" t="s">
        <v>59</v>
      </c>
      <c r="Y37" s="12" t="e">
        <f>+Y36</f>
        <v>#N/A</v>
      </c>
      <c r="Z37" s="13"/>
      <c r="AA37" s="18" t="e">
        <f t="shared" si="6"/>
        <v>#N/A</v>
      </c>
      <c r="AE37" s="2"/>
      <c r="AJ37" s="11"/>
      <c r="AK37" s="12">
        <v>110205</v>
      </c>
      <c r="AL37" s="12" t="s">
        <v>59</v>
      </c>
      <c r="AM37" s="12" t="e">
        <f>+AM36</f>
        <v>#N/A</v>
      </c>
      <c r="AN37" s="13"/>
      <c r="AO37" s="18" t="e">
        <f t="shared" si="7"/>
        <v>#N/A</v>
      </c>
      <c r="AT37" s="2"/>
      <c r="AY37" s="11"/>
      <c r="AZ37" s="12">
        <v>110276</v>
      </c>
      <c r="BA37" s="12" t="s">
        <v>102</v>
      </c>
      <c r="BB37" s="12" t="e">
        <f>+BB36</f>
        <v>#N/A</v>
      </c>
      <c r="BC37" s="13"/>
      <c r="BD37" s="18" t="e">
        <f t="shared" si="8"/>
        <v>#N/A</v>
      </c>
      <c r="BI37" s="2"/>
      <c r="BN37" s="11"/>
      <c r="BO37" s="12">
        <v>110205</v>
      </c>
      <c r="BP37" s="12" t="s">
        <v>59</v>
      </c>
      <c r="BQ37" s="12" t="e">
        <f>+BQ36</f>
        <v>#N/A</v>
      </c>
      <c r="BR37" s="13"/>
      <c r="BS37" s="18" t="e">
        <f t="shared" ref="BS37" si="24">+BR36</f>
        <v>#N/A</v>
      </c>
    </row>
    <row r="38" spans="2:71" x14ac:dyDescent="0.25">
      <c r="B38" s="2"/>
      <c r="G38" s="15">
        <v>45431</v>
      </c>
      <c r="H38">
        <v>110275</v>
      </c>
      <c r="I38" t="s">
        <v>87</v>
      </c>
      <c r="J38" t="e">
        <f>"CPA Fondeo Bice USD a NIUM " &amp;D20&amp;" USD T/C "&amp;C20</f>
        <v>#N/A</v>
      </c>
      <c r="K38" s="3" t="e">
        <f>+E20</f>
        <v>#N/A</v>
      </c>
      <c r="L38" s="10"/>
      <c r="Q38" s="2"/>
      <c r="V38" s="15">
        <v>45431</v>
      </c>
      <c r="W38">
        <v>110274</v>
      </c>
      <c r="X38" t="s">
        <v>89</v>
      </c>
      <c r="Y38" t="e">
        <f>"CPA Fondeo Bice USD a Facilita Pay " &amp;S20&amp;" USD T/C "&amp;R20&amp;".- "&amp;TEXT($G38,"dd-mm-aaa")</f>
        <v>#N/A</v>
      </c>
      <c r="Z38" s="3" t="e">
        <f>+T20</f>
        <v>#N/A</v>
      </c>
      <c r="AA38" s="10"/>
      <c r="AE38" s="2"/>
      <c r="AJ38" s="15">
        <v>45431</v>
      </c>
      <c r="AK38">
        <v>110820</v>
      </c>
      <c r="AL38" t="s">
        <v>97</v>
      </c>
      <c r="AM38" t="e">
        <f>"CPA Fondeo Bice USD a JPM COL " &amp;AG20&amp;" USD T/C "&amp;AF20&amp;".- "&amp;TEXT($G38,"dd-mm-aaa")</f>
        <v>#N/A</v>
      </c>
      <c r="AN38" s="3" t="e">
        <f>+AH20</f>
        <v>#N/A</v>
      </c>
      <c r="AO38" s="10"/>
      <c r="AT38" s="2"/>
      <c r="AY38" s="15">
        <v>45431</v>
      </c>
      <c r="AZ38">
        <v>110205</v>
      </c>
      <c r="BA38" t="s">
        <v>59</v>
      </c>
      <c r="BB38" t="e">
        <f>"CPA Rescate DLocal a Bco.Bice USD " &amp;AV20&amp;" USD T/C "&amp;AU20&amp;".- "&amp;TEXT($G38,"dd-mm-aaa")</f>
        <v>#N/A</v>
      </c>
      <c r="BC38" s="3" t="e">
        <f>+AW20</f>
        <v>#N/A</v>
      </c>
      <c r="BD38" s="10"/>
      <c r="BI38" s="2"/>
      <c r="BN38" s="15">
        <v>45431</v>
      </c>
      <c r="BO38">
        <v>110292</v>
      </c>
      <c r="BP38" t="s">
        <v>160</v>
      </c>
      <c r="BQ38" t="e">
        <f>"CPA Fondeo Bice USD a OZ CAMBIO USD " &amp;BK20&amp;" USD T/C "&amp;BJ20</f>
        <v>#N/A</v>
      </c>
      <c r="BR38" s="3" t="e">
        <f>+BL20</f>
        <v>#N/A</v>
      </c>
      <c r="BS38" s="10"/>
    </row>
    <row r="39" spans="2:71" x14ac:dyDescent="0.25">
      <c r="B39" s="2"/>
      <c r="G39" s="11"/>
      <c r="H39" s="12">
        <v>110205</v>
      </c>
      <c r="I39" s="12" t="s">
        <v>59</v>
      </c>
      <c r="J39" s="12" t="e">
        <f>+J38</f>
        <v>#N/A</v>
      </c>
      <c r="K39" s="13"/>
      <c r="L39" s="18" t="e">
        <f t="shared" si="5"/>
        <v>#N/A</v>
      </c>
      <c r="Q39" s="2"/>
      <c r="V39" s="11"/>
      <c r="W39" s="12">
        <v>110205</v>
      </c>
      <c r="X39" s="12" t="s">
        <v>59</v>
      </c>
      <c r="Y39" s="12" t="e">
        <f>+Y38</f>
        <v>#N/A</v>
      </c>
      <c r="Z39" s="13"/>
      <c r="AA39" s="18" t="e">
        <f t="shared" si="6"/>
        <v>#N/A</v>
      </c>
      <c r="AE39" s="2"/>
      <c r="AJ39" s="11"/>
      <c r="AK39" s="12">
        <v>110205</v>
      </c>
      <c r="AL39" s="12" t="s">
        <v>59</v>
      </c>
      <c r="AM39" s="12" t="e">
        <f>+AM38</f>
        <v>#N/A</v>
      </c>
      <c r="AN39" s="13"/>
      <c r="AO39" s="18" t="e">
        <f t="shared" si="7"/>
        <v>#N/A</v>
      </c>
      <c r="AT39" s="2"/>
      <c r="AY39" s="11"/>
      <c r="AZ39" s="12">
        <v>110276</v>
      </c>
      <c r="BA39" s="12" t="s">
        <v>102</v>
      </c>
      <c r="BB39" s="12" t="e">
        <f>+BB38</f>
        <v>#N/A</v>
      </c>
      <c r="BC39" s="13"/>
      <c r="BD39" s="18" t="e">
        <f t="shared" si="8"/>
        <v>#N/A</v>
      </c>
      <c r="BI39" s="2"/>
      <c r="BN39" s="11"/>
      <c r="BO39" s="12">
        <v>110205</v>
      </c>
      <c r="BP39" s="12" t="s">
        <v>59</v>
      </c>
      <c r="BQ39" s="12" t="e">
        <f>+BQ38</f>
        <v>#N/A</v>
      </c>
      <c r="BR39" s="13"/>
      <c r="BS39" s="18" t="e">
        <f t="shared" ref="BS39" si="25">+BR38</f>
        <v>#N/A</v>
      </c>
    </row>
    <row r="40" spans="2:71" x14ac:dyDescent="0.25">
      <c r="B40" s="2"/>
      <c r="G40" s="15">
        <v>45432</v>
      </c>
      <c r="H40">
        <v>110275</v>
      </c>
      <c r="I40" t="s">
        <v>87</v>
      </c>
      <c r="J40" t="e">
        <f>"CPA Fondeo Bice USD a NIUM " &amp;D21&amp;" USD T/C "&amp;C21</f>
        <v>#N/A</v>
      </c>
      <c r="K40" s="3" t="e">
        <f>+E21</f>
        <v>#N/A</v>
      </c>
      <c r="L40" s="10"/>
      <c r="Q40" s="2"/>
      <c r="V40" s="15">
        <v>45432</v>
      </c>
      <c r="W40">
        <v>110274</v>
      </c>
      <c r="X40" t="s">
        <v>89</v>
      </c>
      <c r="Y40" t="e">
        <f>"CPA Fondeo Bice USD a Facilita Pay " &amp;S21&amp;" USD T/C "&amp;R21&amp;".- "&amp;TEXT($G40,"dd-mm-aaa")</f>
        <v>#N/A</v>
      </c>
      <c r="Z40" s="3" t="e">
        <f>+T21</f>
        <v>#N/A</v>
      </c>
      <c r="AA40" s="10"/>
      <c r="AE40" s="2"/>
      <c r="AJ40" s="15">
        <v>45432</v>
      </c>
      <c r="AK40">
        <v>110820</v>
      </c>
      <c r="AL40" t="s">
        <v>97</v>
      </c>
      <c r="AM40" t="e">
        <f>"CPA Fondeo Bice USD a JPM COL " &amp;AG21&amp;" USD T/C "&amp;AF21&amp;".- "&amp;TEXT($G40,"dd-mm-aaa")</f>
        <v>#N/A</v>
      </c>
      <c r="AN40" s="3" t="e">
        <f>+AH21</f>
        <v>#N/A</v>
      </c>
      <c r="AO40" s="10"/>
      <c r="AT40" s="2"/>
      <c r="AY40" s="15">
        <v>45432</v>
      </c>
      <c r="AZ40">
        <v>110205</v>
      </c>
      <c r="BA40" t="s">
        <v>59</v>
      </c>
      <c r="BB40" t="e">
        <f>"CPA Rescate DLocal a Bco.Bice USD " &amp;AV21&amp;" USD T/C "&amp;AU21&amp;".- "&amp;TEXT(AY40,"dd-mm-aaa")</f>
        <v>#N/A</v>
      </c>
      <c r="BC40" s="3" t="e">
        <f>+AW21</f>
        <v>#N/A</v>
      </c>
      <c r="BD40" s="10"/>
      <c r="BI40" s="2"/>
      <c r="BN40" s="15">
        <v>45432</v>
      </c>
      <c r="BO40">
        <v>110292</v>
      </c>
      <c r="BP40" t="s">
        <v>160</v>
      </c>
      <c r="BQ40" t="e">
        <f>"CPA Fondeo Bice USD a OZ CAMBIO USD " &amp;BK21&amp;" USD T/C "&amp;BJ21</f>
        <v>#N/A</v>
      </c>
      <c r="BR40" s="3" t="e">
        <f>+BL21</f>
        <v>#N/A</v>
      </c>
      <c r="BS40" s="10"/>
    </row>
    <row r="41" spans="2:71" x14ac:dyDescent="0.25">
      <c r="B41" s="2"/>
      <c r="G41" s="11"/>
      <c r="H41" s="12">
        <v>110205</v>
      </c>
      <c r="I41" s="12" t="s">
        <v>59</v>
      </c>
      <c r="J41" s="12" t="e">
        <f>+J40</f>
        <v>#N/A</v>
      </c>
      <c r="K41" s="13"/>
      <c r="L41" s="18" t="e">
        <f t="shared" si="5"/>
        <v>#N/A</v>
      </c>
      <c r="Q41" s="2"/>
      <c r="V41" s="11"/>
      <c r="W41" s="12">
        <v>110205</v>
      </c>
      <c r="X41" s="12" t="s">
        <v>59</v>
      </c>
      <c r="Y41" s="12" t="e">
        <f>+Y40</f>
        <v>#N/A</v>
      </c>
      <c r="Z41" s="13"/>
      <c r="AA41" s="18" t="e">
        <f t="shared" si="6"/>
        <v>#N/A</v>
      </c>
      <c r="AE41" s="2"/>
      <c r="AJ41" s="11"/>
      <c r="AK41" s="12">
        <v>110205</v>
      </c>
      <c r="AL41" s="12" t="s">
        <v>59</v>
      </c>
      <c r="AM41" s="12" t="e">
        <f>+AM40</f>
        <v>#N/A</v>
      </c>
      <c r="AN41" s="13"/>
      <c r="AO41" s="18" t="e">
        <f t="shared" si="7"/>
        <v>#N/A</v>
      </c>
      <c r="AT41" s="2"/>
      <c r="AY41" s="11"/>
      <c r="AZ41" s="12">
        <v>110276</v>
      </c>
      <c r="BA41" s="12" t="s">
        <v>102</v>
      </c>
      <c r="BB41" s="12" t="e">
        <f>+BB40</f>
        <v>#N/A</v>
      </c>
      <c r="BC41" s="13"/>
      <c r="BD41" s="18" t="e">
        <f t="shared" si="8"/>
        <v>#N/A</v>
      </c>
      <c r="BI41" s="2"/>
      <c r="BN41" s="11"/>
      <c r="BO41" s="12">
        <v>110205</v>
      </c>
      <c r="BP41" s="12" t="s">
        <v>59</v>
      </c>
      <c r="BQ41" s="12" t="e">
        <f>+BQ40</f>
        <v>#N/A</v>
      </c>
      <c r="BR41" s="13"/>
      <c r="BS41" s="18" t="e">
        <f t="shared" ref="BS41" si="26">+BR40</f>
        <v>#N/A</v>
      </c>
    </row>
    <row r="42" spans="2:71" x14ac:dyDescent="0.25">
      <c r="B42" s="2"/>
      <c r="G42" s="15">
        <v>45433</v>
      </c>
      <c r="H42">
        <v>110275</v>
      </c>
      <c r="I42" t="s">
        <v>87</v>
      </c>
      <c r="J42" t="e">
        <f>"CPA Fondeo Bice USD a NIUM " &amp;D22&amp;" USD T/C "&amp;C22</f>
        <v>#N/A</v>
      </c>
      <c r="K42" s="3" t="e">
        <f>+E22</f>
        <v>#N/A</v>
      </c>
      <c r="L42" s="10"/>
      <c r="Q42" s="2"/>
      <c r="V42" s="15">
        <v>45433</v>
      </c>
      <c r="W42">
        <v>110274</v>
      </c>
      <c r="X42" t="s">
        <v>89</v>
      </c>
      <c r="Y42" t="e">
        <f>"CPA Fondeo Bice USD a Facilita Pay " &amp;S22&amp;" USD T/C "&amp;R22&amp;".- "&amp;TEXT($G42,"dd-mm-aaa")</f>
        <v>#N/A</v>
      </c>
      <c r="Z42" s="3" t="e">
        <f>+T22</f>
        <v>#N/A</v>
      </c>
      <c r="AA42" s="10"/>
      <c r="AE42" s="2"/>
      <c r="AJ42" s="15">
        <v>45433</v>
      </c>
      <c r="AK42">
        <v>110820</v>
      </c>
      <c r="AL42" t="s">
        <v>97</v>
      </c>
      <c r="AM42" t="e">
        <f>"CPA Fondeo Bice USD a JPM COL " &amp;AG22&amp;" USD T/C "&amp;AF22&amp;".- "&amp;TEXT($G42,"dd-mm-aaa")</f>
        <v>#N/A</v>
      </c>
      <c r="AN42" s="3" t="e">
        <f>+AH22</f>
        <v>#N/A</v>
      </c>
      <c r="AO42" s="10"/>
      <c r="AT42" s="2"/>
      <c r="AY42" s="15">
        <v>45433</v>
      </c>
      <c r="AZ42">
        <v>110205</v>
      </c>
      <c r="BA42" t="s">
        <v>59</v>
      </c>
      <c r="BB42" t="e">
        <f>"CPA Rescate DLocal a Bco.Bice USD " &amp;AV22&amp;" USD T/C "&amp;AU22&amp;".- "&amp;TEXT($G42,"dd-mm-aaa")</f>
        <v>#N/A</v>
      </c>
      <c r="BC42" s="3" t="e">
        <f>+AW22</f>
        <v>#N/A</v>
      </c>
      <c r="BD42" s="10"/>
      <c r="BI42" s="2"/>
      <c r="BN42" s="15">
        <v>45433</v>
      </c>
      <c r="BO42">
        <v>110292</v>
      </c>
      <c r="BP42" t="s">
        <v>160</v>
      </c>
      <c r="BQ42" t="e">
        <f>"CPA Fondeo Bice USD a OZ CAMBIO USD " &amp;BK22&amp;" USD T/C "&amp;BJ22</f>
        <v>#N/A</v>
      </c>
      <c r="BR42" s="3" t="e">
        <f>+BL22</f>
        <v>#N/A</v>
      </c>
      <c r="BS42" s="10"/>
    </row>
    <row r="43" spans="2:71" x14ac:dyDescent="0.25">
      <c r="B43" s="2"/>
      <c r="G43" s="11"/>
      <c r="H43" s="12">
        <v>110205</v>
      </c>
      <c r="I43" s="12" t="s">
        <v>59</v>
      </c>
      <c r="J43" s="12" t="e">
        <f>+J42</f>
        <v>#N/A</v>
      </c>
      <c r="K43" s="13"/>
      <c r="L43" s="18" t="e">
        <f t="shared" si="5"/>
        <v>#N/A</v>
      </c>
      <c r="Q43" s="2"/>
      <c r="V43" s="11"/>
      <c r="W43" s="12">
        <v>110205</v>
      </c>
      <c r="X43" s="12" t="s">
        <v>59</v>
      </c>
      <c r="Y43" s="12" t="e">
        <f>+Y42</f>
        <v>#N/A</v>
      </c>
      <c r="Z43" s="13"/>
      <c r="AA43" s="18" t="e">
        <f t="shared" si="6"/>
        <v>#N/A</v>
      </c>
      <c r="AE43" s="2"/>
      <c r="AJ43" s="11"/>
      <c r="AK43" s="12">
        <v>110205</v>
      </c>
      <c r="AL43" s="12" t="s">
        <v>59</v>
      </c>
      <c r="AM43" s="12" t="e">
        <f>+AM42</f>
        <v>#N/A</v>
      </c>
      <c r="AN43" s="13"/>
      <c r="AO43" s="18" t="e">
        <f t="shared" si="7"/>
        <v>#N/A</v>
      </c>
      <c r="AT43" s="2"/>
      <c r="AY43" s="11"/>
      <c r="AZ43" s="12">
        <v>110276</v>
      </c>
      <c r="BA43" s="12" t="s">
        <v>102</v>
      </c>
      <c r="BB43" s="12" t="e">
        <f>+BB42</f>
        <v>#N/A</v>
      </c>
      <c r="BC43" s="13"/>
      <c r="BD43" s="18" t="e">
        <f t="shared" si="8"/>
        <v>#N/A</v>
      </c>
      <c r="BI43" s="2"/>
      <c r="BN43" s="11"/>
      <c r="BO43" s="12">
        <v>110205</v>
      </c>
      <c r="BP43" s="12" t="s">
        <v>59</v>
      </c>
      <c r="BQ43" s="12" t="e">
        <f>+BQ42</f>
        <v>#N/A</v>
      </c>
      <c r="BR43" s="13"/>
      <c r="BS43" s="18" t="e">
        <f t="shared" ref="BS43" si="27">+BR42</f>
        <v>#N/A</v>
      </c>
    </row>
    <row r="44" spans="2:71" x14ac:dyDescent="0.25">
      <c r="B44" s="2"/>
      <c r="G44" s="15">
        <v>45434</v>
      </c>
      <c r="H44">
        <v>110275</v>
      </c>
      <c r="I44" t="s">
        <v>87</v>
      </c>
      <c r="J44" t="e">
        <f>"CPA Fondeo Bice USD a NIUM " &amp;D23&amp;" USD T/C "&amp;C23</f>
        <v>#N/A</v>
      </c>
      <c r="K44" s="3" t="e">
        <f>+E23</f>
        <v>#N/A</v>
      </c>
      <c r="L44" s="10"/>
      <c r="Q44" s="2"/>
      <c r="V44" s="15">
        <v>45434</v>
      </c>
      <c r="W44">
        <v>110274</v>
      </c>
      <c r="X44" t="s">
        <v>89</v>
      </c>
      <c r="Y44" t="e">
        <f>"CPA Fondeo Bice USD a Facilita Pay " &amp;S23&amp;" USD T/C "&amp;R23&amp;".- "&amp;TEXT($G44,"dd-mm-aaa")</f>
        <v>#N/A</v>
      </c>
      <c r="Z44" s="3" t="e">
        <f>+T23</f>
        <v>#N/A</v>
      </c>
      <c r="AA44" s="10"/>
      <c r="AE44" s="2"/>
      <c r="AJ44" s="15">
        <v>45434</v>
      </c>
      <c r="AK44">
        <v>110820</v>
      </c>
      <c r="AL44" t="s">
        <v>97</v>
      </c>
      <c r="AM44" t="e">
        <f>"CPA Fondeo Bice USD a JPM COL " &amp;AG23&amp;" USD T/C "&amp;AF23&amp;".- "&amp;TEXT($G44,"dd-mm-aaa")</f>
        <v>#N/A</v>
      </c>
      <c r="AN44" s="3" t="e">
        <f>+AH23</f>
        <v>#N/A</v>
      </c>
      <c r="AO44" s="10"/>
      <c r="AT44" s="2"/>
      <c r="AY44" s="15">
        <v>45434</v>
      </c>
      <c r="AZ44">
        <v>110205</v>
      </c>
      <c r="BA44" t="s">
        <v>59</v>
      </c>
      <c r="BB44" t="e">
        <f>"CPA Rescate DLocal a Bco.Bice USD " &amp;AV23&amp;" USD T/C "&amp;AU23&amp;".- "&amp;TEXT($G44,"dd-mm-aaa")</f>
        <v>#N/A</v>
      </c>
      <c r="BC44" s="3" t="e">
        <f>+AW23</f>
        <v>#N/A</v>
      </c>
      <c r="BD44" s="10"/>
      <c r="BI44" s="2"/>
      <c r="BN44" s="15">
        <v>45434</v>
      </c>
      <c r="BO44">
        <v>110292</v>
      </c>
      <c r="BP44" t="s">
        <v>160</v>
      </c>
      <c r="BQ44" t="e">
        <f>"CPA Fondeo Bice USD a OZ CAMBIO USD " &amp;BK23&amp;" USD T/C "&amp;BJ23</f>
        <v>#N/A</v>
      </c>
      <c r="BR44" s="3" t="e">
        <f>+BL23</f>
        <v>#N/A</v>
      </c>
      <c r="BS44" s="10"/>
    </row>
    <row r="45" spans="2:71" x14ac:dyDescent="0.25">
      <c r="B45" s="2"/>
      <c r="G45" s="11"/>
      <c r="H45" s="12">
        <v>110205</v>
      </c>
      <c r="I45" s="12" t="s">
        <v>59</v>
      </c>
      <c r="J45" s="12" t="e">
        <f>+J44</f>
        <v>#N/A</v>
      </c>
      <c r="K45" s="13"/>
      <c r="L45" s="18" t="e">
        <f t="shared" si="5"/>
        <v>#N/A</v>
      </c>
      <c r="Q45" s="2"/>
      <c r="V45" s="11"/>
      <c r="W45" s="12">
        <v>110205</v>
      </c>
      <c r="X45" s="12" t="s">
        <v>59</v>
      </c>
      <c r="Y45" s="12" t="e">
        <f>+Y44</f>
        <v>#N/A</v>
      </c>
      <c r="Z45" s="13"/>
      <c r="AA45" s="18" t="e">
        <f t="shared" si="6"/>
        <v>#N/A</v>
      </c>
      <c r="AE45" s="2"/>
      <c r="AJ45" s="11"/>
      <c r="AK45" s="12">
        <v>110205</v>
      </c>
      <c r="AL45" s="12" t="s">
        <v>59</v>
      </c>
      <c r="AM45" s="12" t="e">
        <f>+AM44</f>
        <v>#N/A</v>
      </c>
      <c r="AN45" s="13"/>
      <c r="AO45" s="18" t="e">
        <f t="shared" si="7"/>
        <v>#N/A</v>
      </c>
      <c r="AT45" s="2"/>
      <c r="AY45" s="11"/>
      <c r="AZ45" s="12">
        <v>110276</v>
      </c>
      <c r="BA45" s="12" t="s">
        <v>102</v>
      </c>
      <c r="BB45" s="12" t="e">
        <f>+BB44</f>
        <v>#N/A</v>
      </c>
      <c r="BC45" s="13"/>
      <c r="BD45" s="18" t="e">
        <f t="shared" si="8"/>
        <v>#N/A</v>
      </c>
      <c r="BI45" s="2"/>
      <c r="BN45" s="11"/>
      <c r="BO45" s="12">
        <v>110205</v>
      </c>
      <c r="BP45" s="12" t="s">
        <v>59</v>
      </c>
      <c r="BQ45" s="12" t="e">
        <f>+BQ44</f>
        <v>#N/A</v>
      </c>
      <c r="BR45" s="13"/>
      <c r="BS45" s="18" t="e">
        <f t="shared" ref="BS45" si="28">+BR44</f>
        <v>#N/A</v>
      </c>
    </row>
    <row r="46" spans="2:71" x14ac:dyDescent="0.25">
      <c r="B46" s="2"/>
      <c r="G46" s="15">
        <v>45435</v>
      </c>
      <c r="H46">
        <v>110275</v>
      </c>
      <c r="I46" t="s">
        <v>87</v>
      </c>
      <c r="J46" t="e">
        <f>"CPA Fondeo Bice USD a NIUM " &amp;D24&amp;" USD T/C "&amp;C24</f>
        <v>#N/A</v>
      </c>
      <c r="K46" s="3" t="e">
        <f>+E24</f>
        <v>#N/A</v>
      </c>
      <c r="L46" s="10"/>
      <c r="Q46" s="2"/>
      <c r="V46" s="15">
        <v>45435</v>
      </c>
      <c r="W46">
        <v>110274</v>
      </c>
      <c r="X46" t="s">
        <v>89</v>
      </c>
      <c r="Y46" t="e">
        <f>"CPA Fondeo Bice USD a Facilita Pay " &amp;S24&amp;" USD T/C "&amp;R24</f>
        <v>#N/A</v>
      </c>
      <c r="Z46" s="3" t="e">
        <f>+T24</f>
        <v>#N/A</v>
      </c>
      <c r="AA46" s="10"/>
      <c r="AE46" s="2"/>
      <c r="AJ46" s="15">
        <v>45435</v>
      </c>
      <c r="AK46">
        <v>110820</v>
      </c>
      <c r="AL46" t="s">
        <v>97</v>
      </c>
      <c r="AM46" t="e">
        <f>"CPA Fondeo Bice USD a JPM COL " &amp;AG24&amp;" USD T/C "&amp;AF24&amp;".- "&amp;TEXT($G46,"dd-mm-aaa")</f>
        <v>#N/A</v>
      </c>
      <c r="AN46" s="3" t="e">
        <f>+AH24</f>
        <v>#N/A</v>
      </c>
      <c r="AO46" s="10"/>
      <c r="AT46" s="2"/>
      <c r="AY46" s="15">
        <v>45435</v>
      </c>
      <c r="AZ46">
        <v>110205</v>
      </c>
      <c r="BA46" t="s">
        <v>59</v>
      </c>
      <c r="BB46" t="e">
        <f>"CPA Rescate DLocal a Bco.Bice USD " &amp;AV24&amp;" USD T/C "&amp;AU24&amp;".- "&amp;TEXT($G46,"dd-mm-aaa")</f>
        <v>#N/A</v>
      </c>
      <c r="BC46" s="3" t="e">
        <f>+AW24</f>
        <v>#N/A</v>
      </c>
      <c r="BD46" s="10"/>
      <c r="BI46" s="2"/>
      <c r="BN46" s="15">
        <v>45435</v>
      </c>
      <c r="BO46">
        <v>110292</v>
      </c>
      <c r="BP46" t="s">
        <v>160</v>
      </c>
      <c r="BQ46" t="e">
        <f>"CPA Fondeo Bice USD a OZ CAMBIO USD " &amp;BK24&amp;" USD T/C "&amp;BJ24</f>
        <v>#N/A</v>
      </c>
      <c r="BR46" s="3" t="e">
        <f>+BL24</f>
        <v>#N/A</v>
      </c>
      <c r="BS46" s="10"/>
    </row>
    <row r="47" spans="2:71" x14ac:dyDescent="0.25">
      <c r="B47" s="2"/>
      <c r="G47" s="11"/>
      <c r="H47" s="12">
        <v>110205</v>
      </c>
      <c r="I47" s="12" t="s">
        <v>59</v>
      </c>
      <c r="J47" s="12" t="e">
        <f>+J46</f>
        <v>#N/A</v>
      </c>
      <c r="K47" s="13"/>
      <c r="L47" s="18" t="e">
        <f t="shared" si="5"/>
        <v>#N/A</v>
      </c>
      <c r="Q47" s="2"/>
      <c r="V47" s="11"/>
      <c r="W47" s="12">
        <v>110205</v>
      </c>
      <c r="X47" s="12" t="s">
        <v>59</v>
      </c>
      <c r="Y47" s="12" t="e">
        <f>+Y46</f>
        <v>#N/A</v>
      </c>
      <c r="Z47" s="13"/>
      <c r="AA47" s="18" t="e">
        <f t="shared" si="6"/>
        <v>#N/A</v>
      </c>
      <c r="AE47" s="2"/>
      <c r="AJ47" s="11"/>
      <c r="AK47" s="12">
        <v>110205</v>
      </c>
      <c r="AL47" s="12" t="s">
        <v>59</v>
      </c>
      <c r="AM47" s="12" t="e">
        <f>+AM46</f>
        <v>#N/A</v>
      </c>
      <c r="AN47" s="13"/>
      <c r="AO47" s="18" t="e">
        <f t="shared" si="7"/>
        <v>#N/A</v>
      </c>
      <c r="AT47" s="2"/>
      <c r="AY47" s="11"/>
      <c r="AZ47" s="12">
        <v>110276</v>
      </c>
      <c r="BA47" s="12" t="s">
        <v>102</v>
      </c>
      <c r="BB47" s="12" t="e">
        <f>+BB46</f>
        <v>#N/A</v>
      </c>
      <c r="BC47" s="13"/>
      <c r="BD47" s="18" t="e">
        <f t="shared" si="8"/>
        <v>#N/A</v>
      </c>
      <c r="BI47" s="2"/>
      <c r="BN47" s="11"/>
      <c r="BO47" s="12">
        <v>110205</v>
      </c>
      <c r="BP47" s="12" t="s">
        <v>59</v>
      </c>
      <c r="BQ47" s="12" t="e">
        <f>+BQ46</f>
        <v>#N/A</v>
      </c>
      <c r="BR47" s="13"/>
      <c r="BS47" s="18" t="e">
        <f t="shared" ref="BS47" si="29">+BR46</f>
        <v>#N/A</v>
      </c>
    </row>
    <row r="48" spans="2:71" x14ac:dyDescent="0.25">
      <c r="B48" s="2"/>
      <c r="G48" s="15">
        <v>45436</v>
      </c>
      <c r="H48">
        <v>110275</v>
      </c>
      <c r="I48" t="s">
        <v>87</v>
      </c>
      <c r="J48" t="e">
        <f>"CPA Fondeo Bice USD a NIUM " &amp;D25&amp;" USD T/C "&amp;C25</f>
        <v>#N/A</v>
      </c>
      <c r="K48" s="3" t="e">
        <f>+E25</f>
        <v>#N/A</v>
      </c>
      <c r="L48" s="10"/>
      <c r="Q48" s="2"/>
      <c r="V48" s="15">
        <v>45436</v>
      </c>
      <c r="W48">
        <v>110274</v>
      </c>
      <c r="X48" t="s">
        <v>89</v>
      </c>
      <c r="Y48" t="e">
        <f>"CPA Fondeo Bice USD a Facilita Pay " &amp;S25&amp;" USD T/C "&amp;R25</f>
        <v>#N/A</v>
      </c>
      <c r="Z48" s="3" t="e">
        <f>+T25</f>
        <v>#N/A</v>
      </c>
      <c r="AA48" s="10"/>
      <c r="AE48" s="2"/>
      <c r="AJ48" s="15">
        <v>45436</v>
      </c>
      <c r="AK48">
        <v>110820</v>
      </c>
      <c r="AL48" t="s">
        <v>97</v>
      </c>
      <c r="AM48" t="e">
        <f>"CPA Fondeo Bice USD a JPM COL " &amp;AG25&amp;" USD T/C "&amp;AF25&amp;".- "&amp;TEXT($G48,"dd-mm-aaa")</f>
        <v>#N/A</v>
      </c>
      <c r="AN48" s="3" t="e">
        <f>+AH25</f>
        <v>#N/A</v>
      </c>
      <c r="AO48" s="10"/>
      <c r="AT48" s="2"/>
      <c r="AY48" s="15">
        <v>45436</v>
      </c>
      <c r="AZ48">
        <v>110205</v>
      </c>
      <c r="BA48" t="s">
        <v>59</v>
      </c>
      <c r="BB48" t="e">
        <f>"CPA Rescate DLocal a Bco.Bice USD " &amp;AV25&amp;" USD T/C "&amp;AU25&amp;".- "&amp;TEXT($G48,"dd-mm-aaa")</f>
        <v>#N/A</v>
      </c>
      <c r="BC48" s="3" t="e">
        <f>+AW25</f>
        <v>#N/A</v>
      </c>
      <c r="BD48" s="10"/>
      <c r="BI48" s="2"/>
      <c r="BN48" s="15">
        <v>45436</v>
      </c>
      <c r="BO48">
        <v>110292</v>
      </c>
      <c r="BP48" t="s">
        <v>160</v>
      </c>
      <c r="BQ48" t="e">
        <f>"CPA Fondeo Bice USD a OZ CAMBIO USD " &amp;BK25&amp;" USD T/C "&amp;BJ25</f>
        <v>#N/A</v>
      </c>
      <c r="BR48" s="3" t="e">
        <f>+BL25</f>
        <v>#N/A</v>
      </c>
      <c r="BS48" s="10"/>
    </row>
    <row r="49" spans="2:71" x14ac:dyDescent="0.25">
      <c r="B49" s="2"/>
      <c r="G49" s="11"/>
      <c r="H49" s="12">
        <v>110205</v>
      </c>
      <c r="I49" s="12" t="s">
        <v>59</v>
      </c>
      <c r="J49" s="12" t="e">
        <f>+J48</f>
        <v>#N/A</v>
      </c>
      <c r="K49" s="13"/>
      <c r="L49" s="18" t="e">
        <f t="shared" si="5"/>
        <v>#N/A</v>
      </c>
      <c r="Q49" s="2"/>
      <c r="V49" s="11"/>
      <c r="W49" s="12">
        <v>110205</v>
      </c>
      <c r="X49" s="12" t="s">
        <v>59</v>
      </c>
      <c r="Y49" s="12" t="e">
        <f>+Y48</f>
        <v>#N/A</v>
      </c>
      <c r="Z49" s="13"/>
      <c r="AA49" s="18" t="e">
        <f t="shared" si="6"/>
        <v>#N/A</v>
      </c>
      <c r="AE49" s="2"/>
      <c r="AJ49" s="11"/>
      <c r="AK49" s="12">
        <v>110205</v>
      </c>
      <c r="AL49" s="12" t="s">
        <v>59</v>
      </c>
      <c r="AM49" s="12" t="e">
        <f>+AM48</f>
        <v>#N/A</v>
      </c>
      <c r="AN49" s="13"/>
      <c r="AO49" s="18" t="e">
        <f t="shared" si="7"/>
        <v>#N/A</v>
      </c>
      <c r="AT49" s="2"/>
      <c r="AY49" s="11"/>
      <c r="AZ49" s="12">
        <v>110276</v>
      </c>
      <c r="BA49" s="12" t="s">
        <v>102</v>
      </c>
      <c r="BB49" s="12" t="e">
        <f>+BB48</f>
        <v>#N/A</v>
      </c>
      <c r="BC49" s="13"/>
      <c r="BD49" s="18" t="e">
        <f t="shared" si="8"/>
        <v>#N/A</v>
      </c>
      <c r="BI49" s="2"/>
      <c r="BN49" s="11"/>
      <c r="BO49" s="12">
        <v>110205</v>
      </c>
      <c r="BP49" s="12" t="s">
        <v>59</v>
      </c>
      <c r="BQ49" s="12" t="e">
        <f>+BQ48</f>
        <v>#N/A</v>
      </c>
      <c r="BR49" s="13"/>
      <c r="BS49" s="18" t="e">
        <f t="shared" ref="BS49" si="30">+BR48</f>
        <v>#N/A</v>
      </c>
    </row>
    <row r="50" spans="2:71" x14ac:dyDescent="0.25">
      <c r="B50" s="2"/>
      <c r="G50" s="15">
        <v>45437</v>
      </c>
      <c r="H50">
        <v>110275</v>
      </c>
      <c r="I50" t="s">
        <v>87</v>
      </c>
      <c r="J50" t="e">
        <f>"CPA Fondeo Bice USD a NIUM " &amp;D26&amp;" USD T/C "&amp;C26</f>
        <v>#N/A</v>
      </c>
      <c r="K50" s="3" t="e">
        <f>+E26</f>
        <v>#N/A</v>
      </c>
      <c r="L50" s="10"/>
      <c r="Q50" s="2"/>
      <c r="V50" s="15">
        <v>45437</v>
      </c>
      <c r="W50">
        <v>110274</v>
      </c>
      <c r="X50" t="s">
        <v>89</v>
      </c>
      <c r="Y50" t="e">
        <f>"CPA Fondeo Bice USD a Facilita Pay " &amp;S26&amp;" USD T/C "&amp;R26&amp;".- "&amp;TEXT($G50,"dd-mm-aaa")</f>
        <v>#N/A</v>
      </c>
      <c r="Z50" s="3" t="e">
        <f>+T26</f>
        <v>#N/A</v>
      </c>
      <c r="AA50" s="10"/>
      <c r="AE50" s="2"/>
      <c r="AJ50" s="15">
        <v>45437</v>
      </c>
      <c r="AK50">
        <v>110820</v>
      </c>
      <c r="AL50" t="s">
        <v>97</v>
      </c>
      <c r="AM50" t="e">
        <f>"CPA Fondeo Bice USD a JPM COL " &amp;AG26&amp;" USD T/C "&amp;AF26&amp;".- "&amp;TEXT($G50,"dd-mm-aaa")</f>
        <v>#N/A</v>
      </c>
      <c r="AN50" s="3" t="e">
        <f>+AH26</f>
        <v>#N/A</v>
      </c>
      <c r="AO50" s="10"/>
      <c r="AT50" s="2"/>
      <c r="AY50" s="15">
        <v>45437</v>
      </c>
      <c r="AZ50">
        <v>110205</v>
      </c>
      <c r="BA50" t="s">
        <v>59</v>
      </c>
      <c r="BB50" t="e">
        <f>"CPA Rescate DLocal a Bco.Bice USD " &amp;AV26&amp;" USD T/C "&amp;AU26&amp;".- "&amp;TEXT($G50,"dd-mm-aaa")</f>
        <v>#N/A</v>
      </c>
      <c r="BC50" s="3" t="e">
        <f>+AW26</f>
        <v>#N/A</v>
      </c>
      <c r="BD50" s="10"/>
      <c r="BI50" s="2"/>
      <c r="BN50" s="15">
        <v>45437</v>
      </c>
      <c r="BO50">
        <v>110292</v>
      </c>
      <c r="BP50" t="s">
        <v>160</v>
      </c>
      <c r="BQ50" t="e">
        <f>"CPA Fondeo Bice USD a OZ CAMBIO USD " &amp;BK26&amp;" USD T/C "&amp;BJ26</f>
        <v>#N/A</v>
      </c>
      <c r="BR50" s="3" t="e">
        <f>+BL26</f>
        <v>#N/A</v>
      </c>
      <c r="BS50" s="10"/>
    </row>
    <row r="51" spans="2:71" x14ac:dyDescent="0.25">
      <c r="B51" s="2"/>
      <c r="G51" s="11"/>
      <c r="H51" s="12">
        <v>110205</v>
      </c>
      <c r="I51" s="12" t="s">
        <v>59</v>
      </c>
      <c r="J51" s="12" t="e">
        <f>+J50</f>
        <v>#N/A</v>
      </c>
      <c r="K51" s="13"/>
      <c r="L51" s="18" t="e">
        <f t="shared" si="5"/>
        <v>#N/A</v>
      </c>
      <c r="Q51" s="2"/>
      <c r="V51" s="11"/>
      <c r="W51" s="12">
        <v>110205</v>
      </c>
      <c r="X51" s="12" t="s">
        <v>59</v>
      </c>
      <c r="Y51" s="12" t="e">
        <f>+Y50</f>
        <v>#N/A</v>
      </c>
      <c r="Z51" s="13"/>
      <c r="AA51" s="18" t="e">
        <f t="shared" si="6"/>
        <v>#N/A</v>
      </c>
      <c r="AE51" s="2"/>
      <c r="AJ51" s="11"/>
      <c r="AK51" s="12">
        <v>110205</v>
      </c>
      <c r="AL51" s="12" t="s">
        <v>59</v>
      </c>
      <c r="AM51" s="12" t="e">
        <f>+AM50</f>
        <v>#N/A</v>
      </c>
      <c r="AN51" s="13"/>
      <c r="AO51" s="18" t="e">
        <f t="shared" si="7"/>
        <v>#N/A</v>
      </c>
      <c r="AT51" s="2"/>
      <c r="AY51" s="11"/>
      <c r="AZ51" s="12">
        <v>110276</v>
      </c>
      <c r="BA51" s="12" t="s">
        <v>102</v>
      </c>
      <c r="BB51" s="12" t="e">
        <f>+BB50</f>
        <v>#N/A</v>
      </c>
      <c r="BC51" s="13"/>
      <c r="BD51" s="18" t="e">
        <f t="shared" si="8"/>
        <v>#N/A</v>
      </c>
      <c r="BI51" s="2"/>
      <c r="BN51" s="11"/>
      <c r="BO51" s="12">
        <v>110205</v>
      </c>
      <c r="BP51" s="12" t="s">
        <v>59</v>
      </c>
      <c r="BQ51" s="12" t="e">
        <f>+BQ50</f>
        <v>#N/A</v>
      </c>
      <c r="BR51" s="13"/>
      <c r="BS51" s="18" t="e">
        <f t="shared" ref="BS51" si="31">+BR50</f>
        <v>#N/A</v>
      </c>
    </row>
    <row r="52" spans="2:71" x14ac:dyDescent="0.25">
      <c r="B52" s="2"/>
      <c r="G52" s="15">
        <v>45438</v>
      </c>
      <c r="H52">
        <v>110275</v>
      </c>
      <c r="I52" t="s">
        <v>87</v>
      </c>
      <c r="J52" t="e">
        <f>"CPA Fondeo Bice USD a NIUM " &amp;D27&amp;" USD T/C "&amp;C27</f>
        <v>#N/A</v>
      </c>
      <c r="K52" s="3" t="e">
        <f>+E27</f>
        <v>#N/A</v>
      </c>
      <c r="L52" s="10"/>
      <c r="Q52" s="2"/>
      <c r="V52" s="15">
        <v>45438</v>
      </c>
      <c r="W52">
        <v>110274</v>
      </c>
      <c r="X52" t="s">
        <v>89</v>
      </c>
      <c r="Y52" t="e">
        <f>"CPA Fondeo Bice USD a Facilita Pay " &amp;S27&amp;" USD T/C "&amp;R27&amp;".- "&amp;TEXT($G52,"dd-mm-aaa")</f>
        <v>#N/A</v>
      </c>
      <c r="Z52" s="3" t="e">
        <f>+T27</f>
        <v>#N/A</v>
      </c>
      <c r="AA52" s="10"/>
      <c r="AE52" s="2"/>
      <c r="AJ52" s="15">
        <v>45438</v>
      </c>
      <c r="AK52">
        <v>110820</v>
      </c>
      <c r="AL52" t="s">
        <v>97</v>
      </c>
      <c r="AM52" t="e">
        <f>"CPA Fondeo Bice USD a JPM COL " &amp;AG27&amp;" USD T/C "&amp;AF27&amp;".- "&amp;TEXT($G52,"dd-mm-aaa")</f>
        <v>#N/A</v>
      </c>
      <c r="AN52" s="3" t="e">
        <f>+AH27</f>
        <v>#N/A</v>
      </c>
      <c r="AO52" s="10"/>
      <c r="AT52" s="2"/>
      <c r="AY52" s="15">
        <v>45438</v>
      </c>
      <c r="AZ52">
        <v>110205</v>
      </c>
      <c r="BA52" t="s">
        <v>59</v>
      </c>
      <c r="BB52" t="e">
        <f>"CPA Rescate DLocal a Bco.Bice USD " &amp;AV27&amp;" USD T/C "&amp;AU27&amp;".- "&amp;TEXT($G52,"dd-mm-aaa")</f>
        <v>#N/A</v>
      </c>
      <c r="BC52" s="3" t="e">
        <f>+AW27</f>
        <v>#N/A</v>
      </c>
      <c r="BD52" s="10"/>
      <c r="BI52" s="2"/>
      <c r="BN52" s="15">
        <v>45438</v>
      </c>
      <c r="BO52">
        <v>110292</v>
      </c>
      <c r="BP52" t="s">
        <v>160</v>
      </c>
      <c r="BQ52" t="e">
        <f>"CPA Fondeo Bice USD a OZ CAMBIO USD " &amp;BK27&amp;" USD T/C "&amp;BJ27</f>
        <v>#N/A</v>
      </c>
      <c r="BR52" s="3" t="e">
        <f>+BL27</f>
        <v>#N/A</v>
      </c>
      <c r="BS52" s="10"/>
    </row>
    <row r="53" spans="2:71" x14ac:dyDescent="0.25">
      <c r="B53" s="2"/>
      <c r="G53" s="11"/>
      <c r="H53" s="12">
        <v>110205</v>
      </c>
      <c r="I53" s="12" t="s">
        <v>59</v>
      </c>
      <c r="J53" s="12" t="e">
        <f>+J52</f>
        <v>#N/A</v>
      </c>
      <c r="K53" s="13"/>
      <c r="L53" s="18" t="e">
        <f t="shared" si="5"/>
        <v>#N/A</v>
      </c>
      <c r="Q53" s="2"/>
      <c r="V53" s="11"/>
      <c r="W53" s="12">
        <v>110205</v>
      </c>
      <c r="X53" s="12" t="s">
        <v>59</v>
      </c>
      <c r="Y53" s="12" t="e">
        <f>+Y52</f>
        <v>#N/A</v>
      </c>
      <c r="Z53" s="13"/>
      <c r="AA53" s="18" t="e">
        <f t="shared" si="6"/>
        <v>#N/A</v>
      </c>
      <c r="AE53" s="2"/>
      <c r="AJ53" s="11"/>
      <c r="AK53" s="12">
        <v>110205</v>
      </c>
      <c r="AL53" s="12" t="s">
        <v>59</v>
      </c>
      <c r="AM53" s="12" t="e">
        <f>+AM52</f>
        <v>#N/A</v>
      </c>
      <c r="AN53" s="13"/>
      <c r="AO53" s="18" t="e">
        <f t="shared" si="7"/>
        <v>#N/A</v>
      </c>
      <c r="AT53" s="2"/>
      <c r="AY53" s="11"/>
      <c r="AZ53" s="12">
        <v>110276</v>
      </c>
      <c r="BA53" s="12" t="s">
        <v>102</v>
      </c>
      <c r="BB53" s="12" t="e">
        <f>+BB52</f>
        <v>#N/A</v>
      </c>
      <c r="BC53" s="13"/>
      <c r="BD53" s="18" t="e">
        <f t="shared" si="8"/>
        <v>#N/A</v>
      </c>
      <c r="BI53" s="2"/>
      <c r="BN53" s="11"/>
      <c r="BO53" s="12">
        <v>110205</v>
      </c>
      <c r="BP53" s="12" t="s">
        <v>59</v>
      </c>
      <c r="BQ53" s="12" t="e">
        <f>+BQ52</f>
        <v>#N/A</v>
      </c>
      <c r="BR53" s="13"/>
      <c r="BS53" s="18" t="e">
        <f t="shared" ref="BS53" si="32">+BR52</f>
        <v>#N/A</v>
      </c>
    </row>
    <row r="54" spans="2:71" x14ac:dyDescent="0.25">
      <c r="B54" s="2"/>
      <c r="G54" s="15">
        <v>45439</v>
      </c>
      <c r="H54">
        <v>110275</v>
      </c>
      <c r="I54" t="s">
        <v>87</v>
      </c>
      <c r="J54" t="e">
        <f>"CPA Fondeo Bice USD a NIUM " &amp;D28&amp;" USD T/C "&amp;C28</f>
        <v>#N/A</v>
      </c>
      <c r="K54" s="3" t="e">
        <f>+E28</f>
        <v>#N/A</v>
      </c>
      <c r="L54" s="10"/>
      <c r="Q54" s="2"/>
      <c r="V54" s="15">
        <v>45439</v>
      </c>
      <c r="W54">
        <v>110274</v>
      </c>
      <c r="X54" t="s">
        <v>89</v>
      </c>
      <c r="Y54" t="e">
        <f>"CPA Fondeo Bice USD a Facilita Pay " &amp;S28&amp;" USD T/C "&amp;R28&amp;".- "&amp;TEXT($G54,"dd-mm-aaa")</f>
        <v>#N/A</v>
      </c>
      <c r="Z54" s="3" t="e">
        <f>+T28</f>
        <v>#N/A</v>
      </c>
      <c r="AA54" s="10"/>
      <c r="AE54" s="2"/>
      <c r="AJ54" s="15">
        <v>45439</v>
      </c>
      <c r="AK54">
        <v>110820</v>
      </c>
      <c r="AL54" t="s">
        <v>97</v>
      </c>
      <c r="AM54" t="e">
        <f>"CPA Fondeo Bice USD a JPM COL " &amp;AG28&amp;" USD T/C "&amp;AF28&amp;".- "&amp;TEXT($G54,"dd-mm-aaa")</f>
        <v>#N/A</v>
      </c>
      <c r="AN54" s="3" t="e">
        <f>+AH28</f>
        <v>#N/A</v>
      </c>
      <c r="AO54" s="10"/>
      <c r="AT54" s="2"/>
      <c r="AY54" s="15">
        <v>45439</v>
      </c>
      <c r="AZ54">
        <v>110205</v>
      </c>
      <c r="BA54" t="s">
        <v>59</v>
      </c>
      <c r="BB54" t="e">
        <f>"CPA Rescate DLocal a Bco.Bice USD " &amp;AV28&amp;" USD T/C "&amp;AU28&amp;".- "&amp;TEXT($G54,"dd-mm-aaa")</f>
        <v>#N/A</v>
      </c>
      <c r="BC54" s="3" t="e">
        <f>+AW28</f>
        <v>#N/A</v>
      </c>
      <c r="BD54" s="10"/>
      <c r="BI54" s="2"/>
      <c r="BN54" s="15">
        <v>45439</v>
      </c>
      <c r="BO54">
        <v>110292</v>
      </c>
      <c r="BP54" t="s">
        <v>160</v>
      </c>
      <c r="BQ54" t="e">
        <f>"CPA Fondeo Bice USD a OZ CAMBIO USD " &amp;BK28&amp;" USD T/C "&amp;BJ28</f>
        <v>#N/A</v>
      </c>
      <c r="BR54" s="3" t="e">
        <f>+BL28</f>
        <v>#N/A</v>
      </c>
      <c r="BS54" s="10"/>
    </row>
    <row r="55" spans="2:71" x14ac:dyDescent="0.25">
      <c r="B55" s="2"/>
      <c r="G55" s="11"/>
      <c r="H55" s="12">
        <v>110205</v>
      </c>
      <c r="I55" s="12" t="s">
        <v>59</v>
      </c>
      <c r="J55" s="12" t="e">
        <f>+J54</f>
        <v>#N/A</v>
      </c>
      <c r="K55" s="13"/>
      <c r="L55" s="18" t="e">
        <f t="shared" si="5"/>
        <v>#N/A</v>
      </c>
      <c r="Q55" s="2"/>
      <c r="V55" s="11"/>
      <c r="W55" s="12">
        <v>110205</v>
      </c>
      <c r="X55" s="12" t="s">
        <v>59</v>
      </c>
      <c r="Y55" s="12" t="e">
        <f>+Y54</f>
        <v>#N/A</v>
      </c>
      <c r="Z55" s="13"/>
      <c r="AA55" s="18" t="e">
        <f t="shared" si="6"/>
        <v>#N/A</v>
      </c>
      <c r="AE55" s="2"/>
      <c r="AJ55" s="11"/>
      <c r="AK55" s="12">
        <v>110205</v>
      </c>
      <c r="AL55" s="12" t="s">
        <v>59</v>
      </c>
      <c r="AM55" s="12" t="e">
        <f>+AM54</f>
        <v>#N/A</v>
      </c>
      <c r="AN55" s="13"/>
      <c r="AO55" s="18" t="e">
        <f t="shared" si="7"/>
        <v>#N/A</v>
      </c>
      <c r="AT55" s="2"/>
      <c r="AY55" s="11"/>
      <c r="AZ55" s="12">
        <v>110276</v>
      </c>
      <c r="BA55" s="12" t="s">
        <v>102</v>
      </c>
      <c r="BB55" s="12" t="e">
        <f>+BB54</f>
        <v>#N/A</v>
      </c>
      <c r="BC55" s="13"/>
      <c r="BD55" s="18" t="e">
        <f t="shared" si="8"/>
        <v>#N/A</v>
      </c>
      <c r="BI55" s="2"/>
      <c r="BN55" s="11"/>
      <c r="BO55" s="12">
        <v>110205</v>
      </c>
      <c r="BP55" s="12" t="s">
        <v>59</v>
      </c>
      <c r="BQ55" s="12" t="e">
        <f>+BQ54</f>
        <v>#N/A</v>
      </c>
      <c r="BR55" s="13"/>
      <c r="BS55" s="18" t="e">
        <f t="shared" ref="BS55" si="33">+BR54</f>
        <v>#N/A</v>
      </c>
    </row>
    <row r="56" spans="2:71" x14ac:dyDescent="0.25">
      <c r="B56" s="2"/>
      <c r="G56" s="15">
        <v>45440</v>
      </c>
      <c r="H56">
        <v>110275</v>
      </c>
      <c r="I56" t="s">
        <v>87</v>
      </c>
      <c r="J56" t="e">
        <f>"CPA Fondeo Bice USD a NIUM " &amp;D29&amp;" USD T/C "&amp;C29</f>
        <v>#N/A</v>
      </c>
      <c r="K56" s="3" t="e">
        <f>+E29</f>
        <v>#N/A</v>
      </c>
      <c r="L56" s="10"/>
      <c r="Q56" s="2"/>
      <c r="V56" s="15">
        <v>45440</v>
      </c>
      <c r="W56">
        <v>110274</v>
      </c>
      <c r="X56" t="s">
        <v>89</v>
      </c>
      <c r="Y56" t="e">
        <f>"CPA Fondeo Bice USD a Facilita Pay " &amp;S29&amp;" USD T/C "&amp;R29&amp;".- "&amp;TEXT($G56,"dd-mm-aaa")</f>
        <v>#N/A</v>
      </c>
      <c r="Z56" s="3" t="e">
        <f>+T29</f>
        <v>#N/A</v>
      </c>
      <c r="AA56" s="10"/>
      <c r="AE56" s="2"/>
      <c r="AJ56" s="15">
        <v>45440</v>
      </c>
      <c r="AK56">
        <v>110820</v>
      </c>
      <c r="AL56" t="s">
        <v>97</v>
      </c>
      <c r="AM56" t="e">
        <f>"CPA Fondeo Bice USD a JPM COL " &amp;AG29&amp;" USD T/C "&amp;AF29&amp;".- "&amp;TEXT($G56,"dd-mm-aaa")</f>
        <v>#N/A</v>
      </c>
      <c r="AN56" s="3" t="e">
        <f>+AH29</f>
        <v>#N/A</v>
      </c>
      <c r="AO56" s="10"/>
      <c r="AT56" s="2"/>
      <c r="AY56" s="15">
        <v>45440</v>
      </c>
      <c r="AZ56">
        <v>110205</v>
      </c>
      <c r="BA56" t="s">
        <v>59</v>
      </c>
      <c r="BB56" t="e">
        <f>"CPA Rescate DLocal a Bco.Bice USD " &amp;AV29&amp;" USD T/C "&amp;AU29&amp;".- "&amp;TEXT($G56,"dd-mm-aaa")</f>
        <v>#N/A</v>
      </c>
      <c r="BC56" s="3" t="e">
        <f>+AW29</f>
        <v>#N/A</v>
      </c>
      <c r="BD56" s="10"/>
      <c r="BI56" s="2"/>
      <c r="BN56" s="15">
        <v>45440</v>
      </c>
      <c r="BO56">
        <v>110292</v>
      </c>
      <c r="BP56" t="s">
        <v>160</v>
      </c>
      <c r="BQ56" t="e">
        <f>"CPA Fondeo Bice USD a OZ CAMBIO USD " &amp;BK29&amp;" USD T/C "&amp;BJ29</f>
        <v>#N/A</v>
      </c>
      <c r="BR56" s="3" t="e">
        <f>+BL29</f>
        <v>#N/A</v>
      </c>
      <c r="BS56" s="10"/>
    </row>
    <row r="57" spans="2:71" x14ac:dyDescent="0.25">
      <c r="B57" s="2"/>
      <c r="G57" s="11"/>
      <c r="H57" s="12">
        <v>110205</v>
      </c>
      <c r="I57" s="12" t="s">
        <v>59</v>
      </c>
      <c r="J57" s="12" t="e">
        <f>+J56</f>
        <v>#N/A</v>
      </c>
      <c r="K57" s="13"/>
      <c r="L57" s="18" t="e">
        <f t="shared" si="5"/>
        <v>#N/A</v>
      </c>
      <c r="Q57" s="2"/>
      <c r="V57" s="11"/>
      <c r="W57" s="12">
        <v>110205</v>
      </c>
      <c r="X57" s="12" t="s">
        <v>59</v>
      </c>
      <c r="Y57" s="12" t="e">
        <f>+Y56</f>
        <v>#N/A</v>
      </c>
      <c r="Z57" s="13"/>
      <c r="AA57" s="18" t="e">
        <f t="shared" si="6"/>
        <v>#N/A</v>
      </c>
      <c r="AE57" s="2"/>
      <c r="AJ57" s="11"/>
      <c r="AK57" s="12">
        <v>110205</v>
      </c>
      <c r="AL57" s="12" t="s">
        <v>59</v>
      </c>
      <c r="AM57" s="12" t="e">
        <f>+AM56</f>
        <v>#N/A</v>
      </c>
      <c r="AN57" s="13"/>
      <c r="AO57" s="18" t="e">
        <f t="shared" si="7"/>
        <v>#N/A</v>
      </c>
      <c r="AT57" s="2"/>
      <c r="AY57" s="11"/>
      <c r="AZ57" s="12">
        <v>110276</v>
      </c>
      <c r="BA57" s="12" t="s">
        <v>102</v>
      </c>
      <c r="BB57" s="12" t="e">
        <f>+BB56</f>
        <v>#N/A</v>
      </c>
      <c r="BC57" s="13"/>
      <c r="BD57" s="18" t="e">
        <f t="shared" si="8"/>
        <v>#N/A</v>
      </c>
      <c r="BI57" s="2"/>
      <c r="BN57" s="11"/>
      <c r="BO57" s="12">
        <v>110205</v>
      </c>
      <c r="BP57" s="12" t="s">
        <v>59</v>
      </c>
      <c r="BQ57" s="12" t="e">
        <f>+BQ56</f>
        <v>#N/A</v>
      </c>
      <c r="BR57" s="13"/>
      <c r="BS57" s="18" t="e">
        <f t="shared" ref="BS57" si="34">+BR56</f>
        <v>#N/A</v>
      </c>
    </row>
    <row r="58" spans="2:71" x14ac:dyDescent="0.25">
      <c r="G58" s="15">
        <v>45441</v>
      </c>
      <c r="H58">
        <v>110275</v>
      </c>
      <c r="I58" t="s">
        <v>87</v>
      </c>
      <c r="J58" t="e">
        <f>"CPA Fondeo Bice USD a NIUM "&amp;D30&amp;" USD T/C "&amp;C30</f>
        <v>#N/A</v>
      </c>
      <c r="K58" s="3" t="e">
        <f>+E30</f>
        <v>#N/A</v>
      </c>
      <c r="L58" s="10"/>
      <c r="V58" s="15">
        <v>45441</v>
      </c>
      <c r="W58">
        <v>110274</v>
      </c>
      <c r="X58" t="s">
        <v>89</v>
      </c>
      <c r="Y58" t="e">
        <f>"CPA Fondeo Bice USD a Facilita Pay " &amp;S30&amp;" USD T/C "&amp;R30&amp;".- "&amp;TEXT($G58,"dd-mm-aaa")</f>
        <v>#N/A</v>
      </c>
      <c r="Z58" s="3" t="e">
        <f>+T30</f>
        <v>#N/A</v>
      </c>
      <c r="AA58" s="10"/>
      <c r="AJ58" s="15">
        <v>45441</v>
      </c>
      <c r="AK58">
        <v>110820</v>
      </c>
      <c r="AL58" t="s">
        <v>97</v>
      </c>
      <c r="AM58" t="e">
        <f>"CPA Fondeo Bice USD a JPM COL " &amp;AG30&amp;" USD T/C "&amp;AF30&amp;".- "&amp;TEXT($G58,"dd-mm-aaa")</f>
        <v>#N/A</v>
      </c>
      <c r="AN58" s="3" t="e">
        <f>+AH30</f>
        <v>#N/A</v>
      </c>
      <c r="AO58" s="10"/>
      <c r="AY58" s="15">
        <v>45441</v>
      </c>
      <c r="AZ58">
        <v>110205</v>
      </c>
      <c r="BA58" t="s">
        <v>59</v>
      </c>
      <c r="BB58" t="e">
        <f>"CPA Rescate DLocal a Bco.Bice USD " &amp;AV30&amp;" USD T/C "&amp;AU30&amp;".- "&amp;TEXT($G58,"dd-mm-aaa")</f>
        <v>#N/A</v>
      </c>
      <c r="BC58" s="3" t="e">
        <f>+AW30</f>
        <v>#N/A</v>
      </c>
      <c r="BD58" s="10"/>
      <c r="BN58" s="15">
        <v>45441</v>
      </c>
      <c r="BO58">
        <v>110292</v>
      </c>
      <c r="BP58" t="s">
        <v>160</v>
      </c>
      <c r="BQ58" t="e">
        <f>"CPA Fondeo Bice USD a OZ CAMBIO USD "&amp;BK30&amp;" USD T/C "&amp;BJ30</f>
        <v>#N/A</v>
      </c>
      <c r="BR58" s="3" t="e">
        <f>+BL30</f>
        <v>#N/A</v>
      </c>
      <c r="BS58" s="10"/>
    </row>
    <row r="59" spans="2:71" x14ac:dyDescent="0.25">
      <c r="G59" s="11"/>
      <c r="H59" s="12">
        <v>110205</v>
      </c>
      <c r="I59" s="12" t="s">
        <v>59</v>
      </c>
      <c r="J59" s="12" t="e">
        <f>+J58</f>
        <v>#N/A</v>
      </c>
      <c r="K59" s="13"/>
      <c r="L59" s="18" t="e">
        <f t="shared" si="5"/>
        <v>#N/A</v>
      </c>
      <c r="V59" s="11"/>
      <c r="W59" s="12">
        <v>110205</v>
      </c>
      <c r="X59" s="12" t="s">
        <v>59</v>
      </c>
      <c r="Y59" s="12" t="e">
        <f>+Y58</f>
        <v>#N/A</v>
      </c>
      <c r="Z59" s="13"/>
      <c r="AA59" s="18" t="e">
        <f t="shared" si="6"/>
        <v>#N/A</v>
      </c>
      <c r="AJ59" s="11"/>
      <c r="AK59" s="12">
        <v>110205</v>
      </c>
      <c r="AL59" s="12" t="s">
        <v>59</v>
      </c>
      <c r="AM59" s="12" t="e">
        <f>+AM58</f>
        <v>#N/A</v>
      </c>
      <c r="AN59" s="13"/>
      <c r="AO59" s="18" t="e">
        <f t="shared" si="7"/>
        <v>#N/A</v>
      </c>
      <c r="AY59" s="11"/>
      <c r="AZ59" s="12">
        <v>110276</v>
      </c>
      <c r="BA59" s="12" t="s">
        <v>102</v>
      </c>
      <c r="BB59" s="12" t="e">
        <f>+BB58</f>
        <v>#N/A</v>
      </c>
      <c r="BC59" s="13"/>
      <c r="BD59" s="18" t="e">
        <f t="shared" si="8"/>
        <v>#N/A</v>
      </c>
      <c r="BN59" s="11"/>
      <c r="BO59" s="12">
        <v>110205</v>
      </c>
      <c r="BP59" s="12" t="s">
        <v>59</v>
      </c>
      <c r="BQ59" s="12" t="e">
        <f>+BQ58</f>
        <v>#N/A</v>
      </c>
      <c r="BR59" s="13"/>
      <c r="BS59" s="18" t="e">
        <f t="shared" ref="BS59" si="35">+BR58</f>
        <v>#N/A</v>
      </c>
    </row>
    <row r="60" spans="2:71" x14ac:dyDescent="0.25">
      <c r="G60" s="15">
        <v>45442</v>
      </c>
      <c r="H60">
        <v>110275</v>
      </c>
      <c r="I60" t="s">
        <v>87</v>
      </c>
      <c r="J60" t="e">
        <f>"CPA Fondeo Bice USD a NIUM " &amp;D31&amp;" USD T/C "&amp;C31</f>
        <v>#N/A</v>
      </c>
      <c r="K60" s="3" t="e">
        <f>+E31</f>
        <v>#N/A</v>
      </c>
      <c r="L60" s="10"/>
      <c r="V60" s="15">
        <v>45442</v>
      </c>
      <c r="W60">
        <v>110274</v>
      </c>
      <c r="X60" t="s">
        <v>89</v>
      </c>
      <c r="Y60" t="e">
        <f>"CPA Fondeo Bice USD a Facilita Pay " &amp;S31&amp;" USD T/C "&amp;R31&amp;".- "&amp;TEXT($G60,"dd-mm-aaa")</f>
        <v>#N/A</v>
      </c>
      <c r="Z60" s="3" t="e">
        <f>+T31</f>
        <v>#N/A</v>
      </c>
      <c r="AA60" s="10"/>
      <c r="AJ60" s="15">
        <v>45442</v>
      </c>
      <c r="AK60">
        <v>110820</v>
      </c>
      <c r="AL60" t="s">
        <v>97</v>
      </c>
      <c r="AM60" t="e">
        <f>"CPA Fondeo Bice USD a JPM COL " &amp;AG31&amp;" USD T/C "&amp;AF31&amp;".- "&amp;TEXT($G60,"dd-mm-aaa")</f>
        <v>#N/A</v>
      </c>
      <c r="AN60" s="3" t="e">
        <f>+AH31</f>
        <v>#N/A</v>
      </c>
      <c r="AO60" s="10"/>
      <c r="AY60" s="15">
        <v>45442</v>
      </c>
      <c r="AZ60">
        <v>110205</v>
      </c>
      <c r="BA60" t="s">
        <v>59</v>
      </c>
      <c r="BB60" t="e">
        <f>"CPA Rescate DLocal a Bco.Bice USD " &amp;AV31&amp;" USD T/C "&amp;AU31&amp;".- "&amp;TEXT($G60,"dd-mm-aaa")</f>
        <v>#N/A</v>
      </c>
      <c r="BC60" s="3" t="e">
        <f>+AW31</f>
        <v>#N/A</v>
      </c>
      <c r="BD60" s="10"/>
      <c r="BN60" s="15">
        <v>45442</v>
      </c>
      <c r="BO60">
        <v>110292</v>
      </c>
      <c r="BP60" t="s">
        <v>160</v>
      </c>
      <c r="BQ60" t="e">
        <f>"CPA Fondeo Bice USD a OZ CAMBIO USD " &amp;BK31&amp;" USD T/C "&amp;BJ31</f>
        <v>#N/A</v>
      </c>
      <c r="BR60" s="3" t="e">
        <f>+BL31</f>
        <v>#N/A</v>
      </c>
      <c r="BS60" s="10"/>
    </row>
    <row r="61" spans="2:71" x14ac:dyDescent="0.25">
      <c r="G61" s="11"/>
      <c r="H61" s="12">
        <v>110205</v>
      </c>
      <c r="I61" s="12" t="s">
        <v>59</v>
      </c>
      <c r="J61" s="12" t="e">
        <f>+J60</f>
        <v>#N/A</v>
      </c>
      <c r="K61" s="13"/>
      <c r="L61" s="18" t="e">
        <f t="shared" si="5"/>
        <v>#N/A</v>
      </c>
      <c r="V61" s="11"/>
      <c r="W61" s="12">
        <v>110205</v>
      </c>
      <c r="X61" s="12" t="s">
        <v>59</v>
      </c>
      <c r="Y61" s="12" t="e">
        <f>+Y60</f>
        <v>#N/A</v>
      </c>
      <c r="Z61" s="13"/>
      <c r="AA61" s="18" t="e">
        <f t="shared" si="6"/>
        <v>#N/A</v>
      </c>
      <c r="AJ61" s="11"/>
      <c r="AK61" s="12">
        <v>110205</v>
      </c>
      <c r="AL61" s="12" t="s">
        <v>59</v>
      </c>
      <c r="AM61" s="12" t="e">
        <f>+AM60</f>
        <v>#N/A</v>
      </c>
      <c r="AN61" s="13"/>
      <c r="AO61" s="18" t="e">
        <f t="shared" si="7"/>
        <v>#N/A</v>
      </c>
      <c r="AY61" s="11"/>
      <c r="AZ61" s="12">
        <v>110276</v>
      </c>
      <c r="BA61" s="12" t="s">
        <v>102</v>
      </c>
      <c r="BB61" s="12" t="e">
        <f>+BB60</f>
        <v>#N/A</v>
      </c>
      <c r="BC61" s="13"/>
      <c r="BD61" s="18" t="e">
        <f t="shared" si="8"/>
        <v>#N/A</v>
      </c>
      <c r="BN61" s="11"/>
      <c r="BO61" s="12">
        <v>110205</v>
      </c>
      <c r="BP61" s="12" t="s">
        <v>59</v>
      </c>
      <c r="BQ61" s="12" t="e">
        <f>+BQ60</f>
        <v>#N/A</v>
      </c>
      <c r="BR61" s="13"/>
      <c r="BS61" s="18" t="e">
        <f t="shared" ref="BS61" si="36">+BR60</f>
        <v>#N/A</v>
      </c>
    </row>
    <row r="62" spans="2:71" x14ac:dyDescent="0.25">
      <c r="G62" s="15">
        <v>45443</v>
      </c>
      <c r="H62">
        <v>110275</v>
      </c>
      <c r="I62" t="s">
        <v>87</v>
      </c>
      <c r="J62" t="e">
        <f>"CPA Fondeo Bice USD a NIUM " &amp;D32&amp;" USD T/C "&amp;C32</f>
        <v>#N/A</v>
      </c>
      <c r="K62" s="3" t="e">
        <f>+E32</f>
        <v>#N/A</v>
      </c>
      <c r="L62" s="10"/>
      <c r="V62" s="15">
        <v>45443</v>
      </c>
      <c r="W62">
        <v>110274</v>
      </c>
      <c r="X62" t="s">
        <v>89</v>
      </c>
      <c r="Y62" t="e">
        <f>"CPA Fondeo Bice USD a Facilita Pay " &amp;S32&amp;" USD T/C "&amp;R32&amp;".- "&amp;TEXT($G62,"dd-mm-aaa")</f>
        <v>#N/A</v>
      </c>
      <c r="Z62" s="3" t="e">
        <f>+T32</f>
        <v>#N/A</v>
      </c>
      <c r="AA62" s="10"/>
      <c r="AJ62" s="15">
        <v>45443</v>
      </c>
      <c r="AK62">
        <v>110820</v>
      </c>
      <c r="AL62" t="s">
        <v>97</v>
      </c>
      <c r="AM62" t="e">
        <f>"CPA Fondeo Bice USD a JPM COL " &amp;AG32&amp;" USD T/C "&amp;AF32&amp;".- "&amp;TEXT($G62,"dd-mm-aaa")</f>
        <v>#N/A</v>
      </c>
      <c r="AN62" s="3" t="e">
        <f>+AH32</f>
        <v>#N/A</v>
      </c>
      <c r="AO62" s="10"/>
      <c r="AY62" s="15">
        <v>45443</v>
      </c>
      <c r="AZ62">
        <v>110205</v>
      </c>
      <c r="BA62" t="s">
        <v>59</v>
      </c>
      <c r="BB62" t="e">
        <f>"CPA Rescate DLocal a Bco.Bice USD " &amp;AV32&amp;" USD T/C "&amp;AU32&amp;".- "&amp;TEXT($G62,"dd-mm-aaa")</f>
        <v>#N/A</v>
      </c>
      <c r="BC62" s="3" t="e">
        <f>+AW32</f>
        <v>#N/A</v>
      </c>
      <c r="BD62" s="10"/>
      <c r="BN62" s="15">
        <v>45443</v>
      </c>
      <c r="BO62">
        <v>110292</v>
      </c>
      <c r="BP62" t="s">
        <v>160</v>
      </c>
      <c r="BQ62" t="e">
        <f>"CPA Fondeo Bice USD a OZ CAMBIO USD " &amp;BK32&amp;" USD T/C "&amp;BJ32</f>
        <v>#N/A</v>
      </c>
      <c r="BR62" s="3" t="e">
        <f>+BL32</f>
        <v>#N/A</v>
      </c>
      <c r="BS62" s="10"/>
    </row>
    <row r="63" spans="2:71" x14ac:dyDescent="0.25">
      <c r="G63" s="11"/>
      <c r="H63" s="12">
        <v>110205</v>
      </c>
      <c r="I63" s="12" t="s">
        <v>59</v>
      </c>
      <c r="J63" s="12" t="e">
        <f>+J62</f>
        <v>#N/A</v>
      </c>
      <c r="K63" s="13"/>
      <c r="L63" s="18" t="e">
        <f t="shared" si="5"/>
        <v>#N/A</v>
      </c>
      <c r="V63" s="11"/>
      <c r="W63" s="12">
        <v>110205</v>
      </c>
      <c r="X63" s="12" t="s">
        <v>59</v>
      </c>
      <c r="Y63" s="12" t="e">
        <f>+Y62</f>
        <v>#N/A</v>
      </c>
      <c r="Z63" s="13"/>
      <c r="AA63" s="18" t="e">
        <f t="shared" si="6"/>
        <v>#N/A</v>
      </c>
      <c r="AJ63" s="11"/>
      <c r="AK63" s="12">
        <v>110205</v>
      </c>
      <c r="AL63" s="12" t="s">
        <v>59</v>
      </c>
      <c r="AM63" s="12" t="e">
        <f>+AM62</f>
        <v>#N/A</v>
      </c>
      <c r="AN63" s="13"/>
      <c r="AO63" s="18" t="e">
        <f t="shared" si="7"/>
        <v>#N/A</v>
      </c>
      <c r="AY63" s="11"/>
      <c r="AZ63" s="12">
        <v>110276</v>
      </c>
      <c r="BA63" s="12" t="s">
        <v>102</v>
      </c>
      <c r="BB63" s="12" t="e">
        <f>+BB62</f>
        <v>#N/A</v>
      </c>
      <c r="BC63" s="13"/>
      <c r="BD63" s="18" t="e">
        <f t="shared" si="8"/>
        <v>#N/A</v>
      </c>
      <c r="BN63" s="11"/>
      <c r="BO63" s="12">
        <v>110205</v>
      </c>
      <c r="BP63" s="12" t="s">
        <v>59</v>
      </c>
      <c r="BQ63" s="12" t="e">
        <f>+BQ62</f>
        <v>#N/A</v>
      </c>
      <c r="BR63" s="13"/>
      <c r="BS63" s="18" t="e">
        <f t="shared" ref="BS63" si="37">+BR62</f>
        <v>#N/A</v>
      </c>
    </row>
  </sheetData>
  <autoFilter ref="BN1:BS63" xr:uid="{9FA6E447-EF11-452A-A67B-F6EF9070379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NIUM</vt:lpstr>
      <vt:lpstr>PAYCASH</vt:lpstr>
      <vt:lpstr>FACILITAPAY PayIn</vt:lpstr>
      <vt:lpstr>BCI OPE</vt:lpstr>
      <vt:lpstr>BCI AMD</vt:lpstr>
      <vt:lpstr>BCI RRHH</vt:lpstr>
      <vt:lpstr>Estado</vt:lpstr>
      <vt:lpstr>BICE</vt:lpstr>
      <vt:lpstr>BICE U</vt:lpstr>
      <vt:lpstr>MBI</vt:lpstr>
      <vt:lpstr>INTER OR</vt:lpstr>
      <vt:lpstr>CFSB</vt:lpstr>
      <vt:lpstr>TC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Perez</dc:creator>
  <cp:lastModifiedBy>Constanza Perez</cp:lastModifiedBy>
  <dcterms:created xsi:type="dcterms:W3CDTF">2023-01-09T19:06:03Z</dcterms:created>
  <dcterms:modified xsi:type="dcterms:W3CDTF">2024-06-26T14:32:27Z</dcterms:modified>
</cp:coreProperties>
</file>