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nstanza Perez\Documents\Contabilizacones 2022\Contabilizacion 2024\"/>
    </mc:Choice>
  </mc:AlternateContent>
  <xr:revisionPtr revIDLastSave="0" documentId="13_ncr:1_{97EB9ECE-08F2-4B0B-8D09-CEA806DA4206}" xr6:coauthVersionLast="47" xr6:coauthVersionMax="47" xr10:uidLastSave="{00000000-0000-0000-0000-000000000000}"/>
  <bookViews>
    <workbookView xWindow="28680" yWindow="-120" windowWidth="29040" windowHeight="15720" tabRatio="694" firstSheet="3" activeTab="13" xr2:uid="{02654BF6-3400-4237-BEBD-F14387F6BC1C}"/>
  </bookViews>
  <sheets>
    <sheet name="NIUM" sheetId="9" state="hidden" r:id="rId1"/>
    <sheet name="PAYCASH" sheetId="10" state="hidden" r:id="rId2"/>
    <sheet name="FACILITAPAY PayIn" sheetId="19" state="hidden" r:id="rId3"/>
    <sheet name="BCI OPE" sheetId="16" r:id="rId4"/>
    <sheet name="BCI AMD" sheetId="20" r:id="rId5"/>
    <sheet name="BCI RRHH" sheetId="21" r:id="rId6"/>
    <sheet name="Estado" sheetId="17" r:id="rId7"/>
    <sheet name="BICE" sheetId="26" r:id="rId8"/>
    <sheet name="BICE U" sheetId="22" r:id="rId9"/>
    <sheet name="MBI" sheetId="28" r:id="rId10"/>
    <sheet name="INTER OR" sheetId="27" state="hidden" r:id="rId11"/>
    <sheet name="CFSB" sheetId="23" state="hidden" r:id="rId12"/>
    <sheet name="Renta4" sheetId="29" r:id="rId13"/>
    <sheet name="TC" sheetId="24" r:id="rId14"/>
    <sheet name="Hoja2" sheetId="25" r:id="rId15"/>
  </sheets>
  <definedNames>
    <definedName name="_xlnm._FilterDatabase" localSheetId="4" hidden="1">'BCI AMD'!$AD$1:$AI$63</definedName>
    <definedName name="_xlnm._FilterDatabase" localSheetId="3" hidden="1">'BCI OPE'!$CA$1:$CF$63</definedName>
    <definedName name="_xlnm._FilterDatabase" localSheetId="5" hidden="1">'BCI RRHH'!$E$1:$J$63</definedName>
    <definedName name="_xlnm._FilterDatabase" localSheetId="7" hidden="1">BICE!$AH$1:$AM$63</definedName>
    <definedName name="_xlnm._FilterDatabase" localSheetId="8" hidden="1">'BICE U'!$CV$1:$DA$125</definedName>
    <definedName name="_xlnm._FilterDatabase" localSheetId="11" hidden="1">CFSB!$AY$1:$BE$63</definedName>
    <definedName name="_xlnm._FilterDatabase" localSheetId="6" hidden="1">Estado!$AE$1:$AJ$63</definedName>
    <definedName name="_xlnm._FilterDatabase" localSheetId="10" hidden="1">'INTER OR'!$AF$1:$AK$63</definedName>
    <definedName name="_xlnm._FilterDatabase" localSheetId="9" hidden="1">MBI!$CD$1:$CI$63</definedName>
    <definedName name="_xlnm._FilterDatabase" localSheetId="12" hidden="1">Renta4!$BO$1:$BT$63</definedName>
    <definedName name="_xlnm._FilterDatabase" localSheetId="13" hidden="1">TC!$D$1:$J$64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64" i="24" l="1"/>
  <c r="AD60" i="24"/>
  <c r="AD58" i="24"/>
  <c r="AD56" i="24"/>
  <c r="AD46" i="24"/>
  <c r="AD44" i="24"/>
  <c r="AD42" i="24"/>
  <c r="AD36" i="24"/>
  <c r="AD34" i="24"/>
  <c r="AD32" i="24"/>
  <c r="AD20" i="24"/>
  <c r="AD18" i="24"/>
  <c r="AD16" i="24"/>
  <c r="AD14" i="24"/>
  <c r="AD6" i="24"/>
  <c r="AD2" i="24"/>
  <c r="E2" i="25"/>
  <c r="F2" i="25"/>
  <c r="M2" i="25"/>
  <c r="CD60" i="24"/>
  <c r="CD58" i="24"/>
  <c r="CD56" i="24"/>
  <c r="CD50" i="24"/>
  <c r="CD46" i="24"/>
  <c r="CD44" i="24"/>
  <c r="CD42" i="24"/>
  <c r="CD36" i="24"/>
  <c r="CD34" i="24"/>
  <c r="CD32" i="24"/>
  <c r="CD28" i="24"/>
  <c r="CD20" i="24"/>
  <c r="CD18" i="24"/>
  <c r="CD16" i="24"/>
  <c r="CD14" i="24"/>
  <c r="CD8" i="24"/>
  <c r="CD4" i="24"/>
  <c r="BQ58" i="24"/>
  <c r="BQ46" i="24"/>
  <c r="BQ44" i="24"/>
  <c r="BQ42" i="24"/>
  <c r="BQ34" i="24"/>
  <c r="BQ32" i="24"/>
  <c r="BQ22" i="24"/>
  <c r="BQ18" i="24"/>
  <c r="BQ16" i="24"/>
  <c r="BQ14" i="24"/>
  <c r="BQ6" i="24"/>
  <c r="AW36" i="24"/>
  <c r="AW38" i="24" s="1"/>
  <c r="AX31" i="24"/>
  <c r="BD58" i="24"/>
  <c r="BD56" i="24"/>
  <c r="BD50" i="24"/>
  <c r="BD46" i="24"/>
  <c r="BD44" i="24"/>
  <c r="BD42" i="24"/>
  <c r="BD32" i="24"/>
  <c r="BD28" i="24"/>
  <c r="BD20" i="24"/>
  <c r="BD18" i="24"/>
  <c r="BD16" i="24"/>
  <c r="BD14" i="24"/>
  <c r="BD8" i="24"/>
  <c r="BD4" i="24"/>
  <c r="AW70" i="25"/>
  <c r="AW35" i="25"/>
  <c r="AW26" i="25"/>
  <c r="AQ56" i="24"/>
  <c r="AQ46" i="24"/>
  <c r="AQ42" i="24"/>
  <c r="AQ32" i="24"/>
  <c r="AQ30" i="24"/>
  <c r="AQ28" i="24"/>
  <c r="AQ20" i="24"/>
  <c r="AQ16" i="24"/>
  <c r="AQ14" i="24"/>
  <c r="H50" i="24"/>
  <c r="H48" i="24"/>
  <c r="H42" i="24"/>
  <c r="H32" i="24"/>
  <c r="B33" i="24"/>
  <c r="H8" i="24"/>
  <c r="H4" i="24"/>
  <c r="AW66" i="25" l="1"/>
  <c r="R69" i="25"/>
  <c r="AE3" i="26"/>
  <c r="AL4" i="26" s="1"/>
  <c r="AE4" i="26"/>
  <c r="AL6" i="26" s="1"/>
  <c r="AE5" i="26"/>
  <c r="AL8" i="26" s="1"/>
  <c r="AE6" i="26"/>
  <c r="AL10" i="26" s="1"/>
  <c r="AE7" i="26"/>
  <c r="AL12" i="26" s="1"/>
  <c r="AE8" i="26"/>
  <c r="AL14" i="26" s="1"/>
  <c r="AE9" i="26"/>
  <c r="AL16" i="26" s="1"/>
  <c r="AE10" i="26"/>
  <c r="AL18" i="26" s="1"/>
  <c r="AE11" i="26"/>
  <c r="AL20" i="26" s="1"/>
  <c r="AE12" i="26"/>
  <c r="AL22" i="26" s="1"/>
  <c r="AE13" i="26"/>
  <c r="AL24" i="26" s="1"/>
  <c r="AE14" i="26"/>
  <c r="AL26" i="26" s="1"/>
  <c r="AE15" i="26"/>
  <c r="AL28" i="26" s="1"/>
  <c r="AE16" i="26"/>
  <c r="AL30" i="26" s="1"/>
  <c r="AE17" i="26"/>
  <c r="AL32" i="26" s="1"/>
  <c r="AE18" i="26"/>
  <c r="AL34" i="26" s="1"/>
  <c r="AE19" i="26"/>
  <c r="AL36" i="26" s="1"/>
  <c r="AE20" i="26"/>
  <c r="AL38" i="26" s="1"/>
  <c r="AE21" i="26"/>
  <c r="AL40" i="26" s="1"/>
  <c r="AE22" i="26"/>
  <c r="AL42" i="26" s="1"/>
  <c r="AE23" i="26"/>
  <c r="AL44" i="26" s="1"/>
  <c r="AE24" i="26"/>
  <c r="AL46" i="26" s="1"/>
  <c r="AE25" i="26"/>
  <c r="AL48" i="26" s="1"/>
  <c r="AE26" i="26"/>
  <c r="AL50" i="26" s="1"/>
  <c r="AE27" i="26"/>
  <c r="AL52" i="26" s="1"/>
  <c r="AE28" i="26"/>
  <c r="AL54" i="26" s="1"/>
  <c r="AE29" i="26"/>
  <c r="AL56" i="26" s="1"/>
  <c r="AE30" i="26"/>
  <c r="AL58" i="26" s="1"/>
  <c r="AE31" i="26"/>
  <c r="AL60" i="26" s="1"/>
  <c r="AE32" i="26"/>
  <c r="AL62" i="26" s="1"/>
  <c r="AE2" i="26"/>
  <c r="AL2" i="26" s="1"/>
  <c r="AK62" i="26"/>
  <c r="AK63" i="26" s="1"/>
  <c r="AK60" i="26"/>
  <c r="AK61" i="26" s="1"/>
  <c r="AK58" i="26"/>
  <c r="AK56" i="26"/>
  <c r="AK54" i="26"/>
  <c r="AK55" i="26" s="1"/>
  <c r="AK52" i="26"/>
  <c r="AK53" i="26" s="1"/>
  <c r="AK50" i="26"/>
  <c r="AK48" i="26"/>
  <c r="AK49" i="26" s="1"/>
  <c r="AK46" i="26"/>
  <c r="AK47" i="26" s="1"/>
  <c r="AK44" i="26"/>
  <c r="AK45" i="26" s="1"/>
  <c r="AK42" i="26"/>
  <c r="AK40" i="26"/>
  <c r="AK38" i="26"/>
  <c r="AK39" i="26" s="1"/>
  <c r="AK36" i="26"/>
  <c r="AK37" i="26" s="1"/>
  <c r="AK34" i="26"/>
  <c r="AK32" i="26"/>
  <c r="AK33" i="26" s="1"/>
  <c r="AK30" i="26"/>
  <c r="AK28" i="26"/>
  <c r="AK29" i="26" s="1"/>
  <c r="AK26" i="26"/>
  <c r="AK24" i="26"/>
  <c r="AK22" i="26"/>
  <c r="AK20" i="26"/>
  <c r="AK21" i="26" s="1"/>
  <c r="AK18" i="26"/>
  <c r="AK16" i="26"/>
  <c r="AK14" i="26"/>
  <c r="AK15" i="26" s="1"/>
  <c r="AK12" i="26"/>
  <c r="AK13" i="26" s="1"/>
  <c r="AK10" i="26"/>
  <c r="AK8" i="26"/>
  <c r="AK6" i="26"/>
  <c r="AK7" i="26" s="1"/>
  <c r="AK4" i="26"/>
  <c r="AK2" i="26"/>
  <c r="AK3" i="26" s="1"/>
  <c r="AK59" i="26"/>
  <c r="AK57" i="26"/>
  <c r="AK51" i="26"/>
  <c r="AK43" i="26"/>
  <c r="AK41" i="26"/>
  <c r="AK35" i="26"/>
  <c r="AK31" i="26"/>
  <c r="AK27" i="26"/>
  <c r="AK25" i="26"/>
  <c r="AK23" i="26"/>
  <c r="AK19" i="26"/>
  <c r="AK17" i="26"/>
  <c r="AK11" i="26"/>
  <c r="AK9" i="26"/>
  <c r="AK5" i="26"/>
  <c r="R47" i="25"/>
  <c r="AV47" i="25"/>
  <c r="AU47" i="25"/>
  <c r="AT47" i="25"/>
  <c r="AS47" i="25"/>
  <c r="AR47" i="25"/>
  <c r="AQ47" i="25"/>
  <c r="AP47" i="25"/>
  <c r="AO47" i="25"/>
  <c r="AN47" i="25"/>
  <c r="AM47" i="25"/>
  <c r="AL47" i="25"/>
  <c r="AK47" i="25"/>
  <c r="AJ47" i="25"/>
  <c r="AI47" i="25"/>
  <c r="AH47" i="25"/>
  <c r="AG47" i="25"/>
  <c r="AF47" i="25"/>
  <c r="AE47" i="25"/>
  <c r="AD47" i="25"/>
  <c r="AC47" i="25"/>
  <c r="AB47" i="25"/>
  <c r="AA47" i="25"/>
  <c r="Z47" i="25"/>
  <c r="Y47" i="25"/>
  <c r="X47" i="25"/>
  <c r="W47" i="25"/>
  <c r="V47" i="25"/>
  <c r="U47" i="25"/>
  <c r="T47" i="25"/>
  <c r="S47" i="25"/>
  <c r="AM55" i="26" l="1"/>
  <c r="AM43" i="26"/>
  <c r="AM27" i="26"/>
  <c r="AM11" i="26"/>
  <c r="AM59" i="26"/>
  <c r="AM57" i="26"/>
  <c r="AM41" i="26"/>
  <c r="AM25" i="26"/>
  <c r="AM9" i="26"/>
  <c r="AM39" i="26"/>
  <c r="AM23" i="26"/>
  <c r="AM7" i="26"/>
  <c r="AM37" i="26"/>
  <c r="AM5" i="26"/>
  <c r="AM53" i="26"/>
  <c r="AM19" i="26"/>
  <c r="AM21" i="26"/>
  <c r="AM51" i="26"/>
  <c r="AM35" i="26"/>
  <c r="AM3" i="26"/>
  <c r="AM49" i="26"/>
  <c r="AM33" i="26"/>
  <c r="AM17" i="26"/>
  <c r="AM63" i="26"/>
  <c r="AM47" i="26"/>
  <c r="AM31" i="26"/>
  <c r="AM15" i="26"/>
  <c r="AM61" i="26"/>
  <c r="AM45" i="26"/>
  <c r="AM29" i="26"/>
  <c r="AM13" i="26"/>
  <c r="AW61" i="25"/>
  <c r="AW44" i="25"/>
  <c r="H20" i="24" l="1"/>
  <c r="H18" i="24"/>
  <c r="H6" i="24"/>
  <c r="AW31" i="25" l="1"/>
  <c r="AW22" i="25" l="1"/>
  <c r="AW18" i="25"/>
  <c r="H54" i="24" l="1"/>
  <c r="H52" i="24"/>
  <c r="H38" i="24"/>
  <c r="H28" i="24"/>
  <c r="H12" i="24"/>
  <c r="E3" i="25"/>
  <c r="E4" i="25"/>
  <c r="E5" i="25"/>
  <c r="E6" i="25"/>
  <c r="E7" i="25"/>
  <c r="E8" i="25"/>
  <c r="E9" i="25"/>
  <c r="E10" i="25"/>
  <c r="E11" i="25"/>
  <c r="E12" i="25"/>
  <c r="E13" i="25"/>
  <c r="E14" i="25"/>
  <c r="E15" i="25"/>
  <c r="E16" i="25"/>
  <c r="E17" i="25"/>
  <c r="E18" i="25"/>
  <c r="E19" i="25"/>
  <c r="E20" i="25"/>
  <c r="E21" i="25"/>
  <c r="E22" i="25"/>
  <c r="E23" i="25"/>
  <c r="E24" i="25"/>
  <c r="E25" i="25"/>
  <c r="E26" i="25"/>
  <c r="E27" i="25"/>
  <c r="E28" i="25"/>
  <c r="E29" i="25"/>
  <c r="E30" i="25"/>
  <c r="E31" i="25"/>
  <c r="E32" i="25"/>
  <c r="E33" i="25" l="1"/>
  <c r="R77" i="25" l="1"/>
  <c r="R81" i="25"/>
  <c r="R85" i="25"/>
  <c r="R91" i="25"/>
  <c r="R96" i="25"/>
  <c r="R100" i="25"/>
  <c r="R104" i="25"/>
  <c r="R73" i="25"/>
  <c r="V65" i="25" l="1"/>
  <c r="H60" i="24"/>
  <c r="H58" i="24"/>
  <c r="H36" i="24"/>
  <c r="H30" i="24"/>
  <c r="H16" i="24"/>
  <c r="H2" i="24"/>
  <c r="G62" i="24"/>
  <c r="G63" i="24" s="1"/>
  <c r="G61" i="24"/>
  <c r="G60" i="24"/>
  <c r="G58" i="24"/>
  <c r="G59" i="24" s="1"/>
  <c r="G56" i="24"/>
  <c r="G57" i="24" s="1"/>
  <c r="G54" i="24"/>
  <c r="G55" i="24" s="1"/>
  <c r="G53" i="24"/>
  <c r="G52" i="24"/>
  <c r="G50" i="24"/>
  <c r="G51" i="24" s="1"/>
  <c r="G48" i="24"/>
  <c r="G49" i="24" s="1"/>
  <c r="G46" i="24"/>
  <c r="G47" i="24" s="1"/>
  <c r="G45" i="24"/>
  <c r="G44" i="24"/>
  <c r="G42" i="24"/>
  <c r="G43" i="24" s="1"/>
  <c r="G40" i="24"/>
  <c r="G41" i="24" s="1"/>
  <c r="G38" i="24"/>
  <c r="G39" i="24" s="1"/>
  <c r="G37" i="24"/>
  <c r="G36" i="24"/>
  <c r="G34" i="24"/>
  <c r="G35" i="24" s="1"/>
  <c r="G32" i="24"/>
  <c r="G33" i="24" s="1"/>
  <c r="G30" i="24"/>
  <c r="G31" i="24" s="1"/>
  <c r="G29" i="24"/>
  <c r="G28" i="24"/>
  <c r="G26" i="24"/>
  <c r="G27" i="24" s="1"/>
  <c r="G24" i="24"/>
  <c r="G25" i="24" s="1"/>
  <c r="G22" i="24"/>
  <c r="G23" i="24" s="1"/>
  <c r="G21" i="24"/>
  <c r="G20" i="24"/>
  <c r="G18" i="24"/>
  <c r="G19" i="24" s="1"/>
  <c r="G16" i="24"/>
  <c r="G17" i="24" s="1"/>
  <c r="G14" i="24"/>
  <c r="G15" i="24" s="1"/>
  <c r="G13" i="24"/>
  <c r="G12" i="24"/>
  <c r="G10" i="24"/>
  <c r="G11" i="24" s="1"/>
  <c r="G8" i="24"/>
  <c r="G9" i="24" s="1"/>
  <c r="G6" i="24"/>
  <c r="G7" i="24" s="1"/>
  <c r="G5" i="24"/>
  <c r="G4" i="24"/>
  <c r="G2" i="24"/>
  <c r="CC62" i="24"/>
  <c r="CC60" i="24"/>
  <c r="CC61" i="24" s="1"/>
  <c r="CC58" i="24"/>
  <c r="CC56" i="24"/>
  <c r="CC57" i="24" s="1"/>
  <c r="CC54" i="24"/>
  <c r="CC52" i="24"/>
  <c r="CC50" i="24"/>
  <c r="CC51" i="24" s="1"/>
  <c r="CC48" i="24"/>
  <c r="CC49" i="24" s="1"/>
  <c r="CC46" i="24"/>
  <c r="CC47" i="24" s="1"/>
  <c r="CC44" i="24"/>
  <c r="CC45" i="24" s="1"/>
  <c r="CC42" i="24"/>
  <c r="CC43" i="24" s="1"/>
  <c r="CC40" i="24"/>
  <c r="CC41" i="24" s="1"/>
  <c r="CC38" i="24"/>
  <c r="CC36" i="24"/>
  <c r="CC37" i="24" s="1"/>
  <c r="CC34" i="24"/>
  <c r="CC35" i="24" s="1"/>
  <c r="CC32" i="24"/>
  <c r="CC33" i="24" s="1"/>
  <c r="CC30" i="24"/>
  <c r="CC31" i="24" s="1"/>
  <c r="CC28" i="24"/>
  <c r="CC29" i="24" s="1"/>
  <c r="CC26" i="24"/>
  <c r="CC27" i="24" s="1"/>
  <c r="CC24" i="24"/>
  <c r="CC25" i="24" s="1"/>
  <c r="CC22" i="24"/>
  <c r="CC20" i="24"/>
  <c r="CC18" i="24"/>
  <c r="CC19" i="24" s="1"/>
  <c r="CC16" i="24"/>
  <c r="CC17" i="24" s="1"/>
  <c r="CC14" i="24"/>
  <c r="CC15" i="24" s="1"/>
  <c r="CC12" i="24"/>
  <c r="CC13" i="24" s="1"/>
  <c r="CC10" i="24"/>
  <c r="CC11" i="24" s="1"/>
  <c r="CC8" i="24"/>
  <c r="CC6" i="24"/>
  <c r="CC7" i="24" s="1"/>
  <c r="CC4" i="24"/>
  <c r="CC5" i="24" s="1"/>
  <c r="CC2" i="24"/>
  <c r="CC3" i="24" s="1"/>
  <c r="CC59" i="24"/>
  <c r="CC55" i="24"/>
  <c r="CC53" i="24"/>
  <c r="CC39" i="24"/>
  <c r="BX33" i="24"/>
  <c r="BW32" i="24"/>
  <c r="CD62" i="24" s="1"/>
  <c r="BW31" i="24"/>
  <c r="BW30" i="24"/>
  <c r="BW29" i="24"/>
  <c r="BW28" i="24"/>
  <c r="CD54" i="24" s="1"/>
  <c r="BW27" i="24"/>
  <c r="CD52" i="24" s="1"/>
  <c r="BW26" i="24"/>
  <c r="BW25" i="24"/>
  <c r="CD48" i="24" s="1"/>
  <c r="BW24" i="24"/>
  <c r="BW23" i="24"/>
  <c r="CC23" i="24"/>
  <c r="BW22" i="24"/>
  <c r="BW21" i="24"/>
  <c r="CD40" i="24" s="1"/>
  <c r="CC21" i="24"/>
  <c r="BW20" i="24"/>
  <c r="CD38" i="24" s="1"/>
  <c r="BW19" i="24"/>
  <c r="BW18" i="24"/>
  <c r="BW17" i="24"/>
  <c r="BW16" i="24"/>
  <c r="CD30" i="24" s="1"/>
  <c r="BW15" i="24"/>
  <c r="BW14" i="24"/>
  <c r="CD26" i="24" s="1"/>
  <c r="BW13" i="24"/>
  <c r="CD24" i="24" s="1"/>
  <c r="BW12" i="24"/>
  <c r="CD22" i="24" s="1"/>
  <c r="BW11" i="24"/>
  <c r="BW10" i="24"/>
  <c r="BW9" i="24"/>
  <c r="BW8" i="24"/>
  <c r="BW7" i="24"/>
  <c r="CD12" i="24" s="1"/>
  <c r="BW6" i="24"/>
  <c r="CD10" i="24" s="1"/>
  <c r="BW5" i="24"/>
  <c r="BW4" i="24"/>
  <c r="BW3" i="24"/>
  <c r="BW2" i="24"/>
  <c r="CD2" i="24" s="1"/>
  <c r="BK33" i="24"/>
  <c r="BP62" i="24"/>
  <c r="BP60" i="24"/>
  <c r="BP61" i="24" s="1"/>
  <c r="BP58" i="24"/>
  <c r="BP56" i="24"/>
  <c r="BP54" i="24"/>
  <c r="BP55" i="24" s="1"/>
  <c r="BP52" i="24"/>
  <c r="BP53" i="24" s="1"/>
  <c r="BP50" i="24"/>
  <c r="BP51" i="24" s="1"/>
  <c r="BP48" i="24"/>
  <c r="BP49" i="24" s="1"/>
  <c r="BP46" i="24"/>
  <c r="BP47" i="24" s="1"/>
  <c r="BP44" i="24"/>
  <c r="BP45" i="24" s="1"/>
  <c r="BP42" i="24"/>
  <c r="BP43" i="24" s="1"/>
  <c r="BP40" i="24"/>
  <c r="BP38" i="24"/>
  <c r="BP39" i="24" s="1"/>
  <c r="BP36" i="24"/>
  <c r="BP34" i="24"/>
  <c r="BP35" i="24" s="1"/>
  <c r="BP32" i="24"/>
  <c r="BP33" i="24" s="1"/>
  <c r="BP30" i="24"/>
  <c r="BP31" i="24" s="1"/>
  <c r="BP28" i="24"/>
  <c r="BP26" i="24"/>
  <c r="BP27" i="24" s="1"/>
  <c r="BP24" i="24"/>
  <c r="BP22" i="24"/>
  <c r="BP20" i="24"/>
  <c r="BP21" i="24" s="1"/>
  <c r="BP18" i="24"/>
  <c r="BP19" i="24" s="1"/>
  <c r="BP16" i="24"/>
  <c r="BP17" i="24" s="1"/>
  <c r="BP14" i="24"/>
  <c r="BP12" i="24"/>
  <c r="BP10" i="24"/>
  <c r="BP8" i="24"/>
  <c r="BP6" i="24"/>
  <c r="BP7" i="24" s="1"/>
  <c r="BP4" i="24"/>
  <c r="BP5" i="24" s="1"/>
  <c r="BP2" i="24"/>
  <c r="BP59" i="24"/>
  <c r="BP57" i="24"/>
  <c r="BP41" i="24"/>
  <c r="BP37" i="24"/>
  <c r="BJ32" i="24"/>
  <c r="BJ31" i="24"/>
  <c r="BQ60" i="24" s="1"/>
  <c r="BJ30" i="24"/>
  <c r="BJ29" i="24"/>
  <c r="BQ56" i="24" s="1"/>
  <c r="BP29" i="24"/>
  <c r="BJ28" i="24"/>
  <c r="BQ54" i="24" s="1"/>
  <c r="BJ27" i="24"/>
  <c r="BQ52" i="24" s="1"/>
  <c r="BJ26" i="24"/>
  <c r="BQ50" i="24" s="1"/>
  <c r="BJ25" i="24"/>
  <c r="BQ48" i="24" s="1"/>
  <c r="BJ24" i="24"/>
  <c r="BJ23" i="24"/>
  <c r="BP23" i="24"/>
  <c r="BJ22" i="24"/>
  <c r="BJ21" i="24"/>
  <c r="BQ40" i="24" s="1"/>
  <c r="BJ20" i="24"/>
  <c r="BQ38" i="24" s="1"/>
  <c r="BJ19" i="24"/>
  <c r="BQ36" i="24" s="1"/>
  <c r="BJ18" i="24"/>
  <c r="BJ17" i="24"/>
  <c r="BJ16" i="24"/>
  <c r="BQ30" i="24" s="1"/>
  <c r="BJ15" i="24"/>
  <c r="BQ28" i="24" s="1"/>
  <c r="BJ14" i="24"/>
  <c r="BQ26" i="24" s="1"/>
  <c r="BJ13" i="24"/>
  <c r="BQ24" i="24" s="1"/>
  <c r="BJ12" i="24"/>
  <c r="BJ11" i="24"/>
  <c r="BQ20" i="24" s="1"/>
  <c r="BP11" i="24"/>
  <c r="BJ10" i="24"/>
  <c r="BJ9" i="24"/>
  <c r="BJ8" i="24"/>
  <c r="BJ7" i="24"/>
  <c r="BQ12" i="24" s="1"/>
  <c r="BJ6" i="24"/>
  <c r="BQ10" i="24" s="1"/>
  <c r="BJ5" i="24"/>
  <c r="BQ8" i="24" s="1"/>
  <c r="BJ4" i="24"/>
  <c r="BJ3" i="24"/>
  <c r="BQ4" i="24" s="1"/>
  <c r="BJ2" i="24"/>
  <c r="BQ2" i="24" s="1"/>
  <c r="BQ64" i="24" l="1"/>
  <c r="BR19" i="24"/>
  <c r="BR9" i="24"/>
  <c r="BR21" i="24"/>
  <c r="BR11" i="24"/>
  <c r="BR25" i="24"/>
  <c r="BR41" i="24"/>
  <c r="BR55" i="24"/>
  <c r="BR47" i="24"/>
  <c r="BR37" i="24"/>
  <c r="BR13" i="24"/>
  <c r="BR27" i="24"/>
  <c r="BR43" i="24"/>
  <c r="BR33" i="24"/>
  <c r="BR35" i="24"/>
  <c r="BR23" i="24"/>
  <c r="BR15" i="24"/>
  <c r="BR29" i="24"/>
  <c r="BR57" i="24"/>
  <c r="BR61" i="24"/>
  <c r="BR5" i="24"/>
  <c r="BR49" i="24"/>
  <c r="BR39" i="24"/>
  <c r="BR17" i="24"/>
  <c r="BR31" i="24"/>
  <c r="BR45" i="24"/>
  <c r="BR59" i="24"/>
  <c r="CE49" i="24"/>
  <c r="CE45" i="24"/>
  <c r="CE19" i="24"/>
  <c r="CE33" i="24"/>
  <c r="CE3" i="24"/>
  <c r="CE9" i="24"/>
  <c r="CE25" i="24"/>
  <c r="CE17" i="24"/>
  <c r="CE61" i="24"/>
  <c r="CE47" i="24"/>
  <c r="CE21" i="24"/>
  <c r="CE23" i="24"/>
  <c r="CE11" i="24"/>
  <c r="CE27" i="24"/>
  <c r="CE41" i="24"/>
  <c r="CE55" i="24"/>
  <c r="CE35" i="24"/>
  <c r="CE5" i="24"/>
  <c r="CE37" i="24"/>
  <c r="CE39" i="24"/>
  <c r="CE13" i="24"/>
  <c r="CE29" i="24"/>
  <c r="CE43" i="24"/>
  <c r="CE57" i="24"/>
  <c r="CE15" i="24"/>
  <c r="CE31" i="24"/>
  <c r="CE59" i="24"/>
  <c r="CC9" i="24"/>
  <c r="CC63" i="24"/>
  <c r="BP9" i="24"/>
  <c r="CE63" i="24"/>
  <c r="CE53" i="24"/>
  <c r="CE51" i="24"/>
  <c r="BP3" i="24"/>
  <c r="BP13" i="24"/>
  <c r="BP25" i="24"/>
  <c r="BP63" i="24"/>
  <c r="BP15" i="24"/>
  <c r="BQ62" i="24"/>
  <c r="BW33" i="24"/>
  <c r="CD6" i="24"/>
  <c r="BR53" i="24"/>
  <c r="BR51" i="24"/>
  <c r="BJ33" i="24"/>
  <c r="BR3" i="24"/>
  <c r="CE7" i="24" l="1"/>
  <c r="CD64" i="24"/>
  <c r="BR63" i="24"/>
  <c r="BR7" i="24"/>
  <c r="AX33" i="24" l="1"/>
  <c r="BC62" i="24"/>
  <c r="BC60" i="24"/>
  <c r="BC58" i="24"/>
  <c r="BC56" i="24"/>
  <c r="BC54" i="24"/>
  <c r="BC52" i="24"/>
  <c r="BC50" i="24"/>
  <c r="BC48" i="24"/>
  <c r="BC46" i="24"/>
  <c r="BC44" i="24"/>
  <c r="BC42" i="24"/>
  <c r="BC40" i="24"/>
  <c r="BC38" i="24"/>
  <c r="BC36" i="24"/>
  <c r="BC34" i="24"/>
  <c r="BC32" i="24"/>
  <c r="BC30" i="24"/>
  <c r="BC28" i="24"/>
  <c r="BC26" i="24"/>
  <c r="BC24" i="24"/>
  <c r="BC22" i="24"/>
  <c r="BC20" i="24"/>
  <c r="BC18" i="24"/>
  <c r="BC16" i="24"/>
  <c r="BC14" i="24"/>
  <c r="BC12" i="24"/>
  <c r="BC10" i="24"/>
  <c r="BC8" i="24"/>
  <c r="BC6" i="24"/>
  <c r="BC4" i="24"/>
  <c r="BC2" i="24"/>
  <c r="BC63" i="24"/>
  <c r="BC45" i="24"/>
  <c r="AW32" i="24"/>
  <c r="BD62" i="24" s="1"/>
  <c r="AW31" i="24"/>
  <c r="BD60" i="24" s="1"/>
  <c r="AW30" i="24"/>
  <c r="AW29" i="24"/>
  <c r="AW28" i="24"/>
  <c r="BD54" i="24" s="1"/>
  <c r="AW27" i="24"/>
  <c r="BD52" i="24" s="1"/>
  <c r="AW26" i="24"/>
  <c r="AW25" i="24"/>
  <c r="BD48" i="24" s="1"/>
  <c r="AW24" i="24"/>
  <c r="AW23" i="24"/>
  <c r="AW22" i="24"/>
  <c r="AW21" i="24"/>
  <c r="BD40" i="24" s="1"/>
  <c r="AW20" i="24"/>
  <c r="BD38" i="24" s="1"/>
  <c r="AW19" i="24"/>
  <c r="BD36" i="24" s="1"/>
  <c r="AW18" i="24"/>
  <c r="BD34" i="24" s="1"/>
  <c r="AW17" i="24"/>
  <c r="AW16" i="24"/>
  <c r="BD30" i="24" s="1"/>
  <c r="AW15" i="24"/>
  <c r="BC15" i="24"/>
  <c r="AW14" i="24"/>
  <c r="BD26" i="24" s="1"/>
  <c r="AW13" i="24"/>
  <c r="BD24" i="24" s="1"/>
  <c r="AW12" i="24"/>
  <c r="BD22" i="24" s="1"/>
  <c r="AW11" i="24"/>
  <c r="AW10" i="24"/>
  <c r="AW9" i="24"/>
  <c r="AW8" i="24"/>
  <c r="AW7" i="24"/>
  <c r="BD12" i="24" s="1"/>
  <c r="AW6" i="24"/>
  <c r="BD10" i="24" s="1"/>
  <c r="AW5" i="24"/>
  <c r="AW4" i="24"/>
  <c r="BD6" i="24" s="1"/>
  <c r="AW3" i="24"/>
  <c r="AW2" i="24"/>
  <c r="BD2" i="24" s="1"/>
  <c r="BC35" i="24" l="1"/>
  <c r="BC19" i="24"/>
  <c r="BC51" i="24"/>
  <c r="BC27" i="24"/>
  <c r="BC41" i="24"/>
  <c r="BC3" i="24"/>
  <c r="BC9" i="24"/>
  <c r="BC57" i="24"/>
  <c r="BC59" i="24"/>
  <c r="BC25" i="24"/>
  <c r="BE39" i="24"/>
  <c r="BE15" i="24"/>
  <c r="BE41" i="24"/>
  <c r="BE53" i="24"/>
  <c r="BC7" i="24"/>
  <c r="BC23" i="24"/>
  <c r="BC39" i="24"/>
  <c r="BC55" i="24"/>
  <c r="BC37" i="24"/>
  <c r="BE17" i="24"/>
  <c r="BE29" i="24"/>
  <c r="BE43" i="24"/>
  <c r="BE55" i="24"/>
  <c r="BC5" i="24"/>
  <c r="BE31" i="24"/>
  <c r="BE45" i="24"/>
  <c r="BE57" i="24"/>
  <c r="BC53" i="24"/>
  <c r="BC11" i="24"/>
  <c r="BC43" i="24"/>
  <c r="BE5" i="24"/>
  <c r="BE19" i="24"/>
  <c r="BE33" i="24"/>
  <c r="BE47" i="24"/>
  <c r="BC13" i="24"/>
  <c r="BC29" i="24"/>
  <c r="BC61" i="24"/>
  <c r="BC21" i="24"/>
  <c r="BE7" i="24"/>
  <c r="BE21" i="24"/>
  <c r="BE35" i="24"/>
  <c r="BE49" i="24"/>
  <c r="BC31" i="24"/>
  <c r="BC47" i="24"/>
  <c r="BE27" i="24"/>
  <c r="BE63" i="24"/>
  <c r="BC17" i="24"/>
  <c r="BC33" i="24"/>
  <c r="BC49" i="24"/>
  <c r="BE13" i="24"/>
  <c r="BE11" i="24"/>
  <c r="BE25" i="24"/>
  <c r="BE37" i="24"/>
  <c r="BE51" i="24"/>
  <c r="BE61" i="24"/>
  <c r="BE23" i="24"/>
  <c r="BE9" i="24"/>
  <c r="AW33" i="24"/>
  <c r="BE3" i="24"/>
  <c r="AM65" i="25"/>
  <c r="AN65" i="25"/>
  <c r="AO65" i="25"/>
  <c r="AP65" i="25"/>
  <c r="AQ65" i="25"/>
  <c r="AM69" i="25"/>
  <c r="AN69" i="25"/>
  <c r="AO69" i="25"/>
  <c r="AP69" i="25"/>
  <c r="AQ69" i="25"/>
  <c r="AM73" i="25"/>
  <c r="AN73" i="25"/>
  <c r="AO73" i="25"/>
  <c r="AP73" i="25"/>
  <c r="AQ73" i="25"/>
  <c r="AM77" i="25"/>
  <c r="AN77" i="25"/>
  <c r="AO77" i="25"/>
  <c r="AP77" i="25"/>
  <c r="AQ77" i="25"/>
  <c r="AM81" i="25"/>
  <c r="AN81" i="25"/>
  <c r="AO81" i="25"/>
  <c r="AP81" i="25"/>
  <c r="AQ81" i="25"/>
  <c r="AM85" i="25"/>
  <c r="AN85" i="25"/>
  <c r="AO85" i="25"/>
  <c r="AP85" i="25"/>
  <c r="AQ85" i="25"/>
  <c r="AM91" i="25"/>
  <c r="AN91" i="25"/>
  <c r="AO91" i="25"/>
  <c r="AP91" i="25"/>
  <c r="AQ91" i="25"/>
  <c r="AM96" i="25"/>
  <c r="AN96" i="25"/>
  <c r="AO96" i="25"/>
  <c r="AP96" i="25"/>
  <c r="AQ96" i="25"/>
  <c r="AM100" i="25"/>
  <c r="AN100" i="25"/>
  <c r="AO100" i="25"/>
  <c r="AP100" i="25"/>
  <c r="AQ100" i="25"/>
  <c r="AM104" i="25"/>
  <c r="AN104" i="25"/>
  <c r="AO104" i="25"/>
  <c r="AP104" i="25"/>
  <c r="AQ104" i="25"/>
  <c r="AM108" i="25"/>
  <c r="AN108" i="25"/>
  <c r="AO108" i="25"/>
  <c r="AP108" i="25"/>
  <c r="AQ108" i="25"/>
  <c r="AM112" i="25"/>
  <c r="AN112" i="25"/>
  <c r="AO112" i="25"/>
  <c r="AP112" i="25"/>
  <c r="AQ112" i="25"/>
  <c r="AM116" i="25"/>
  <c r="AN116" i="25"/>
  <c r="AO116" i="25"/>
  <c r="AP116" i="25"/>
  <c r="AQ116" i="25"/>
  <c r="AM120" i="25"/>
  <c r="AN120" i="25"/>
  <c r="AO120" i="25"/>
  <c r="AP120" i="25"/>
  <c r="AQ120" i="25"/>
  <c r="Y65" i="25"/>
  <c r="S57" i="25"/>
  <c r="S60" i="25" s="1"/>
  <c r="AV57" i="25"/>
  <c r="AV60" i="25" s="1"/>
  <c r="AU57" i="25"/>
  <c r="AU60" i="25" s="1"/>
  <c r="AT57" i="25"/>
  <c r="AT60" i="25" s="1"/>
  <c r="AS57" i="25"/>
  <c r="AS60" i="25" s="1"/>
  <c r="AR57" i="25"/>
  <c r="AR60" i="25" s="1"/>
  <c r="AQ57" i="25"/>
  <c r="AQ60" i="25" s="1"/>
  <c r="AP57" i="25"/>
  <c r="AP60" i="25" s="1"/>
  <c r="AO57" i="25"/>
  <c r="AO60" i="25" s="1"/>
  <c r="AN57" i="25"/>
  <c r="AN60" i="25" s="1"/>
  <c r="AM57" i="25"/>
  <c r="AM60" i="25" s="1"/>
  <c r="AL57" i="25"/>
  <c r="AL60" i="25" s="1"/>
  <c r="AK57" i="25"/>
  <c r="AK60" i="25" s="1"/>
  <c r="AJ57" i="25"/>
  <c r="AJ60" i="25" s="1"/>
  <c r="AI57" i="25"/>
  <c r="AI60" i="25" s="1"/>
  <c r="AH57" i="25"/>
  <c r="AH60" i="25" s="1"/>
  <c r="AG57" i="25"/>
  <c r="AG60" i="25" s="1"/>
  <c r="AF57" i="25"/>
  <c r="AF60" i="25" s="1"/>
  <c r="AE57" i="25"/>
  <c r="AE60" i="25" s="1"/>
  <c r="AD57" i="25"/>
  <c r="AD60" i="25" s="1"/>
  <c r="AC57" i="25"/>
  <c r="AC60" i="25" s="1"/>
  <c r="AB57" i="25"/>
  <c r="AB60" i="25" s="1"/>
  <c r="AA57" i="25"/>
  <c r="AA60" i="25" s="1"/>
  <c r="Z57" i="25"/>
  <c r="Z60" i="25" s="1"/>
  <c r="Y57" i="25"/>
  <c r="Y60" i="25" s="1"/>
  <c r="X57" i="25"/>
  <c r="X60" i="25" s="1"/>
  <c r="W57" i="25"/>
  <c r="W60" i="25" s="1"/>
  <c r="V57" i="25"/>
  <c r="V60" i="25" s="1"/>
  <c r="U57" i="25"/>
  <c r="U60" i="25" s="1"/>
  <c r="T57" i="25"/>
  <c r="T60" i="25" s="1"/>
  <c r="R57" i="25"/>
  <c r="R60" i="25" s="1"/>
  <c r="S49" i="25"/>
  <c r="AV55" i="25"/>
  <c r="AV59" i="25" s="1"/>
  <c r="AU55" i="25"/>
  <c r="AU59" i="25" s="1"/>
  <c r="AT55" i="25"/>
  <c r="AT59" i="25" s="1"/>
  <c r="AS55" i="25"/>
  <c r="AS59" i="25" s="1"/>
  <c r="AR55" i="25"/>
  <c r="AR59" i="25" s="1"/>
  <c r="AQ55" i="25"/>
  <c r="AQ59" i="25" s="1"/>
  <c r="AP55" i="25"/>
  <c r="AP59" i="25" s="1"/>
  <c r="AO55" i="25"/>
  <c r="AO59" i="25" s="1"/>
  <c r="AN55" i="25"/>
  <c r="AN59" i="25" s="1"/>
  <c r="AM55" i="25"/>
  <c r="AM59" i="25" s="1"/>
  <c r="AL55" i="25"/>
  <c r="AL59" i="25" s="1"/>
  <c r="AK55" i="25"/>
  <c r="AK59" i="25" s="1"/>
  <c r="AJ55" i="25"/>
  <c r="AJ59" i="25" s="1"/>
  <c r="AI55" i="25"/>
  <c r="AI59" i="25" s="1"/>
  <c r="AH55" i="25"/>
  <c r="AH59" i="25" s="1"/>
  <c r="AG55" i="25"/>
  <c r="AG59" i="25" s="1"/>
  <c r="AF55" i="25"/>
  <c r="AF59" i="25" s="1"/>
  <c r="AE55" i="25"/>
  <c r="AE59" i="25" s="1"/>
  <c r="AD55" i="25"/>
  <c r="AD59" i="25" s="1"/>
  <c r="AC55" i="25"/>
  <c r="AC59" i="25" s="1"/>
  <c r="AB55" i="25"/>
  <c r="AB59" i="25" s="1"/>
  <c r="AA55" i="25"/>
  <c r="AA59" i="25" s="1"/>
  <c r="Z55" i="25"/>
  <c r="Z59" i="25" s="1"/>
  <c r="Y55" i="25"/>
  <c r="Y59" i="25" s="1"/>
  <c r="X55" i="25"/>
  <c r="X59" i="25" s="1"/>
  <c r="W55" i="25"/>
  <c r="W59" i="25" s="1"/>
  <c r="V55" i="25"/>
  <c r="V59" i="25" s="1"/>
  <c r="U55" i="25"/>
  <c r="U59" i="25" s="1"/>
  <c r="T55" i="25"/>
  <c r="T59" i="25" s="1"/>
  <c r="S55" i="25"/>
  <c r="S59" i="25" s="1"/>
  <c r="R55" i="25"/>
  <c r="R59" i="25" s="1"/>
  <c r="R65" i="25"/>
  <c r="X51" i="25"/>
  <c r="U51" i="25"/>
  <c r="R51" i="25"/>
  <c r="AV49" i="25"/>
  <c r="AU49" i="25"/>
  <c r="AT49" i="25"/>
  <c r="AS49" i="25"/>
  <c r="AR49" i="25"/>
  <c r="AQ49" i="25"/>
  <c r="AP49" i="25"/>
  <c r="AO49" i="25"/>
  <c r="AN49" i="25"/>
  <c r="AM49" i="25"/>
  <c r="AL49" i="25"/>
  <c r="AK49" i="25"/>
  <c r="AJ49" i="25"/>
  <c r="AI49" i="25"/>
  <c r="AH49" i="25"/>
  <c r="AG49" i="25"/>
  <c r="AF49" i="25"/>
  <c r="AE49" i="25"/>
  <c r="AD49" i="25"/>
  <c r="AC49" i="25"/>
  <c r="AB49" i="25"/>
  <c r="Z49" i="25"/>
  <c r="Y49" i="25"/>
  <c r="X49" i="25"/>
  <c r="W49" i="25"/>
  <c r="V49" i="25"/>
  <c r="U49" i="25"/>
  <c r="T49" i="25"/>
  <c r="R49" i="25"/>
  <c r="R52" i="25" s="1"/>
  <c r="Y51" i="25"/>
  <c r="Z51" i="25"/>
  <c r="T51" i="25"/>
  <c r="S51" i="25"/>
  <c r="BD64" i="24" l="1"/>
  <c r="BE59" i="24"/>
  <c r="AW30" i="25"/>
  <c r="R33" i="25"/>
  <c r="R38" i="25"/>
  <c r="R42" i="25"/>
  <c r="R21" i="25"/>
  <c r="R25" i="25"/>
  <c r="R29" i="25"/>
  <c r="F32" i="25" l="1"/>
  <c r="F31" i="25"/>
  <c r="F30" i="25"/>
  <c r="F29" i="25"/>
  <c r="F28" i="25"/>
  <c r="F27" i="25"/>
  <c r="F26" i="25"/>
  <c r="F25" i="25"/>
  <c r="F24" i="25"/>
  <c r="F23" i="25"/>
  <c r="F22" i="25"/>
  <c r="F21" i="25"/>
  <c r="F20" i="25"/>
  <c r="F19" i="25"/>
  <c r="F18" i="25"/>
  <c r="F17" i="25"/>
  <c r="F16" i="25"/>
  <c r="F15" i="25"/>
  <c r="F14" i="25"/>
  <c r="F13" i="25"/>
  <c r="F12" i="25"/>
  <c r="F11" i="25"/>
  <c r="F10" i="25"/>
  <c r="F9" i="25"/>
  <c r="F8" i="25"/>
  <c r="F7" i="25"/>
  <c r="F6" i="25"/>
  <c r="F5" i="25"/>
  <c r="F4" i="25"/>
  <c r="F3" i="25"/>
  <c r="BM3" i="29"/>
  <c r="BM4" i="29"/>
  <c r="BM5" i="29"/>
  <c r="BM6" i="29"/>
  <c r="BM7" i="29"/>
  <c r="BM8" i="29"/>
  <c r="BM9" i="29"/>
  <c r="BM10" i="29"/>
  <c r="BM11" i="29"/>
  <c r="BM12" i="29"/>
  <c r="BM13" i="29"/>
  <c r="BM14" i="29"/>
  <c r="BM15" i="29"/>
  <c r="BM16" i="29"/>
  <c r="BM17" i="29"/>
  <c r="BM18" i="29"/>
  <c r="BM19" i="29"/>
  <c r="BM20" i="29"/>
  <c r="BM21" i="29"/>
  <c r="BM22" i="29"/>
  <c r="BM23" i="29"/>
  <c r="BM24" i="29"/>
  <c r="BM25" i="29"/>
  <c r="BM26" i="29"/>
  <c r="BM27" i="29"/>
  <c r="BM28" i="29"/>
  <c r="BM29" i="29"/>
  <c r="BM30" i="29"/>
  <c r="BM31" i="29"/>
  <c r="BM32" i="29"/>
  <c r="BM2" i="29"/>
  <c r="BK3" i="29"/>
  <c r="BK4" i="29"/>
  <c r="BK5" i="29"/>
  <c r="BK6" i="29"/>
  <c r="BK7" i="29"/>
  <c r="BK8" i="29"/>
  <c r="BK9" i="29"/>
  <c r="BK10" i="29"/>
  <c r="BK11" i="29"/>
  <c r="BK12" i="29"/>
  <c r="BK13" i="29"/>
  <c r="BK14" i="29"/>
  <c r="BK15" i="29"/>
  <c r="BK16" i="29"/>
  <c r="BK17" i="29"/>
  <c r="BK18" i="29"/>
  <c r="BK19" i="29"/>
  <c r="BK20" i="29"/>
  <c r="BK21" i="29"/>
  <c r="BK22" i="29"/>
  <c r="BK23" i="29"/>
  <c r="BK24" i="29"/>
  <c r="BK25" i="29"/>
  <c r="BK26" i="29"/>
  <c r="BK27" i="29"/>
  <c r="BK28" i="29"/>
  <c r="BK29" i="29"/>
  <c r="BK30" i="29"/>
  <c r="BK31" i="29"/>
  <c r="BK32" i="29"/>
  <c r="BK2" i="29"/>
  <c r="BL3" i="29"/>
  <c r="BL4" i="29"/>
  <c r="BL5" i="29"/>
  <c r="BL6" i="29"/>
  <c r="BL7" i="29"/>
  <c r="BL8" i="29"/>
  <c r="BL9" i="29"/>
  <c r="BL10" i="29"/>
  <c r="BL11" i="29"/>
  <c r="BL12" i="29"/>
  <c r="BL13" i="29"/>
  <c r="BL14" i="29"/>
  <c r="BL15" i="29"/>
  <c r="BL16" i="29"/>
  <c r="BL17" i="29"/>
  <c r="BL18" i="29"/>
  <c r="BL19" i="29"/>
  <c r="BL20" i="29"/>
  <c r="BL21" i="29"/>
  <c r="BL22" i="29"/>
  <c r="BL23" i="29"/>
  <c r="BL24" i="29"/>
  <c r="BL25" i="29"/>
  <c r="BL26" i="29"/>
  <c r="BL27" i="29"/>
  <c r="BL28" i="29"/>
  <c r="BL29" i="29"/>
  <c r="BL30" i="29"/>
  <c r="BL31" i="29"/>
  <c r="BL32" i="29"/>
  <c r="BL2" i="29"/>
  <c r="AW92" i="25"/>
  <c r="AV120" i="25"/>
  <c r="AU120" i="25"/>
  <c r="BJ31" i="29" s="1"/>
  <c r="BS60" i="29" s="1"/>
  <c r="AT120" i="25"/>
  <c r="BJ30" i="29" s="1"/>
  <c r="BS58" i="29" s="1"/>
  <c r="AS120" i="25"/>
  <c r="BJ29" i="29" s="1"/>
  <c r="BS56" i="29" s="1"/>
  <c r="AR120" i="25"/>
  <c r="BJ28" i="29" s="1"/>
  <c r="BS54" i="29" s="1"/>
  <c r="BJ27" i="29"/>
  <c r="BS52" i="29" s="1"/>
  <c r="BJ26" i="29"/>
  <c r="BS50" i="29" s="1"/>
  <c r="BJ25" i="29"/>
  <c r="BS48" i="29" s="1"/>
  <c r="BJ24" i="29"/>
  <c r="BS46" i="29" s="1"/>
  <c r="BJ23" i="29"/>
  <c r="BS44" i="29" s="1"/>
  <c r="AL120" i="25"/>
  <c r="BJ22" i="29" s="1"/>
  <c r="BS42" i="29" s="1"/>
  <c r="AK120" i="25"/>
  <c r="BJ21" i="29" s="1"/>
  <c r="BS40" i="29" s="1"/>
  <c r="AJ120" i="25"/>
  <c r="BJ20" i="29" s="1"/>
  <c r="BS38" i="29" s="1"/>
  <c r="AI120" i="25"/>
  <c r="BJ19" i="29" s="1"/>
  <c r="BS36" i="29" s="1"/>
  <c r="AH120" i="25"/>
  <c r="BJ18" i="29" s="1"/>
  <c r="BS34" i="29" s="1"/>
  <c r="AG120" i="25"/>
  <c r="BJ17" i="29" s="1"/>
  <c r="BS32" i="29" s="1"/>
  <c r="AF120" i="25"/>
  <c r="BJ16" i="29" s="1"/>
  <c r="BS30" i="29" s="1"/>
  <c r="AE120" i="25"/>
  <c r="BJ15" i="29" s="1"/>
  <c r="BS28" i="29" s="1"/>
  <c r="AD120" i="25"/>
  <c r="BJ14" i="29" s="1"/>
  <c r="BS26" i="29" s="1"/>
  <c r="AC120" i="25"/>
  <c r="BJ13" i="29" s="1"/>
  <c r="BS24" i="29" s="1"/>
  <c r="AB120" i="25"/>
  <c r="BJ12" i="29" s="1"/>
  <c r="BS22" i="29" s="1"/>
  <c r="AA120" i="25"/>
  <c r="BJ11" i="29" s="1"/>
  <c r="BS20" i="29" s="1"/>
  <c r="Z120" i="25"/>
  <c r="BJ10" i="29" s="1"/>
  <c r="BS18" i="29" s="1"/>
  <c r="Y120" i="25"/>
  <c r="BJ9" i="29" s="1"/>
  <c r="BS16" i="29" s="1"/>
  <c r="X120" i="25"/>
  <c r="BJ8" i="29" s="1"/>
  <c r="BS14" i="29" s="1"/>
  <c r="W120" i="25"/>
  <c r="BJ7" i="29" s="1"/>
  <c r="BS12" i="29" s="1"/>
  <c r="V120" i="25"/>
  <c r="BJ6" i="29" s="1"/>
  <c r="BS10" i="29" s="1"/>
  <c r="U120" i="25"/>
  <c r="BJ5" i="29" s="1"/>
  <c r="BS8" i="29" s="1"/>
  <c r="T120" i="25"/>
  <c r="BJ4" i="29" s="1"/>
  <c r="BS6" i="29" s="1"/>
  <c r="S120" i="25"/>
  <c r="BJ3" i="29" s="1"/>
  <c r="BS4" i="29" s="1"/>
  <c r="R120" i="25"/>
  <c r="BJ2" i="29" s="1"/>
  <c r="BS2" i="29" s="1"/>
  <c r="AW117" i="25"/>
  <c r="AG62" i="20"/>
  <c r="AG60" i="20"/>
  <c r="AG58" i="20"/>
  <c r="AG56" i="20"/>
  <c r="AG54" i="20"/>
  <c r="AG52" i="20"/>
  <c r="AG50" i="20"/>
  <c r="AG48" i="20"/>
  <c r="AG46" i="20"/>
  <c r="AG44" i="20"/>
  <c r="AG42" i="20"/>
  <c r="AG40" i="20"/>
  <c r="AG38" i="20"/>
  <c r="AG36" i="20"/>
  <c r="AG34" i="20"/>
  <c r="AG32" i="20"/>
  <c r="AG30" i="20"/>
  <c r="AG28" i="20"/>
  <c r="AG26" i="20"/>
  <c r="AG24" i="20"/>
  <c r="AG22" i="20"/>
  <c r="AG20" i="20"/>
  <c r="AG18" i="20"/>
  <c r="AG16" i="20"/>
  <c r="AG14" i="20"/>
  <c r="AG12" i="20"/>
  <c r="AG10" i="20"/>
  <c r="AG8" i="20"/>
  <c r="AG6" i="20"/>
  <c r="AG4" i="20"/>
  <c r="AG2" i="20"/>
  <c r="AW87" i="25"/>
  <c r="AW86" i="25"/>
  <c r="BJ32" i="29" l="1"/>
  <c r="BS62" i="29" s="1"/>
  <c r="X62" i="26"/>
  <c r="X60" i="26"/>
  <c r="X58" i="26"/>
  <c r="X56" i="26"/>
  <c r="X54" i="26"/>
  <c r="X52" i="26"/>
  <c r="X50" i="26"/>
  <c r="X48" i="26"/>
  <c r="X46" i="26"/>
  <c r="X44" i="26"/>
  <c r="X42" i="26"/>
  <c r="X40" i="26"/>
  <c r="X38" i="26"/>
  <c r="X36" i="26"/>
  <c r="X34" i="26"/>
  <c r="X32" i="26"/>
  <c r="X30" i="26"/>
  <c r="X28" i="26"/>
  <c r="X26" i="26"/>
  <c r="X24" i="26"/>
  <c r="X22" i="26"/>
  <c r="X20" i="26"/>
  <c r="X18" i="26"/>
  <c r="X16" i="26"/>
  <c r="X14" i="26"/>
  <c r="X12" i="26"/>
  <c r="X10" i="26"/>
  <c r="X8" i="26"/>
  <c r="X6" i="26"/>
  <c r="X4" i="26"/>
  <c r="X2" i="26"/>
  <c r="AX33" i="29" l="1"/>
  <c r="AW3" i="29"/>
  <c r="AW4" i="29"/>
  <c r="AW5" i="29"/>
  <c r="AW6" i="29"/>
  <c r="AW7" i="29"/>
  <c r="AW8" i="29"/>
  <c r="AW9" i="29"/>
  <c r="AW10" i="29"/>
  <c r="AW11" i="29"/>
  <c r="AW12" i="29"/>
  <c r="AW13" i="29"/>
  <c r="AW14" i="29"/>
  <c r="AW15" i="29"/>
  <c r="AW16" i="29"/>
  <c r="AW17" i="29"/>
  <c r="AW18" i="29"/>
  <c r="AW19" i="29"/>
  <c r="AW20" i="29"/>
  <c r="AW21" i="29"/>
  <c r="AW22" i="29"/>
  <c r="AW23" i="29"/>
  <c r="AW24" i="29"/>
  <c r="AW25" i="29"/>
  <c r="AW26" i="29"/>
  <c r="AW27" i="29"/>
  <c r="AW28" i="29"/>
  <c r="AW29" i="29"/>
  <c r="AW30" i="29"/>
  <c r="AW31" i="29"/>
  <c r="AW32" i="29"/>
  <c r="AW2" i="29"/>
  <c r="AV3" i="29"/>
  <c r="AV4" i="29"/>
  <c r="AV5" i="29"/>
  <c r="AV6" i="29"/>
  <c r="AV7" i="29"/>
  <c r="AV8" i="29"/>
  <c r="AV9" i="29"/>
  <c r="AV10" i="29"/>
  <c r="AV11" i="29"/>
  <c r="AV12" i="29"/>
  <c r="AV13" i="29"/>
  <c r="AV14" i="29"/>
  <c r="AV15" i="29"/>
  <c r="AV16" i="29"/>
  <c r="AV17" i="29"/>
  <c r="AV18" i="29"/>
  <c r="AV19" i="29"/>
  <c r="AV20" i="29"/>
  <c r="AV21" i="29"/>
  <c r="AV22" i="29"/>
  <c r="AV23" i="29"/>
  <c r="AV24" i="29"/>
  <c r="AV25" i="29"/>
  <c r="AV26" i="29"/>
  <c r="AV27" i="29"/>
  <c r="AV28" i="29"/>
  <c r="AV29" i="29"/>
  <c r="AV30" i="29"/>
  <c r="AV31" i="29"/>
  <c r="AV32" i="29"/>
  <c r="AV2" i="29"/>
  <c r="AU3" i="29"/>
  <c r="AU4" i="29"/>
  <c r="AU5" i="29"/>
  <c r="AU6" i="29"/>
  <c r="AU7" i="29"/>
  <c r="AU8" i="29"/>
  <c r="AU9" i="29"/>
  <c r="AU10" i="29"/>
  <c r="AU11" i="29"/>
  <c r="AU12" i="29"/>
  <c r="AU13" i="29"/>
  <c r="AU14" i="29"/>
  <c r="AU15" i="29"/>
  <c r="AU16" i="29"/>
  <c r="AU17" i="29"/>
  <c r="AU18" i="29"/>
  <c r="AU19" i="29"/>
  <c r="AU20" i="29"/>
  <c r="AU21" i="29"/>
  <c r="AU22" i="29"/>
  <c r="AU23" i="29"/>
  <c r="AU24" i="29"/>
  <c r="AU25" i="29"/>
  <c r="AU26" i="29"/>
  <c r="AU27" i="29"/>
  <c r="AU28" i="29"/>
  <c r="AU29" i="29"/>
  <c r="AU30" i="29"/>
  <c r="AU31" i="29"/>
  <c r="AU32" i="29"/>
  <c r="AU2" i="29"/>
  <c r="AG3" i="29"/>
  <c r="AG4" i="29"/>
  <c r="AG5" i="29"/>
  <c r="AG6" i="29"/>
  <c r="AG7" i="29"/>
  <c r="AG8" i="29"/>
  <c r="AG9" i="29"/>
  <c r="AG10" i="29"/>
  <c r="AG11" i="29"/>
  <c r="AG12" i="29"/>
  <c r="AG13" i="29"/>
  <c r="AG14" i="29"/>
  <c r="AG15" i="29"/>
  <c r="AG16" i="29"/>
  <c r="AG17" i="29"/>
  <c r="AG18" i="29"/>
  <c r="AG19" i="29"/>
  <c r="AG20" i="29"/>
  <c r="AG21" i="29"/>
  <c r="AG22" i="29"/>
  <c r="AG23" i="29"/>
  <c r="AG24" i="29"/>
  <c r="AG25" i="29"/>
  <c r="AG26" i="29"/>
  <c r="AG27" i="29"/>
  <c r="AG28" i="29"/>
  <c r="AG29" i="29"/>
  <c r="AG30" i="29"/>
  <c r="AG31" i="29"/>
  <c r="AG32" i="29"/>
  <c r="AG2" i="29"/>
  <c r="AF3" i="29"/>
  <c r="AF4" i="29"/>
  <c r="AF5" i="29"/>
  <c r="AF6" i="29"/>
  <c r="AF7" i="29"/>
  <c r="AF8" i="29"/>
  <c r="AF9" i="29"/>
  <c r="AF10" i="29"/>
  <c r="AF11" i="29"/>
  <c r="AF12" i="29"/>
  <c r="AF13" i="29"/>
  <c r="AF14" i="29"/>
  <c r="AF15" i="29"/>
  <c r="AF16" i="29"/>
  <c r="AF17" i="29"/>
  <c r="AF18" i="29"/>
  <c r="AF19" i="29"/>
  <c r="AF20" i="29"/>
  <c r="AF21" i="29"/>
  <c r="AF22" i="29"/>
  <c r="AF23" i="29"/>
  <c r="AF24" i="29"/>
  <c r="AF25" i="29"/>
  <c r="AF26" i="29"/>
  <c r="AF27" i="29"/>
  <c r="AF28" i="29"/>
  <c r="AF29" i="29"/>
  <c r="AF30" i="29"/>
  <c r="AF31" i="29"/>
  <c r="AF32" i="29"/>
  <c r="AF2" i="29"/>
  <c r="AE3" i="29"/>
  <c r="AE4" i="29"/>
  <c r="AE5" i="29"/>
  <c r="AE6" i="29"/>
  <c r="AE7" i="29"/>
  <c r="AE8" i="29"/>
  <c r="AE9" i="29"/>
  <c r="AE10" i="29"/>
  <c r="AE11" i="29"/>
  <c r="AE12" i="29"/>
  <c r="AE13" i="29"/>
  <c r="AE14" i="29"/>
  <c r="AE15" i="29"/>
  <c r="AE16" i="29"/>
  <c r="AE17" i="29"/>
  <c r="AE18" i="29"/>
  <c r="AE19" i="29"/>
  <c r="AE20" i="29"/>
  <c r="AE21" i="29"/>
  <c r="AE22" i="29"/>
  <c r="AE23" i="29"/>
  <c r="AE24" i="29"/>
  <c r="AE25" i="29"/>
  <c r="AE26" i="29"/>
  <c r="AE27" i="29"/>
  <c r="AE28" i="29"/>
  <c r="AE29" i="29"/>
  <c r="AE30" i="29"/>
  <c r="AE31" i="29"/>
  <c r="AE32" i="29"/>
  <c r="AE2" i="29"/>
  <c r="Q3" i="29"/>
  <c r="Q4" i="29"/>
  <c r="Q5" i="29"/>
  <c r="Q6" i="29"/>
  <c r="Q7" i="29"/>
  <c r="Q8" i="29"/>
  <c r="Q9" i="29"/>
  <c r="Q10" i="29"/>
  <c r="Q11" i="29"/>
  <c r="Q12" i="29"/>
  <c r="Q13" i="29"/>
  <c r="Q14" i="29"/>
  <c r="Q15" i="29"/>
  <c r="Q16" i="29"/>
  <c r="Q17" i="29"/>
  <c r="Q18" i="29"/>
  <c r="Q19" i="29"/>
  <c r="Q20" i="29"/>
  <c r="Q21" i="29"/>
  <c r="Q22" i="29"/>
  <c r="Q23" i="29"/>
  <c r="Q24" i="29"/>
  <c r="Q25" i="29"/>
  <c r="Q26" i="29"/>
  <c r="Q27" i="29"/>
  <c r="Q28" i="29"/>
  <c r="Q29" i="29"/>
  <c r="Q30" i="29"/>
  <c r="Q31" i="29"/>
  <c r="Q32" i="29"/>
  <c r="Q2" i="29"/>
  <c r="P3" i="29"/>
  <c r="P4" i="29"/>
  <c r="P5" i="29"/>
  <c r="P6" i="29"/>
  <c r="P7" i="29"/>
  <c r="P8" i="29"/>
  <c r="P9" i="29"/>
  <c r="P10" i="29"/>
  <c r="P11" i="29"/>
  <c r="P12" i="29"/>
  <c r="P13" i="29"/>
  <c r="P14" i="29"/>
  <c r="P15" i="29"/>
  <c r="P16" i="29"/>
  <c r="P17" i="29"/>
  <c r="P18" i="29"/>
  <c r="P19" i="29"/>
  <c r="P20" i="29"/>
  <c r="P21" i="29"/>
  <c r="P22" i="29"/>
  <c r="P23" i="29"/>
  <c r="P24" i="29"/>
  <c r="P25" i="29"/>
  <c r="P26" i="29"/>
  <c r="P27" i="29"/>
  <c r="P28" i="29"/>
  <c r="P29" i="29"/>
  <c r="P30" i="29"/>
  <c r="P31" i="29"/>
  <c r="P32" i="29"/>
  <c r="P2" i="29"/>
  <c r="H62" i="29"/>
  <c r="H60" i="29"/>
  <c r="H58" i="29"/>
  <c r="H56" i="29"/>
  <c r="H54" i="29"/>
  <c r="H52" i="29"/>
  <c r="H53" i="29" s="1"/>
  <c r="H50" i="29"/>
  <c r="H48" i="29"/>
  <c r="H49" i="29" s="1"/>
  <c r="H46" i="29"/>
  <c r="H44" i="29"/>
  <c r="H42" i="29"/>
  <c r="H40" i="29"/>
  <c r="H41" i="29" s="1"/>
  <c r="H38" i="29"/>
  <c r="H36" i="29"/>
  <c r="H37" i="29" s="1"/>
  <c r="H34" i="29"/>
  <c r="H32" i="29"/>
  <c r="H33" i="29" s="1"/>
  <c r="H30" i="29"/>
  <c r="H28" i="29"/>
  <c r="H26" i="29"/>
  <c r="H24" i="29"/>
  <c r="H22" i="29"/>
  <c r="H20" i="29"/>
  <c r="H18" i="29"/>
  <c r="H16" i="29"/>
  <c r="H17" i="29" s="1"/>
  <c r="H14" i="29"/>
  <c r="H12" i="29"/>
  <c r="H10" i="29"/>
  <c r="H8" i="29"/>
  <c r="H6" i="29"/>
  <c r="H4" i="29"/>
  <c r="H5" i="29" s="1"/>
  <c r="H2" i="29"/>
  <c r="B3" i="29"/>
  <c r="I4" i="29" s="1"/>
  <c r="B4" i="29"/>
  <c r="I6" i="29" s="1"/>
  <c r="B5" i="29"/>
  <c r="I8" i="29" s="1"/>
  <c r="B6" i="29"/>
  <c r="I10" i="29" s="1"/>
  <c r="B7" i="29"/>
  <c r="I12" i="29" s="1"/>
  <c r="B8" i="29"/>
  <c r="I14" i="29" s="1"/>
  <c r="B9" i="29"/>
  <c r="I16" i="29" s="1"/>
  <c r="B10" i="29"/>
  <c r="I18" i="29" s="1"/>
  <c r="B11" i="29"/>
  <c r="I20" i="29" s="1"/>
  <c r="B12" i="29"/>
  <c r="I22" i="29" s="1"/>
  <c r="B13" i="29"/>
  <c r="I24" i="29" s="1"/>
  <c r="B14" i="29"/>
  <c r="I26" i="29" s="1"/>
  <c r="B15" i="29"/>
  <c r="I28" i="29" s="1"/>
  <c r="B16" i="29"/>
  <c r="I30" i="29" s="1"/>
  <c r="B17" i="29"/>
  <c r="I32" i="29" s="1"/>
  <c r="B18" i="29"/>
  <c r="I34" i="29" s="1"/>
  <c r="B19" i="29"/>
  <c r="I36" i="29" s="1"/>
  <c r="B20" i="29"/>
  <c r="I38" i="29" s="1"/>
  <c r="B21" i="29"/>
  <c r="I40" i="29" s="1"/>
  <c r="B22" i="29"/>
  <c r="I42" i="29" s="1"/>
  <c r="B23" i="29"/>
  <c r="I44" i="29" s="1"/>
  <c r="B24" i="29"/>
  <c r="I46" i="29" s="1"/>
  <c r="B25" i="29"/>
  <c r="I48" i="29" s="1"/>
  <c r="B26" i="29"/>
  <c r="I50" i="29" s="1"/>
  <c r="B27" i="29"/>
  <c r="I52" i="29" s="1"/>
  <c r="B28" i="29"/>
  <c r="I54" i="29" s="1"/>
  <c r="B29" i="29"/>
  <c r="I56" i="29" s="1"/>
  <c r="B30" i="29"/>
  <c r="I58" i="29" s="1"/>
  <c r="B31" i="29"/>
  <c r="I60" i="29" s="1"/>
  <c r="B32" i="29"/>
  <c r="I62" i="29" s="1"/>
  <c r="B2" i="29"/>
  <c r="I2" i="29" s="1"/>
  <c r="H63" i="29"/>
  <c r="H61" i="29"/>
  <c r="H59" i="29"/>
  <c r="H57" i="29"/>
  <c r="H55" i="29"/>
  <c r="H51" i="29"/>
  <c r="H47" i="29"/>
  <c r="H45" i="29"/>
  <c r="H43" i="29"/>
  <c r="H39" i="29"/>
  <c r="H35" i="29"/>
  <c r="CA32" i="29"/>
  <c r="BZ32" i="29"/>
  <c r="BY32" i="29"/>
  <c r="CA31" i="29"/>
  <c r="BZ31" i="29"/>
  <c r="BY31" i="29"/>
  <c r="BT61" i="29"/>
  <c r="CA30" i="29"/>
  <c r="BZ30" i="29"/>
  <c r="BY30" i="29"/>
  <c r="BT59" i="29"/>
  <c r="H31" i="29"/>
  <c r="CA29" i="29"/>
  <c r="BZ29" i="29"/>
  <c r="BY29" i="29"/>
  <c r="BT57" i="29"/>
  <c r="CA28" i="29"/>
  <c r="BZ28" i="29"/>
  <c r="BY28" i="29"/>
  <c r="BT55" i="29"/>
  <c r="H29" i="29"/>
  <c r="CB27" i="29"/>
  <c r="CH52" i="29" s="1"/>
  <c r="CI53" i="29" s="1"/>
  <c r="CA27" i="29"/>
  <c r="BZ27" i="29"/>
  <c r="BY27" i="29"/>
  <c r="BT53" i="29"/>
  <c r="CB26" i="29"/>
  <c r="CH50" i="29" s="1"/>
  <c r="CI51" i="29" s="1"/>
  <c r="CA26" i="29"/>
  <c r="BZ26" i="29"/>
  <c r="BY26" i="29"/>
  <c r="BT51" i="29"/>
  <c r="H27" i="29"/>
  <c r="CB25" i="29"/>
  <c r="CH48" i="29" s="1"/>
  <c r="CI49" i="29" s="1"/>
  <c r="CA25" i="29"/>
  <c r="BZ25" i="29"/>
  <c r="BY25" i="29"/>
  <c r="BT49" i="29"/>
  <c r="CB24" i="29"/>
  <c r="CH46" i="29" s="1"/>
  <c r="CI47" i="29" s="1"/>
  <c r="CA24" i="29"/>
  <c r="BZ24" i="29"/>
  <c r="BY24" i="29"/>
  <c r="BT47" i="29"/>
  <c r="H25" i="29"/>
  <c r="CB23" i="29"/>
  <c r="CH44" i="29" s="1"/>
  <c r="CI45" i="29" s="1"/>
  <c r="CA23" i="29"/>
  <c r="BZ23" i="29"/>
  <c r="BY23" i="29"/>
  <c r="BT45" i="29"/>
  <c r="CA22" i="29"/>
  <c r="BZ22" i="29"/>
  <c r="BY22" i="29"/>
  <c r="BT43" i="29"/>
  <c r="H23" i="29"/>
  <c r="CA21" i="29"/>
  <c r="BZ21" i="29"/>
  <c r="BY21" i="29"/>
  <c r="BT41" i="29"/>
  <c r="CA20" i="29"/>
  <c r="BZ20" i="29"/>
  <c r="BY20" i="29"/>
  <c r="BT39" i="29"/>
  <c r="H21" i="29"/>
  <c r="CA19" i="29"/>
  <c r="BZ19" i="29"/>
  <c r="BY19" i="29"/>
  <c r="BT37" i="29"/>
  <c r="CA18" i="29"/>
  <c r="BZ18" i="29"/>
  <c r="BY18" i="29"/>
  <c r="BT35" i="29"/>
  <c r="H19" i="29"/>
  <c r="CA17" i="29"/>
  <c r="BZ17" i="29"/>
  <c r="BY17" i="29"/>
  <c r="BT33" i="29"/>
  <c r="CA16" i="29"/>
  <c r="BZ16" i="29"/>
  <c r="BY16" i="29"/>
  <c r="BT31" i="29"/>
  <c r="CA15" i="29"/>
  <c r="BZ15" i="29"/>
  <c r="BY15" i="29"/>
  <c r="BT29" i="29"/>
  <c r="H15" i="29"/>
  <c r="CA14" i="29"/>
  <c r="BZ14" i="29"/>
  <c r="BY14" i="29"/>
  <c r="BT27" i="29"/>
  <c r="CA13" i="29"/>
  <c r="BZ13" i="29"/>
  <c r="BY13" i="29"/>
  <c r="BT25" i="29"/>
  <c r="CA12" i="29"/>
  <c r="BZ12" i="29"/>
  <c r="BY12" i="29"/>
  <c r="BT23" i="29"/>
  <c r="H13" i="29"/>
  <c r="CA11" i="29"/>
  <c r="BZ11" i="29"/>
  <c r="BY11" i="29"/>
  <c r="BT21" i="29"/>
  <c r="CA10" i="29"/>
  <c r="BZ10" i="29"/>
  <c r="BY10" i="29"/>
  <c r="BT19" i="29"/>
  <c r="H11" i="29"/>
  <c r="CA9" i="29"/>
  <c r="BZ9" i="29"/>
  <c r="BY9" i="29"/>
  <c r="BT17" i="29"/>
  <c r="CA8" i="29"/>
  <c r="BZ8" i="29"/>
  <c r="BY8" i="29"/>
  <c r="BT15" i="29"/>
  <c r="H9" i="29"/>
  <c r="CA7" i="29"/>
  <c r="BZ7" i="29"/>
  <c r="BY7" i="29"/>
  <c r="BT13" i="29"/>
  <c r="CA6" i="29"/>
  <c r="BZ6" i="29"/>
  <c r="BY6" i="29"/>
  <c r="BT11" i="29"/>
  <c r="H7" i="29"/>
  <c r="CA5" i="29"/>
  <c r="BZ5" i="29"/>
  <c r="BY5" i="29"/>
  <c r="BT9" i="29"/>
  <c r="CA4" i="29"/>
  <c r="BZ4" i="29"/>
  <c r="BY4" i="29"/>
  <c r="BT7" i="29"/>
  <c r="CA3" i="29"/>
  <c r="BZ3" i="29"/>
  <c r="BY3" i="29"/>
  <c r="BT5" i="29"/>
  <c r="CB2" i="29"/>
  <c r="CA2" i="29"/>
  <c r="BZ2" i="29"/>
  <c r="BY2" i="29"/>
  <c r="H3" i="29"/>
  <c r="AV116" i="25"/>
  <c r="AU116" i="25"/>
  <c r="AT116" i="25"/>
  <c r="AS116" i="25"/>
  <c r="AR116" i="25"/>
  <c r="AL116" i="25"/>
  <c r="AK116" i="25"/>
  <c r="AJ116" i="25"/>
  <c r="AI116" i="25"/>
  <c r="AH116" i="25"/>
  <c r="AG116" i="25"/>
  <c r="AF116" i="25"/>
  <c r="AE116" i="25"/>
  <c r="AD116" i="25"/>
  <c r="AC116" i="25"/>
  <c r="AB116" i="25"/>
  <c r="AA116" i="25"/>
  <c r="Z116" i="25"/>
  <c r="Y116" i="25"/>
  <c r="X116" i="25"/>
  <c r="W116" i="25"/>
  <c r="V116" i="25"/>
  <c r="U116" i="25"/>
  <c r="T116" i="25"/>
  <c r="S116" i="25"/>
  <c r="R116" i="25"/>
  <c r="AW113" i="25"/>
  <c r="AV112" i="25"/>
  <c r="AU112" i="25"/>
  <c r="AT112" i="25"/>
  <c r="AS112" i="25"/>
  <c r="AR112" i="25"/>
  <c r="AL112" i="25"/>
  <c r="AK112" i="25"/>
  <c r="AJ112" i="25"/>
  <c r="AI112" i="25"/>
  <c r="AH112" i="25"/>
  <c r="AG112" i="25"/>
  <c r="AF112" i="25"/>
  <c r="AE112" i="25"/>
  <c r="AD112" i="25"/>
  <c r="AC112" i="25"/>
  <c r="AB112" i="25"/>
  <c r="AA112" i="25"/>
  <c r="Z112" i="25"/>
  <c r="Y112" i="25"/>
  <c r="X112" i="25"/>
  <c r="W112" i="25"/>
  <c r="V112" i="25"/>
  <c r="U112" i="25"/>
  <c r="T112" i="25"/>
  <c r="S112" i="25"/>
  <c r="R112" i="25"/>
  <c r="AW109" i="25"/>
  <c r="AV108" i="25"/>
  <c r="AU108" i="25"/>
  <c r="AT108" i="25"/>
  <c r="AS108" i="25"/>
  <c r="AR108" i="25"/>
  <c r="AL108" i="25"/>
  <c r="AK108" i="25"/>
  <c r="AJ108" i="25"/>
  <c r="AI108" i="25"/>
  <c r="AH108" i="25"/>
  <c r="AG108" i="25"/>
  <c r="AF108" i="25"/>
  <c r="AE108" i="25"/>
  <c r="AD108" i="25"/>
  <c r="AC108" i="25"/>
  <c r="AB108" i="25"/>
  <c r="AA108" i="25"/>
  <c r="Z108" i="25"/>
  <c r="Y108" i="25"/>
  <c r="X108" i="25"/>
  <c r="W108" i="25"/>
  <c r="V108" i="25"/>
  <c r="U108" i="25"/>
  <c r="T108" i="25"/>
  <c r="S108" i="25"/>
  <c r="R108" i="25"/>
  <c r="AW105" i="25"/>
  <c r="AV104" i="25"/>
  <c r="AX32" i="29" s="1"/>
  <c r="BD62" i="29" s="1"/>
  <c r="AU104" i="25"/>
  <c r="AX31" i="29" s="1"/>
  <c r="BD60" i="29" s="1"/>
  <c r="AT104" i="25"/>
  <c r="AX30" i="29" s="1"/>
  <c r="BD58" i="29" s="1"/>
  <c r="AS104" i="25"/>
  <c r="AX29" i="29" s="1"/>
  <c r="BD56" i="29" s="1"/>
  <c r="AR104" i="25"/>
  <c r="AX28" i="29" s="1"/>
  <c r="BD54" i="29" s="1"/>
  <c r="AX27" i="29"/>
  <c r="BD52" i="29" s="1"/>
  <c r="AX26" i="29"/>
  <c r="BD50" i="29" s="1"/>
  <c r="AX25" i="29"/>
  <c r="BD48" i="29" s="1"/>
  <c r="AX24" i="29"/>
  <c r="BD46" i="29" s="1"/>
  <c r="AX23" i="29"/>
  <c r="BD44" i="29" s="1"/>
  <c r="AL104" i="25"/>
  <c r="AX22" i="29" s="1"/>
  <c r="BD42" i="29" s="1"/>
  <c r="AK104" i="25"/>
  <c r="AX21" i="29" s="1"/>
  <c r="BD40" i="29" s="1"/>
  <c r="AJ104" i="25"/>
  <c r="AX20" i="29" s="1"/>
  <c r="BD38" i="29" s="1"/>
  <c r="AI104" i="25"/>
  <c r="AX19" i="29" s="1"/>
  <c r="BD36" i="29" s="1"/>
  <c r="AH104" i="25"/>
  <c r="AX18" i="29" s="1"/>
  <c r="BD34" i="29" s="1"/>
  <c r="AG104" i="25"/>
  <c r="AX17" i="29" s="1"/>
  <c r="BD32" i="29" s="1"/>
  <c r="AF104" i="25"/>
  <c r="AX16" i="29" s="1"/>
  <c r="BD30" i="29" s="1"/>
  <c r="AE104" i="25"/>
  <c r="AX15" i="29" s="1"/>
  <c r="BD28" i="29" s="1"/>
  <c r="AD104" i="25"/>
  <c r="AX14" i="29" s="1"/>
  <c r="BD26" i="29" s="1"/>
  <c r="AC104" i="25"/>
  <c r="AX13" i="29" s="1"/>
  <c r="BD24" i="29" s="1"/>
  <c r="AB104" i="25"/>
  <c r="AX12" i="29" s="1"/>
  <c r="BD22" i="29" s="1"/>
  <c r="AA104" i="25"/>
  <c r="AX11" i="29" s="1"/>
  <c r="BD20" i="29" s="1"/>
  <c r="Z104" i="25"/>
  <c r="AX10" i="29" s="1"/>
  <c r="BD18" i="29" s="1"/>
  <c r="Y104" i="25"/>
  <c r="AX9" i="29" s="1"/>
  <c r="BD16" i="29" s="1"/>
  <c r="X104" i="25"/>
  <c r="AX8" i="29" s="1"/>
  <c r="BD14" i="29" s="1"/>
  <c r="W104" i="25"/>
  <c r="AX7" i="29" s="1"/>
  <c r="BD12" i="29" s="1"/>
  <c r="V104" i="25"/>
  <c r="AX6" i="29" s="1"/>
  <c r="BD10" i="29" s="1"/>
  <c r="U104" i="25"/>
  <c r="AX5" i="29" s="1"/>
  <c r="BD8" i="29" s="1"/>
  <c r="T104" i="25"/>
  <c r="AX4" i="29" s="1"/>
  <c r="BD6" i="29" s="1"/>
  <c r="S104" i="25"/>
  <c r="AX3" i="29" s="1"/>
  <c r="BD4" i="29" s="1"/>
  <c r="AX2" i="29"/>
  <c r="BD2" i="29" s="1"/>
  <c r="AW101" i="25"/>
  <c r="AV100" i="25"/>
  <c r="AU100" i="25"/>
  <c r="AH31" i="29" s="1"/>
  <c r="AN60" i="29" s="1"/>
  <c r="AT100" i="25"/>
  <c r="AH30" i="29" s="1"/>
  <c r="AN58" i="29" s="1"/>
  <c r="AS100" i="25"/>
  <c r="AH29" i="29" s="1"/>
  <c r="AN56" i="29" s="1"/>
  <c r="AR100" i="25"/>
  <c r="AH28" i="29" s="1"/>
  <c r="AN54" i="29" s="1"/>
  <c r="AH27" i="29"/>
  <c r="AN52" i="29" s="1"/>
  <c r="AH26" i="29"/>
  <c r="AN50" i="29" s="1"/>
  <c r="AH25" i="29"/>
  <c r="AN48" i="29" s="1"/>
  <c r="AH24" i="29"/>
  <c r="AN46" i="29" s="1"/>
  <c r="AH23" i="29"/>
  <c r="AN44" i="29" s="1"/>
  <c r="AL100" i="25"/>
  <c r="AH22" i="29" s="1"/>
  <c r="AN42" i="29" s="1"/>
  <c r="AK100" i="25"/>
  <c r="AH21" i="29" s="1"/>
  <c r="AN40" i="29" s="1"/>
  <c r="AJ100" i="25"/>
  <c r="AH20" i="29" s="1"/>
  <c r="AN38" i="29" s="1"/>
  <c r="AI100" i="25"/>
  <c r="AH19" i="29" s="1"/>
  <c r="AN36" i="29" s="1"/>
  <c r="AH100" i="25"/>
  <c r="AH18" i="29" s="1"/>
  <c r="AN34" i="29" s="1"/>
  <c r="AG100" i="25"/>
  <c r="AH17" i="29" s="1"/>
  <c r="AN32" i="29" s="1"/>
  <c r="AF100" i="25"/>
  <c r="AH16" i="29" s="1"/>
  <c r="AN30" i="29" s="1"/>
  <c r="AE100" i="25"/>
  <c r="AH15" i="29" s="1"/>
  <c r="AN28" i="29" s="1"/>
  <c r="AD100" i="25"/>
  <c r="AH14" i="29" s="1"/>
  <c r="AN26" i="29" s="1"/>
  <c r="AC100" i="25"/>
  <c r="AH13" i="29" s="1"/>
  <c r="AN24" i="29" s="1"/>
  <c r="AB100" i="25"/>
  <c r="AH12" i="29" s="1"/>
  <c r="AN22" i="29" s="1"/>
  <c r="AA100" i="25"/>
  <c r="AH11" i="29" s="1"/>
  <c r="AN20" i="29" s="1"/>
  <c r="Z100" i="25"/>
  <c r="AH10" i="29" s="1"/>
  <c r="AN18" i="29" s="1"/>
  <c r="Y100" i="25"/>
  <c r="AH9" i="29" s="1"/>
  <c r="AN16" i="29" s="1"/>
  <c r="X100" i="25"/>
  <c r="AH8" i="29" s="1"/>
  <c r="AN14" i="29" s="1"/>
  <c r="W100" i="25"/>
  <c r="AH7" i="29" s="1"/>
  <c r="AN12" i="29" s="1"/>
  <c r="V100" i="25"/>
  <c r="AH6" i="29" s="1"/>
  <c r="AN10" i="29" s="1"/>
  <c r="U100" i="25"/>
  <c r="AH5" i="29" s="1"/>
  <c r="AN8" i="29" s="1"/>
  <c r="T100" i="25"/>
  <c r="AH4" i="29" s="1"/>
  <c r="AN6" i="29" s="1"/>
  <c r="S100" i="25"/>
  <c r="AH3" i="29" s="1"/>
  <c r="AN4" i="29" s="1"/>
  <c r="AW97" i="25"/>
  <c r="AV96" i="25"/>
  <c r="O32" i="29" s="1"/>
  <c r="X62" i="29" s="1"/>
  <c r="AU96" i="25"/>
  <c r="O31" i="29" s="1"/>
  <c r="X60" i="29" s="1"/>
  <c r="AT96" i="25"/>
  <c r="O30" i="29" s="1"/>
  <c r="X58" i="29" s="1"/>
  <c r="AS96" i="25"/>
  <c r="O29" i="29" s="1"/>
  <c r="X56" i="29" s="1"/>
  <c r="AR96" i="25"/>
  <c r="O28" i="29" s="1"/>
  <c r="X54" i="29" s="1"/>
  <c r="O27" i="29"/>
  <c r="X52" i="29" s="1"/>
  <c r="O26" i="29"/>
  <c r="X50" i="29" s="1"/>
  <c r="O25" i="29"/>
  <c r="X48" i="29" s="1"/>
  <c r="O24" i="29"/>
  <c r="X46" i="29" s="1"/>
  <c r="O23" i="29"/>
  <c r="X44" i="29" s="1"/>
  <c r="AL96" i="25"/>
  <c r="O22" i="29" s="1"/>
  <c r="X42" i="29" s="1"/>
  <c r="AK96" i="25"/>
  <c r="O21" i="29" s="1"/>
  <c r="X40" i="29" s="1"/>
  <c r="AJ96" i="25"/>
  <c r="O20" i="29" s="1"/>
  <c r="X38" i="29" s="1"/>
  <c r="AI96" i="25"/>
  <c r="O19" i="29" s="1"/>
  <c r="X36" i="29" s="1"/>
  <c r="AH96" i="25"/>
  <c r="O18" i="29" s="1"/>
  <c r="X34" i="29" s="1"/>
  <c r="AG96" i="25"/>
  <c r="O17" i="29" s="1"/>
  <c r="X32" i="29" s="1"/>
  <c r="AF96" i="25"/>
  <c r="O16" i="29" s="1"/>
  <c r="X30" i="29" s="1"/>
  <c r="AE96" i="25"/>
  <c r="O15" i="29" s="1"/>
  <c r="X28" i="29" s="1"/>
  <c r="AD96" i="25"/>
  <c r="O14" i="29" s="1"/>
  <c r="X26" i="29" s="1"/>
  <c r="AC96" i="25"/>
  <c r="O13" i="29" s="1"/>
  <c r="X24" i="29" s="1"/>
  <c r="AB96" i="25"/>
  <c r="O12" i="29" s="1"/>
  <c r="X22" i="29" s="1"/>
  <c r="AA96" i="25"/>
  <c r="O11" i="29" s="1"/>
  <c r="X20" i="29" s="1"/>
  <c r="Z96" i="25"/>
  <c r="O10" i="29" s="1"/>
  <c r="X18" i="29" s="1"/>
  <c r="Y96" i="25"/>
  <c r="O9" i="29" s="1"/>
  <c r="X16" i="29" s="1"/>
  <c r="X96" i="25"/>
  <c r="O8" i="29" s="1"/>
  <c r="X14" i="29" s="1"/>
  <c r="W96" i="25"/>
  <c r="O7" i="29" s="1"/>
  <c r="X12" i="29" s="1"/>
  <c r="V96" i="25"/>
  <c r="O6" i="29" s="1"/>
  <c r="X10" i="29" s="1"/>
  <c r="U96" i="25"/>
  <c r="O5" i="29" s="1"/>
  <c r="X8" i="29" s="1"/>
  <c r="T96" i="25"/>
  <c r="O4" i="29" s="1"/>
  <c r="X6" i="29" s="1"/>
  <c r="S96" i="25"/>
  <c r="O3" i="29" s="1"/>
  <c r="X4" i="29" s="1"/>
  <c r="O2" i="29"/>
  <c r="AW93" i="25"/>
  <c r="AH32" i="29" l="1"/>
  <c r="AN62" i="29" s="1"/>
  <c r="AH2" i="29"/>
  <c r="AN2" i="29" s="1"/>
  <c r="J35" i="29"/>
  <c r="J3" i="29"/>
  <c r="J49" i="29"/>
  <c r="J33" i="29"/>
  <c r="J17" i="29"/>
  <c r="J63" i="29"/>
  <c r="J47" i="29"/>
  <c r="J31" i="29"/>
  <c r="J15" i="29"/>
  <c r="J61" i="29"/>
  <c r="J45" i="29"/>
  <c r="J29" i="29"/>
  <c r="J13" i="29"/>
  <c r="J11" i="29"/>
  <c r="J51" i="29"/>
  <c r="J59" i="29"/>
  <c r="J43" i="29"/>
  <c r="J27" i="29"/>
  <c r="J57" i="29"/>
  <c r="J41" i="29"/>
  <c r="J25" i="29"/>
  <c r="J9" i="29"/>
  <c r="J55" i="29"/>
  <c r="J39" i="29"/>
  <c r="J23" i="29"/>
  <c r="J7" i="29"/>
  <c r="J19" i="29"/>
  <c r="J53" i="29"/>
  <c r="J37" i="29"/>
  <c r="J21" i="29"/>
  <c r="J5" i="29"/>
  <c r="BR50" i="29"/>
  <c r="BR52" i="29"/>
  <c r="BR6" i="29"/>
  <c r="BR8" i="29"/>
  <c r="BR42" i="29"/>
  <c r="BR10" i="29"/>
  <c r="BR28" i="29"/>
  <c r="BR30" i="29"/>
  <c r="BR32" i="29"/>
  <c r="BR16" i="29"/>
  <c r="W22" i="29"/>
  <c r="W6" i="29"/>
  <c r="AM2" i="29"/>
  <c r="AM48" i="29"/>
  <c r="AM32" i="29"/>
  <c r="AM16" i="29"/>
  <c r="BC56" i="29"/>
  <c r="BR36" i="29"/>
  <c r="BR58" i="29"/>
  <c r="BR20" i="29"/>
  <c r="BR2" i="29"/>
  <c r="BR22" i="29"/>
  <c r="AM52" i="29"/>
  <c r="AM36" i="29"/>
  <c r="AM20" i="29"/>
  <c r="AM4" i="29"/>
  <c r="BC60" i="29"/>
  <c r="BC44" i="29"/>
  <c r="BC28" i="29"/>
  <c r="BC12" i="29"/>
  <c r="BC40" i="29"/>
  <c r="BC24" i="29"/>
  <c r="BC8" i="29"/>
  <c r="BR4" i="29"/>
  <c r="CG10" i="29"/>
  <c r="CG11" i="29" s="1"/>
  <c r="BR14" i="29"/>
  <c r="BR26" i="29"/>
  <c r="BR44" i="29"/>
  <c r="BR24" i="29"/>
  <c r="AM50" i="29"/>
  <c r="AM34" i="29"/>
  <c r="AM18" i="29"/>
  <c r="BC58" i="29"/>
  <c r="BC42" i="29"/>
  <c r="BC26" i="29"/>
  <c r="BC10" i="29"/>
  <c r="BR34" i="29"/>
  <c r="AM62" i="29"/>
  <c r="AM46" i="29"/>
  <c r="AM30" i="29"/>
  <c r="AM14" i="29"/>
  <c r="BC54" i="29"/>
  <c r="BC38" i="29"/>
  <c r="BC22" i="29"/>
  <c r="BC6" i="29"/>
  <c r="AM60" i="29"/>
  <c r="AM44" i="29"/>
  <c r="AM28" i="29"/>
  <c r="AM12" i="29"/>
  <c r="BC52" i="29"/>
  <c r="BC36" i="29"/>
  <c r="BC20" i="29"/>
  <c r="BC4" i="29"/>
  <c r="BR18" i="29"/>
  <c r="BR38" i="29"/>
  <c r="BR40" i="29"/>
  <c r="BR46" i="29"/>
  <c r="BR48" i="29"/>
  <c r="BR60" i="29"/>
  <c r="AM58" i="29"/>
  <c r="AM42" i="29"/>
  <c r="AM26" i="29"/>
  <c r="AM10" i="29"/>
  <c r="BC50" i="29"/>
  <c r="BC34" i="29"/>
  <c r="BC18" i="29"/>
  <c r="AM56" i="29"/>
  <c r="AM40" i="29"/>
  <c r="AM24" i="29"/>
  <c r="AM8" i="29"/>
  <c r="BC2" i="29"/>
  <c r="BC48" i="29"/>
  <c r="BC32" i="29"/>
  <c r="BC16" i="29"/>
  <c r="BR12" i="29"/>
  <c r="BR54" i="29"/>
  <c r="BR56" i="29"/>
  <c r="BR62" i="29"/>
  <c r="AM54" i="29"/>
  <c r="AM38" i="29"/>
  <c r="AM22" i="29"/>
  <c r="AM6" i="29"/>
  <c r="BC62" i="29"/>
  <c r="BC46" i="29"/>
  <c r="BC30" i="29"/>
  <c r="BC14" i="29"/>
  <c r="AO41" i="29"/>
  <c r="AO25" i="29"/>
  <c r="AO9" i="29"/>
  <c r="BE31" i="29"/>
  <c r="AO27" i="29"/>
  <c r="Y7" i="29"/>
  <c r="Y23" i="29"/>
  <c r="AO13" i="29"/>
  <c r="BE27" i="29"/>
  <c r="BE37" i="29"/>
  <c r="BE59" i="29"/>
  <c r="Y61" i="29"/>
  <c r="Y45" i="29"/>
  <c r="AO53" i="29"/>
  <c r="AO37" i="29"/>
  <c r="AO21" i="29"/>
  <c r="BE49" i="29"/>
  <c r="BE33" i="29"/>
  <c r="Y49" i="29"/>
  <c r="BE5" i="29"/>
  <c r="Y9" i="29"/>
  <c r="Y25" i="29"/>
  <c r="BE7" i="29"/>
  <c r="BE21" i="29"/>
  <c r="Y59" i="29"/>
  <c r="Y43" i="29"/>
  <c r="AO51" i="29"/>
  <c r="AO35" i="29"/>
  <c r="AO19" i="29"/>
  <c r="BE17" i="29"/>
  <c r="Y11" i="29"/>
  <c r="Y27" i="29"/>
  <c r="BE13" i="29"/>
  <c r="AO47" i="29"/>
  <c r="AO61" i="29"/>
  <c r="Y57" i="29"/>
  <c r="Y41" i="29"/>
  <c r="AO49" i="29"/>
  <c r="AO33" i="29"/>
  <c r="BE11" i="29"/>
  <c r="AO17" i="29"/>
  <c r="Y13" i="29"/>
  <c r="AO29" i="29"/>
  <c r="BE47" i="29"/>
  <c r="BE61" i="29"/>
  <c r="Y55" i="29"/>
  <c r="Y39" i="29"/>
  <c r="Y19" i="29"/>
  <c r="AO57" i="29"/>
  <c r="BE3" i="29"/>
  <c r="Y29" i="29"/>
  <c r="Y15" i="29"/>
  <c r="Y31" i="29"/>
  <c r="CG2" i="29"/>
  <c r="CG3" i="29" s="1"/>
  <c r="AO15" i="29"/>
  <c r="BE29" i="29"/>
  <c r="AO43" i="29"/>
  <c r="Y53" i="29"/>
  <c r="Y37" i="29"/>
  <c r="BE57" i="29"/>
  <c r="BE9" i="29"/>
  <c r="Y17" i="29"/>
  <c r="Y33" i="29"/>
  <c r="AO11" i="29"/>
  <c r="BE15" i="29"/>
  <c r="BE25" i="29"/>
  <c r="AO31" i="29"/>
  <c r="BE43" i="29"/>
  <c r="BE63" i="29"/>
  <c r="Y51" i="29"/>
  <c r="Y21" i="29"/>
  <c r="BE55" i="29"/>
  <c r="BE39" i="29"/>
  <c r="BE23" i="29"/>
  <c r="BE53" i="29"/>
  <c r="Y35" i="29"/>
  <c r="AO5" i="29"/>
  <c r="AO45" i="29"/>
  <c r="Y5" i="29"/>
  <c r="BE45" i="29"/>
  <c r="AO59" i="29"/>
  <c r="Y63" i="29"/>
  <c r="Y47" i="29"/>
  <c r="AO55" i="29"/>
  <c r="AO39" i="29"/>
  <c r="AO23" i="29"/>
  <c r="AO7" i="29"/>
  <c r="BE41" i="29"/>
  <c r="BE51" i="29"/>
  <c r="BE35" i="29"/>
  <c r="BE19" i="29"/>
  <c r="W60" i="29"/>
  <c r="W44" i="29"/>
  <c r="W28" i="29"/>
  <c r="W12" i="29"/>
  <c r="CG12" i="29"/>
  <c r="CG13" i="29" s="1"/>
  <c r="W56" i="29"/>
  <c r="W58" i="29"/>
  <c r="W42" i="29"/>
  <c r="W26" i="29"/>
  <c r="W10" i="29"/>
  <c r="W24" i="29"/>
  <c r="W8" i="29"/>
  <c r="CG42" i="29"/>
  <c r="CG43" i="29" s="1"/>
  <c r="CG40" i="29"/>
  <c r="CG41" i="29" s="1"/>
  <c r="W52" i="29"/>
  <c r="W36" i="29"/>
  <c r="W20" i="29"/>
  <c r="W4" i="29"/>
  <c r="CG22" i="29"/>
  <c r="CG23" i="29" s="1"/>
  <c r="CG20" i="29"/>
  <c r="CG21" i="29" s="1"/>
  <c r="CG38" i="29"/>
  <c r="CG39" i="29" s="1"/>
  <c r="CG56" i="29"/>
  <c r="CG57" i="29" s="1"/>
  <c r="CG32" i="29"/>
  <c r="CG33" i="29" s="1"/>
  <c r="CG44" i="29"/>
  <c r="CG45" i="29" s="1"/>
  <c r="W48" i="29"/>
  <c r="W32" i="29"/>
  <c r="W16" i="29"/>
  <c r="CG4" i="29"/>
  <c r="CG5" i="29" s="1"/>
  <c r="CG36" i="29"/>
  <c r="CG37" i="29" s="1"/>
  <c r="CG46" i="29"/>
  <c r="CG47" i="29" s="1"/>
  <c r="CG6" i="29"/>
  <c r="CG7" i="29" s="1"/>
  <c r="CG26" i="29"/>
  <c r="CG27" i="29" s="1"/>
  <c r="CG8" i="29"/>
  <c r="CG9" i="29" s="1"/>
  <c r="CG14" i="29"/>
  <c r="CG15" i="29" s="1"/>
  <c r="CG28" i="29"/>
  <c r="CG29" i="29" s="1"/>
  <c r="CG30" i="29"/>
  <c r="CG31" i="29" s="1"/>
  <c r="CG50" i="29"/>
  <c r="CG51" i="29" s="1"/>
  <c r="CG58" i="29"/>
  <c r="CG59" i="29" s="1"/>
  <c r="W62" i="29"/>
  <c r="W46" i="29"/>
  <c r="W30" i="29"/>
  <c r="W14" i="29"/>
  <c r="BJ33" i="29"/>
  <c r="CG16" i="29"/>
  <c r="CG17" i="29" s="1"/>
  <c r="AE33" i="29"/>
  <c r="CG52" i="29"/>
  <c r="CG53" i="29" s="1"/>
  <c r="BY33" i="29"/>
  <c r="CG24" i="29"/>
  <c r="CG25" i="29" s="1"/>
  <c r="CG60" i="29"/>
  <c r="CG61" i="29" s="1"/>
  <c r="CG62" i="29"/>
  <c r="CG63" i="29" s="1"/>
  <c r="CG48" i="29"/>
  <c r="CG49" i="29" s="1"/>
  <c r="CG18" i="29"/>
  <c r="CG19" i="29" s="1"/>
  <c r="CG34" i="29"/>
  <c r="CG35" i="29" s="1"/>
  <c r="CG54" i="29"/>
  <c r="CG55" i="29" s="1"/>
  <c r="W38" i="29"/>
  <c r="W40" i="29"/>
  <c r="W18" i="29"/>
  <c r="W34" i="29"/>
  <c r="W54" i="29"/>
  <c r="W50" i="29"/>
  <c r="W2" i="29"/>
  <c r="O33" i="29"/>
  <c r="X2" i="29"/>
  <c r="CH2" i="29"/>
  <c r="CI3" i="29" s="1"/>
  <c r="B33" i="29"/>
  <c r="BT3" i="29"/>
  <c r="AU33" i="29"/>
  <c r="AH33" i="29" l="1"/>
  <c r="AO63" i="29"/>
  <c r="AO3" i="29"/>
  <c r="BR27" i="29"/>
  <c r="BR49" i="29"/>
  <c r="BR15" i="29"/>
  <c r="BR21" i="29"/>
  <c r="BR9" i="29"/>
  <c r="BR47" i="29"/>
  <c r="BR59" i="29"/>
  <c r="BR7" i="29"/>
  <c r="BR41" i="29"/>
  <c r="BR5" i="29"/>
  <c r="BR37" i="29"/>
  <c r="BR17" i="29"/>
  <c r="BR53" i="29"/>
  <c r="BR61" i="29"/>
  <c r="BR43" i="29"/>
  <c r="BR39" i="29"/>
  <c r="BR33" i="29"/>
  <c r="BR51" i="29"/>
  <c r="BR3" i="29"/>
  <c r="BR63" i="29"/>
  <c r="BR19" i="29"/>
  <c r="BR31" i="29"/>
  <c r="BR57" i="29"/>
  <c r="BR35" i="29"/>
  <c r="BR25" i="29"/>
  <c r="BR29" i="29"/>
  <c r="BR13" i="29"/>
  <c r="BR55" i="29"/>
  <c r="BR45" i="29"/>
  <c r="BR23" i="29"/>
  <c r="BR11" i="29"/>
  <c r="BC7" i="29"/>
  <c r="AM3" i="29"/>
  <c r="AM59" i="29"/>
  <c r="BC29" i="29"/>
  <c r="AM49" i="29"/>
  <c r="BC19" i="29"/>
  <c r="AM39" i="29"/>
  <c r="BC49" i="29"/>
  <c r="BC51" i="29"/>
  <c r="AM29" i="29"/>
  <c r="AM31" i="29"/>
  <c r="AM19" i="29"/>
  <c r="AM5" i="29"/>
  <c r="AM55" i="29"/>
  <c r="BC3" i="29"/>
  <c r="AM11" i="29"/>
  <c r="AM45" i="29"/>
  <c r="AM47" i="29"/>
  <c r="AM35" i="29"/>
  <c r="BC9" i="29"/>
  <c r="AM21" i="29"/>
  <c r="BC57" i="29"/>
  <c r="BC15" i="29"/>
  <c r="AM9" i="29"/>
  <c r="AM27" i="29"/>
  <c r="AM61" i="29"/>
  <c r="AM63" i="29"/>
  <c r="AM51" i="29"/>
  <c r="BC25" i="29"/>
  <c r="AM37" i="29"/>
  <c r="AM17" i="29"/>
  <c r="BC31" i="29"/>
  <c r="AM25" i="29"/>
  <c r="AM43" i="29"/>
  <c r="BC5" i="29"/>
  <c r="BC41" i="29"/>
  <c r="AM53" i="29"/>
  <c r="AM33" i="29"/>
  <c r="BC21" i="29"/>
  <c r="BC13" i="29"/>
  <c r="BC63" i="29"/>
  <c r="AM57" i="29"/>
  <c r="AM7" i="29"/>
  <c r="BC17" i="29"/>
  <c r="BC53" i="29"/>
  <c r="BC55" i="29"/>
  <c r="BC43" i="29"/>
  <c r="BC45" i="29"/>
  <c r="W7" i="29"/>
  <c r="AM23" i="29"/>
  <c r="BC33" i="29"/>
  <c r="BC35" i="29"/>
  <c r="AM13" i="29"/>
  <c r="AM15" i="29"/>
  <c r="BC59" i="29"/>
  <c r="BC61" i="29"/>
  <c r="W23" i="29"/>
  <c r="AM41" i="29"/>
  <c r="BC47" i="29"/>
  <c r="BC23" i="29"/>
  <c r="BC37" i="29"/>
  <c r="BC39" i="29"/>
  <c r="BC11" i="29"/>
  <c r="BC27" i="29"/>
  <c r="W39" i="29"/>
  <c r="W43" i="29"/>
  <c r="W61" i="29"/>
  <c r="W15" i="29"/>
  <c r="W59" i="29"/>
  <c r="W3" i="29"/>
  <c r="W31" i="29"/>
  <c r="W5" i="29"/>
  <c r="W9" i="29"/>
  <c r="W57" i="29"/>
  <c r="W47" i="29"/>
  <c r="W17" i="29"/>
  <c r="W21" i="29"/>
  <c r="W25" i="29"/>
  <c r="W55" i="29"/>
  <c r="W37" i="29"/>
  <c r="W49" i="29"/>
  <c r="W53" i="29"/>
  <c r="W13" i="29"/>
  <c r="W51" i="29"/>
  <c r="W63" i="29"/>
  <c r="W33" i="29"/>
  <c r="W35" i="29"/>
  <c r="W11" i="29"/>
  <c r="W29" i="29"/>
  <c r="Y3" i="29"/>
  <c r="W19" i="29"/>
  <c r="W41" i="29"/>
  <c r="W27" i="29"/>
  <c r="W45" i="29"/>
  <c r="DK3" i="22"/>
  <c r="DQ7" i="22" s="1"/>
  <c r="DK4" i="22"/>
  <c r="DQ11" i="22" s="1"/>
  <c r="DK5" i="22"/>
  <c r="DQ15" i="22" s="1"/>
  <c r="DK6" i="22"/>
  <c r="DQ19" i="22" s="1"/>
  <c r="DK7" i="22"/>
  <c r="DQ23" i="22" s="1"/>
  <c r="DK8" i="22"/>
  <c r="DQ27" i="22" s="1"/>
  <c r="DK9" i="22"/>
  <c r="DQ31" i="22" s="1"/>
  <c r="DK10" i="22"/>
  <c r="DQ35" i="22" s="1"/>
  <c r="DK11" i="22"/>
  <c r="DQ39" i="22" s="1"/>
  <c r="DK12" i="22"/>
  <c r="DQ43" i="22" s="1"/>
  <c r="DK13" i="22"/>
  <c r="DQ47" i="22" s="1"/>
  <c r="DK14" i="22"/>
  <c r="DQ51" i="22" s="1"/>
  <c r="DK15" i="22"/>
  <c r="DQ55" i="22" s="1"/>
  <c r="DK16" i="22"/>
  <c r="DQ59" i="22" s="1"/>
  <c r="DK17" i="22"/>
  <c r="DQ63" i="22" s="1"/>
  <c r="DK18" i="22"/>
  <c r="DQ67" i="22" s="1"/>
  <c r="DK20" i="22"/>
  <c r="DQ75" i="22" s="1"/>
  <c r="DK21" i="22"/>
  <c r="DQ79" i="22" s="1"/>
  <c r="DK22" i="22"/>
  <c r="DQ83" i="22" s="1"/>
  <c r="DK23" i="22"/>
  <c r="DQ87" i="22" s="1"/>
  <c r="DK24" i="22"/>
  <c r="DQ91" i="22" s="1"/>
  <c r="DK25" i="22"/>
  <c r="DQ95" i="22" s="1"/>
  <c r="DK27" i="22"/>
  <c r="DQ103" i="22" s="1"/>
  <c r="DK28" i="22"/>
  <c r="DQ107" i="22" s="1"/>
  <c r="DK29" i="22"/>
  <c r="DQ111" i="22" s="1"/>
  <c r="DK30" i="22"/>
  <c r="DQ115" i="22" s="1"/>
  <c r="DK31" i="22"/>
  <c r="DQ119" i="22" s="1"/>
  <c r="DK32" i="22"/>
  <c r="DQ123" i="22" s="1"/>
  <c r="DK2" i="22"/>
  <c r="DQ3" i="22" s="1"/>
  <c r="DJ3" i="22"/>
  <c r="DJ4" i="22"/>
  <c r="DJ5" i="22"/>
  <c r="DJ6" i="22"/>
  <c r="DJ7" i="22"/>
  <c r="DJ8" i="22"/>
  <c r="DJ9" i="22"/>
  <c r="DJ10" i="22"/>
  <c r="DJ11" i="22"/>
  <c r="DJ12" i="22"/>
  <c r="DJ13" i="22"/>
  <c r="DJ14" i="22"/>
  <c r="DJ15" i="22"/>
  <c r="DJ16" i="22"/>
  <c r="DJ17" i="22"/>
  <c r="DJ18" i="22"/>
  <c r="DJ19" i="22"/>
  <c r="DJ20" i="22"/>
  <c r="DJ21" i="22"/>
  <c r="DJ22" i="22"/>
  <c r="DJ23" i="22"/>
  <c r="DJ24" i="22"/>
  <c r="DJ25" i="22"/>
  <c r="DJ26" i="22"/>
  <c r="DJ27" i="22"/>
  <c r="DJ28" i="22"/>
  <c r="DJ29" i="22"/>
  <c r="DJ30" i="22"/>
  <c r="DJ31" i="22"/>
  <c r="DJ32" i="22"/>
  <c r="DJ2" i="22"/>
  <c r="DI2" i="22"/>
  <c r="DQ2" i="22" s="1"/>
  <c r="DH3" i="22"/>
  <c r="DH4" i="22"/>
  <c r="DH5" i="22"/>
  <c r="DH6" i="22"/>
  <c r="DH7" i="22"/>
  <c r="DH8" i="22"/>
  <c r="DH9" i="22"/>
  <c r="DH10" i="22"/>
  <c r="DH11" i="22"/>
  <c r="DH12" i="22"/>
  <c r="DH13" i="22"/>
  <c r="DH14" i="22"/>
  <c r="DH15" i="22"/>
  <c r="DH16" i="22"/>
  <c r="DH17" i="22"/>
  <c r="DH18" i="22"/>
  <c r="DH20" i="22"/>
  <c r="DH21" i="22"/>
  <c r="DH22" i="22"/>
  <c r="DH23" i="22"/>
  <c r="DH24" i="22"/>
  <c r="DH25" i="22"/>
  <c r="DH27" i="22"/>
  <c r="DH28" i="22"/>
  <c r="DH29" i="22"/>
  <c r="DH30" i="22"/>
  <c r="DH31" i="22"/>
  <c r="DH32" i="22"/>
  <c r="DH2" i="22"/>
  <c r="DG3" i="22"/>
  <c r="DG4" i="22"/>
  <c r="DG5" i="22"/>
  <c r="DG6" i="22"/>
  <c r="DG7" i="22"/>
  <c r="DG8" i="22"/>
  <c r="DG9" i="22"/>
  <c r="DG10" i="22"/>
  <c r="DG11" i="22"/>
  <c r="DG12" i="22"/>
  <c r="DG13" i="22"/>
  <c r="DG14" i="22"/>
  <c r="DG15" i="22"/>
  <c r="DG16" i="22"/>
  <c r="DG17" i="22"/>
  <c r="DG18" i="22"/>
  <c r="DG19" i="22"/>
  <c r="DG20" i="22"/>
  <c r="DG21" i="22"/>
  <c r="DG22" i="22"/>
  <c r="DG23" i="22"/>
  <c r="DG24" i="22"/>
  <c r="DG25" i="22"/>
  <c r="DG26" i="22"/>
  <c r="DG27" i="22"/>
  <c r="DG28" i="22"/>
  <c r="DG29" i="22"/>
  <c r="DG30" i="22"/>
  <c r="DG31" i="22"/>
  <c r="DG32" i="22"/>
  <c r="DG2" i="22"/>
  <c r="DF3" i="22"/>
  <c r="DF4" i="22"/>
  <c r="DF5" i="22"/>
  <c r="DF6" i="22"/>
  <c r="DF7" i="22"/>
  <c r="DF8" i="22"/>
  <c r="DF9" i="22"/>
  <c r="DF10" i="22"/>
  <c r="DF11" i="22"/>
  <c r="DF12" i="22"/>
  <c r="DF13" i="22"/>
  <c r="DF14" i="22"/>
  <c r="DF15" i="22"/>
  <c r="DF16" i="22"/>
  <c r="DF17" i="22"/>
  <c r="DF18" i="22"/>
  <c r="DF19" i="22"/>
  <c r="DF20" i="22"/>
  <c r="DF21" i="22"/>
  <c r="DF22" i="22"/>
  <c r="DF23" i="22"/>
  <c r="DF24" i="22"/>
  <c r="DF25" i="22"/>
  <c r="DF26" i="22"/>
  <c r="DF27" i="22"/>
  <c r="DF28" i="22"/>
  <c r="DF29" i="22"/>
  <c r="DF30" i="22"/>
  <c r="DF31" i="22"/>
  <c r="DF32" i="22"/>
  <c r="DF2" i="22"/>
  <c r="DP123" i="22"/>
  <c r="DP124" i="22" s="1"/>
  <c r="DP119" i="22"/>
  <c r="DP120" i="22" s="1"/>
  <c r="DP115" i="22"/>
  <c r="DP116" i="22" s="1"/>
  <c r="DP111" i="22"/>
  <c r="DP112" i="22" s="1"/>
  <c r="DP107" i="22"/>
  <c r="DP108" i="22" s="1"/>
  <c r="DP103" i="22"/>
  <c r="DP104" i="22" s="1"/>
  <c r="DP99" i="22"/>
  <c r="DP100" i="22" s="1"/>
  <c r="DP95" i="22"/>
  <c r="DP96" i="22" s="1"/>
  <c r="DP91" i="22"/>
  <c r="DP92" i="22" s="1"/>
  <c r="DP87" i="22"/>
  <c r="DP88" i="22" s="1"/>
  <c r="DP83" i="22"/>
  <c r="DP84" i="22" s="1"/>
  <c r="DP79" i="22"/>
  <c r="DP80" i="22" s="1"/>
  <c r="DP75" i="22"/>
  <c r="DP76" i="22" s="1"/>
  <c r="DP71" i="22"/>
  <c r="DP72" i="22" s="1"/>
  <c r="DP67" i="22"/>
  <c r="DP68" i="22" s="1"/>
  <c r="DP63" i="22"/>
  <c r="DP64" i="22" s="1"/>
  <c r="DP59" i="22"/>
  <c r="DP60" i="22" s="1"/>
  <c r="DP55" i="22"/>
  <c r="DP56" i="22" s="1"/>
  <c r="DP51" i="22"/>
  <c r="DP52" i="22" s="1"/>
  <c r="DP47" i="22"/>
  <c r="DP48" i="22" s="1"/>
  <c r="DP43" i="22"/>
  <c r="DP44" i="22" s="1"/>
  <c r="DP39" i="22"/>
  <c r="DP40" i="22" s="1"/>
  <c r="DP35" i="22"/>
  <c r="DP36" i="22" s="1"/>
  <c r="DP31" i="22"/>
  <c r="DP32" i="22" s="1"/>
  <c r="DP27" i="22"/>
  <c r="DP28" i="22" s="1"/>
  <c r="DP23" i="22"/>
  <c r="DP24" i="22" s="1"/>
  <c r="DP19" i="22"/>
  <c r="DP20" i="22" s="1"/>
  <c r="DP15" i="22"/>
  <c r="DP16" i="22" s="1"/>
  <c r="DP11" i="22"/>
  <c r="DP12" i="22" s="1"/>
  <c r="DP7" i="22"/>
  <c r="DP8" i="22" s="1"/>
  <c r="DP3" i="22"/>
  <c r="DP4" i="22" s="1"/>
  <c r="DP14" i="22" l="1"/>
  <c r="DP114" i="22"/>
  <c r="DP82" i="22"/>
  <c r="DP50" i="22"/>
  <c r="DP18" i="22"/>
  <c r="DP110" i="22"/>
  <c r="DP78" i="22"/>
  <c r="DP46" i="22"/>
  <c r="DP42" i="22"/>
  <c r="DP10" i="22"/>
  <c r="DP54" i="22"/>
  <c r="DP106" i="22"/>
  <c r="DP74" i="22"/>
  <c r="DP38" i="22"/>
  <c r="DP6" i="22"/>
  <c r="DP94" i="22"/>
  <c r="DP62" i="22"/>
  <c r="DP30" i="22"/>
  <c r="DP22" i="22"/>
  <c r="DR84" i="22"/>
  <c r="DR52" i="22"/>
  <c r="DR116" i="22"/>
  <c r="DR44" i="22"/>
  <c r="DR80" i="22"/>
  <c r="DR96" i="22"/>
  <c r="DR108" i="22"/>
  <c r="DR48" i="22"/>
  <c r="DR12" i="22"/>
  <c r="DR24" i="22"/>
  <c r="DR40" i="22"/>
  <c r="DR112" i="22"/>
  <c r="DR8" i="22"/>
  <c r="DR32" i="22"/>
  <c r="DR20" i="22"/>
  <c r="DR56" i="22"/>
  <c r="DR120" i="22"/>
  <c r="DR104" i="22"/>
  <c r="DR16" i="22"/>
  <c r="DR64" i="22"/>
  <c r="DR76" i="22"/>
  <c r="DR88" i="22"/>
  <c r="DR4" i="22"/>
  <c r="DR36" i="22"/>
  <c r="DR68" i="22"/>
  <c r="DR124" i="22"/>
  <c r="DR92" i="22"/>
  <c r="DR60" i="22"/>
  <c r="DR28" i="22"/>
  <c r="DP122" i="22"/>
  <c r="DP90" i="22"/>
  <c r="DP102" i="22"/>
  <c r="DP26" i="22"/>
  <c r="DP86" i="22"/>
  <c r="DP58" i="22"/>
  <c r="DP118" i="22"/>
  <c r="DP2" i="22"/>
  <c r="DP34" i="22"/>
  <c r="DP66" i="22"/>
  <c r="DF33" i="22"/>
  <c r="CY123" i="22"/>
  <c r="CY124" i="22" s="1"/>
  <c r="CY119" i="22"/>
  <c r="CY120" i="22" s="1"/>
  <c r="CY115" i="22"/>
  <c r="CY116" i="22" s="1"/>
  <c r="CY111" i="22"/>
  <c r="CY112" i="22" s="1"/>
  <c r="CY107" i="22"/>
  <c r="CY108" i="22" s="1"/>
  <c r="CY103" i="22"/>
  <c r="CY104" i="22" s="1"/>
  <c r="CY99" i="22"/>
  <c r="CY100" i="22" s="1"/>
  <c r="CY95" i="22"/>
  <c r="CY96" i="22" s="1"/>
  <c r="CY91" i="22"/>
  <c r="CY92" i="22" s="1"/>
  <c r="CY87" i="22"/>
  <c r="CY88" i="22" s="1"/>
  <c r="CY83" i="22"/>
  <c r="CY84" i="22" s="1"/>
  <c r="CY79" i="22"/>
  <c r="CY80" i="22" s="1"/>
  <c r="CY75" i="22"/>
  <c r="CY76" i="22" s="1"/>
  <c r="CY71" i="22"/>
  <c r="CY72" i="22" s="1"/>
  <c r="CY67" i="22"/>
  <c r="CY68" i="22" s="1"/>
  <c r="CY63" i="22"/>
  <c r="CY64" i="22" s="1"/>
  <c r="CY59" i="22"/>
  <c r="CY60" i="22" s="1"/>
  <c r="CY55" i="22"/>
  <c r="CY56" i="22" s="1"/>
  <c r="CY51" i="22"/>
  <c r="CY52" i="22" s="1"/>
  <c r="CY47" i="22"/>
  <c r="CY48" i="22" s="1"/>
  <c r="CY43" i="22"/>
  <c r="CY44" i="22" s="1"/>
  <c r="CY39" i="22"/>
  <c r="CY40" i="22" s="1"/>
  <c r="CY35" i="22"/>
  <c r="CY36" i="22" s="1"/>
  <c r="CS32" i="22"/>
  <c r="CQ32" i="22"/>
  <c r="CP32" i="22"/>
  <c r="CO32" i="22"/>
  <c r="CY31" i="22"/>
  <c r="CY32" i="22" s="1"/>
  <c r="CS31" i="22"/>
  <c r="CQ31" i="22"/>
  <c r="CP31" i="22"/>
  <c r="CO31" i="22"/>
  <c r="CS30" i="22"/>
  <c r="CQ30" i="22"/>
  <c r="CP30" i="22"/>
  <c r="CO30" i="22"/>
  <c r="CS29" i="22"/>
  <c r="CP29" i="22"/>
  <c r="CO29" i="22"/>
  <c r="CS28" i="22"/>
  <c r="CP28" i="22"/>
  <c r="CO28" i="22"/>
  <c r="CY27" i="22"/>
  <c r="CY28" i="22" s="1"/>
  <c r="CS27" i="22"/>
  <c r="CQ27" i="22"/>
  <c r="CP27" i="22"/>
  <c r="CO27" i="22"/>
  <c r="CS26" i="22"/>
  <c r="CP26" i="22"/>
  <c r="CO26" i="22"/>
  <c r="CS25" i="22"/>
  <c r="CP25" i="22"/>
  <c r="CO25" i="22"/>
  <c r="CS24" i="22"/>
  <c r="CQ24" i="22"/>
  <c r="CP24" i="22"/>
  <c r="CO24" i="22"/>
  <c r="CY23" i="22"/>
  <c r="CY24" i="22" s="1"/>
  <c r="CS23" i="22"/>
  <c r="CQ23" i="22"/>
  <c r="CP23" i="22"/>
  <c r="CO23" i="22"/>
  <c r="CS22" i="22"/>
  <c r="CP22" i="22"/>
  <c r="CO22" i="22"/>
  <c r="CS21" i="22"/>
  <c r="CQ21" i="22"/>
  <c r="CP21" i="22"/>
  <c r="CO21" i="22"/>
  <c r="CS20" i="22"/>
  <c r="CQ20" i="22"/>
  <c r="CP20" i="22"/>
  <c r="CO20" i="22"/>
  <c r="CY19" i="22"/>
  <c r="CY20" i="22" s="1"/>
  <c r="CS19" i="22"/>
  <c r="CP19" i="22"/>
  <c r="CO19" i="22"/>
  <c r="CS18" i="22"/>
  <c r="CQ18" i="22"/>
  <c r="CP18" i="22"/>
  <c r="CO18" i="22"/>
  <c r="CS17" i="22"/>
  <c r="CQ17" i="22"/>
  <c r="CP17" i="22"/>
  <c r="CO17" i="22"/>
  <c r="CS16" i="22"/>
  <c r="CQ16" i="22"/>
  <c r="CP16" i="22"/>
  <c r="CO16" i="22"/>
  <c r="CY15" i="22"/>
  <c r="CY16" i="22" s="1"/>
  <c r="CS15" i="22"/>
  <c r="CP15" i="22"/>
  <c r="CO15" i="22"/>
  <c r="CS14" i="22"/>
  <c r="CP14" i="22"/>
  <c r="CO14" i="22"/>
  <c r="CS13" i="22"/>
  <c r="CP13" i="22"/>
  <c r="CO13" i="22"/>
  <c r="CS12" i="22"/>
  <c r="CQ12" i="22"/>
  <c r="CP12" i="22"/>
  <c r="CO12" i="22"/>
  <c r="CY11" i="22"/>
  <c r="CY12" i="22" s="1"/>
  <c r="CS11" i="22"/>
  <c r="CP11" i="22"/>
  <c r="CO11" i="22"/>
  <c r="CT10" i="22"/>
  <c r="CZ35" i="22" s="1"/>
  <c r="CS10" i="22"/>
  <c r="CQ10" i="22"/>
  <c r="CP10" i="22"/>
  <c r="CO10" i="22"/>
  <c r="CT9" i="22"/>
  <c r="CZ31" i="22" s="1"/>
  <c r="CS9" i="22"/>
  <c r="CQ9" i="22"/>
  <c r="CP9" i="22"/>
  <c r="CO9" i="22"/>
  <c r="CT8" i="22"/>
  <c r="CZ27" i="22" s="1"/>
  <c r="CS8" i="22"/>
  <c r="CQ8" i="22"/>
  <c r="CP8" i="22"/>
  <c r="CO8" i="22"/>
  <c r="CY7" i="22"/>
  <c r="CY8" i="22" s="1"/>
  <c r="CS7" i="22"/>
  <c r="CP7" i="22"/>
  <c r="CO7" i="22"/>
  <c r="CS6" i="22"/>
  <c r="CQ6" i="22"/>
  <c r="CP6" i="22"/>
  <c r="CO6" i="22"/>
  <c r="CT5" i="22"/>
  <c r="CZ15" i="22" s="1"/>
  <c r="CS5" i="22"/>
  <c r="CQ5" i="22"/>
  <c r="CP5" i="22"/>
  <c r="CO5" i="22"/>
  <c r="CT4" i="22"/>
  <c r="CZ11" i="22" s="1"/>
  <c r="CS4" i="22"/>
  <c r="CQ4" i="22"/>
  <c r="CP4" i="22"/>
  <c r="CO4" i="22"/>
  <c r="CY3" i="22"/>
  <c r="CY4" i="22" s="1"/>
  <c r="CT3" i="22"/>
  <c r="CZ7" i="22" s="1"/>
  <c r="CS3" i="22"/>
  <c r="CQ3" i="22"/>
  <c r="CP3" i="22"/>
  <c r="CO3" i="22"/>
  <c r="CT2" i="22"/>
  <c r="CZ3" i="22" s="1"/>
  <c r="CS2" i="22"/>
  <c r="CR2" i="22"/>
  <c r="CZ2" i="22" s="1"/>
  <c r="CQ2" i="22"/>
  <c r="CP2" i="22"/>
  <c r="CO2" i="22"/>
  <c r="CH123" i="22"/>
  <c r="CH124" i="22" s="1"/>
  <c r="CH120" i="22"/>
  <c r="CH119" i="22"/>
  <c r="CH115" i="22"/>
  <c r="CH116" i="22" s="1"/>
  <c r="CH112" i="22"/>
  <c r="CH111" i="22"/>
  <c r="CH107" i="22"/>
  <c r="CH108" i="22" s="1"/>
  <c r="CH104" i="22"/>
  <c r="CH103" i="22"/>
  <c r="CH99" i="22"/>
  <c r="CH100" i="22" s="1"/>
  <c r="CH96" i="22"/>
  <c r="CH95" i="22"/>
  <c r="CH91" i="22"/>
  <c r="CH92" i="22" s="1"/>
  <c r="CH88" i="22"/>
  <c r="CH87" i="22"/>
  <c r="CH83" i="22"/>
  <c r="CH84" i="22" s="1"/>
  <c r="CH80" i="22"/>
  <c r="CH79" i="22"/>
  <c r="CH75" i="22"/>
  <c r="CH76" i="22" s="1"/>
  <c r="CH72" i="22"/>
  <c r="CH71" i="22"/>
  <c r="CH67" i="22"/>
  <c r="CH68" i="22" s="1"/>
  <c r="CH64" i="22"/>
  <c r="CH63" i="22"/>
  <c r="CH59" i="22"/>
  <c r="CH60" i="22" s="1"/>
  <c r="CH56" i="22"/>
  <c r="CH55" i="22"/>
  <c r="CH51" i="22"/>
  <c r="CH52" i="22" s="1"/>
  <c r="CH48" i="22"/>
  <c r="CH47" i="22"/>
  <c r="CH43" i="22"/>
  <c r="CH44" i="22" s="1"/>
  <c r="CH40" i="22"/>
  <c r="CH39" i="22"/>
  <c r="CH35" i="22"/>
  <c r="CH36" i="22" s="1"/>
  <c r="CH32" i="22"/>
  <c r="CH31" i="22"/>
  <c r="CH27" i="22"/>
  <c r="CH28" i="22" s="1"/>
  <c r="CH24" i="22"/>
  <c r="CH23" i="22"/>
  <c r="CH19" i="22"/>
  <c r="CH20" i="22" s="1"/>
  <c r="CH16" i="22"/>
  <c r="CH15" i="22"/>
  <c r="CH11" i="22"/>
  <c r="CH12" i="22" s="1"/>
  <c r="CH8" i="22"/>
  <c r="CH7" i="22"/>
  <c r="CC3" i="22"/>
  <c r="CI7" i="22" s="1"/>
  <c r="CJ8" i="22" s="1"/>
  <c r="CC4" i="22"/>
  <c r="CI11" i="22" s="1"/>
  <c r="CJ12" i="22" s="1"/>
  <c r="CC5" i="22"/>
  <c r="CI15" i="22" s="1"/>
  <c r="CJ16" i="22" s="1"/>
  <c r="CC8" i="22"/>
  <c r="CI27" i="22" s="1"/>
  <c r="CJ28" i="22" s="1"/>
  <c r="CC9" i="22"/>
  <c r="CI31" i="22" s="1"/>
  <c r="CJ32" i="22" s="1"/>
  <c r="CC10" i="22"/>
  <c r="CI35" i="22" s="1"/>
  <c r="CJ36" i="22" s="1"/>
  <c r="CC2" i="22"/>
  <c r="CH3" i="22"/>
  <c r="CH4" i="22" s="1"/>
  <c r="CB3" i="22"/>
  <c r="CB4" i="22"/>
  <c r="CB5" i="22"/>
  <c r="CB6" i="22"/>
  <c r="CB7" i="22"/>
  <c r="CB8" i="22"/>
  <c r="CB9" i="22"/>
  <c r="CB10" i="22"/>
  <c r="CB11" i="22"/>
  <c r="CB12" i="22"/>
  <c r="CB13" i="22"/>
  <c r="CB14" i="22"/>
  <c r="CB15" i="22"/>
  <c r="CB16" i="22"/>
  <c r="CB17" i="22"/>
  <c r="CB18" i="22"/>
  <c r="CB19" i="22"/>
  <c r="CB20" i="22"/>
  <c r="CB21" i="22"/>
  <c r="CB22" i="22"/>
  <c r="CB23" i="22"/>
  <c r="CB24" i="22"/>
  <c r="CB25" i="22"/>
  <c r="CB26" i="22"/>
  <c r="CB27" i="22"/>
  <c r="CB28" i="22"/>
  <c r="CB29" i="22"/>
  <c r="CB30" i="22"/>
  <c r="CB31" i="22"/>
  <c r="CB32" i="22"/>
  <c r="CB2" i="22"/>
  <c r="CA2" i="22"/>
  <c r="BZ3" i="22"/>
  <c r="BZ4" i="22"/>
  <c r="BZ5" i="22"/>
  <c r="BZ6" i="22"/>
  <c r="BZ8" i="22"/>
  <c r="BZ9" i="22"/>
  <c r="BZ10" i="22"/>
  <c r="BZ12" i="22"/>
  <c r="BZ15" i="22"/>
  <c r="BZ16" i="22"/>
  <c r="BZ17" i="22"/>
  <c r="BZ18" i="22"/>
  <c r="BZ20" i="22"/>
  <c r="BZ21" i="22"/>
  <c r="BZ23" i="22"/>
  <c r="BZ24" i="22"/>
  <c r="BZ27" i="22"/>
  <c r="BZ30" i="22"/>
  <c r="BZ31" i="22"/>
  <c r="BZ32" i="22"/>
  <c r="BZ2" i="22"/>
  <c r="BY3" i="22"/>
  <c r="BY4" i="22"/>
  <c r="BY5" i="22"/>
  <c r="BY6" i="22"/>
  <c r="BY7" i="22"/>
  <c r="BY8" i="22"/>
  <c r="BY9" i="22"/>
  <c r="BY10" i="22"/>
  <c r="BY11" i="22"/>
  <c r="BY12" i="22"/>
  <c r="BY13" i="22"/>
  <c r="BY14" i="22"/>
  <c r="BY15" i="22"/>
  <c r="BY16" i="22"/>
  <c r="BY17" i="22"/>
  <c r="BY18" i="22"/>
  <c r="BY19" i="22"/>
  <c r="BY20" i="22"/>
  <c r="BY21" i="22"/>
  <c r="BY22" i="22"/>
  <c r="BY23" i="22"/>
  <c r="BY24" i="22"/>
  <c r="BY25" i="22"/>
  <c r="BY26" i="22"/>
  <c r="BY27" i="22"/>
  <c r="BY28" i="22"/>
  <c r="BY29" i="22"/>
  <c r="BY30" i="22"/>
  <c r="BY31" i="22"/>
  <c r="BY32" i="22"/>
  <c r="BY2" i="22"/>
  <c r="BX3" i="22"/>
  <c r="BX4" i="22"/>
  <c r="BX5" i="22"/>
  <c r="BX6" i="22"/>
  <c r="BX7" i="22"/>
  <c r="BX8" i="22"/>
  <c r="BX9" i="22"/>
  <c r="BX10" i="22"/>
  <c r="BX11" i="22"/>
  <c r="BX12" i="22"/>
  <c r="BX13" i="22"/>
  <c r="BX14" i="22"/>
  <c r="BX15" i="22"/>
  <c r="BX16" i="22"/>
  <c r="BX17" i="22"/>
  <c r="BX18" i="22"/>
  <c r="BX19" i="22"/>
  <c r="BX20" i="22"/>
  <c r="BX21" i="22"/>
  <c r="BX22" i="22"/>
  <c r="BX23" i="22"/>
  <c r="BX24" i="22"/>
  <c r="BX25" i="22"/>
  <c r="BX26" i="22"/>
  <c r="BX27" i="22"/>
  <c r="BX28" i="22"/>
  <c r="BX29" i="22"/>
  <c r="BX30" i="22"/>
  <c r="BX31" i="22"/>
  <c r="BX32" i="22"/>
  <c r="BX2" i="22"/>
  <c r="AS52" i="25"/>
  <c r="CR29" i="22" s="1"/>
  <c r="CZ110" i="22" s="1"/>
  <c r="AR52" i="25"/>
  <c r="CR28" i="22" s="1"/>
  <c r="CZ106" i="22" s="1"/>
  <c r="DH26" i="22"/>
  <c r="DP98" i="22" s="1"/>
  <c r="DK26" i="22"/>
  <c r="DQ99" i="22" s="1"/>
  <c r="AP52" i="25"/>
  <c r="CA26" i="22" s="1"/>
  <c r="CI98" i="22" s="1"/>
  <c r="CJ101" i="22" s="1"/>
  <c r="AO52" i="25"/>
  <c r="CA25" i="22" s="1"/>
  <c r="CI94" i="22" s="1"/>
  <c r="CJ97" i="22" s="1"/>
  <c r="AL52" i="25"/>
  <c r="CR22" i="22" s="1"/>
  <c r="CZ82" i="22" s="1"/>
  <c r="DK19" i="22"/>
  <c r="DQ71" i="22" s="1"/>
  <c r="AI52" i="25"/>
  <c r="CR19" i="22" s="1"/>
  <c r="CZ70" i="22" s="1"/>
  <c r="AD52" i="25"/>
  <c r="CA14" i="22" s="1"/>
  <c r="CI50" i="22" s="1"/>
  <c r="CJ53" i="22" s="1"/>
  <c r="AC52" i="25"/>
  <c r="CR13" i="22" s="1"/>
  <c r="CZ46" i="22" s="1"/>
  <c r="AE52" i="25"/>
  <c r="CA15" i="22" s="1"/>
  <c r="CI54" i="22" s="1"/>
  <c r="CJ57" i="22" s="1"/>
  <c r="DI13" i="22"/>
  <c r="DQ46" i="22" s="1"/>
  <c r="AA49" i="25"/>
  <c r="AA52" i="25" s="1"/>
  <c r="CA11" i="22" s="1"/>
  <c r="CI38" i="22" s="1"/>
  <c r="CJ41" i="22" s="1"/>
  <c r="AV52" i="25"/>
  <c r="AU52" i="25"/>
  <c r="CR31" i="22" s="1"/>
  <c r="CZ118" i="22" s="1"/>
  <c r="AT52" i="25"/>
  <c r="CA30" i="22" s="1"/>
  <c r="CI114" i="22" s="1"/>
  <c r="CJ117" i="22" s="1"/>
  <c r="AQ52" i="25"/>
  <c r="CR27" i="22" s="1"/>
  <c r="CZ102" i="22" s="1"/>
  <c r="AN52" i="25"/>
  <c r="CA24" i="22" s="1"/>
  <c r="CI90" i="22" s="1"/>
  <c r="CJ93" i="22" s="1"/>
  <c r="AM52" i="25"/>
  <c r="CA23" i="22" s="1"/>
  <c r="CI86" i="22" s="1"/>
  <c r="CJ89" i="22" s="1"/>
  <c r="AK52" i="25"/>
  <c r="CR21" i="22" s="1"/>
  <c r="CZ78" i="22" s="1"/>
  <c r="AJ52" i="25"/>
  <c r="CA20" i="22" s="1"/>
  <c r="CI74" i="22" s="1"/>
  <c r="CJ77" i="22" s="1"/>
  <c r="AH52" i="25"/>
  <c r="CR18" i="22" s="1"/>
  <c r="CZ66" i="22" s="1"/>
  <c r="AG52" i="25"/>
  <c r="CR17" i="22" s="1"/>
  <c r="CZ62" i="22" s="1"/>
  <c r="AF52" i="25"/>
  <c r="CA16" i="22" s="1"/>
  <c r="CI58" i="22" s="1"/>
  <c r="CJ61" i="22" s="1"/>
  <c r="AB52" i="25"/>
  <c r="CR12" i="22" s="1"/>
  <c r="CZ42" i="22" s="1"/>
  <c r="Z52" i="25"/>
  <c r="CA10" i="22" s="1"/>
  <c r="CI34" i="22" s="1"/>
  <c r="CJ37" i="22" s="1"/>
  <c r="Y52" i="25"/>
  <c r="CR9" i="22" s="1"/>
  <c r="CZ30" i="22" s="1"/>
  <c r="X52" i="25"/>
  <c r="CA8" i="22" s="1"/>
  <c r="U52" i="25"/>
  <c r="CA5" i="22" s="1"/>
  <c r="CI14" i="22" s="1"/>
  <c r="T52" i="25"/>
  <c r="CR4" i="22" s="1"/>
  <c r="CZ10" i="22" s="1"/>
  <c r="S52" i="25"/>
  <c r="W52" i="25"/>
  <c r="CA7" i="22" s="1"/>
  <c r="V52" i="25"/>
  <c r="CA6" i="22" s="1"/>
  <c r="CI18" i="22" s="1"/>
  <c r="V51" i="25"/>
  <c r="CC6" i="22" s="1"/>
  <c r="CI19" i="22" s="1"/>
  <c r="CJ20" i="22" s="1"/>
  <c r="H2" i="20"/>
  <c r="H2" i="28"/>
  <c r="CQ2" i="16"/>
  <c r="BD2" i="16"/>
  <c r="T2" i="16"/>
  <c r="CI2" i="22" l="1"/>
  <c r="CJ5" i="22" s="1"/>
  <c r="CI22" i="22"/>
  <c r="CJ25" i="22" s="1"/>
  <c r="CI26" i="22"/>
  <c r="CJ29" i="22" s="1"/>
  <c r="CJ21" i="22"/>
  <c r="AK51" i="25"/>
  <c r="CC21" i="22" s="1"/>
  <c r="CI79" i="22" s="1"/>
  <c r="CJ80" i="22" s="1"/>
  <c r="AI51" i="25"/>
  <c r="CT19" i="22" s="1"/>
  <c r="CZ71" i="22" s="1"/>
  <c r="AQ51" i="25"/>
  <c r="CT27" i="22" s="1"/>
  <c r="CZ103" i="22" s="1"/>
  <c r="AJ51" i="25"/>
  <c r="CT20" i="22" s="1"/>
  <c r="CZ75" i="22" s="1"/>
  <c r="AS51" i="25"/>
  <c r="CC29" i="22" s="1"/>
  <c r="CI111" i="22" s="1"/>
  <c r="CJ112" i="22" s="1"/>
  <c r="AL51" i="25"/>
  <c r="CC22" i="22" s="1"/>
  <c r="CI83" i="22" s="1"/>
  <c r="CJ84" i="22" s="1"/>
  <c r="AT51" i="25"/>
  <c r="CT30" i="22" s="1"/>
  <c r="CZ115" i="22" s="1"/>
  <c r="AE51" i="25"/>
  <c r="CT15" i="22" s="1"/>
  <c r="CZ55" i="22" s="1"/>
  <c r="CR3" i="22"/>
  <c r="CZ6" i="22" s="1"/>
  <c r="AW52" i="25"/>
  <c r="AB51" i="25"/>
  <c r="CT12" i="22" s="1"/>
  <c r="CZ43" i="22" s="1"/>
  <c r="AM51" i="25"/>
  <c r="CT23" i="22" s="1"/>
  <c r="CZ87" i="22" s="1"/>
  <c r="AU51" i="25"/>
  <c r="CT31" i="22" s="1"/>
  <c r="CZ119" i="22" s="1"/>
  <c r="W51" i="25"/>
  <c r="CC7" i="22" s="1"/>
  <c r="CI23" i="22" s="1"/>
  <c r="CJ24" i="22" s="1"/>
  <c r="AF51" i="25"/>
  <c r="CT16" i="22" s="1"/>
  <c r="CZ59" i="22" s="1"/>
  <c r="AN51" i="25"/>
  <c r="CT24" i="22" s="1"/>
  <c r="CZ91" i="22" s="1"/>
  <c r="AV51" i="25"/>
  <c r="CC32" i="22" s="1"/>
  <c r="CI123" i="22" s="1"/>
  <c r="CJ124" i="22" s="1"/>
  <c r="AR51" i="25"/>
  <c r="CT28" i="22" s="1"/>
  <c r="CZ107" i="22" s="1"/>
  <c r="AG51" i="25"/>
  <c r="CC17" i="22" s="1"/>
  <c r="CI63" i="22" s="1"/>
  <c r="CJ64" i="22" s="1"/>
  <c r="AO51" i="25"/>
  <c r="CC25" i="22" s="1"/>
  <c r="CI95" i="22" s="1"/>
  <c r="CJ96" i="22" s="1"/>
  <c r="AA51" i="25"/>
  <c r="CC11" i="22" s="1"/>
  <c r="CI39" i="22" s="1"/>
  <c r="CJ40" i="22" s="1"/>
  <c r="AH51" i="25"/>
  <c r="CC18" i="22" s="1"/>
  <c r="CI67" i="22" s="1"/>
  <c r="CJ68" i="22" s="1"/>
  <c r="AP51" i="25"/>
  <c r="CT26" i="22" s="1"/>
  <c r="CZ99" i="22" s="1"/>
  <c r="AC51" i="25"/>
  <c r="CT13" i="22" s="1"/>
  <c r="CZ47" i="22" s="1"/>
  <c r="AD51" i="25"/>
  <c r="CT14" i="22" s="1"/>
  <c r="CZ51" i="22" s="1"/>
  <c r="BZ29" i="22"/>
  <c r="CH110" i="22" s="1"/>
  <c r="CH113" i="22" s="1"/>
  <c r="BZ28" i="22"/>
  <c r="CH106" i="22" s="1"/>
  <c r="CH109" i="22" s="1"/>
  <c r="BZ19" i="22"/>
  <c r="CH70" i="22" s="1"/>
  <c r="CH73" i="22" s="1"/>
  <c r="BZ11" i="22"/>
  <c r="CH38" i="22" s="1"/>
  <c r="CH41" i="22" s="1"/>
  <c r="CQ14" i="22"/>
  <c r="CY50" i="22" s="1"/>
  <c r="DI26" i="22"/>
  <c r="DQ98" i="22" s="1"/>
  <c r="BZ26" i="22"/>
  <c r="CH98" i="22" s="1"/>
  <c r="CH101" i="22" s="1"/>
  <c r="CQ25" i="22"/>
  <c r="CY94" i="22" s="1"/>
  <c r="BZ25" i="22"/>
  <c r="CH94" i="22" s="1"/>
  <c r="CH97" i="22" s="1"/>
  <c r="CA28" i="22"/>
  <c r="CI106" i="22" s="1"/>
  <c r="CJ109" i="22" s="1"/>
  <c r="CQ29" i="22"/>
  <c r="CY110" i="22" s="1"/>
  <c r="DI19" i="22"/>
  <c r="DQ70" i="22" s="1"/>
  <c r="DH19" i="22"/>
  <c r="DP70" i="22" s="1"/>
  <c r="CA19" i="22"/>
  <c r="CI70" i="22" s="1"/>
  <c r="CJ73" i="22" s="1"/>
  <c r="CQ11" i="22"/>
  <c r="CY38" i="22" s="1"/>
  <c r="CQ22" i="22"/>
  <c r="CY82" i="22" s="1"/>
  <c r="BZ7" i="22"/>
  <c r="CH22" i="22" s="1"/>
  <c r="CH25" i="22" s="1"/>
  <c r="CA3" i="22"/>
  <c r="CR8" i="22"/>
  <c r="CZ26" i="22" s="1"/>
  <c r="CQ13" i="22"/>
  <c r="CY46" i="22" s="1"/>
  <c r="CQ15" i="22"/>
  <c r="CY54" i="22" s="1"/>
  <c r="BZ22" i="22"/>
  <c r="CH82" i="22" s="1"/>
  <c r="CH85" i="22" s="1"/>
  <c r="BZ14" i="22"/>
  <c r="CH50" i="22" s="1"/>
  <c r="CH53" i="22" s="1"/>
  <c r="CQ26" i="22"/>
  <c r="CY98" i="22" s="1"/>
  <c r="DR49" i="22"/>
  <c r="BZ13" i="22"/>
  <c r="CH46" i="22" s="1"/>
  <c r="CH49" i="22" s="1"/>
  <c r="CQ7" i="22"/>
  <c r="CY22" i="22" s="1"/>
  <c r="CQ19" i="22"/>
  <c r="CY70" i="22" s="1"/>
  <c r="CQ28" i="22"/>
  <c r="CY106" i="22" s="1"/>
  <c r="CA27" i="22"/>
  <c r="CI102" i="22" s="1"/>
  <c r="CJ105" i="22" s="1"/>
  <c r="CR16" i="22"/>
  <c r="CZ58" i="22" s="1"/>
  <c r="CR24" i="22"/>
  <c r="CZ90" i="22" s="1"/>
  <c r="CA21" i="22"/>
  <c r="CI78" i="22" s="1"/>
  <c r="CJ81" i="22" s="1"/>
  <c r="CR7" i="22"/>
  <c r="CZ22" i="22" s="1"/>
  <c r="CR26" i="22"/>
  <c r="CZ98" i="22" s="1"/>
  <c r="CR10" i="22"/>
  <c r="CZ34" i="22" s="1"/>
  <c r="CA17" i="22"/>
  <c r="CI62" i="22" s="1"/>
  <c r="CJ65" i="22" s="1"/>
  <c r="CA13" i="22"/>
  <c r="CI46" i="22" s="1"/>
  <c r="CJ49" i="22" s="1"/>
  <c r="CR30" i="22"/>
  <c r="CZ114" i="22" s="1"/>
  <c r="CA12" i="22"/>
  <c r="CI42" i="22" s="1"/>
  <c r="CJ45" i="22" s="1"/>
  <c r="CA29" i="22"/>
  <c r="CI110" i="22" s="1"/>
  <c r="CJ113" i="22" s="1"/>
  <c r="CA4" i="22"/>
  <c r="DR72" i="22"/>
  <c r="DR100" i="22"/>
  <c r="CR11" i="22"/>
  <c r="CZ38" i="22" s="1"/>
  <c r="CR25" i="22"/>
  <c r="CZ94" i="22" s="1"/>
  <c r="CA18" i="22"/>
  <c r="CI66" i="22" s="1"/>
  <c r="CJ69" i="22" s="1"/>
  <c r="CR6" i="22"/>
  <c r="CZ18" i="22" s="1"/>
  <c r="CR15" i="22"/>
  <c r="CZ54" i="22" s="1"/>
  <c r="CR20" i="22"/>
  <c r="CZ74" i="22" s="1"/>
  <c r="CA9" i="22"/>
  <c r="CI30" i="22" s="1"/>
  <c r="CJ33" i="22" s="1"/>
  <c r="CR5" i="22"/>
  <c r="CZ14" i="22" s="1"/>
  <c r="CT6" i="22"/>
  <c r="CZ19" i="22" s="1"/>
  <c r="CR14" i="22"/>
  <c r="CZ50" i="22" s="1"/>
  <c r="CR23" i="22"/>
  <c r="CZ86" i="22" s="1"/>
  <c r="CA31" i="22"/>
  <c r="CI118" i="22" s="1"/>
  <c r="CJ121" i="22" s="1"/>
  <c r="CA22" i="22"/>
  <c r="CI82" i="22" s="1"/>
  <c r="CJ85" i="22" s="1"/>
  <c r="CR32" i="22"/>
  <c r="CZ122" i="22" s="1"/>
  <c r="CA32" i="22"/>
  <c r="CI122" i="22" s="1"/>
  <c r="CJ125" i="22" s="1"/>
  <c r="DP57" i="22"/>
  <c r="DP53" i="22"/>
  <c r="DP49" i="22"/>
  <c r="DP13" i="22"/>
  <c r="DP85" i="22"/>
  <c r="DP45" i="22"/>
  <c r="DP117" i="22"/>
  <c r="DP17" i="22"/>
  <c r="DP77" i="22"/>
  <c r="DP109" i="22"/>
  <c r="DP21" i="22"/>
  <c r="DP81" i="22"/>
  <c r="DP113" i="22"/>
  <c r="DP41" i="22"/>
  <c r="DP97" i="22"/>
  <c r="DP9" i="22"/>
  <c r="DP33" i="22"/>
  <c r="DP25" i="22"/>
  <c r="DP65" i="22"/>
  <c r="DP61" i="22"/>
  <c r="DR5" i="22"/>
  <c r="DP89" i="22"/>
  <c r="DP29" i="22"/>
  <c r="DA113" i="22"/>
  <c r="DP101" i="22"/>
  <c r="DP105" i="22"/>
  <c r="DP121" i="22"/>
  <c r="CY18" i="22"/>
  <c r="CY74" i="22"/>
  <c r="DP69" i="22"/>
  <c r="DP37" i="22"/>
  <c r="DP93" i="22"/>
  <c r="DP5" i="22"/>
  <c r="DP125" i="22"/>
  <c r="CH122" i="22"/>
  <c r="CH125" i="22" s="1"/>
  <c r="CY30" i="22"/>
  <c r="CY66" i="22"/>
  <c r="CY102" i="22"/>
  <c r="CY122" i="22"/>
  <c r="CH78" i="22"/>
  <c r="CH81" i="22" s="1"/>
  <c r="CH14" i="22"/>
  <c r="CH17" i="22" s="1"/>
  <c r="CH90" i="22"/>
  <c r="CH93" i="22" s="1"/>
  <c r="CH58" i="22"/>
  <c r="CH61" i="22" s="1"/>
  <c r="CH118" i="22"/>
  <c r="CH121" i="22" s="1"/>
  <c r="CH86" i="22"/>
  <c r="CH89" i="22" s="1"/>
  <c r="CH54" i="22"/>
  <c r="CH57" i="22" s="1"/>
  <c r="CY34" i="22"/>
  <c r="CH26" i="22"/>
  <c r="CH29" i="22" s="1"/>
  <c r="CH2" i="22"/>
  <c r="CH5" i="22" s="1"/>
  <c r="CH62" i="22"/>
  <c r="CH65" i="22" s="1"/>
  <c r="CH30" i="22"/>
  <c r="CH33" i="22" s="1"/>
  <c r="CH114" i="22"/>
  <c r="CH117" i="22" s="1"/>
  <c r="CH18" i="22"/>
  <c r="CH21" i="22" s="1"/>
  <c r="CY14" i="22"/>
  <c r="CY86" i="22"/>
  <c r="CH74" i="22"/>
  <c r="CH77" i="22" s="1"/>
  <c r="CH42" i="22"/>
  <c r="CH45" i="22" s="1"/>
  <c r="CH10" i="22"/>
  <c r="CH13" i="22" s="1"/>
  <c r="CH102" i="22"/>
  <c r="CH105" i="22" s="1"/>
  <c r="CH6" i="22"/>
  <c r="CH9" i="22" s="1"/>
  <c r="CH66" i="22"/>
  <c r="CH69" i="22" s="1"/>
  <c r="CH34" i="22"/>
  <c r="CH37" i="22" s="1"/>
  <c r="DA69" i="22"/>
  <c r="DA105" i="22"/>
  <c r="DA49" i="22"/>
  <c r="DA85" i="22"/>
  <c r="DA121" i="22"/>
  <c r="DA73" i="22"/>
  <c r="DA45" i="22"/>
  <c r="DA16" i="22"/>
  <c r="CY10" i="22"/>
  <c r="CY6" i="22"/>
  <c r="DA12" i="22"/>
  <c r="CY26" i="22"/>
  <c r="CY62" i="22"/>
  <c r="DA65" i="22"/>
  <c r="DA8" i="22"/>
  <c r="DA28" i="22"/>
  <c r="CY42" i="22"/>
  <c r="CY78" i="22"/>
  <c r="CY114" i="22"/>
  <c r="DA33" i="22"/>
  <c r="DA81" i="22"/>
  <c r="DA32" i="22"/>
  <c r="CY118" i="22"/>
  <c r="CI3" i="22"/>
  <c r="CJ4" i="22" s="1"/>
  <c r="CY2" i="22"/>
  <c r="CY58" i="22"/>
  <c r="DA109" i="22"/>
  <c r="CO33" i="22"/>
  <c r="DA4" i="22"/>
  <c r="DA36" i="22"/>
  <c r="CY90" i="22"/>
  <c r="BX33" i="22"/>
  <c r="CC16" i="22" l="1"/>
  <c r="CI59" i="22" s="1"/>
  <c r="CJ60" i="22" s="1"/>
  <c r="DA17" i="22"/>
  <c r="CC19" i="22"/>
  <c r="CI71" i="22" s="1"/>
  <c r="CJ72" i="22" s="1"/>
  <c r="CT22" i="22"/>
  <c r="CZ83" i="22" s="1"/>
  <c r="CJ17" i="22"/>
  <c r="CI10" i="22"/>
  <c r="CJ13" i="22" s="1"/>
  <c r="CI6" i="22"/>
  <c r="CJ9" i="22" s="1"/>
  <c r="CA33" i="22"/>
  <c r="CC24" i="22"/>
  <c r="CI91" i="22" s="1"/>
  <c r="CJ92" i="22" s="1"/>
  <c r="DA29" i="22"/>
  <c r="DA93" i="22"/>
  <c r="DA9" i="22"/>
  <c r="CC27" i="22"/>
  <c r="CI103" i="22" s="1"/>
  <c r="CJ104" i="22" s="1"/>
  <c r="CC23" i="22"/>
  <c r="CI87" i="22" s="1"/>
  <c r="CJ88" i="22" s="1"/>
  <c r="CT21" i="22"/>
  <c r="CZ79" i="22" s="1"/>
  <c r="CC12" i="22"/>
  <c r="CI43" i="22" s="1"/>
  <c r="CJ44" i="22" s="1"/>
  <c r="DA120" i="22"/>
  <c r="DA88" i="22"/>
  <c r="DA44" i="22"/>
  <c r="DA104" i="22"/>
  <c r="CC26" i="22"/>
  <c r="CI99" i="22" s="1"/>
  <c r="CJ100" i="22" s="1"/>
  <c r="CT17" i="22"/>
  <c r="CZ63" i="22" s="1"/>
  <c r="DA108" i="22"/>
  <c r="DA72" i="22"/>
  <c r="DA52" i="22"/>
  <c r="DA92" i="22"/>
  <c r="DA56" i="22"/>
  <c r="DA100" i="22"/>
  <c r="DA60" i="22"/>
  <c r="CC14" i="22"/>
  <c r="CI51" i="22" s="1"/>
  <c r="CJ52" i="22" s="1"/>
  <c r="CC15" i="22"/>
  <c r="CI55" i="22" s="1"/>
  <c r="CJ56" i="22" s="1"/>
  <c r="CC28" i="22"/>
  <c r="CI107" i="22" s="1"/>
  <c r="CJ108" i="22" s="1"/>
  <c r="CT18" i="22"/>
  <c r="CZ67" i="22" s="1"/>
  <c r="CT11" i="22"/>
  <c r="CZ39" i="22" s="1"/>
  <c r="CT32" i="22"/>
  <c r="CZ123" i="22" s="1"/>
  <c r="CC31" i="22"/>
  <c r="CI119" i="22" s="1"/>
  <c r="CJ120" i="22" s="1"/>
  <c r="CC20" i="22"/>
  <c r="CI75" i="22" s="1"/>
  <c r="CJ76" i="22" s="1"/>
  <c r="CT29" i="22"/>
  <c r="CZ111" i="22" s="1"/>
  <c r="CT7" i="22"/>
  <c r="CZ23" i="22" s="1"/>
  <c r="CC13" i="22"/>
  <c r="CI47" i="22" s="1"/>
  <c r="CJ48" i="22" s="1"/>
  <c r="CT25" i="22"/>
  <c r="CZ95" i="22" s="1"/>
  <c r="CC30" i="22"/>
  <c r="CI115" i="22" s="1"/>
  <c r="CJ116" i="22" s="1"/>
  <c r="AW51" i="25"/>
  <c r="AX52" i="25" s="1"/>
  <c r="DA41" i="22"/>
  <c r="DA117" i="22"/>
  <c r="DR73" i="22"/>
  <c r="DA48" i="22"/>
  <c r="DA77" i="22"/>
  <c r="DR101" i="22"/>
  <c r="DA76" i="22"/>
  <c r="DA97" i="22"/>
  <c r="DP73" i="22"/>
  <c r="DA89" i="22"/>
  <c r="DA37" i="22"/>
  <c r="DA61" i="22"/>
  <c r="DA21" i="22"/>
  <c r="DA20" i="22"/>
  <c r="DA25" i="22"/>
  <c r="DA101" i="22"/>
  <c r="DA53" i="22"/>
  <c r="DA116" i="22"/>
  <c r="DA57" i="22"/>
  <c r="CR33" i="22"/>
  <c r="DA125" i="22"/>
  <c r="CY77" i="22"/>
  <c r="CY21" i="22"/>
  <c r="CY113" i="22"/>
  <c r="CY69" i="22"/>
  <c r="CY89" i="22"/>
  <c r="CY125" i="22"/>
  <c r="CY17" i="22"/>
  <c r="CY53" i="22"/>
  <c r="CY105" i="22"/>
  <c r="CY109" i="22"/>
  <c r="CY33" i="22"/>
  <c r="CY57" i="22"/>
  <c r="CY37" i="22"/>
  <c r="CY73" i="22"/>
  <c r="DA5" i="22"/>
  <c r="CY117" i="22"/>
  <c r="CY25" i="22"/>
  <c r="CY29" i="22"/>
  <c r="CY13" i="22"/>
  <c r="DA13" i="22"/>
  <c r="CY65" i="22"/>
  <c r="CY61" i="22"/>
  <c r="CY9" i="22"/>
  <c r="CY5" i="22"/>
  <c r="CY93" i="22"/>
  <c r="CY41" i="22"/>
  <c r="CY81" i="22"/>
  <c r="CY85" i="22"/>
  <c r="CY121" i="22"/>
  <c r="CY101" i="22"/>
  <c r="CY97" i="22"/>
  <c r="CY45" i="22"/>
  <c r="CY49" i="22"/>
  <c r="AR65" i="25"/>
  <c r="DA84" i="22" l="1"/>
  <c r="CC33" i="22"/>
  <c r="DA80" i="22"/>
  <c r="DA68" i="22"/>
  <c r="DA64" i="22"/>
  <c r="DA124" i="22"/>
  <c r="DA40" i="22"/>
  <c r="DA96" i="22"/>
  <c r="DA24" i="22"/>
  <c r="DA112" i="22"/>
  <c r="CA3" i="28"/>
  <c r="CA4" i="28"/>
  <c r="CA5" i="28"/>
  <c r="CA6" i="28"/>
  <c r="CA7" i="28"/>
  <c r="CA8" i="28"/>
  <c r="CA9" i="28"/>
  <c r="CA10" i="28"/>
  <c r="CA11" i="28"/>
  <c r="CA12" i="28"/>
  <c r="CA13" i="28"/>
  <c r="CA14" i="28"/>
  <c r="CA15" i="28"/>
  <c r="CA16" i="28"/>
  <c r="CA17" i="28"/>
  <c r="CA18" i="28"/>
  <c r="CA19" i="28"/>
  <c r="CA20" i="28"/>
  <c r="CA21" i="28"/>
  <c r="CA22" i="28"/>
  <c r="CA23" i="28"/>
  <c r="CA24" i="28"/>
  <c r="CA25" i="28"/>
  <c r="CA26" i="28"/>
  <c r="CA27" i="28"/>
  <c r="CA28" i="28"/>
  <c r="CA29" i="28"/>
  <c r="CA30" i="28"/>
  <c r="CA31" i="28"/>
  <c r="CA32" i="28"/>
  <c r="CA2" i="28"/>
  <c r="BZ3" i="28"/>
  <c r="BZ4" i="28"/>
  <c r="BZ5" i="28"/>
  <c r="BZ6" i="28"/>
  <c r="BZ7" i="28"/>
  <c r="BZ8" i="28"/>
  <c r="BZ9" i="28"/>
  <c r="BZ10" i="28"/>
  <c r="BZ11" i="28"/>
  <c r="BZ12" i="28"/>
  <c r="BZ13" i="28"/>
  <c r="BZ14" i="28"/>
  <c r="BZ15" i="28"/>
  <c r="BZ16" i="28"/>
  <c r="BZ17" i="28"/>
  <c r="BZ18" i="28"/>
  <c r="BZ19" i="28"/>
  <c r="BZ20" i="28"/>
  <c r="BZ21" i="28"/>
  <c r="BZ22" i="28"/>
  <c r="BZ23" i="28"/>
  <c r="BZ24" i="28"/>
  <c r="BZ25" i="28"/>
  <c r="BZ26" i="28"/>
  <c r="BZ27" i="28"/>
  <c r="BZ28" i="28"/>
  <c r="BZ29" i="28"/>
  <c r="BZ30" i="28"/>
  <c r="BZ31" i="28"/>
  <c r="BZ32" i="28"/>
  <c r="BZ2" i="28"/>
  <c r="BY3" i="28"/>
  <c r="BY4" i="28"/>
  <c r="BY5" i="28"/>
  <c r="BY6" i="28"/>
  <c r="BY7" i="28"/>
  <c r="BY8" i="28"/>
  <c r="BY9" i="28"/>
  <c r="BY10" i="28"/>
  <c r="BY11" i="28"/>
  <c r="BY12" i="28"/>
  <c r="BY13" i="28"/>
  <c r="BY14" i="28"/>
  <c r="BY15" i="28"/>
  <c r="BY16" i="28"/>
  <c r="BY17" i="28"/>
  <c r="BY18" i="28"/>
  <c r="BY19" i="28"/>
  <c r="BY20" i="28"/>
  <c r="BY21" i="28"/>
  <c r="BY22" i="28"/>
  <c r="BY23" i="28"/>
  <c r="BY24" i="28"/>
  <c r="BY25" i="28"/>
  <c r="BY26" i="28"/>
  <c r="BY27" i="28"/>
  <c r="BY28" i="28"/>
  <c r="BY29" i="28"/>
  <c r="BY30" i="28"/>
  <c r="BY31" i="28"/>
  <c r="BY32" i="28"/>
  <c r="BY2" i="28"/>
  <c r="CG6" i="28" l="1"/>
  <c r="CG54" i="28"/>
  <c r="CG38" i="28"/>
  <c r="CG22" i="28"/>
  <c r="CG36" i="28"/>
  <c r="CG56" i="28"/>
  <c r="CG40" i="28"/>
  <c r="CG24" i="28"/>
  <c r="CG62" i="28"/>
  <c r="CG46" i="28"/>
  <c r="CG30" i="28"/>
  <c r="CG12" i="28"/>
  <c r="CG14" i="28"/>
  <c r="CG58" i="28"/>
  <c r="CG42" i="28"/>
  <c r="CG26" i="28"/>
  <c r="CG10" i="28"/>
  <c r="CG8" i="28"/>
  <c r="CG60" i="28"/>
  <c r="CG28" i="28"/>
  <c r="CG44" i="28"/>
  <c r="CG52" i="28"/>
  <c r="CG20" i="28"/>
  <c r="CG4" i="28"/>
  <c r="CG2" i="28"/>
  <c r="CG48" i="28"/>
  <c r="CG32" i="28"/>
  <c r="CG16" i="28"/>
  <c r="CG50" i="28"/>
  <c r="CG34" i="28"/>
  <c r="CG18" i="28"/>
  <c r="BY33" i="28"/>
  <c r="CG7" i="28" l="1"/>
  <c r="CG37" i="28"/>
  <c r="CG23" i="28"/>
  <c r="CG55" i="28"/>
  <c r="CG39" i="28"/>
  <c r="CG41" i="28"/>
  <c r="CG47" i="28"/>
  <c r="CG15" i="28"/>
  <c r="CG57" i="28"/>
  <c r="CG29" i="28"/>
  <c r="CG13" i="28"/>
  <c r="CG51" i="28"/>
  <c r="CG33" i="28"/>
  <c r="CG31" i="28"/>
  <c r="CG21" i="28"/>
  <c r="CG9" i="28"/>
  <c r="CG5" i="28"/>
  <c r="CG11" i="28"/>
  <c r="CG63" i="28"/>
  <c r="CG59" i="28"/>
  <c r="CG27" i="28"/>
  <c r="CG25" i="28"/>
  <c r="CG61" i="28"/>
  <c r="CG35" i="28"/>
  <c r="CG45" i="28"/>
  <c r="CG43" i="28"/>
  <c r="CG53" i="28"/>
  <c r="CG3" i="28"/>
  <c r="CG19" i="28"/>
  <c r="CG49" i="28"/>
  <c r="CG17" i="28"/>
  <c r="BL3" i="28" l="1"/>
  <c r="BL4" i="28"/>
  <c r="BL5" i="28"/>
  <c r="BL6" i="28"/>
  <c r="BL7" i="28"/>
  <c r="BL8" i="28"/>
  <c r="BL9" i="28"/>
  <c r="BL10" i="28"/>
  <c r="BL11" i="28"/>
  <c r="BL12" i="28"/>
  <c r="BL13" i="28"/>
  <c r="BL14" i="28"/>
  <c r="BL15" i="28"/>
  <c r="BL16" i="28"/>
  <c r="BL17" i="28"/>
  <c r="BL18" i="28"/>
  <c r="BL19" i="28"/>
  <c r="BL20" i="28"/>
  <c r="BL21" i="28"/>
  <c r="BL22" i="28"/>
  <c r="BL23" i="28"/>
  <c r="BL24" i="28"/>
  <c r="BL25" i="28"/>
  <c r="BL26" i="28"/>
  <c r="BL27" i="28"/>
  <c r="BL28" i="28"/>
  <c r="BL29" i="28"/>
  <c r="BL30" i="28"/>
  <c r="BL31" i="28"/>
  <c r="BL32" i="28"/>
  <c r="BL2" i="28"/>
  <c r="BK3" i="28"/>
  <c r="BK4" i="28"/>
  <c r="BK5" i="28"/>
  <c r="BK6" i="28"/>
  <c r="BK7" i="28"/>
  <c r="BK8" i="28"/>
  <c r="BK9" i="28"/>
  <c r="BK10" i="28"/>
  <c r="BK11" i="28"/>
  <c r="BK12" i="28"/>
  <c r="BK13" i="28"/>
  <c r="BK14" i="28"/>
  <c r="BK15" i="28"/>
  <c r="BK16" i="28"/>
  <c r="BK17" i="28"/>
  <c r="BK18" i="28"/>
  <c r="BK19" i="28"/>
  <c r="BK20" i="28"/>
  <c r="BK21" i="28"/>
  <c r="BK22" i="28"/>
  <c r="BK23" i="28"/>
  <c r="BK24" i="28"/>
  <c r="BK25" i="28"/>
  <c r="BK26" i="28"/>
  <c r="BK27" i="28"/>
  <c r="BK28" i="28"/>
  <c r="BK29" i="28"/>
  <c r="BK30" i="28"/>
  <c r="BK31" i="28"/>
  <c r="BK32" i="28"/>
  <c r="BK2" i="28"/>
  <c r="BJ3" i="28"/>
  <c r="BJ4" i="28"/>
  <c r="BJ5" i="28"/>
  <c r="BJ6" i="28"/>
  <c r="BJ7" i="28"/>
  <c r="BJ8" i="28"/>
  <c r="BJ9" i="28"/>
  <c r="BJ10" i="28"/>
  <c r="BJ11" i="28"/>
  <c r="BJ12" i="28"/>
  <c r="BJ13" i="28"/>
  <c r="BJ14" i="28"/>
  <c r="BJ15" i="28"/>
  <c r="BJ16" i="28"/>
  <c r="BJ17" i="28"/>
  <c r="BJ18" i="28"/>
  <c r="BJ19" i="28"/>
  <c r="BJ20" i="28"/>
  <c r="BJ21" i="28"/>
  <c r="BJ22" i="28"/>
  <c r="BJ23" i="28"/>
  <c r="BJ24" i="28"/>
  <c r="BJ25" i="28"/>
  <c r="BJ26" i="28"/>
  <c r="BJ27" i="28"/>
  <c r="BJ28" i="28"/>
  <c r="BJ29" i="28"/>
  <c r="BJ30" i="28"/>
  <c r="BJ31" i="28"/>
  <c r="BJ32" i="28"/>
  <c r="BJ2" i="28"/>
  <c r="AW88" i="25"/>
  <c r="AW82" i="25"/>
  <c r="AW78" i="25"/>
  <c r="AW74" i="25"/>
  <c r="AV91" i="25"/>
  <c r="AU91" i="25"/>
  <c r="BM31" i="28" s="1"/>
  <c r="BS60" i="28" s="1"/>
  <c r="AT91" i="25"/>
  <c r="BM30" i="28" s="1"/>
  <c r="BS58" i="28" s="1"/>
  <c r="AS91" i="25"/>
  <c r="BM29" i="28" s="1"/>
  <c r="BS56" i="28" s="1"/>
  <c r="AR91" i="25"/>
  <c r="BM28" i="28" s="1"/>
  <c r="BS54" i="28" s="1"/>
  <c r="BM27" i="28"/>
  <c r="BS52" i="28" s="1"/>
  <c r="BM26" i="28"/>
  <c r="BS50" i="28" s="1"/>
  <c r="BM25" i="28"/>
  <c r="BS48" i="28" s="1"/>
  <c r="BM24" i="28"/>
  <c r="BS46" i="28" s="1"/>
  <c r="BM23" i="28"/>
  <c r="BS44" i="28" s="1"/>
  <c r="AL91" i="25"/>
  <c r="BM22" i="28" s="1"/>
  <c r="BS42" i="28" s="1"/>
  <c r="AK91" i="25"/>
  <c r="BM21" i="28" s="1"/>
  <c r="BS40" i="28" s="1"/>
  <c r="AJ91" i="25"/>
  <c r="BM20" i="28" s="1"/>
  <c r="BS38" i="28" s="1"/>
  <c r="AI91" i="25"/>
  <c r="BM19" i="28" s="1"/>
  <c r="BS36" i="28" s="1"/>
  <c r="AH91" i="25"/>
  <c r="BM18" i="28" s="1"/>
  <c r="BS34" i="28" s="1"/>
  <c r="AG91" i="25"/>
  <c r="BM17" i="28" s="1"/>
  <c r="BS32" i="28" s="1"/>
  <c r="AF91" i="25"/>
  <c r="BM16" i="28" s="1"/>
  <c r="BS30" i="28" s="1"/>
  <c r="AE91" i="25"/>
  <c r="BM15" i="28" s="1"/>
  <c r="BS28" i="28" s="1"/>
  <c r="AD91" i="25"/>
  <c r="BM14" i="28" s="1"/>
  <c r="BS26" i="28" s="1"/>
  <c r="AC91" i="25"/>
  <c r="BM13" i="28" s="1"/>
  <c r="BS24" i="28" s="1"/>
  <c r="AB91" i="25"/>
  <c r="BM12" i="28" s="1"/>
  <c r="BS22" i="28" s="1"/>
  <c r="AA91" i="25"/>
  <c r="BM11" i="28" s="1"/>
  <c r="BS20" i="28" s="1"/>
  <c r="Z91" i="25"/>
  <c r="BM10" i="28" s="1"/>
  <c r="BS18" i="28" s="1"/>
  <c r="Y91" i="25"/>
  <c r="BM9" i="28" s="1"/>
  <c r="BS16" i="28" s="1"/>
  <c r="X91" i="25"/>
  <c r="BM8" i="28" s="1"/>
  <c r="BS14" i="28" s="1"/>
  <c r="W91" i="25"/>
  <c r="BM7" i="28" s="1"/>
  <c r="BS12" i="28" s="1"/>
  <c r="V91" i="25"/>
  <c r="BM6" i="28" s="1"/>
  <c r="BS10" i="28" s="1"/>
  <c r="U91" i="25"/>
  <c r="BM5" i="28" s="1"/>
  <c r="BS8" i="28" s="1"/>
  <c r="T91" i="25"/>
  <c r="BM4" i="28" s="1"/>
  <c r="BS6" i="28" s="1"/>
  <c r="S91" i="25"/>
  <c r="BM3" i="28" s="1"/>
  <c r="BS4" i="28" s="1"/>
  <c r="CK3" i="16"/>
  <c r="CR4" i="16" s="1"/>
  <c r="CK4" i="16"/>
  <c r="CR6" i="16" s="1"/>
  <c r="CK5" i="16"/>
  <c r="CR8" i="16" s="1"/>
  <c r="CK6" i="16"/>
  <c r="CR10" i="16" s="1"/>
  <c r="CK7" i="16"/>
  <c r="CR12" i="16" s="1"/>
  <c r="CK8" i="16"/>
  <c r="CR14" i="16" s="1"/>
  <c r="CK9" i="16"/>
  <c r="CR16" i="16" s="1"/>
  <c r="CK10" i="16"/>
  <c r="CR18" i="16" s="1"/>
  <c r="CK11" i="16"/>
  <c r="CR20" i="16" s="1"/>
  <c r="CK12" i="16"/>
  <c r="CR22" i="16" s="1"/>
  <c r="CK13" i="16"/>
  <c r="CR24" i="16" s="1"/>
  <c r="CK14" i="16"/>
  <c r="CR26" i="16" s="1"/>
  <c r="CK15" i="16"/>
  <c r="CR28" i="16" s="1"/>
  <c r="CK16" i="16"/>
  <c r="CR30" i="16" s="1"/>
  <c r="CK17" i="16"/>
  <c r="CR32" i="16" s="1"/>
  <c r="CK18" i="16"/>
  <c r="CR34" i="16" s="1"/>
  <c r="CK19" i="16"/>
  <c r="CR36" i="16" s="1"/>
  <c r="CK20" i="16"/>
  <c r="CR38" i="16" s="1"/>
  <c r="CK21" i="16"/>
  <c r="CR40" i="16" s="1"/>
  <c r="CK22" i="16"/>
  <c r="CR42" i="16" s="1"/>
  <c r="CK23" i="16"/>
  <c r="CR44" i="16" s="1"/>
  <c r="CK24" i="16"/>
  <c r="CR46" i="16" s="1"/>
  <c r="CK25" i="16"/>
  <c r="CR48" i="16" s="1"/>
  <c r="CK26" i="16"/>
  <c r="CR50" i="16" s="1"/>
  <c r="CK27" i="16"/>
  <c r="CR52" i="16" s="1"/>
  <c r="CK28" i="16"/>
  <c r="CR54" i="16" s="1"/>
  <c r="CK29" i="16"/>
  <c r="CR56" i="16" s="1"/>
  <c r="CK30" i="16"/>
  <c r="CR58" i="16" s="1"/>
  <c r="CK31" i="16"/>
  <c r="CR60" i="16" s="1"/>
  <c r="CK32" i="16"/>
  <c r="CR62" i="16" s="1"/>
  <c r="CK2" i="16"/>
  <c r="CR2" i="16" s="1"/>
  <c r="CQ63" i="16"/>
  <c r="CQ62" i="16"/>
  <c r="CQ61" i="16"/>
  <c r="CQ60" i="16"/>
  <c r="CQ59" i="16"/>
  <c r="CQ58" i="16"/>
  <c r="CQ57" i="16"/>
  <c r="CQ56" i="16"/>
  <c r="CQ55" i="16"/>
  <c r="CQ54" i="16"/>
  <c r="CQ53" i="16"/>
  <c r="CQ52" i="16"/>
  <c r="CQ51" i="16"/>
  <c r="CQ50" i="16"/>
  <c r="CQ49" i="16"/>
  <c r="CQ48" i="16"/>
  <c r="CQ47" i="16"/>
  <c r="CQ46" i="16"/>
  <c r="CQ45" i="16"/>
  <c r="CQ44" i="16"/>
  <c r="CQ43" i="16"/>
  <c r="CQ42" i="16"/>
  <c r="CQ41" i="16"/>
  <c r="CQ40" i="16"/>
  <c r="CQ39" i="16"/>
  <c r="CQ38" i="16"/>
  <c r="CQ37" i="16"/>
  <c r="CQ36" i="16"/>
  <c r="CQ35" i="16"/>
  <c r="CQ34" i="16"/>
  <c r="CQ33" i="16"/>
  <c r="CQ32" i="16"/>
  <c r="CQ31" i="16"/>
  <c r="CQ30" i="16"/>
  <c r="CQ28" i="16"/>
  <c r="CQ29" i="16" s="1"/>
  <c r="CQ26" i="16"/>
  <c r="CQ27" i="16" s="1"/>
  <c r="CQ24" i="16"/>
  <c r="CQ25" i="16" s="1"/>
  <c r="CQ23" i="16"/>
  <c r="CQ22" i="16"/>
  <c r="CQ20" i="16"/>
  <c r="CQ21" i="16" s="1"/>
  <c r="CQ18" i="16"/>
  <c r="CQ19" i="16" s="1"/>
  <c r="CQ16" i="16"/>
  <c r="CQ17" i="16" s="1"/>
  <c r="CQ15" i="16"/>
  <c r="CQ14" i="16"/>
  <c r="CQ12" i="16"/>
  <c r="CQ13" i="16" s="1"/>
  <c r="CQ10" i="16"/>
  <c r="CQ11" i="16" s="1"/>
  <c r="CQ8" i="16"/>
  <c r="CQ9" i="16" s="1"/>
  <c r="CQ7" i="16"/>
  <c r="CQ6" i="16"/>
  <c r="CQ4" i="16"/>
  <c r="CQ5" i="16" s="1"/>
  <c r="CQ3" i="16"/>
  <c r="CD62" i="16"/>
  <c r="CD63" i="16" s="1"/>
  <c r="CD60" i="16"/>
  <c r="CD61" i="16" s="1"/>
  <c r="CD58" i="16"/>
  <c r="CD59" i="16" s="1"/>
  <c r="CD56" i="16"/>
  <c r="CD57" i="16" s="1"/>
  <c r="CD54" i="16"/>
  <c r="CD55" i="16" s="1"/>
  <c r="CD52" i="16"/>
  <c r="CD53" i="16" s="1"/>
  <c r="CD50" i="16"/>
  <c r="CD51" i="16" s="1"/>
  <c r="CD48" i="16"/>
  <c r="CD49" i="16" s="1"/>
  <c r="CD46" i="16"/>
  <c r="CD47" i="16" s="1"/>
  <c r="CD44" i="16"/>
  <c r="CD45" i="16" s="1"/>
  <c r="CD42" i="16"/>
  <c r="CD43" i="16" s="1"/>
  <c r="CD40" i="16"/>
  <c r="CD41" i="16" s="1"/>
  <c r="CD38" i="16"/>
  <c r="CD39" i="16" s="1"/>
  <c r="CD36" i="16"/>
  <c r="CD37" i="16" s="1"/>
  <c r="CD34" i="16"/>
  <c r="CD35" i="16" s="1"/>
  <c r="CD32" i="16"/>
  <c r="CD33" i="16" s="1"/>
  <c r="CD30" i="16"/>
  <c r="CD31" i="16" s="1"/>
  <c r="CD28" i="16"/>
  <c r="CD29" i="16" s="1"/>
  <c r="CD26" i="16"/>
  <c r="CD27" i="16" s="1"/>
  <c r="CD24" i="16"/>
  <c r="CD25" i="16" s="1"/>
  <c r="CD22" i="16"/>
  <c r="CD23" i="16" s="1"/>
  <c r="CD20" i="16"/>
  <c r="CD21" i="16" s="1"/>
  <c r="CD18" i="16"/>
  <c r="CD19" i="16" s="1"/>
  <c r="CD16" i="16"/>
  <c r="CD17" i="16" s="1"/>
  <c r="CD14" i="16"/>
  <c r="CD15" i="16" s="1"/>
  <c r="CD12" i="16"/>
  <c r="CD13" i="16" s="1"/>
  <c r="CD10" i="16"/>
  <c r="CD11" i="16" s="1"/>
  <c r="CD8" i="16"/>
  <c r="CD9" i="16" s="1"/>
  <c r="CD6" i="16"/>
  <c r="CD7" i="16" s="1"/>
  <c r="CD4" i="16"/>
  <c r="CD5" i="16" s="1"/>
  <c r="CD2" i="16"/>
  <c r="BM32" i="28" l="1"/>
  <c r="BS62" i="28" s="1"/>
  <c r="BM2" i="28"/>
  <c r="BS2" i="28" s="1"/>
  <c r="BR60" i="28"/>
  <c r="BR44" i="28"/>
  <c r="BR28" i="28"/>
  <c r="BR12" i="28"/>
  <c r="BR2" i="28"/>
  <c r="BT59" i="28"/>
  <c r="BT27" i="28"/>
  <c r="BT11" i="28"/>
  <c r="CS61" i="16"/>
  <c r="CS45" i="16"/>
  <c r="CS29" i="16"/>
  <c r="CS13" i="16"/>
  <c r="BT25" i="28"/>
  <c r="BT49" i="28"/>
  <c r="BR58" i="28"/>
  <c r="BR42" i="28"/>
  <c r="BR26" i="28"/>
  <c r="BR10" i="28"/>
  <c r="CS15" i="16"/>
  <c r="BT23" i="28"/>
  <c r="BT47" i="28"/>
  <c r="CS59" i="16"/>
  <c r="CS43" i="16"/>
  <c r="CS27" i="16"/>
  <c r="CS11" i="16"/>
  <c r="BT5" i="28"/>
  <c r="BT29" i="28"/>
  <c r="BR56" i="28"/>
  <c r="BR40" i="28"/>
  <c r="BR24" i="28"/>
  <c r="BR8" i="28"/>
  <c r="BT55" i="28"/>
  <c r="BT39" i="28"/>
  <c r="BT7" i="28"/>
  <c r="CS57" i="16"/>
  <c r="CS41" i="16"/>
  <c r="CS25" i="16"/>
  <c r="CS9" i="16"/>
  <c r="BT9" i="28"/>
  <c r="BT31" i="28"/>
  <c r="BT53" i="28"/>
  <c r="BR54" i="28"/>
  <c r="BR38" i="28"/>
  <c r="BR22" i="28"/>
  <c r="BR6" i="28"/>
  <c r="CS47" i="16"/>
  <c r="BT43" i="28"/>
  <c r="CS55" i="16"/>
  <c r="CS39" i="16"/>
  <c r="CS23" i="16"/>
  <c r="CS7" i="16"/>
  <c r="BT13" i="28"/>
  <c r="BT33" i="28"/>
  <c r="BT57" i="28"/>
  <c r="BR52" i="28"/>
  <c r="BR36" i="28"/>
  <c r="BT51" i="28"/>
  <c r="BT35" i="28"/>
  <c r="BT19" i="28"/>
  <c r="CS31" i="16"/>
  <c r="CS53" i="16"/>
  <c r="CS37" i="16"/>
  <c r="CS21" i="16"/>
  <c r="CS5" i="16"/>
  <c r="BT15" i="28"/>
  <c r="BT37" i="28"/>
  <c r="BT61" i="28"/>
  <c r="BR50" i="28"/>
  <c r="BR34" i="28"/>
  <c r="BR18" i="28"/>
  <c r="CS63" i="16"/>
  <c r="CS51" i="16"/>
  <c r="CS35" i="16"/>
  <c r="CS19" i="16"/>
  <c r="BT17" i="28"/>
  <c r="BT41" i="28"/>
  <c r="BR48" i="28"/>
  <c r="BR32" i="28"/>
  <c r="BR16" i="28"/>
  <c r="CS3" i="16"/>
  <c r="CS49" i="16"/>
  <c r="CS33" i="16"/>
  <c r="CS17" i="16"/>
  <c r="BT21" i="28"/>
  <c r="BT45" i="28"/>
  <c r="BR62" i="28"/>
  <c r="BR46" i="28"/>
  <c r="BR30" i="28"/>
  <c r="BR14" i="28"/>
  <c r="BR4" i="28"/>
  <c r="BR20" i="28"/>
  <c r="BJ33" i="28"/>
  <c r="BX3" i="16"/>
  <c r="CE4" i="16" s="1"/>
  <c r="BX4" i="16"/>
  <c r="CE6" i="16" s="1"/>
  <c r="BX5" i="16"/>
  <c r="CE8" i="16" s="1"/>
  <c r="BX6" i="16"/>
  <c r="CE10" i="16" s="1"/>
  <c r="BX7" i="16"/>
  <c r="CE12" i="16" s="1"/>
  <c r="BX8" i="16"/>
  <c r="CE14" i="16" s="1"/>
  <c r="BX9" i="16"/>
  <c r="CE16" i="16" s="1"/>
  <c r="BX10" i="16"/>
  <c r="CE18" i="16" s="1"/>
  <c r="BX11" i="16"/>
  <c r="CE20" i="16" s="1"/>
  <c r="BX12" i="16"/>
  <c r="CE22" i="16" s="1"/>
  <c r="BX13" i="16"/>
  <c r="CE24" i="16" s="1"/>
  <c r="BX14" i="16"/>
  <c r="CE26" i="16" s="1"/>
  <c r="BX15" i="16"/>
  <c r="CE28" i="16" s="1"/>
  <c r="BX16" i="16"/>
  <c r="CE30" i="16" s="1"/>
  <c r="BX17" i="16"/>
  <c r="CE32" i="16" s="1"/>
  <c r="BX18" i="16"/>
  <c r="CE34" i="16" s="1"/>
  <c r="BX19" i="16"/>
  <c r="CE36" i="16" s="1"/>
  <c r="BX20" i="16"/>
  <c r="CE38" i="16" s="1"/>
  <c r="BX21" i="16"/>
  <c r="CE40" i="16" s="1"/>
  <c r="BX22" i="16"/>
  <c r="CE42" i="16" s="1"/>
  <c r="BX23" i="16"/>
  <c r="CE44" i="16" s="1"/>
  <c r="BX24" i="16"/>
  <c r="CE46" i="16" s="1"/>
  <c r="BX25" i="16"/>
  <c r="CE48" i="16" s="1"/>
  <c r="BX26" i="16"/>
  <c r="CE50" i="16" s="1"/>
  <c r="BX27" i="16"/>
  <c r="CE52" i="16" s="1"/>
  <c r="BX28" i="16"/>
  <c r="CE54" i="16" s="1"/>
  <c r="BX29" i="16"/>
  <c r="CE56" i="16" s="1"/>
  <c r="BX30" i="16"/>
  <c r="CE58" i="16" s="1"/>
  <c r="BX31" i="16"/>
  <c r="CE60" i="16" s="1"/>
  <c r="BX32" i="16"/>
  <c r="CE62" i="16" s="1"/>
  <c r="BX2" i="16"/>
  <c r="CE2" i="16" s="1"/>
  <c r="CD3" i="16"/>
  <c r="BT3" i="28" l="1"/>
  <c r="BT63" i="28"/>
  <c r="BM33" i="28"/>
  <c r="BT63" i="29"/>
  <c r="BM33" i="29"/>
  <c r="BR13" i="28"/>
  <c r="BR11" i="28"/>
  <c r="BR45" i="28"/>
  <c r="BR47" i="28"/>
  <c r="BR27" i="28"/>
  <c r="BR61" i="28"/>
  <c r="BR39" i="28"/>
  <c r="BR43" i="28"/>
  <c r="BR53" i="28"/>
  <c r="BR29" i="28"/>
  <c r="BR19" i="28"/>
  <c r="BR3" i="28"/>
  <c r="BR63" i="28"/>
  <c r="BR59" i="28"/>
  <c r="BR55" i="28"/>
  <c r="BR15" i="28"/>
  <c r="BR31" i="28"/>
  <c r="BR51" i="28"/>
  <c r="CF43" i="16"/>
  <c r="CF57" i="16"/>
  <c r="CF41" i="16"/>
  <c r="CF25" i="16"/>
  <c r="CF9" i="16"/>
  <c r="CF11" i="16"/>
  <c r="CF7" i="16"/>
  <c r="CF21" i="16"/>
  <c r="CF5" i="16"/>
  <c r="CF39" i="16"/>
  <c r="CF37" i="16"/>
  <c r="CF51" i="16"/>
  <c r="CF35" i="16"/>
  <c r="CF19" i="16"/>
  <c r="BR37" i="28"/>
  <c r="BR17" i="28"/>
  <c r="BR7" i="28"/>
  <c r="BR9" i="28"/>
  <c r="CF27" i="16"/>
  <c r="CF23" i="16"/>
  <c r="CF53" i="16"/>
  <c r="CF3" i="16"/>
  <c r="CF49" i="16"/>
  <c r="CF33" i="16"/>
  <c r="CF17" i="16"/>
  <c r="BR21" i="28"/>
  <c r="BR33" i="28"/>
  <c r="BR23" i="28"/>
  <c r="BR25" i="28"/>
  <c r="CF59" i="16"/>
  <c r="CF55" i="16"/>
  <c r="CF47" i="16"/>
  <c r="CF31" i="16"/>
  <c r="CF15" i="16"/>
  <c r="BR35" i="28"/>
  <c r="BR49" i="28"/>
  <c r="BR41" i="28"/>
  <c r="CF63" i="16"/>
  <c r="CF61" i="16"/>
  <c r="CF45" i="16"/>
  <c r="CF29" i="16"/>
  <c r="CF13" i="16"/>
  <c r="BR5" i="28"/>
  <c r="BR57" i="28"/>
  <c r="U63" i="17"/>
  <c r="U62" i="17"/>
  <c r="U61" i="17"/>
  <c r="U60" i="17"/>
  <c r="U58" i="17"/>
  <c r="U59" i="17" s="1"/>
  <c r="U56" i="17"/>
  <c r="U57" i="17" s="1"/>
  <c r="U55" i="17"/>
  <c r="U54" i="17"/>
  <c r="U53" i="17"/>
  <c r="U52" i="17"/>
  <c r="U50" i="17"/>
  <c r="U51" i="17" s="1"/>
  <c r="U48" i="17"/>
  <c r="U49" i="17" s="1"/>
  <c r="U47" i="17"/>
  <c r="U46" i="17"/>
  <c r="U45" i="17"/>
  <c r="U44" i="17"/>
  <c r="U42" i="17"/>
  <c r="U43" i="17" s="1"/>
  <c r="U40" i="17"/>
  <c r="U41" i="17" s="1"/>
  <c r="U39" i="17"/>
  <c r="U38" i="17"/>
  <c r="U37" i="17"/>
  <c r="U36" i="17"/>
  <c r="U34" i="17"/>
  <c r="U35" i="17" s="1"/>
  <c r="U32" i="17"/>
  <c r="U33" i="17" s="1"/>
  <c r="U31" i="17"/>
  <c r="U30" i="17"/>
  <c r="U29" i="17"/>
  <c r="U28" i="17"/>
  <c r="U26" i="17"/>
  <c r="U27" i="17" s="1"/>
  <c r="U24" i="17"/>
  <c r="U25" i="17" s="1"/>
  <c r="U23" i="17"/>
  <c r="U22" i="17"/>
  <c r="U21" i="17"/>
  <c r="U20" i="17"/>
  <c r="U18" i="17"/>
  <c r="U19" i="17" s="1"/>
  <c r="U16" i="17"/>
  <c r="U17" i="17" s="1"/>
  <c r="U15" i="17"/>
  <c r="U14" i="17"/>
  <c r="U13" i="17"/>
  <c r="U12" i="17"/>
  <c r="U10" i="17"/>
  <c r="U11" i="17" s="1"/>
  <c r="U8" i="17"/>
  <c r="U9" i="17" s="1"/>
  <c r="U7" i="17"/>
  <c r="U6" i="17"/>
  <c r="U5" i="17"/>
  <c r="U4" i="17"/>
  <c r="U2" i="17"/>
  <c r="H62" i="17"/>
  <c r="H63" i="17" s="1"/>
  <c r="H61" i="17"/>
  <c r="H60" i="17"/>
  <c r="H58" i="17"/>
  <c r="H59" i="17" s="1"/>
  <c r="H56" i="17"/>
  <c r="H57" i="17" s="1"/>
  <c r="H54" i="17"/>
  <c r="H55" i="17" s="1"/>
  <c r="H53" i="17"/>
  <c r="H52" i="17"/>
  <c r="H50" i="17"/>
  <c r="H51" i="17" s="1"/>
  <c r="H48" i="17"/>
  <c r="H49" i="17" s="1"/>
  <c r="H46" i="17"/>
  <c r="H47" i="17" s="1"/>
  <c r="H45" i="17"/>
  <c r="H44" i="17"/>
  <c r="H42" i="17"/>
  <c r="H43" i="17" s="1"/>
  <c r="H40" i="17"/>
  <c r="H41" i="17" s="1"/>
  <c r="H38" i="17"/>
  <c r="H39" i="17" s="1"/>
  <c r="H37" i="17"/>
  <c r="H36" i="17"/>
  <c r="H34" i="17"/>
  <c r="H35" i="17" s="1"/>
  <c r="H32" i="17"/>
  <c r="H33" i="17" s="1"/>
  <c r="H30" i="17"/>
  <c r="H31" i="17" s="1"/>
  <c r="H29" i="17"/>
  <c r="H28" i="17"/>
  <c r="H26" i="17"/>
  <c r="H27" i="17" s="1"/>
  <c r="H24" i="17"/>
  <c r="H25" i="17" s="1"/>
  <c r="H22" i="17"/>
  <c r="H23" i="17" s="1"/>
  <c r="H21" i="17"/>
  <c r="H20" i="17"/>
  <c r="H18" i="17"/>
  <c r="H19" i="17" s="1"/>
  <c r="H16" i="17"/>
  <c r="H17" i="17" s="1"/>
  <c r="H14" i="17"/>
  <c r="H15" i="17" s="1"/>
  <c r="H13" i="17"/>
  <c r="H12" i="17"/>
  <c r="H10" i="17"/>
  <c r="H11" i="17" s="1"/>
  <c r="H8" i="17"/>
  <c r="H9" i="17" s="1"/>
  <c r="H6" i="17"/>
  <c r="H7" i="17" s="1"/>
  <c r="H5" i="17"/>
  <c r="H4" i="17"/>
  <c r="H2" i="17"/>
  <c r="I62" i="20"/>
  <c r="I63" i="20" s="1"/>
  <c r="I60" i="20"/>
  <c r="I61" i="20" s="1"/>
  <c r="I58" i="20"/>
  <c r="I59" i="20" s="1"/>
  <c r="I56" i="20"/>
  <c r="I57" i="20" s="1"/>
  <c r="I54" i="20"/>
  <c r="I55" i="20" s="1"/>
  <c r="I52" i="20"/>
  <c r="I53" i="20" s="1"/>
  <c r="I50" i="20"/>
  <c r="I51" i="20" s="1"/>
  <c r="I48" i="20"/>
  <c r="I49" i="20" s="1"/>
  <c r="I46" i="20"/>
  <c r="I47" i="20" s="1"/>
  <c r="I44" i="20"/>
  <c r="I45" i="20" s="1"/>
  <c r="I42" i="20"/>
  <c r="I43" i="20" s="1"/>
  <c r="I40" i="20"/>
  <c r="I41" i="20" s="1"/>
  <c r="I38" i="20"/>
  <c r="I39" i="20" s="1"/>
  <c r="I36" i="20"/>
  <c r="I37" i="20" s="1"/>
  <c r="I34" i="20"/>
  <c r="I35" i="20" s="1"/>
  <c r="I32" i="20"/>
  <c r="I33" i="20" s="1"/>
  <c r="I30" i="20"/>
  <c r="I31" i="20" s="1"/>
  <c r="I28" i="20"/>
  <c r="I29" i="20" s="1"/>
  <c r="I26" i="20"/>
  <c r="I27" i="20" s="1"/>
  <c r="I24" i="20"/>
  <c r="I25" i="20" s="1"/>
  <c r="I22" i="20"/>
  <c r="I23" i="20" s="1"/>
  <c r="I20" i="20"/>
  <c r="I21" i="20" s="1"/>
  <c r="I18" i="20"/>
  <c r="I19" i="20" s="1"/>
  <c r="I16" i="20"/>
  <c r="I17" i="20" s="1"/>
  <c r="I14" i="20"/>
  <c r="I15" i="20" s="1"/>
  <c r="I12" i="20"/>
  <c r="I13" i="20" s="1"/>
  <c r="I10" i="20"/>
  <c r="I11" i="20" s="1"/>
  <c r="I8" i="20"/>
  <c r="I9" i="20" s="1"/>
  <c r="I6" i="20"/>
  <c r="I7" i="20" s="1"/>
  <c r="I4" i="20"/>
  <c r="I5" i="20" s="1"/>
  <c r="I2" i="20"/>
  <c r="H63" i="20"/>
  <c r="H62" i="20"/>
  <c r="H61" i="20"/>
  <c r="H60" i="20"/>
  <c r="H59" i="20"/>
  <c r="H58" i="20"/>
  <c r="H57" i="20"/>
  <c r="H56" i="20"/>
  <c r="H55" i="20"/>
  <c r="H54" i="20"/>
  <c r="H53" i="20"/>
  <c r="H52" i="20"/>
  <c r="H51" i="20"/>
  <c r="H50" i="20"/>
  <c r="H49" i="20"/>
  <c r="H48" i="20"/>
  <c r="H47" i="20"/>
  <c r="H46" i="20"/>
  <c r="H45" i="20"/>
  <c r="H44" i="20"/>
  <c r="H43" i="20"/>
  <c r="H42" i="20"/>
  <c r="H41" i="20"/>
  <c r="H40" i="20"/>
  <c r="H39" i="20"/>
  <c r="H38" i="20"/>
  <c r="H37" i="20"/>
  <c r="H36" i="20"/>
  <c r="H35" i="20"/>
  <c r="H34" i="20"/>
  <c r="H33" i="20"/>
  <c r="H32" i="20"/>
  <c r="H31" i="20"/>
  <c r="H30" i="20"/>
  <c r="H29" i="20"/>
  <c r="H28" i="20"/>
  <c r="H27" i="20"/>
  <c r="H26" i="20"/>
  <c r="H25" i="20"/>
  <c r="H24" i="20"/>
  <c r="H23" i="20"/>
  <c r="H22" i="20"/>
  <c r="H21" i="20"/>
  <c r="H20" i="20"/>
  <c r="H19" i="20"/>
  <c r="H18" i="20"/>
  <c r="H17" i="20"/>
  <c r="H16" i="20"/>
  <c r="H15" i="20"/>
  <c r="H14" i="20"/>
  <c r="H13" i="20"/>
  <c r="H12" i="20"/>
  <c r="H11" i="20"/>
  <c r="H10" i="20"/>
  <c r="H9" i="20"/>
  <c r="H8" i="20"/>
  <c r="H7" i="20"/>
  <c r="H6" i="20"/>
  <c r="H5" i="20"/>
  <c r="H4" i="20"/>
  <c r="H3" i="20"/>
  <c r="BQ63" i="16"/>
  <c r="BQ62" i="16"/>
  <c r="BQ60" i="16"/>
  <c r="BQ61" i="16" s="1"/>
  <c r="BQ58" i="16"/>
  <c r="BQ59" i="16" s="1"/>
  <c r="BQ56" i="16"/>
  <c r="BQ57" i="16" s="1"/>
  <c r="BQ55" i="16"/>
  <c r="BQ54" i="16"/>
  <c r="BQ52" i="16"/>
  <c r="BQ53" i="16" s="1"/>
  <c r="BQ50" i="16"/>
  <c r="BQ51" i="16" s="1"/>
  <c r="BQ48" i="16"/>
  <c r="BQ49" i="16" s="1"/>
  <c r="BQ47" i="16"/>
  <c r="BQ46" i="16"/>
  <c r="BQ44" i="16"/>
  <c r="BQ45" i="16" s="1"/>
  <c r="BQ42" i="16"/>
  <c r="BQ43" i="16" s="1"/>
  <c r="BQ40" i="16"/>
  <c r="BQ41" i="16" s="1"/>
  <c r="BQ39" i="16"/>
  <c r="BQ38" i="16"/>
  <c r="BQ36" i="16"/>
  <c r="BQ37" i="16" s="1"/>
  <c r="BQ34" i="16"/>
  <c r="BQ35" i="16" s="1"/>
  <c r="BQ32" i="16"/>
  <c r="BQ33" i="16" s="1"/>
  <c r="BQ31" i="16"/>
  <c r="BQ30" i="16"/>
  <c r="BQ28" i="16"/>
  <c r="BQ29" i="16" s="1"/>
  <c r="BQ26" i="16"/>
  <c r="BQ27" i="16" s="1"/>
  <c r="BQ24" i="16"/>
  <c r="BQ25" i="16" s="1"/>
  <c r="BQ23" i="16"/>
  <c r="BQ22" i="16"/>
  <c r="BQ20" i="16"/>
  <c r="BQ21" i="16" s="1"/>
  <c r="BQ18" i="16"/>
  <c r="BQ19" i="16" s="1"/>
  <c r="BQ16" i="16"/>
  <c r="BQ17" i="16" s="1"/>
  <c r="BQ15" i="16"/>
  <c r="BQ14" i="16"/>
  <c r="BQ12" i="16"/>
  <c r="BQ13" i="16" s="1"/>
  <c r="BQ10" i="16"/>
  <c r="BQ11" i="16" s="1"/>
  <c r="BQ8" i="16"/>
  <c r="BQ9" i="16" s="1"/>
  <c r="BQ7" i="16"/>
  <c r="BQ6" i="16"/>
  <c r="BQ4" i="16"/>
  <c r="BQ5" i="16" s="1"/>
  <c r="BQ2" i="16"/>
  <c r="BD62" i="16"/>
  <c r="BD63" i="16" s="1"/>
  <c r="BD60" i="16"/>
  <c r="BD61" i="16" s="1"/>
  <c r="BD58" i="16"/>
  <c r="BD59" i="16" s="1"/>
  <c r="BD56" i="16"/>
  <c r="BD57" i="16" s="1"/>
  <c r="BD54" i="16"/>
  <c r="BD55" i="16" s="1"/>
  <c r="BD52" i="16"/>
  <c r="BD53" i="16" s="1"/>
  <c r="BD50" i="16"/>
  <c r="BD51" i="16" s="1"/>
  <c r="BD48" i="16"/>
  <c r="BD49" i="16" s="1"/>
  <c r="BD46" i="16"/>
  <c r="BD47" i="16" s="1"/>
  <c r="BD44" i="16"/>
  <c r="BD45" i="16" s="1"/>
  <c r="BD42" i="16"/>
  <c r="BD43" i="16" s="1"/>
  <c r="BD40" i="16"/>
  <c r="BD41" i="16" s="1"/>
  <c r="BD38" i="16"/>
  <c r="BD39" i="16" s="1"/>
  <c r="BD36" i="16"/>
  <c r="BD37" i="16" s="1"/>
  <c r="BD34" i="16"/>
  <c r="BD35" i="16" s="1"/>
  <c r="BD32" i="16"/>
  <c r="BD33" i="16" s="1"/>
  <c r="BD30" i="16"/>
  <c r="BD31" i="16" s="1"/>
  <c r="BD28" i="16"/>
  <c r="BD29" i="16" s="1"/>
  <c r="BD26" i="16"/>
  <c r="BD27" i="16" s="1"/>
  <c r="BD24" i="16"/>
  <c r="BD25" i="16" s="1"/>
  <c r="BD22" i="16"/>
  <c r="BD23" i="16" s="1"/>
  <c r="BD20" i="16"/>
  <c r="BD21" i="16" s="1"/>
  <c r="BD18" i="16"/>
  <c r="BD19" i="16" s="1"/>
  <c r="BD16" i="16"/>
  <c r="BD17" i="16" s="1"/>
  <c r="BD14" i="16"/>
  <c r="BD15" i="16" s="1"/>
  <c r="BD12" i="16"/>
  <c r="BD13" i="16" s="1"/>
  <c r="BD10" i="16"/>
  <c r="BD11" i="16" s="1"/>
  <c r="BD8" i="16"/>
  <c r="BD9" i="16" s="1"/>
  <c r="BD6" i="16"/>
  <c r="BD7" i="16" s="1"/>
  <c r="BD4" i="16"/>
  <c r="BD5" i="16" s="1"/>
  <c r="AR63" i="16"/>
  <c r="AR62" i="16"/>
  <c r="AR60" i="16"/>
  <c r="AR61" i="16" s="1"/>
  <c r="AR58" i="16"/>
  <c r="AR59" i="16" s="1"/>
  <c r="AR56" i="16"/>
  <c r="AR57" i="16" s="1"/>
  <c r="AR55" i="16"/>
  <c r="AR54" i="16"/>
  <c r="AR52" i="16"/>
  <c r="AR53" i="16" s="1"/>
  <c r="AR50" i="16"/>
  <c r="AR51" i="16" s="1"/>
  <c r="AR48" i="16"/>
  <c r="AR49" i="16" s="1"/>
  <c r="AR47" i="16"/>
  <c r="AR46" i="16"/>
  <c r="AR44" i="16"/>
  <c r="AR45" i="16" s="1"/>
  <c r="AR42" i="16"/>
  <c r="AR43" i="16" s="1"/>
  <c r="AR40" i="16"/>
  <c r="AR41" i="16" s="1"/>
  <c r="AR39" i="16"/>
  <c r="AR38" i="16"/>
  <c r="AR36" i="16"/>
  <c r="AR37" i="16" s="1"/>
  <c r="AR34" i="16"/>
  <c r="AR35" i="16" s="1"/>
  <c r="AR32" i="16"/>
  <c r="AR33" i="16" s="1"/>
  <c r="AR31" i="16"/>
  <c r="AR30" i="16"/>
  <c r="AR28" i="16"/>
  <c r="AR29" i="16" s="1"/>
  <c r="AR26" i="16"/>
  <c r="AR27" i="16" s="1"/>
  <c r="AR24" i="16"/>
  <c r="AR25" i="16" s="1"/>
  <c r="AR23" i="16"/>
  <c r="AR22" i="16"/>
  <c r="AR20" i="16"/>
  <c r="AR21" i="16" s="1"/>
  <c r="AR18" i="16"/>
  <c r="AR19" i="16" s="1"/>
  <c r="AR16" i="16"/>
  <c r="AR17" i="16" s="1"/>
  <c r="AR15" i="16"/>
  <c r="AR14" i="16"/>
  <c r="AR12" i="16"/>
  <c r="AR13" i="16" s="1"/>
  <c r="AR10" i="16"/>
  <c r="AR11" i="16" s="1"/>
  <c r="AR8" i="16"/>
  <c r="AR9" i="16" s="1"/>
  <c r="AR7" i="16"/>
  <c r="AR6" i="16"/>
  <c r="AR4" i="16"/>
  <c r="AR5" i="16" s="1"/>
  <c r="AR2" i="16"/>
  <c r="AF62" i="16"/>
  <c r="AF63" i="16" s="1"/>
  <c r="AF60" i="16"/>
  <c r="AF61" i="16" s="1"/>
  <c r="AF58" i="16"/>
  <c r="AF59" i="16" s="1"/>
  <c r="AF56" i="16"/>
  <c r="AF57" i="16" s="1"/>
  <c r="AF54" i="16"/>
  <c r="AF55" i="16" s="1"/>
  <c r="AF52" i="16"/>
  <c r="AF53" i="16" s="1"/>
  <c r="AF50" i="16"/>
  <c r="AF51" i="16" s="1"/>
  <c r="AF48" i="16"/>
  <c r="AF49" i="16" s="1"/>
  <c r="AF46" i="16"/>
  <c r="AF47" i="16" s="1"/>
  <c r="AF44" i="16"/>
  <c r="AF45" i="16" s="1"/>
  <c r="AF42" i="16"/>
  <c r="AF43" i="16" s="1"/>
  <c r="AF40" i="16"/>
  <c r="AF41" i="16" s="1"/>
  <c r="AF38" i="16"/>
  <c r="AF39" i="16" s="1"/>
  <c r="AF36" i="16"/>
  <c r="AF37" i="16" s="1"/>
  <c r="AF34" i="16"/>
  <c r="AF35" i="16" s="1"/>
  <c r="AF32" i="16"/>
  <c r="AF33" i="16" s="1"/>
  <c r="AF30" i="16"/>
  <c r="AF31" i="16" s="1"/>
  <c r="AF28" i="16"/>
  <c r="AF29" i="16" s="1"/>
  <c r="AF26" i="16"/>
  <c r="AF27" i="16" s="1"/>
  <c r="AF24" i="16"/>
  <c r="AF25" i="16" s="1"/>
  <c r="AF22" i="16"/>
  <c r="AF23" i="16" s="1"/>
  <c r="AF20" i="16"/>
  <c r="AF21" i="16" s="1"/>
  <c r="AF18" i="16"/>
  <c r="AF19" i="16" s="1"/>
  <c r="AF16" i="16"/>
  <c r="AF17" i="16" s="1"/>
  <c r="AF14" i="16"/>
  <c r="AF15" i="16" s="1"/>
  <c r="AF12" i="16"/>
  <c r="AF13" i="16" s="1"/>
  <c r="AF10" i="16"/>
  <c r="AF11" i="16" s="1"/>
  <c r="AF8" i="16"/>
  <c r="AF9" i="16" s="1"/>
  <c r="AF6" i="16"/>
  <c r="AF7" i="16" s="1"/>
  <c r="AF4" i="16"/>
  <c r="AF5" i="16" s="1"/>
  <c r="AF2" i="16"/>
  <c r="T62" i="16"/>
  <c r="T63" i="16" s="1"/>
  <c r="T60" i="16"/>
  <c r="T61" i="16" s="1"/>
  <c r="T58" i="16"/>
  <c r="T59" i="16" s="1"/>
  <c r="T56" i="16"/>
  <c r="T57" i="16" s="1"/>
  <c r="T54" i="16"/>
  <c r="T55" i="16" s="1"/>
  <c r="T52" i="16"/>
  <c r="T53" i="16" s="1"/>
  <c r="T50" i="16"/>
  <c r="T51" i="16" s="1"/>
  <c r="T48" i="16"/>
  <c r="T49" i="16" s="1"/>
  <c r="T46" i="16"/>
  <c r="T47" i="16" s="1"/>
  <c r="T44" i="16"/>
  <c r="T45" i="16" s="1"/>
  <c r="T42" i="16"/>
  <c r="T43" i="16" s="1"/>
  <c r="T40" i="16"/>
  <c r="T41" i="16" s="1"/>
  <c r="T38" i="16"/>
  <c r="T39" i="16" s="1"/>
  <c r="T36" i="16"/>
  <c r="T37" i="16" s="1"/>
  <c r="T34" i="16"/>
  <c r="T35" i="16" s="1"/>
  <c r="T32" i="16"/>
  <c r="T33" i="16" s="1"/>
  <c r="T30" i="16"/>
  <c r="T31" i="16" s="1"/>
  <c r="T28" i="16"/>
  <c r="T29" i="16" s="1"/>
  <c r="T26" i="16"/>
  <c r="T27" i="16" s="1"/>
  <c r="T24" i="16"/>
  <c r="T25" i="16" s="1"/>
  <c r="T22" i="16"/>
  <c r="T23" i="16" s="1"/>
  <c r="T20" i="16"/>
  <c r="T21" i="16" s="1"/>
  <c r="T18" i="16"/>
  <c r="T19" i="16" s="1"/>
  <c r="T16" i="16"/>
  <c r="T17" i="16" s="1"/>
  <c r="T14" i="16"/>
  <c r="T15" i="16" s="1"/>
  <c r="T12" i="16"/>
  <c r="T13" i="16" s="1"/>
  <c r="T10" i="16"/>
  <c r="T11" i="16" s="1"/>
  <c r="T8" i="16"/>
  <c r="T9" i="16" s="1"/>
  <c r="T6" i="16"/>
  <c r="T7" i="16" s="1"/>
  <c r="T4" i="16"/>
  <c r="T5" i="16" s="1"/>
  <c r="H62" i="16"/>
  <c r="H63" i="16" s="1"/>
  <c r="H60" i="16"/>
  <c r="H61" i="16" s="1"/>
  <c r="H58" i="16"/>
  <c r="H59" i="16" s="1"/>
  <c r="H56" i="16"/>
  <c r="H57" i="16" s="1"/>
  <c r="H54" i="16"/>
  <c r="H55" i="16" s="1"/>
  <c r="H52" i="16"/>
  <c r="H53" i="16" s="1"/>
  <c r="H50" i="16"/>
  <c r="H51" i="16" s="1"/>
  <c r="H48" i="16"/>
  <c r="H49" i="16" s="1"/>
  <c r="H46" i="16"/>
  <c r="H47" i="16" s="1"/>
  <c r="H44" i="16"/>
  <c r="H45" i="16" s="1"/>
  <c r="H42" i="16"/>
  <c r="H43" i="16" s="1"/>
  <c r="H40" i="16"/>
  <c r="H41" i="16" s="1"/>
  <c r="H38" i="16"/>
  <c r="H39" i="16" s="1"/>
  <c r="H36" i="16"/>
  <c r="H37" i="16" s="1"/>
  <c r="H34" i="16"/>
  <c r="H35" i="16" s="1"/>
  <c r="H32" i="16"/>
  <c r="H33" i="16" s="1"/>
  <c r="H30" i="16"/>
  <c r="H31" i="16" s="1"/>
  <c r="H28" i="16"/>
  <c r="H29" i="16" s="1"/>
  <c r="H26" i="16"/>
  <c r="H27" i="16" s="1"/>
  <c r="H24" i="16"/>
  <c r="H25" i="16" s="1"/>
  <c r="H22" i="16"/>
  <c r="H23" i="16" s="1"/>
  <c r="H20" i="16"/>
  <c r="H21" i="16" s="1"/>
  <c r="H18" i="16"/>
  <c r="H19" i="16" s="1"/>
  <c r="H16" i="16"/>
  <c r="H17" i="16" s="1"/>
  <c r="H14" i="16"/>
  <c r="H15" i="16" s="1"/>
  <c r="H12" i="16"/>
  <c r="H13" i="16" s="1"/>
  <c r="H10" i="16"/>
  <c r="H11" i="16" s="1"/>
  <c r="H8" i="16"/>
  <c r="H9" i="16" s="1"/>
  <c r="H6" i="16"/>
  <c r="H7" i="16" s="1"/>
  <c r="H4" i="16"/>
  <c r="H5" i="16" s="1"/>
  <c r="H2" i="16"/>
  <c r="AP62" i="24" l="1"/>
  <c r="AP60" i="24"/>
  <c r="AP61" i="24" s="1"/>
  <c r="AP58" i="24"/>
  <c r="AP59" i="24" s="1"/>
  <c r="AP56" i="24"/>
  <c r="AP54" i="24"/>
  <c r="AP55" i="24" s="1"/>
  <c r="AP52" i="24"/>
  <c r="AP53" i="24" s="1"/>
  <c r="AP50" i="24"/>
  <c r="AP51" i="24" s="1"/>
  <c r="AP48" i="24"/>
  <c r="AP49" i="24" s="1"/>
  <c r="AP46" i="24"/>
  <c r="AP47" i="24" s="1"/>
  <c r="AP44" i="24"/>
  <c r="AP42" i="24"/>
  <c r="AP43" i="24" s="1"/>
  <c r="AP40" i="24"/>
  <c r="AP38" i="24"/>
  <c r="AP39" i="24" s="1"/>
  <c r="AP36" i="24"/>
  <c r="AP37" i="24" s="1"/>
  <c r="AP34" i="24"/>
  <c r="AP35" i="24" s="1"/>
  <c r="AP32" i="24"/>
  <c r="AP33" i="24" s="1"/>
  <c r="AP30" i="24"/>
  <c r="AP31" i="24" s="1"/>
  <c r="AP28" i="24"/>
  <c r="AP26" i="24"/>
  <c r="AP27" i="24" s="1"/>
  <c r="AP24" i="24"/>
  <c r="AP22" i="24"/>
  <c r="AP23" i="24" s="1"/>
  <c r="AP20" i="24"/>
  <c r="AP21" i="24" s="1"/>
  <c r="AP18" i="24"/>
  <c r="AP19" i="24" s="1"/>
  <c r="AP16" i="24"/>
  <c r="AP17" i="24" s="1"/>
  <c r="AP14" i="24"/>
  <c r="AP15" i="24" s="1"/>
  <c r="AP12" i="24"/>
  <c r="AP10" i="24"/>
  <c r="AP11" i="24" s="1"/>
  <c r="AP8" i="24"/>
  <c r="AP6" i="24"/>
  <c r="AP7" i="24" s="1"/>
  <c r="AP4" i="24"/>
  <c r="AP5" i="24" s="1"/>
  <c r="AP2" i="24"/>
  <c r="AP3" i="24" s="1"/>
  <c r="AP63" i="24"/>
  <c r="AP57" i="24"/>
  <c r="AP41" i="24"/>
  <c r="AP29" i="24"/>
  <c r="AP25" i="24"/>
  <c r="AP13" i="24"/>
  <c r="AP9" i="24"/>
  <c r="AP45" i="24"/>
  <c r="AK33" i="24"/>
  <c r="AJ3" i="24"/>
  <c r="AQ4" i="24" s="1"/>
  <c r="AJ4" i="24"/>
  <c r="AQ6" i="24" s="1"/>
  <c r="AJ5" i="24"/>
  <c r="AQ8" i="24" s="1"/>
  <c r="AJ6" i="24"/>
  <c r="AQ10" i="24" s="1"/>
  <c r="AJ7" i="24"/>
  <c r="AQ12" i="24" s="1"/>
  <c r="AJ8" i="24"/>
  <c r="AJ9" i="24"/>
  <c r="AJ10" i="24"/>
  <c r="AQ18" i="24" s="1"/>
  <c r="AJ11" i="24"/>
  <c r="AJ12" i="24"/>
  <c r="AQ22" i="24" s="1"/>
  <c r="AJ13" i="24"/>
  <c r="AQ24" i="24" s="1"/>
  <c r="AJ14" i="24"/>
  <c r="AQ26" i="24" s="1"/>
  <c r="AJ15" i="24"/>
  <c r="AJ16" i="24"/>
  <c r="AJ17" i="24"/>
  <c r="AJ18" i="24"/>
  <c r="AQ34" i="24" s="1"/>
  <c r="AJ19" i="24"/>
  <c r="AQ36" i="24" s="1"/>
  <c r="AJ20" i="24"/>
  <c r="AQ38" i="24" s="1"/>
  <c r="AJ21" i="24"/>
  <c r="AQ40" i="24" s="1"/>
  <c r="AJ22" i="24"/>
  <c r="AJ23" i="24"/>
  <c r="AQ44" i="24" s="1"/>
  <c r="AJ24" i="24"/>
  <c r="AJ25" i="24"/>
  <c r="AQ48" i="24" s="1"/>
  <c r="AJ26" i="24"/>
  <c r="AQ50" i="24" s="1"/>
  <c r="AJ27" i="24"/>
  <c r="AQ52" i="24" s="1"/>
  <c r="AJ28" i="24"/>
  <c r="AQ54" i="24" s="1"/>
  <c r="AJ29" i="24"/>
  <c r="AJ30" i="24"/>
  <c r="AQ58" i="24" s="1"/>
  <c r="AJ31" i="24"/>
  <c r="AQ60" i="24" s="1"/>
  <c r="AJ32" i="24"/>
  <c r="AQ62" i="24" s="1"/>
  <c r="AJ2" i="24"/>
  <c r="AC62" i="24"/>
  <c r="AC60" i="24"/>
  <c r="AC58" i="24"/>
  <c r="AC56" i="24"/>
  <c r="AC54" i="24"/>
  <c r="AC52" i="24"/>
  <c r="AC50" i="24"/>
  <c r="AC48" i="24"/>
  <c r="AC46" i="24"/>
  <c r="AC44" i="24"/>
  <c r="AC42" i="24"/>
  <c r="AC40" i="24"/>
  <c r="AC38" i="24"/>
  <c r="AC36" i="24"/>
  <c r="AC34" i="24"/>
  <c r="AC32" i="24"/>
  <c r="AC30" i="24"/>
  <c r="AC28" i="24"/>
  <c r="AC26" i="24"/>
  <c r="AC24" i="24"/>
  <c r="AC22" i="24"/>
  <c r="AC20" i="24"/>
  <c r="AC18" i="24"/>
  <c r="AC16" i="24"/>
  <c r="AC14" i="24"/>
  <c r="AC12" i="24"/>
  <c r="AC10" i="24"/>
  <c r="AC8" i="24"/>
  <c r="AC6" i="24"/>
  <c r="AC4" i="24"/>
  <c r="AC2" i="24"/>
  <c r="AR59" i="24" l="1"/>
  <c r="AR23" i="24"/>
  <c r="AR11" i="24"/>
  <c r="AR15" i="24"/>
  <c r="AR43" i="24"/>
  <c r="AR61" i="24"/>
  <c r="AR45" i="24"/>
  <c r="AR29" i="24"/>
  <c r="AR13" i="24"/>
  <c r="AR33" i="24"/>
  <c r="AR37" i="24"/>
  <c r="AR7" i="24"/>
  <c r="AR21" i="24"/>
  <c r="AR17" i="24"/>
  <c r="AR51" i="24"/>
  <c r="AR35" i="24"/>
  <c r="AR19" i="24"/>
  <c r="AR47" i="24"/>
  <c r="AR5" i="24"/>
  <c r="AR49" i="24"/>
  <c r="AR27" i="24"/>
  <c r="AR63" i="24"/>
  <c r="AR31" i="24"/>
  <c r="AR53" i="24"/>
  <c r="AR57" i="24"/>
  <c r="AR41" i="24"/>
  <c r="AR9" i="24"/>
  <c r="AR55" i="24"/>
  <c r="AR39" i="24"/>
  <c r="AR25" i="24"/>
  <c r="AJ33" i="24"/>
  <c r="AQ2" i="24"/>
  <c r="BK3" i="22"/>
  <c r="BK4" i="22"/>
  <c r="BK5" i="22"/>
  <c r="BK6" i="22"/>
  <c r="BK7" i="22"/>
  <c r="BK8" i="22"/>
  <c r="BK9" i="22"/>
  <c r="BK10" i="22"/>
  <c r="BK11" i="22"/>
  <c r="BK12" i="22"/>
  <c r="BK13" i="22"/>
  <c r="BK14" i="22"/>
  <c r="BK15" i="22"/>
  <c r="BK16" i="22"/>
  <c r="BK17" i="22"/>
  <c r="BK18" i="22"/>
  <c r="BK19" i="22"/>
  <c r="BK20" i="22"/>
  <c r="BK21" i="22"/>
  <c r="BK22" i="22"/>
  <c r="BK23" i="22"/>
  <c r="BK24" i="22"/>
  <c r="BK25" i="22"/>
  <c r="BK26" i="22"/>
  <c r="BK27" i="22"/>
  <c r="BK28" i="22"/>
  <c r="BK29" i="22"/>
  <c r="BK30" i="22"/>
  <c r="BK31" i="22"/>
  <c r="BK32" i="22"/>
  <c r="BK2" i="22"/>
  <c r="BJ3" i="22"/>
  <c r="BJ4" i="22"/>
  <c r="BJ5" i="22"/>
  <c r="BJ6" i="22"/>
  <c r="BJ7" i="22"/>
  <c r="BJ8" i="22"/>
  <c r="BJ9" i="22"/>
  <c r="BJ10" i="22"/>
  <c r="BJ11" i="22"/>
  <c r="BJ12" i="22"/>
  <c r="BJ13" i="22"/>
  <c r="BJ14" i="22"/>
  <c r="BJ15" i="22"/>
  <c r="BJ16" i="22"/>
  <c r="BJ17" i="22"/>
  <c r="BJ18" i="22"/>
  <c r="BJ19" i="22"/>
  <c r="BJ20" i="22"/>
  <c r="BJ21" i="22"/>
  <c r="BJ22" i="22"/>
  <c r="BJ23" i="22"/>
  <c r="BJ24" i="22"/>
  <c r="BJ25" i="22"/>
  <c r="BJ26" i="22"/>
  <c r="BJ27" i="22"/>
  <c r="BJ28" i="22"/>
  <c r="BJ29" i="22"/>
  <c r="BJ30" i="22"/>
  <c r="BJ31" i="22"/>
  <c r="BJ32" i="22"/>
  <c r="BJ2" i="22"/>
  <c r="BI3" i="22"/>
  <c r="BI4" i="22"/>
  <c r="BI5" i="22"/>
  <c r="BI6" i="22"/>
  <c r="BI7" i="22"/>
  <c r="BI8" i="22"/>
  <c r="BI9" i="22"/>
  <c r="BI10" i="22"/>
  <c r="BI11" i="22"/>
  <c r="BI12" i="22"/>
  <c r="BI13" i="22"/>
  <c r="BI14" i="22"/>
  <c r="BI15" i="22"/>
  <c r="BI16" i="22"/>
  <c r="BI17" i="22"/>
  <c r="BI18" i="22"/>
  <c r="BI19" i="22"/>
  <c r="BI20" i="22"/>
  <c r="BI21" i="22"/>
  <c r="BI22" i="22"/>
  <c r="BI23" i="22"/>
  <c r="BI24" i="22"/>
  <c r="BI25" i="22"/>
  <c r="BI26" i="22"/>
  <c r="BI27" i="22"/>
  <c r="BI28" i="22"/>
  <c r="BI29" i="22"/>
  <c r="BI30" i="22"/>
  <c r="BI31" i="22"/>
  <c r="BI32" i="22"/>
  <c r="BI2" i="22"/>
  <c r="U21" i="25"/>
  <c r="AR3" i="24" l="1"/>
  <c r="BQ62" i="22"/>
  <c r="BQ20" i="22"/>
  <c r="BQ52" i="22"/>
  <c r="BQ4" i="22"/>
  <c r="BQ28" i="22"/>
  <c r="BQ36" i="22"/>
  <c r="BQ30" i="22"/>
  <c r="BQ8" i="22"/>
  <c r="BQ58" i="22"/>
  <c r="BQ54" i="22"/>
  <c r="BQ14" i="22"/>
  <c r="BQ60" i="22"/>
  <c r="BQ44" i="22"/>
  <c r="BQ12" i="22"/>
  <c r="AQ64" i="24"/>
  <c r="BQ42" i="22"/>
  <c r="BQ26" i="22"/>
  <c r="BQ10" i="22"/>
  <c r="BI33" i="22"/>
  <c r="BQ56" i="22"/>
  <c r="BQ40" i="22"/>
  <c r="BQ38" i="22"/>
  <c r="BQ48" i="22"/>
  <c r="BQ32" i="22"/>
  <c r="BQ16" i="22"/>
  <c r="BQ46" i="22"/>
  <c r="BQ24" i="22"/>
  <c r="BQ22" i="22"/>
  <c r="BQ6" i="22"/>
  <c r="BQ50" i="22"/>
  <c r="BQ34" i="22"/>
  <c r="BQ18" i="22"/>
  <c r="BQ2" i="22"/>
  <c r="BQ35" i="22" l="1"/>
  <c r="BQ49" i="22"/>
  <c r="BQ31" i="22"/>
  <c r="BQ33" i="22"/>
  <c r="BQ39" i="22"/>
  <c r="BQ13" i="22"/>
  <c r="BQ37" i="22"/>
  <c r="BQ19" i="22"/>
  <c r="BQ41" i="22"/>
  <c r="BQ45" i="22"/>
  <c r="BQ29" i="22"/>
  <c r="BQ43" i="22"/>
  <c r="BQ23" i="22"/>
  <c r="BQ57" i="22"/>
  <c r="BQ61" i="22"/>
  <c r="BQ5" i="22"/>
  <c r="BQ7" i="22"/>
  <c r="BQ25" i="22"/>
  <c r="BQ15" i="22"/>
  <c r="BQ53" i="22"/>
  <c r="BQ51" i="22"/>
  <c r="BQ47" i="22"/>
  <c r="BQ11" i="22"/>
  <c r="BQ55" i="22"/>
  <c r="BQ21" i="22"/>
  <c r="BQ9" i="22"/>
  <c r="BQ3" i="22"/>
  <c r="BQ17" i="22"/>
  <c r="BQ27" i="22"/>
  <c r="BQ59" i="22"/>
  <c r="BQ63" i="22"/>
  <c r="H62" i="21"/>
  <c r="H60" i="21"/>
  <c r="H58" i="21"/>
  <c r="H56" i="21"/>
  <c r="H54" i="21"/>
  <c r="H52" i="21"/>
  <c r="H50" i="21"/>
  <c r="H48" i="21"/>
  <c r="H46" i="21"/>
  <c r="H44" i="21"/>
  <c r="H42" i="21"/>
  <c r="H40" i="21"/>
  <c r="H38" i="21"/>
  <c r="H36" i="21"/>
  <c r="H34" i="21"/>
  <c r="H32" i="21"/>
  <c r="H30" i="21"/>
  <c r="H28" i="21"/>
  <c r="H26" i="21"/>
  <c r="H24" i="21"/>
  <c r="H22" i="21"/>
  <c r="H20" i="21"/>
  <c r="H18" i="21"/>
  <c r="H16" i="21"/>
  <c r="H14" i="21"/>
  <c r="H12" i="21"/>
  <c r="H10" i="21"/>
  <c r="H8" i="21"/>
  <c r="H6" i="21"/>
  <c r="H4" i="21"/>
  <c r="H2" i="21"/>
  <c r="AS53" i="20"/>
  <c r="AS52" i="20"/>
  <c r="AS51" i="20"/>
  <c r="AS50" i="20"/>
  <c r="AS49" i="20"/>
  <c r="AS48" i="20"/>
  <c r="AS47" i="20"/>
  <c r="AS46" i="20"/>
  <c r="AS45" i="20"/>
  <c r="AS44" i="20"/>
  <c r="AS43" i="20"/>
  <c r="AS42" i="20"/>
  <c r="AS40" i="20"/>
  <c r="AS38" i="20"/>
  <c r="AS36" i="20"/>
  <c r="AS34" i="20"/>
  <c r="AS32" i="20"/>
  <c r="AS30" i="20"/>
  <c r="AS28" i="20"/>
  <c r="AS26" i="20"/>
  <c r="AS24" i="20"/>
  <c r="AS22" i="20"/>
  <c r="AS20" i="20"/>
  <c r="AS18" i="20"/>
  <c r="AS16" i="20"/>
  <c r="AS14" i="20"/>
  <c r="AS12" i="20"/>
  <c r="AS10" i="20"/>
  <c r="AS8" i="20"/>
  <c r="AS6" i="20"/>
  <c r="AS4" i="20"/>
  <c r="AS2" i="20"/>
  <c r="AG3" i="20"/>
  <c r="AG9" i="20"/>
  <c r="AG19" i="20"/>
  <c r="AG25" i="20"/>
  <c r="AG27" i="20"/>
  <c r="AG35" i="20"/>
  <c r="AG41" i="20"/>
  <c r="AG43" i="20"/>
  <c r="AG51" i="20"/>
  <c r="AG57" i="20"/>
  <c r="AG59" i="20"/>
  <c r="U52" i="20"/>
  <c r="U51" i="20"/>
  <c r="U50" i="20"/>
  <c r="U49" i="20"/>
  <c r="U48" i="20"/>
  <c r="U47" i="20"/>
  <c r="U46" i="20"/>
  <c r="U45" i="20"/>
  <c r="U44" i="20"/>
  <c r="U43" i="20"/>
  <c r="U42" i="20"/>
  <c r="U40" i="20"/>
  <c r="U38" i="20"/>
  <c r="U36" i="20"/>
  <c r="U34" i="20"/>
  <c r="U32" i="20"/>
  <c r="U30" i="20"/>
  <c r="U28" i="20"/>
  <c r="U26" i="20"/>
  <c r="U24" i="20"/>
  <c r="U22" i="20"/>
  <c r="U20" i="20"/>
  <c r="U18" i="20"/>
  <c r="U16" i="20"/>
  <c r="U14" i="20"/>
  <c r="U12" i="20"/>
  <c r="U10" i="20"/>
  <c r="U8" i="20"/>
  <c r="U6" i="20"/>
  <c r="U4" i="20"/>
  <c r="U2" i="20"/>
  <c r="AG47" i="20" l="1"/>
  <c r="AG7" i="20"/>
  <c r="AG17" i="20"/>
  <c r="AG33" i="20"/>
  <c r="AG49" i="20"/>
  <c r="AG39" i="20"/>
  <c r="AG45" i="20"/>
  <c r="AG15" i="20"/>
  <c r="AG5" i="20"/>
  <c r="AG21" i="20"/>
  <c r="AG37" i="20"/>
  <c r="AG53" i="20"/>
  <c r="AG13" i="20"/>
  <c r="AG61" i="20"/>
  <c r="AG31" i="20"/>
  <c r="AG29" i="20"/>
  <c r="AG63" i="20"/>
  <c r="AG55" i="20"/>
  <c r="AG23" i="20"/>
  <c r="AG11" i="20"/>
  <c r="AW9" i="25"/>
  <c r="AU33" i="25" l="1"/>
  <c r="AO33" i="25"/>
  <c r="AT38" i="25" l="1"/>
  <c r="BL30" i="22" s="1"/>
  <c r="AU38" i="25"/>
  <c r="BL31" i="22" s="1"/>
  <c r="AW15" i="25" l="1"/>
  <c r="AW62" i="25"/>
  <c r="AV85" i="25"/>
  <c r="AU85" i="25"/>
  <c r="AT85" i="25"/>
  <c r="AS85" i="25"/>
  <c r="AR85" i="25"/>
  <c r="CB27" i="28"/>
  <c r="CH52" i="28" s="1"/>
  <c r="CB26" i="28"/>
  <c r="CH50" i="28" s="1"/>
  <c r="CB25" i="28"/>
  <c r="CH48" i="28" s="1"/>
  <c r="CB24" i="28"/>
  <c r="CH46" i="28" s="1"/>
  <c r="CB23" i="28"/>
  <c r="CH44" i="28" s="1"/>
  <c r="AL85" i="25"/>
  <c r="AK85" i="25"/>
  <c r="AJ85" i="25"/>
  <c r="AI85" i="25"/>
  <c r="AH85" i="25"/>
  <c r="AG85" i="25"/>
  <c r="AF85" i="25"/>
  <c r="AE85" i="25"/>
  <c r="AD85" i="25"/>
  <c r="AC85" i="25"/>
  <c r="AB85" i="25"/>
  <c r="AA85" i="25"/>
  <c r="Z85" i="25"/>
  <c r="Y85" i="25"/>
  <c r="X85" i="25"/>
  <c r="W85" i="25"/>
  <c r="V85" i="25"/>
  <c r="U85" i="25"/>
  <c r="T85" i="25"/>
  <c r="S85" i="25"/>
  <c r="AV81" i="25"/>
  <c r="AU81" i="25"/>
  <c r="AT81" i="25"/>
  <c r="AS81" i="25"/>
  <c r="AR81" i="25"/>
  <c r="AL81" i="25"/>
  <c r="AK81" i="25"/>
  <c r="AJ81" i="25"/>
  <c r="AI81" i="25"/>
  <c r="AH81" i="25"/>
  <c r="AG81" i="25"/>
  <c r="AF81" i="25"/>
  <c r="AE81" i="25"/>
  <c r="AD81" i="25"/>
  <c r="AC81" i="25"/>
  <c r="AB81" i="25"/>
  <c r="AA81" i="25"/>
  <c r="Z81" i="25"/>
  <c r="Y81" i="25"/>
  <c r="X81" i="25"/>
  <c r="W81" i="25"/>
  <c r="V81" i="25"/>
  <c r="U81" i="25"/>
  <c r="T81" i="25"/>
  <c r="S81" i="25"/>
  <c r="AV77" i="25"/>
  <c r="AU77" i="25"/>
  <c r="AT77" i="25"/>
  <c r="AS77" i="25"/>
  <c r="AR77" i="25"/>
  <c r="AL77" i="25"/>
  <c r="AK77" i="25"/>
  <c r="AJ77" i="25"/>
  <c r="AI77" i="25"/>
  <c r="AH77" i="25"/>
  <c r="AG77" i="25"/>
  <c r="AF77" i="25"/>
  <c r="AE77" i="25"/>
  <c r="AD77" i="25"/>
  <c r="AC77" i="25"/>
  <c r="AB77" i="25"/>
  <c r="AA77" i="25"/>
  <c r="Z77" i="25"/>
  <c r="Y77" i="25"/>
  <c r="X77" i="25"/>
  <c r="W77" i="25"/>
  <c r="V77" i="25"/>
  <c r="U77" i="25"/>
  <c r="T77" i="25"/>
  <c r="S77" i="25"/>
  <c r="W2" i="24"/>
  <c r="AP33" i="25"/>
  <c r="AI33" i="25"/>
  <c r="AM25" i="25"/>
  <c r="AC33" i="25"/>
  <c r="AF33" i="25"/>
  <c r="AE33" i="25"/>
  <c r="AD33" i="25"/>
  <c r="AB33" i="25"/>
  <c r="AA33" i="25"/>
  <c r="Y33" i="25"/>
  <c r="X33" i="25"/>
  <c r="W33" i="25"/>
  <c r="V33" i="25"/>
  <c r="U33" i="25"/>
  <c r="T33" i="25"/>
  <c r="S33" i="25"/>
  <c r="M24" i="25"/>
  <c r="AM33" i="25"/>
  <c r="AQ33" i="25"/>
  <c r="CB15" i="28" l="1"/>
  <c r="CH28" i="28" s="1"/>
  <c r="CB15" i="29"/>
  <c r="CH28" i="29" s="1"/>
  <c r="CI29" i="29" s="1"/>
  <c r="CB3" i="28"/>
  <c r="CH4" i="28" s="1"/>
  <c r="CB3" i="29"/>
  <c r="CH4" i="29" s="1"/>
  <c r="CI5" i="29" s="1"/>
  <c r="CB11" i="28"/>
  <c r="CH20" i="28" s="1"/>
  <c r="CB11" i="29"/>
  <c r="CH20" i="29" s="1"/>
  <c r="CI21" i="29" s="1"/>
  <c r="CB19" i="28"/>
  <c r="CH36" i="28" s="1"/>
  <c r="CB19" i="29"/>
  <c r="CH36" i="29" s="1"/>
  <c r="CI37" i="29" s="1"/>
  <c r="CB4" i="28"/>
  <c r="CH6" i="28" s="1"/>
  <c r="CB4" i="29"/>
  <c r="CH6" i="29" s="1"/>
  <c r="CI7" i="29" s="1"/>
  <c r="CB12" i="28"/>
  <c r="CH22" i="28" s="1"/>
  <c r="CB12" i="29"/>
  <c r="CH22" i="29" s="1"/>
  <c r="CI23" i="29" s="1"/>
  <c r="CB20" i="28"/>
  <c r="CH38" i="28" s="1"/>
  <c r="CB20" i="29"/>
  <c r="CH38" i="29" s="1"/>
  <c r="CI39" i="29" s="1"/>
  <c r="CB28" i="28"/>
  <c r="CH54" i="28" s="1"/>
  <c r="CB28" i="29"/>
  <c r="CH54" i="29" s="1"/>
  <c r="CI55" i="29" s="1"/>
  <c r="CB8" i="28"/>
  <c r="CH14" i="28" s="1"/>
  <c r="CB8" i="29"/>
  <c r="CH14" i="29" s="1"/>
  <c r="CI15" i="29" s="1"/>
  <c r="CB5" i="28"/>
  <c r="CH8" i="28" s="1"/>
  <c r="CB5" i="29"/>
  <c r="CH8" i="29" s="1"/>
  <c r="CI9" i="29" s="1"/>
  <c r="CB13" i="28"/>
  <c r="CH24" i="28" s="1"/>
  <c r="CB13" i="29"/>
  <c r="CH24" i="29" s="1"/>
  <c r="CI25" i="29" s="1"/>
  <c r="CB21" i="28"/>
  <c r="CH40" i="28" s="1"/>
  <c r="CB21" i="29"/>
  <c r="CH40" i="29" s="1"/>
  <c r="CI41" i="29" s="1"/>
  <c r="CB29" i="28"/>
  <c r="CH56" i="28" s="1"/>
  <c r="CB29" i="29"/>
  <c r="CH56" i="29" s="1"/>
  <c r="CI57" i="29" s="1"/>
  <c r="CB7" i="28"/>
  <c r="CH12" i="28" s="1"/>
  <c r="CB7" i="29"/>
  <c r="CH12" i="29" s="1"/>
  <c r="CI13" i="29" s="1"/>
  <c r="CB6" i="28"/>
  <c r="CH10" i="28" s="1"/>
  <c r="CB6" i="29"/>
  <c r="CH10" i="29" s="1"/>
  <c r="CI11" i="29" s="1"/>
  <c r="CB14" i="28"/>
  <c r="CH26" i="28" s="1"/>
  <c r="CB14" i="29"/>
  <c r="CH26" i="29" s="1"/>
  <c r="CI27" i="29" s="1"/>
  <c r="CB22" i="28"/>
  <c r="CH42" i="28" s="1"/>
  <c r="CB22" i="29"/>
  <c r="CH42" i="29" s="1"/>
  <c r="CI43" i="29" s="1"/>
  <c r="CB30" i="28"/>
  <c r="CH58" i="28" s="1"/>
  <c r="CB30" i="29"/>
  <c r="CH58" i="29" s="1"/>
  <c r="CI59" i="29" s="1"/>
  <c r="CB31" i="28"/>
  <c r="CH60" i="28" s="1"/>
  <c r="CB31" i="29"/>
  <c r="CH60" i="29" s="1"/>
  <c r="CI61" i="29" s="1"/>
  <c r="CB16" i="28"/>
  <c r="CH30" i="28" s="1"/>
  <c r="CB16" i="29"/>
  <c r="CH30" i="29" s="1"/>
  <c r="CI31" i="29" s="1"/>
  <c r="CB9" i="28"/>
  <c r="CH16" i="28" s="1"/>
  <c r="CB9" i="29"/>
  <c r="CH16" i="29" s="1"/>
  <c r="CI17" i="29" s="1"/>
  <c r="CB17" i="28"/>
  <c r="CH32" i="28" s="1"/>
  <c r="CB17" i="29"/>
  <c r="CH32" i="29" s="1"/>
  <c r="CI33" i="29" s="1"/>
  <c r="CB10" i="28"/>
  <c r="CH18" i="28" s="1"/>
  <c r="CB10" i="29"/>
  <c r="CH18" i="29" s="1"/>
  <c r="CI19" i="29" s="1"/>
  <c r="CB18" i="28"/>
  <c r="CH34" i="28" s="1"/>
  <c r="CB18" i="29"/>
  <c r="CH34" i="29" s="1"/>
  <c r="CI35" i="29" s="1"/>
  <c r="CB32" i="28"/>
  <c r="CH62" i="28" s="1"/>
  <c r="CB2" i="28"/>
  <c r="CH2" i="28" s="1"/>
  <c r="CB32" i="29"/>
  <c r="CI53" i="28"/>
  <c r="CI45" i="28"/>
  <c r="CI47" i="28"/>
  <c r="CI49" i="28"/>
  <c r="CI51" i="28"/>
  <c r="AT29" i="25"/>
  <c r="AV21" i="25"/>
  <c r="AU21" i="25"/>
  <c r="BR60" i="22" s="1"/>
  <c r="AT21" i="25"/>
  <c r="BR58" i="22" s="1"/>
  <c r="AS21" i="25"/>
  <c r="AR21" i="25"/>
  <c r="AQ21" i="25"/>
  <c r="AP21" i="25"/>
  <c r="AO21" i="25"/>
  <c r="AN21" i="25"/>
  <c r="AL33" i="25"/>
  <c r="AK33" i="25"/>
  <c r="AG33" i="25"/>
  <c r="AC21" i="25"/>
  <c r="Z33" i="25"/>
  <c r="X21" i="25"/>
  <c r="H63" i="28"/>
  <c r="H62" i="28"/>
  <c r="H60" i="28"/>
  <c r="H61" i="28" s="1"/>
  <c r="H58" i="28"/>
  <c r="H59" i="28" s="1"/>
  <c r="H56" i="28"/>
  <c r="H57" i="28" s="1"/>
  <c r="H55" i="28"/>
  <c r="H54" i="28"/>
  <c r="H52" i="28"/>
  <c r="H53" i="28" s="1"/>
  <c r="H50" i="28"/>
  <c r="H51" i="28" s="1"/>
  <c r="H48" i="28"/>
  <c r="H49" i="28" s="1"/>
  <c r="H47" i="28"/>
  <c r="H46" i="28"/>
  <c r="H44" i="28"/>
  <c r="H45" i="28" s="1"/>
  <c r="H42" i="28"/>
  <c r="H43" i="28" s="1"/>
  <c r="H40" i="28"/>
  <c r="H41" i="28" s="1"/>
  <c r="H39" i="28"/>
  <c r="H38" i="28"/>
  <c r="H36" i="28"/>
  <c r="H37" i="28" s="1"/>
  <c r="H34" i="28"/>
  <c r="H35" i="28" s="1"/>
  <c r="H32" i="28"/>
  <c r="H33" i="28" s="1"/>
  <c r="H31" i="28"/>
  <c r="H30" i="28"/>
  <c r="H28" i="28"/>
  <c r="H29" i="28" s="1"/>
  <c r="H26" i="28"/>
  <c r="H27" i="28" s="1"/>
  <c r="H24" i="28"/>
  <c r="H25" i="28" s="1"/>
  <c r="H23" i="28"/>
  <c r="H22" i="28"/>
  <c r="H20" i="28"/>
  <c r="H21" i="28" s="1"/>
  <c r="H18" i="28"/>
  <c r="H19" i="28" s="1"/>
  <c r="H16" i="28"/>
  <c r="H17" i="28" s="1"/>
  <c r="H15" i="28"/>
  <c r="H14" i="28"/>
  <c r="H12" i="28"/>
  <c r="H13" i="28" s="1"/>
  <c r="H10" i="28"/>
  <c r="H11" i="28" s="1"/>
  <c r="H8" i="28"/>
  <c r="H9" i="28" s="1"/>
  <c r="H7" i="28"/>
  <c r="H6" i="28"/>
  <c r="H4" i="28"/>
  <c r="H5" i="28" s="1"/>
  <c r="AW3" i="28"/>
  <c r="AW4" i="28"/>
  <c r="AW5" i="28"/>
  <c r="AW6" i="28"/>
  <c r="AW7" i="28"/>
  <c r="AW8" i="28"/>
  <c r="AW9" i="28"/>
  <c r="AW10" i="28"/>
  <c r="AW11" i="28"/>
  <c r="AW12" i="28"/>
  <c r="AW13" i="28"/>
  <c r="AW14" i="28"/>
  <c r="AW15" i="28"/>
  <c r="AW16" i="28"/>
  <c r="AW17" i="28"/>
  <c r="AW18" i="28"/>
  <c r="AW19" i="28"/>
  <c r="AW20" i="28"/>
  <c r="AW21" i="28"/>
  <c r="AW22" i="28"/>
  <c r="AW23" i="28"/>
  <c r="AW24" i="28"/>
  <c r="AW25" i="28"/>
  <c r="AW26" i="28"/>
  <c r="AW27" i="28"/>
  <c r="AW28" i="28"/>
  <c r="AW29" i="28"/>
  <c r="AW30" i="28"/>
  <c r="AW31" i="28"/>
  <c r="AW32" i="28"/>
  <c r="AW2" i="28"/>
  <c r="AV3" i="28"/>
  <c r="AV4" i="28"/>
  <c r="AV5" i="28"/>
  <c r="AV6" i="28"/>
  <c r="AV7" i="28"/>
  <c r="AV8" i="28"/>
  <c r="AV9" i="28"/>
  <c r="AV10" i="28"/>
  <c r="AV11" i="28"/>
  <c r="AV12" i="28"/>
  <c r="AV13" i="28"/>
  <c r="AV14" i="28"/>
  <c r="AV15" i="28"/>
  <c r="AV16" i="28"/>
  <c r="AV17" i="28"/>
  <c r="AV18" i="28"/>
  <c r="AV19" i="28"/>
  <c r="AV20" i="28"/>
  <c r="AV21" i="28"/>
  <c r="AV22" i="28"/>
  <c r="AV23" i="28"/>
  <c r="AV24" i="28"/>
  <c r="AV25" i="28"/>
  <c r="AV26" i="28"/>
  <c r="AV27" i="28"/>
  <c r="AV28" i="28"/>
  <c r="AV29" i="28"/>
  <c r="AV30" i="28"/>
  <c r="AV31" i="28"/>
  <c r="AV32" i="28"/>
  <c r="AV2" i="28"/>
  <c r="AU3" i="28"/>
  <c r="AU4" i="28"/>
  <c r="AU5" i="28"/>
  <c r="AU6" i="28"/>
  <c r="AU7" i="28"/>
  <c r="AU8" i="28"/>
  <c r="AU9" i="28"/>
  <c r="AU10" i="28"/>
  <c r="AU11" i="28"/>
  <c r="AU12" i="28"/>
  <c r="AU13" i="28"/>
  <c r="AU14" i="28"/>
  <c r="AU15" i="28"/>
  <c r="AU16" i="28"/>
  <c r="AU17" i="28"/>
  <c r="AU18" i="28"/>
  <c r="AU19" i="28"/>
  <c r="AU20" i="28"/>
  <c r="AU21" i="28"/>
  <c r="AU22" i="28"/>
  <c r="AU23" i="28"/>
  <c r="AU24" i="28"/>
  <c r="AU25" i="28"/>
  <c r="AU26" i="28"/>
  <c r="AU27" i="28"/>
  <c r="AU28" i="28"/>
  <c r="AU29" i="28"/>
  <c r="AU30" i="28"/>
  <c r="AU31" i="28"/>
  <c r="AU32" i="28"/>
  <c r="AU2" i="28"/>
  <c r="AN25" i="25"/>
  <c r="H3" i="28"/>
  <c r="AV73" i="25"/>
  <c r="AU73" i="25"/>
  <c r="AX31" i="28" s="1"/>
  <c r="BD60" i="28" s="1"/>
  <c r="AT73" i="25"/>
  <c r="AX30" i="28" s="1"/>
  <c r="BD58" i="28" s="1"/>
  <c r="AS73" i="25"/>
  <c r="AX29" i="28" s="1"/>
  <c r="BD56" i="28" s="1"/>
  <c r="AR73" i="25"/>
  <c r="AX28" i="28" s="1"/>
  <c r="BD54" i="28" s="1"/>
  <c r="AX27" i="28"/>
  <c r="BD52" i="28" s="1"/>
  <c r="AX26" i="28"/>
  <c r="BD50" i="28" s="1"/>
  <c r="AX25" i="28"/>
  <c r="BD48" i="28" s="1"/>
  <c r="AX24" i="28"/>
  <c r="BD46" i="28" s="1"/>
  <c r="AX23" i="28"/>
  <c r="BD44" i="28" s="1"/>
  <c r="AL73" i="25"/>
  <c r="AX22" i="28" s="1"/>
  <c r="BD42" i="28" s="1"/>
  <c r="AK73" i="25"/>
  <c r="AX21" i="28" s="1"/>
  <c r="BD40" i="28" s="1"/>
  <c r="AJ73" i="25"/>
  <c r="AX20" i="28" s="1"/>
  <c r="BD38" i="28" s="1"/>
  <c r="AI73" i="25"/>
  <c r="AX19" i="28" s="1"/>
  <c r="BD36" i="28" s="1"/>
  <c r="AH73" i="25"/>
  <c r="AX18" i="28" s="1"/>
  <c r="BD34" i="28" s="1"/>
  <c r="AG73" i="25"/>
  <c r="AX17" i="28" s="1"/>
  <c r="BD32" i="28" s="1"/>
  <c r="AF73" i="25"/>
  <c r="AX16" i="28" s="1"/>
  <c r="BD30" i="28" s="1"/>
  <c r="AE73" i="25"/>
  <c r="AX15" i="28" s="1"/>
  <c r="BD28" i="28" s="1"/>
  <c r="AD73" i="25"/>
  <c r="AX14" i="28" s="1"/>
  <c r="BD26" i="28" s="1"/>
  <c r="AC73" i="25"/>
  <c r="AX13" i="28" s="1"/>
  <c r="BD24" i="28" s="1"/>
  <c r="AB73" i="25"/>
  <c r="AX12" i="28" s="1"/>
  <c r="BD22" i="28" s="1"/>
  <c r="AA73" i="25"/>
  <c r="AX11" i="28" s="1"/>
  <c r="BD20" i="28" s="1"/>
  <c r="Z73" i="25"/>
  <c r="AX10" i="28" s="1"/>
  <c r="BD18" i="28" s="1"/>
  <c r="Y73" i="25"/>
  <c r="AX9" i="28" s="1"/>
  <c r="BD16" i="28" s="1"/>
  <c r="X73" i="25"/>
  <c r="AX8" i="28" s="1"/>
  <c r="BD14" i="28" s="1"/>
  <c r="W73" i="25"/>
  <c r="AX7" i="28" s="1"/>
  <c r="BD12" i="28" s="1"/>
  <c r="V73" i="25"/>
  <c r="AX6" i="28" s="1"/>
  <c r="BD10" i="28" s="1"/>
  <c r="U73" i="25"/>
  <c r="AX5" i="28" s="1"/>
  <c r="BD8" i="28" s="1"/>
  <c r="T73" i="25"/>
  <c r="AX4" i="28" s="1"/>
  <c r="BD6" i="28" s="1"/>
  <c r="S73" i="25"/>
  <c r="AX3" i="28" s="1"/>
  <c r="BD4" i="28" s="1"/>
  <c r="AX2" i="28"/>
  <c r="AG3" i="28"/>
  <c r="AG4" i="28"/>
  <c r="AG5" i="28"/>
  <c r="AG6" i="28"/>
  <c r="AG7" i="28"/>
  <c r="AG8" i="28"/>
  <c r="AG9" i="28"/>
  <c r="AG10" i="28"/>
  <c r="AG11" i="28"/>
  <c r="AG12" i="28"/>
  <c r="AG13" i="28"/>
  <c r="AG14" i="28"/>
  <c r="AG15" i="28"/>
  <c r="AG16" i="28"/>
  <c r="AG17" i="28"/>
  <c r="AG18" i="28"/>
  <c r="AG19" i="28"/>
  <c r="AG20" i="28"/>
  <c r="AG21" i="28"/>
  <c r="AG22" i="28"/>
  <c r="AG23" i="28"/>
  <c r="AG24" i="28"/>
  <c r="AG25" i="28"/>
  <c r="AG26" i="28"/>
  <c r="AG27" i="28"/>
  <c r="AG28" i="28"/>
  <c r="AG29" i="28"/>
  <c r="AG30" i="28"/>
  <c r="AG31" i="28"/>
  <c r="AG32" i="28"/>
  <c r="AG2" i="28"/>
  <c r="AF3" i="28"/>
  <c r="AF4" i="28"/>
  <c r="AF5" i="28"/>
  <c r="AF6" i="28"/>
  <c r="AF7" i="28"/>
  <c r="AF8" i="28"/>
  <c r="AF9" i="28"/>
  <c r="AF10" i="28"/>
  <c r="AF11" i="28"/>
  <c r="AF12" i="28"/>
  <c r="AF13" i="28"/>
  <c r="AF14" i="28"/>
  <c r="AF15" i="28"/>
  <c r="AF16" i="28"/>
  <c r="AF17" i="28"/>
  <c r="AF18" i="28"/>
  <c r="AF19" i="28"/>
  <c r="AF20" i="28"/>
  <c r="AF21" i="28"/>
  <c r="AF22" i="28"/>
  <c r="AF23" i="28"/>
  <c r="AF24" i="28"/>
  <c r="AF25" i="28"/>
  <c r="AF26" i="28"/>
  <c r="AF27" i="28"/>
  <c r="AF28" i="28"/>
  <c r="AF29" i="28"/>
  <c r="AF30" i="28"/>
  <c r="AF31" i="28"/>
  <c r="AF32" i="28"/>
  <c r="AF2" i="28"/>
  <c r="AE3" i="28"/>
  <c r="AE4" i="28"/>
  <c r="AE5" i="28"/>
  <c r="AE6" i="28"/>
  <c r="AE7" i="28"/>
  <c r="AE8" i="28"/>
  <c r="AE9" i="28"/>
  <c r="AE10" i="28"/>
  <c r="AE11" i="28"/>
  <c r="AE12" i="28"/>
  <c r="AE13" i="28"/>
  <c r="AE14" i="28"/>
  <c r="AE15" i="28"/>
  <c r="AE16" i="28"/>
  <c r="AE17" i="28"/>
  <c r="AE18" i="28"/>
  <c r="AE19" i="28"/>
  <c r="AE20" i="28"/>
  <c r="AE21" i="28"/>
  <c r="AE22" i="28"/>
  <c r="AE23" i="28"/>
  <c r="AE24" i="28"/>
  <c r="AE25" i="28"/>
  <c r="AE26" i="28"/>
  <c r="AE27" i="28"/>
  <c r="AE28" i="28"/>
  <c r="AE29" i="28"/>
  <c r="AE30" i="28"/>
  <c r="AE31" i="28"/>
  <c r="AE32" i="28"/>
  <c r="AE2" i="28"/>
  <c r="P2" i="28"/>
  <c r="P3" i="28"/>
  <c r="P4" i="28"/>
  <c r="P5" i="28"/>
  <c r="P6" i="28"/>
  <c r="P7" i="28"/>
  <c r="P8" i="28"/>
  <c r="P9" i="28"/>
  <c r="P10" i="28"/>
  <c r="P11" i="28"/>
  <c r="P12" i="28"/>
  <c r="P13" i="28"/>
  <c r="P14" i="28"/>
  <c r="P15" i="28"/>
  <c r="P16" i="28"/>
  <c r="P17" i="28"/>
  <c r="P18" i="28"/>
  <c r="P19" i="28"/>
  <c r="P20" i="28"/>
  <c r="P21" i="28"/>
  <c r="P22" i="28"/>
  <c r="P23" i="28"/>
  <c r="P24" i="28"/>
  <c r="P25" i="28"/>
  <c r="P26" i="28"/>
  <c r="P27" i="28"/>
  <c r="P28" i="28"/>
  <c r="P29" i="28"/>
  <c r="P30" i="28"/>
  <c r="P31" i="28"/>
  <c r="P32" i="28"/>
  <c r="Q3" i="28"/>
  <c r="Q4" i="28"/>
  <c r="Q5" i="28"/>
  <c r="Q6" i="28"/>
  <c r="Q7" i="28"/>
  <c r="Q8" i="28"/>
  <c r="Q9" i="28"/>
  <c r="Q10" i="28"/>
  <c r="Q11" i="28"/>
  <c r="Q12" i="28"/>
  <c r="Q13" i="28"/>
  <c r="Q14" i="28"/>
  <c r="Q15" i="28"/>
  <c r="Q16" i="28"/>
  <c r="Q17" i="28"/>
  <c r="Q18" i="28"/>
  <c r="Q19" i="28"/>
  <c r="Q20" i="28"/>
  <c r="Q21" i="28"/>
  <c r="Q22" i="28"/>
  <c r="Q23" i="28"/>
  <c r="Q24" i="28"/>
  <c r="Q25" i="28"/>
  <c r="Q26" i="28"/>
  <c r="Q27" i="28"/>
  <c r="Q28" i="28"/>
  <c r="Q29" i="28"/>
  <c r="Q30" i="28"/>
  <c r="Q31" i="28"/>
  <c r="Q32" i="28"/>
  <c r="Q2" i="28"/>
  <c r="B3" i="28"/>
  <c r="I4" i="28" s="1"/>
  <c r="B4" i="28"/>
  <c r="I6" i="28" s="1"/>
  <c r="B5" i="28"/>
  <c r="I8" i="28" s="1"/>
  <c r="B6" i="28"/>
  <c r="I10" i="28" s="1"/>
  <c r="B7" i="28"/>
  <c r="I12" i="28" s="1"/>
  <c r="B8" i="28"/>
  <c r="I14" i="28" s="1"/>
  <c r="B9" i="28"/>
  <c r="I16" i="28" s="1"/>
  <c r="B10" i="28"/>
  <c r="I18" i="28" s="1"/>
  <c r="B11" i="28"/>
  <c r="I20" i="28" s="1"/>
  <c r="B12" i="28"/>
  <c r="I22" i="28" s="1"/>
  <c r="B13" i="28"/>
  <c r="I24" i="28" s="1"/>
  <c r="B14" i="28"/>
  <c r="I26" i="28" s="1"/>
  <c r="B15" i="28"/>
  <c r="I28" i="28" s="1"/>
  <c r="B16" i="28"/>
  <c r="I30" i="28" s="1"/>
  <c r="B17" i="28"/>
  <c r="I32" i="28" s="1"/>
  <c r="B18" i="28"/>
  <c r="I34" i="28" s="1"/>
  <c r="B19" i="28"/>
  <c r="I36" i="28" s="1"/>
  <c r="B20" i="28"/>
  <c r="I38" i="28" s="1"/>
  <c r="B21" i="28"/>
  <c r="I40" i="28" s="1"/>
  <c r="B22" i="28"/>
  <c r="I42" i="28" s="1"/>
  <c r="B23" i="28"/>
  <c r="I44" i="28" s="1"/>
  <c r="B24" i="28"/>
  <c r="I46" i="28" s="1"/>
  <c r="B25" i="28"/>
  <c r="I48" i="28" s="1"/>
  <c r="B26" i="28"/>
  <c r="I50" i="28" s="1"/>
  <c r="B27" i="28"/>
  <c r="I52" i="28" s="1"/>
  <c r="B28" i="28"/>
  <c r="I54" i="28" s="1"/>
  <c r="B29" i="28"/>
  <c r="I56" i="28" s="1"/>
  <c r="B30" i="28"/>
  <c r="I58" i="28" s="1"/>
  <c r="B31" i="28"/>
  <c r="I60" i="28" s="1"/>
  <c r="B32" i="28"/>
  <c r="I62" i="28" s="1"/>
  <c r="B2" i="28"/>
  <c r="I2" i="28" s="1"/>
  <c r="AV69" i="25"/>
  <c r="AU69" i="25"/>
  <c r="AH31" i="28" s="1"/>
  <c r="AN60" i="28" s="1"/>
  <c r="AT69" i="25"/>
  <c r="AH30" i="28" s="1"/>
  <c r="AN58" i="28" s="1"/>
  <c r="AS69" i="25"/>
  <c r="AH29" i="28" s="1"/>
  <c r="AN56" i="28" s="1"/>
  <c r="AR69" i="25"/>
  <c r="AH28" i="28" s="1"/>
  <c r="AN54" i="28" s="1"/>
  <c r="AH27" i="28"/>
  <c r="AN52" i="28" s="1"/>
  <c r="AH26" i="28"/>
  <c r="AN50" i="28" s="1"/>
  <c r="AH25" i="28"/>
  <c r="AN48" i="28" s="1"/>
  <c r="AH24" i="28"/>
  <c r="AN46" i="28" s="1"/>
  <c r="AH23" i="28"/>
  <c r="AN44" i="28" s="1"/>
  <c r="AL69" i="25"/>
  <c r="AH22" i="28" s="1"/>
  <c r="AN42" i="28" s="1"/>
  <c r="AK69" i="25"/>
  <c r="AH21" i="28" s="1"/>
  <c r="AN40" i="28" s="1"/>
  <c r="AJ69" i="25"/>
  <c r="AH20" i="28" s="1"/>
  <c r="AN38" i="28" s="1"/>
  <c r="AI69" i="25"/>
  <c r="AH19" i="28" s="1"/>
  <c r="AN36" i="28" s="1"/>
  <c r="AH69" i="25"/>
  <c r="AH18" i="28" s="1"/>
  <c r="AN34" i="28" s="1"/>
  <c r="AG69" i="25"/>
  <c r="AH17" i="28" s="1"/>
  <c r="AN32" i="28" s="1"/>
  <c r="AF69" i="25"/>
  <c r="AH16" i="28" s="1"/>
  <c r="AN30" i="28" s="1"/>
  <c r="AE69" i="25"/>
  <c r="AH15" i="28" s="1"/>
  <c r="AN28" i="28" s="1"/>
  <c r="AD69" i="25"/>
  <c r="AH14" i="28" s="1"/>
  <c r="AN26" i="28" s="1"/>
  <c r="AC69" i="25"/>
  <c r="AH13" i="28" s="1"/>
  <c r="AN24" i="28" s="1"/>
  <c r="AB69" i="25"/>
  <c r="AH12" i="28" s="1"/>
  <c r="AN22" i="28" s="1"/>
  <c r="AA69" i="25"/>
  <c r="AH11" i="28" s="1"/>
  <c r="AN20" i="28" s="1"/>
  <c r="Z69" i="25"/>
  <c r="AH10" i="28" s="1"/>
  <c r="AN18" i="28" s="1"/>
  <c r="Y69" i="25"/>
  <c r="AH9" i="28" s="1"/>
  <c r="AN16" i="28" s="1"/>
  <c r="X69" i="25"/>
  <c r="AH8" i="28" s="1"/>
  <c r="AN14" i="28" s="1"/>
  <c r="W69" i="25"/>
  <c r="AH7" i="28" s="1"/>
  <c r="AN12" i="28" s="1"/>
  <c r="V69" i="25"/>
  <c r="AH6" i="28" s="1"/>
  <c r="AN10" i="28" s="1"/>
  <c r="U69" i="25"/>
  <c r="AH5" i="28" s="1"/>
  <c r="AN8" i="28" s="1"/>
  <c r="T69" i="25"/>
  <c r="AH4" i="28" s="1"/>
  <c r="AN6" i="28" s="1"/>
  <c r="S69" i="25"/>
  <c r="AH3" i="28" s="1"/>
  <c r="AN4" i="28" s="1"/>
  <c r="AH2" i="28"/>
  <c r="AV65" i="25"/>
  <c r="O32" i="28" s="1"/>
  <c r="X62" i="28" s="1"/>
  <c r="AU65" i="25"/>
  <c r="O31" i="28" s="1"/>
  <c r="X60" i="28" s="1"/>
  <c r="AT65" i="25"/>
  <c r="O30" i="28" s="1"/>
  <c r="X58" i="28" s="1"/>
  <c r="AS65" i="25"/>
  <c r="O29" i="28" s="1"/>
  <c r="X56" i="28" s="1"/>
  <c r="O28" i="28"/>
  <c r="X54" i="28" s="1"/>
  <c r="O27" i="28"/>
  <c r="X52" i="28" s="1"/>
  <c r="O26" i="28"/>
  <c r="X50" i="28" s="1"/>
  <c r="O25" i="28"/>
  <c r="X48" i="28" s="1"/>
  <c r="O24" i="28"/>
  <c r="X46" i="28" s="1"/>
  <c r="O23" i="28"/>
  <c r="X44" i="28" s="1"/>
  <c r="AL65" i="25"/>
  <c r="O22" i="28" s="1"/>
  <c r="X42" i="28" s="1"/>
  <c r="AK65" i="25"/>
  <c r="O21" i="28" s="1"/>
  <c r="X40" i="28" s="1"/>
  <c r="AJ65" i="25"/>
  <c r="O20" i="28" s="1"/>
  <c r="X38" i="28" s="1"/>
  <c r="AI65" i="25"/>
  <c r="O19" i="28" s="1"/>
  <c r="X36" i="28" s="1"/>
  <c r="AH65" i="25"/>
  <c r="O18" i="28" s="1"/>
  <c r="X34" i="28" s="1"/>
  <c r="AG65" i="25"/>
  <c r="O17" i="28" s="1"/>
  <c r="X32" i="28" s="1"/>
  <c r="AF65" i="25"/>
  <c r="O16" i="28" s="1"/>
  <c r="X30" i="28" s="1"/>
  <c r="AE65" i="25"/>
  <c r="O15" i="28" s="1"/>
  <c r="X28" i="28" s="1"/>
  <c r="AD65" i="25"/>
  <c r="O14" i="28" s="1"/>
  <c r="X26" i="28" s="1"/>
  <c r="AC65" i="25"/>
  <c r="O13" i="28" s="1"/>
  <c r="X24" i="28" s="1"/>
  <c r="AB65" i="25"/>
  <c r="O12" i="28" s="1"/>
  <c r="X22" i="28" s="1"/>
  <c r="AA65" i="25"/>
  <c r="O11" i="28" s="1"/>
  <c r="X20" i="28" s="1"/>
  <c r="Z65" i="25"/>
  <c r="O10" i="28" s="1"/>
  <c r="X18" i="28" s="1"/>
  <c r="O9" i="28"/>
  <c r="X16" i="28" s="1"/>
  <c r="X65" i="25"/>
  <c r="O8" i="28" s="1"/>
  <c r="X14" i="28" s="1"/>
  <c r="W65" i="25"/>
  <c r="O7" i="28" s="1"/>
  <c r="X12" i="28" s="1"/>
  <c r="O6" i="28"/>
  <c r="X10" i="28" s="1"/>
  <c r="U65" i="25"/>
  <c r="O5" i="28" s="1"/>
  <c r="X8" i="28" s="1"/>
  <c r="T65" i="25"/>
  <c r="O4" i="28" s="1"/>
  <c r="X6" i="28" s="1"/>
  <c r="S65" i="25"/>
  <c r="O3" i="28" s="1"/>
  <c r="X4" i="28" s="1"/>
  <c r="O2" i="28"/>
  <c r="X2" i="28" s="1"/>
  <c r="AS29" i="25"/>
  <c r="CI5" i="28" l="1"/>
  <c r="CI41" i="28"/>
  <c r="CI29" i="28"/>
  <c r="CI27" i="28"/>
  <c r="CI55" i="28"/>
  <c r="CI19" i="28"/>
  <c r="CI61" i="28"/>
  <c r="CI59" i="28"/>
  <c r="CI21" i="28"/>
  <c r="CI17" i="28"/>
  <c r="CI13" i="28"/>
  <c r="CI39" i="28"/>
  <c r="CI37" i="28"/>
  <c r="CI23" i="28"/>
  <c r="CI31" i="28"/>
  <c r="CI25" i="28"/>
  <c r="CI9" i="28"/>
  <c r="CI11" i="28"/>
  <c r="CI15" i="28"/>
  <c r="CI43" i="28"/>
  <c r="CI7" i="28"/>
  <c r="CI35" i="28"/>
  <c r="CI33" i="28"/>
  <c r="CH62" i="29"/>
  <c r="CI63" i="29" s="1"/>
  <c r="CB33" i="29"/>
  <c r="CI3" i="28"/>
  <c r="CB33" i="28"/>
  <c r="CI63" i="28"/>
  <c r="AX32" i="28"/>
  <c r="BD62" i="28" s="1"/>
  <c r="CI57" i="28"/>
  <c r="BS59" i="22"/>
  <c r="BS61" i="22"/>
  <c r="BC2" i="28"/>
  <c r="BC48" i="28"/>
  <c r="BC32" i="28"/>
  <c r="BC16" i="28"/>
  <c r="BC62" i="28"/>
  <c r="BC46" i="28"/>
  <c r="BC30" i="28"/>
  <c r="BC14" i="28"/>
  <c r="BC60" i="28"/>
  <c r="BC44" i="28"/>
  <c r="BC28" i="28"/>
  <c r="BC12" i="28"/>
  <c r="BC58" i="28"/>
  <c r="BC42" i="28"/>
  <c r="BC26" i="28"/>
  <c r="BC10" i="28"/>
  <c r="BC56" i="28"/>
  <c r="BC40" i="28"/>
  <c r="BC24" i="28"/>
  <c r="BC8" i="28"/>
  <c r="BC54" i="28"/>
  <c r="BC38" i="28"/>
  <c r="BC22" i="28"/>
  <c r="BC6" i="28"/>
  <c r="BC52" i="28"/>
  <c r="BC36" i="28"/>
  <c r="BC20" i="28"/>
  <c r="BC4" i="28"/>
  <c r="BC50" i="28"/>
  <c r="BC34" i="28"/>
  <c r="BC18" i="28"/>
  <c r="W50" i="28"/>
  <c r="W34" i="28"/>
  <c r="W18" i="28"/>
  <c r="W2" i="28"/>
  <c r="W58" i="28"/>
  <c r="W60" i="28"/>
  <c r="W44" i="28"/>
  <c r="W28" i="28"/>
  <c r="W12" i="28"/>
  <c r="W54" i="28"/>
  <c r="W38" i="28"/>
  <c r="W22" i="28"/>
  <c r="W6" i="28"/>
  <c r="W48" i="28"/>
  <c r="W32" i="28"/>
  <c r="W16" i="28"/>
  <c r="W62" i="28"/>
  <c r="W46" i="28"/>
  <c r="W30" i="28"/>
  <c r="W14" i="28"/>
  <c r="W42" i="28"/>
  <c r="W26" i="28"/>
  <c r="W10" i="28"/>
  <c r="W8" i="28"/>
  <c r="W52" i="28"/>
  <c r="W36" i="28"/>
  <c r="W20" i="28"/>
  <c r="W4" i="28"/>
  <c r="W24" i="28"/>
  <c r="W40" i="28"/>
  <c r="W56" i="28"/>
  <c r="AH32" i="28"/>
  <c r="AN62" i="28" s="1"/>
  <c r="AM52" i="28"/>
  <c r="AM36" i="28"/>
  <c r="AM20" i="28"/>
  <c r="AM4" i="28"/>
  <c r="AM50" i="28"/>
  <c r="AM34" i="28"/>
  <c r="AM18" i="28"/>
  <c r="AM2" i="28"/>
  <c r="AM48" i="28"/>
  <c r="AM32" i="28"/>
  <c r="AM16" i="28"/>
  <c r="AM62" i="28"/>
  <c r="AM46" i="28"/>
  <c r="AM30" i="28"/>
  <c r="AM14" i="28"/>
  <c r="AM60" i="28"/>
  <c r="AM44" i="28"/>
  <c r="AM28" i="28"/>
  <c r="AM12" i="28"/>
  <c r="AM58" i="28"/>
  <c r="AM42" i="28"/>
  <c r="AM26" i="28"/>
  <c r="AM10" i="28"/>
  <c r="AM56" i="28"/>
  <c r="AM40" i="28"/>
  <c r="AM24" i="28"/>
  <c r="AM8" i="28"/>
  <c r="AM54" i="28"/>
  <c r="AM38" i="28"/>
  <c r="AM22" i="28"/>
  <c r="AM6" i="28"/>
  <c r="Y51" i="28"/>
  <c r="Y5" i="28"/>
  <c r="Y21" i="28"/>
  <c r="Y37" i="28"/>
  <c r="Y53" i="28"/>
  <c r="AO7" i="28"/>
  <c r="AO23" i="28"/>
  <c r="AO39" i="28"/>
  <c r="AO55" i="28"/>
  <c r="J59" i="28"/>
  <c r="J43" i="28"/>
  <c r="J27" i="28"/>
  <c r="J11" i="28"/>
  <c r="BE53" i="28"/>
  <c r="J61" i="28"/>
  <c r="Y7" i="28"/>
  <c r="Y23" i="28"/>
  <c r="Y39" i="28"/>
  <c r="Y55" i="28"/>
  <c r="AO9" i="28"/>
  <c r="AO25" i="28"/>
  <c r="AO41" i="28"/>
  <c r="AO57" i="28"/>
  <c r="J57" i="28"/>
  <c r="J41" i="28"/>
  <c r="J25" i="28"/>
  <c r="J9" i="28"/>
  <c r="BE7" i="28"/>
  <c r="BE23" i="28"/>
  <c r="BE39" i="28"/>
  <c r="BE55" i="28"/>
  <c r="AO21" i="28"/>
  <c r="BE5" i="28"/>
  <c r="Y41" i="28"/>
  <c r="Y57" i="28"/>
  <c r="AO11" i="28"/>
  <c r="AO27" i="28"/>
  <c r="AO43" i="28"/>
  <c r="AO59" i="28"/>
  <c r="J55" i="28"/>
  <c r="J39" i="28"/>
  <c r="J23" i="28"/>
  <c r="J7" i="28"/>
  <c r="BE9" i="28"/>
  <c r="BE25" i="28"/>
  <c r="BE41" i="28"/>
  <c r="BE57" i="28"/>
  <c r="AO5" i="28"/>
  <c r="J29" i="28"/>
  <c r="BE51" i="28"/>
  <c r="Y25" i="28"/>
  <c r="Y11" i="28"/>
  <c r="Y27" i="28"/>
  <c r="Y43" i="28"/>
  <c r="Y59" i="28"/>
  <c r="AO13" i="28"/>
  <c r="AO29" i="28"/>
  <c r="AO45" i="28"/>
  <c r="AO61" i="28"/>
  <c r="J53" i="28"/>
  <c r="J37" i="28"/>
  <c r="J21" i="28"/>
  <c r="J5" i="28"/>
  <c r="BE11" i="28"/>
  <c r="BE27" i="28"/>
  <c r="BE43" i="28"/>
  <c r="BE59" i="28"/>
  <c r="AO53" i="28"/>
  <c r="BE19" i="28"/>
  <c r="Y9" i="28"/>
  <c r="Y13" i="28"/>
  <c r="Y29" i="28"/>
  <c r="Y45" i="28"/>
  <c r="Y61" i="28"/>
  <c r="AO15" i="28"/>
  <c r="AO31" i="28"/>
  <c r="AO47" i="28"/>
  <c r="J51" i="28"/>
  <c r="J35" i="28"/>
  <c r="J19" i="28"/>
  <c r="BE13" i="28"/>
  <c r="BE29" i="28"/>
  <c r="BE45" i="28"/>
  <c r="BE61" i="28"/>
  <c r="Y35" i="28"/>
  <c r="J45" i="28"/>
  <c r="BE35" i="28"/>
  <c r="Y15" i="28"/>
  <c r="Y31" i="28"/>
  <c r="Y47" i="28"/>
  <c r="Y63" i="28"/>
  <c r="AO17" i="28"/>
  <c r="AO33" i="28"/>
  <c r="AO49" i="28"/>
  <c r="J3" i="28"/>
  <c r="J49" i="28"/>
  <c r="J33" i="28"/>
  <c r="J17" i="28"/>
  <c r="BE15" i="28"/>
  <c r="BE31" i="28"/>
  <c r="BE47" i="28"/>
  <c r="BE37" i="28"/>
  <c r="Y19" i="28"/>
  <c r="AO37" i="28"/>
  <c r="J13" i="28"/>
  <c r="Y17" i="28"/>
  <c r="Y33" i="28"/>
  <c r="Y49" i="28"/>
  <c r="AO19" i="28"/>
  <c r="AO35" i="28"/>
  <c r="AO51" i="28"/>
  <c r="J63" i="28"/>
  <c r="J47" i="28"/>
  <c r="J31" i="28"/>
  <c r="J15" i="28"/>
  <c r="BE17" i="28"/>
  <c r="BE33" i="28"/>
  <c r="BE49" i="28"/>
  <c r="BE21" i="28"/>
  <c r="BD2" i="28"/>
  <c r="AU33" i="28"/>
  <c r="Y3" i="28"/>
  <c r="AN2" i="28"/>
  <c r="AE33" i="28"/>
  <c r="O33" i="28"/>
  <c r="B33" i="28"/>
  <c r="AW16" i="25"/>
  <c r="AF21" i="25"/>
  <c r="AW12" i="25"/>
  <c r="AW43" i="25"/>
  <c r="AW4" i="25"/>
  <c r="AW5" i="25"/>
  <c r="AW6" i="25"/>
  <c r="AW7" i="25"/>
  <c r="AW8" i="25"/>
  <c r="AW10" i="25"/>
  <c r="AW11" i="25"/>
  <c r="AW13" i="25"/>
  <c r="AW14" i="25"/>
  <c r="AW3" i="25"/>
  <c r="AX33" i="28" l="1"/>
  <c r="BE63" i="28"/>
  <c r="AH33" i="28"/>
  <c r="AO63" i="28"/>
  <c r="AM31" i="28"/>
  <c r="W3" i="28"/>
  <c r="AM35" i="28"/>
  <c r="W51" i="28"/>
  <c r="W63" i="28"/>
  <c r="W23" i="28"/>
  <c r="W61" i="28"/>
  <c r="BC5" i="28"/>
  <c r="BC57" i="28"/>
  <c r="AM37" i="28"/>
  <c r="AM27" i="28"/>
  <c r="BC59" i="28"/>
  <c r="AM51" i="28"/>
  <c r="BC43" i="28"/>
  <c r="BC31" i="28"/>
  <c r="W45" i="28"/>
  <c r="BC9" i="28"/>
  <c r="W9" i="28"/>
  <c r="W39" i="28"/>
  <c r="W47" i="28"/>
  <c r="BE3" i="28"/>
  <c r="BC37" i="28"/>
  <c r="AM17" i="28"/>
  <c r="AM53" i="28"/>
  <c r="AM43" i="28"/>
  <c r="AM15" i="28"/>
  <c r="AM9" i="28"/>
  <c r="BC15" i="28"/>
  <c r="W17" i="28"/>
  <c r="W11" i="28"/>
  <c r="W41" i="28"/>
  <c r="W5" i="28"/>
  <c r="BC17" i="28"/>
  <c r="AM33" i="28"/>
  <c r="BC47" i="28"/>
  <c r="AM59" i="28"/>
  <c r="AM25" i="28"/>
  <c r="BC63" i="28"/>
  <c r="W35" i="28"/>
  <c r="AM11" i="28"/>
  <c r="W27" i="28"/>
  <c r="W57" i="28"/>
  <c r="W21" i="28"/>
  <c r="BC3" i="28"/>
  <c r="BC33" i="28"/>
  <c r="AM49" i="28"/>
  <c r="AM7" i="28"/>
  <c r="AM13" i="28"/>
  <c r="AM47" i="28"/>
  <c r="AM41" i="28"/>
  <c r="BC13" i="28"/>
  <c r="W15" i="28"/>
  <c r="BC55" i="28"/>
  <c r="W55" i="28"/>
  <c r="W49" i="28"/>
  <c r="W43" i="28"/>
  <c r="W25" i="28"/>
  <c r="W37" i="28"/>
  <c r="BC19" i="28"/>
  <c r="BC49" i="28"/>
  <c r="AM3" i="28"/>
  <c r="AM23" i="28"/>
  <c r="AM29" i="28"/>
  <c r="AM63" i="28"/>
  <c r="AM57" i="28"/>
  <c r="BC29" i="28"/>
  <c r="W7" i="28"/>
  <c r="BC21" i="28"/>
  <c r="AM21" i="28"/>
  <c r="BC27" i="28"/>
  <c r="W19" i="28"/>
  <c r="W13" i="28"/>
  <c r="W53" i="28"/>
  <c r="BC51" i="28"/>
  <c r="BC53" i="28"/>
  <c r="BC61" i="28"/>
  <c r="AM39" i="28"/>
  <c r="AM45" i="28"/>
  <c r="BC45" i="28"/>
  <c r="BC7" i="28"/>
  <c r="BC23" i="28"/>
  <c r="BC41" i="28"/>
  <c r="W33" i="28"/>
  <c r="AO3" i="28"/>
  <c r="W59" i="28"/>
  <c r="W31" i="28"/>
  <c r="W29" i="28"/>
  <c r="BC35" i="28"/>
  <c r="BC25" i="28"/>
  <c r="AM5" i="28"/>
  <c r="AM55" i="28"/>
  <c r="AM61" i="28"/>
  <c r="AM19" i="28"/>
  <c r="BC11" i="28"/>
  <c r="BC39" i="28"/>
  <c r="X57" i="26"/>
  <c r="R32" i="26"/>
  <c r="Y62" i="26" s="1"/>
  <c r="R31" i="26"/>
  <c r="Y60" i="26" s="1"/>
  <c r="R30" i="26"/>
  <c r="Y58" i="26" s="1"/>
  <c r="R29" i="26"/>
  <c r="Y56" i="26" s="1"/>
  <c r="R28" i="26"/>
  <c r="Y54" i="26" s="1"/>
  <c r="R27" i="26"/>
  <c r="Y52" i="26" s="1"/>
  <c r="R26" i="26"/>
  <c r="Y50" i="26" s="1"/>
  <c r="R25" i="26"/>
  <c r="Y48" i="26" s="1"/>
  <c r="X25" i="26"/>
  <c r="R24" i="26"/>
  <c r="Y46" i="26" s="1"/>
  <c r="R23" i="26"/>
  <c r="Y44" i="26" s="1"/>
  <c r="X23" i="26"/>
  <c r="R22" i="26"/>
  <c r="Y42" i="26" s="1"/>
  <c r="R21" i="26"/>
  <c r="Y40" i="26" s="1"/>
  <c r="R20" i="26"/>
  <c r="Y38" i="26" s="1"/>
  <c r="R19" i="26"/>
  <c r="Y36" i="26" s="1"/>
  <c r="R18" i="26"/>
  <c r="Y34" i="26" s="1"/>
  <c r="R17" i="26"/>
  <c r="Y32" i="26" s="1"/>
  <c r="R16" i="26"/>
  <c r="Y30" i="26" s="1"/>
  <c r="R15" i="26"/>
  <c r="Y28" i="26" s="1"/>
  <c r="R14" i="26"/>
  <c r="Y26" i="26" s="1"/>
  <c r="R13" i="26"/>
  <c r="Y24" i="26" s="1"/>
  <c r="R12" i="26"/>
  <c r="Y22" i="26" s="1"/>
  <c r="R11" i="26"/>
  <c r="Y20" i="26" s="1"/>
  <c r="R10" i="26"/>
  <c r="Y18" i="26" s="1"/>
  <c r="R9" i="26"/>
  <c r="Y16" i="26" s="1"/>
  <c r="R8" i="26"/>
  <c r="Y14" i="26" s="1"/>
  <c r="R7" i="26"/>
  <c r="Y12" i="26" s="1"/>
  <c r="R6" i="26"/>
  <c r="Y10" i="26" s="1"/>
  <c r="R5" i="26"/>
  <c r="Y8" i="26" s="1"/>
  <c r="R4" i="26"/>
  <c r="Y6" i="26" s="1"/>
  <c r="R3" i="26"/>
  <c r="Y4" i="26" s="1"/>
  <c r="R2" i="26"/>
  <c r="Y2" i="26" s="1"/>
  <c r="W32" i="24"/>
  <c r="DI31" i="22"/>
  <c r="DQ118" i="22" s="1"/>
  <c r="DI30" i="22"/>
  <c r="DQ114" i="22" s="1"/>
  <c r="DI29" i="22"/>
  <c r="DQ110" i="22" s="1"/>
  <c r="DI28" i="22"/>
  <c r="DQ106" i="22" s="1"/>
  <c r="DI27" i="22"/>
  <c r="DQ102" i="22" s="1"/>
  <c r="DI25" i="22"/>
  <c r="DQ94" i="22" s="1"/>
  <c r="DI24" i="22"/>
  <c r="DQ90" i="22" s="1"/>
  <c r="DI23" i="22"/>
  <c r="DQ86" i="22" s="1"/>
  <c r="DI22" i="22"/>
  <c r="DQ82" i="22" s="1"/>
  <c r="DI21" i="22"/>
  <c r="DQ78" i="22" s="1"/>
  <c r="DI20" i="22"/>
  <c r="DQ74" i="22" s="1"/>
  <c r="DI18" i="22"/>
  <c r="DQ66" i="22" s="1"/>
  <c r="DI17" i="22"/>
  <c r="DQ62" i="22" s="1"/>
  <c r="DI16" i="22"/>
  <c r="DQ58" i="22" s="1"/>
  <c r="DI15" i="22"/>
  <c r="DQ54" i="22" s="1"/>
  <c r="DI14" i="22"/>
  <c r="DQ50" i="22" s="1"/>
  <c r="DI12" i="22"/>
  <c r="DQ42" i="22" s="1"/>
  <c r="DI11" i="22"/>
  <c r="DQ38" i="22" s="1"/>
  <c r="DI10" i="22"/>
  <c r="DQ34" i="22" s="1"/>
  <c r="DI9" i="22"/>
  <c r="DQ30" i="22" s="1"/>
  <c r="DI8" i="22"/>
  <c r="DQ26" i="22" s="1"/>
  <c r="DI7" i="22"/>
  <c r="DQ22" i="22" s="1"/>
  <c r="DI6" i="22"/>
  <c r="DQ18" i="22" s="1"/>
  <c r="DI5" i="22"/>
  <c r="DQ14" i="22" s="1"/>
  <c r="DI4" i="22"/>
  <c r="DQ10" i="22" s="1"/>
  <c r="DI3" i="22"/>
  <c r="DQ6" i="22" s="1"/>
  <c r="DI32" i="22"/>
  <c r="AB31" i="27"/>
  <c r="AJ60" i="27" s="1"/>
  <c r="AB30" i="27"/>
  <c r="AJ58" i="27" s="1"/>
  <c r="AT33" i="25"/>
  <c r="AS33" i="25"/>
  <c r="AR33" i="25"/>
  <c r="AD3" i="27"/>
  <c r="AD4" i="27"/>
  <c r="AD5" i="27"/>
  <c r="AD6" i="27"/>
  <c r="AD7" i="27"/>
  <c r="AD8" i="27"/>
  <c r="AD9" i="27"/>
  <c r="AD10" i="27"/>
  <c r="AD11" i="27"/>
  <c r="AD12" i="27"/>
  <c r="AD13" i="27"/>
  <c r="AD14" i="27"/>
  <c r="AD15" i="27"/>
  <c r="AD16" i="27"/>
  <c r="AD17" i="27"/>
  <c r="AD18" i="27"/>
  <c r="AD19" i="27"/>
  <c r="AD20" i="27"/>
  <c r="AD21" i="27"/>
  <c r="AD22" i="27"/>
  <c r="AD23" i="27"/>
  <c r="AD24" i="27"/>
  <c r="AD25" i="27"/>
  <c r="AD26" i="27"/>
  <c r="AD27" i="27"/>
  <c r="AD28" i="27"/>
  <c r="AD29" i="27"/>
  <c r="AD30" i="27"/>
  <c r="AD31" i="27"/>
  <c r="AD32" i="27"/>
  <c r="AD2" i="27"/>
  <c r="AC3" i="27"/>
  <c r="AC4" i="27"/>
  <c r="AC5" i="27"/>
  <c r="AC6" i="27"/>
  <c r="AC7" i="27"/>
  <c r="AC8" i="27"/>
  <c r="AC9" i="27"/>
  <c r="AC10" i="27"/>
  <c r="AC11" i="27"/>
  <c r="AC12" i="27"/>
  <c r="AC13" i="27"/>
  <c r="AC14" i="27"/>
  <c r="AC15" i="27"/>
  <c r="AC16" i="27"/>
  <c r="AC17" i="27"/>
  <c r="AC18" i="27"/>
  <c r="AC19" i="27"/>
  <c r="AC20" i="27"/>
  <c r="AC21" i="27"/>
  <c r="AC22" i="27"/>
  <c r="AC23" i="27"/>
  <c r="AC24" i="27"/>
  <c r="AC25" i="27"/>
  <c r="AC26" i="27"/>
  <c r="AC27" i="27"/>
  <c r="AC28" i="27"/>
  <c r="AC29" i="27"/>
  <c r="AC30" i="27"/>
  <c r="AC31" i="27"/>
  <c r="AC32" i="27"/>
  <c r="AC2" i="27"/>
  <c r="AB32" i="27"/>
  <c r="AJ62" i="27" s="1"/>
  <c r="AB29" i="27"/>
  <c r="AJ56" i="27" s="1"/>
  <c r="AB28" i="27"/>
  <c r="AJ54" i="27" s="1"/>
  <c r="AB27" i="27"/>
  <c r="AJ52" i="27" s="1"/>
  <c r="AB26" i="27"/>
  <c r="AJ50" i="27" s="1"/>
  <c r="AB25" i="27"/>
  <c r="AJ48" i="27" s="1"/>
  <c r="AB24" i="27"/>
  <c r="AJ46" i="27" s="1"/>
  <c r="AB23" i="27"/>
  <c r="AJ44" i="27" s="1"/>
  <c r="AB22" i="27"/>
  <c r="AJ42" i="27" s="1"/>
  <c r="AB21" i="27"/>
  <c r="AJ40" i="27" s="1"/>
  <c r="AB20" i="27"/>
  <c r="AJ38" i="27" s="1"/>
  <c r="AB19" i="27"/>
  <c r="AJ36" i="27" s="1"/>
  <c r="AB18" i="27"/>
  <c r="AJ34" i="27" s="1"/>
  <c r="AB17" i="27"/>
  <c r="AJ32" i="27" s="1"/>
  <c r="AB16" i="27"/>
  <c r="AJ30" i="27" s="1"/>
  <c r="AB15" i="27"/>
  <c r="AJ28" i="27" s="1"/>
  <c r="AB14" i="27"/>
  <c r="AJ26" i="27" s="1"/>
  <c r="AB13" i="27"/>
  <c r="AJ24" i="27" s="1"/>
  <c r="AB12" i="27"/>
  <c r="AJ22" i="27" s="1"/>
  <c r="AB11" i="27"/>
  <c r="AJ20" i="27" s="1"/>
  <c r="AB10" i="27"/>
  <c r="AJ18" i="27" s="1"/>
  <c r="AB9" i="27"/>
  <c r="AJ16" i="27" s="1"/>
  <c r="AB8" i="27"/>
  <c r="AJ14" i="27" s="1"/>
  <c r="AB7" i="27"/>
  <c r="AJ12" i="27" s="1"/>
  <c r="AB6" i="27"/>
  <c r="AJ10" i="27" s="1"/>
  <c r="AB5" i="27"/>
  <c r="AJ8" i="27" s="1"/>
  <c r="AB4" i="27"/>
  <c r="AJ6" i="27" s="1"/>
  <c r="AB3" i="27"/>
  <c r="AJ4" i="27" s="1"/>
  <c r="AB2" i="27"/>
  <c r="AJ2" i="27" s="1"/>
  <c r="Q3" i="27"/>
  <c r="Q4" i="27"/>
  <c r="Q5" i="27"/>
  <c r="Q6" i="27"/>
  <c r="Q7" i="27"/>
  <c r="Q8" i="27"/>
  <c r="Q9" i="27"/>
  <c r="Q10" i="27"/>
  <c r="Q11" i="27"/>
  <c r="Q12" i="27"/>
  <c r="Q13" i="27"/>
  <c r="Q14" i="27"/>
  <c r="Q15" i="27"/>
  <c r="Q16" i="27"/>
  <c r="Q17" i="27"/>
  <c r="Q18" i="27"/>
  <c r="Q19" i="27"/>
  <c r="Q20" i="27"/>
  <c r="Q21" i="27"/>
  <c r="Q22" i="27"/>
  <c r="Q23" i="27"/>
  <c r="Q24" i="27"/>
  <c r="Q25" i="27"/>
  <c r="Q26" i="27"/>
  <c r="Q27" i="27"/>
  <c r="Q28" i="27"/>
  <c r="Q29" i="27"/>
  <c r="Q30" i="27"/>
  <c r="Q31" i="27"/>
  <c r="Q32" i="27"/>
  <c r="Q2" i="27"/>
  <c r="P3" i="27"/>
  <c r="P4" i="27"/>
  <c r="P5" i="27"/>
  <c r="P6" i="27"/>
  <c r="P7" i="27"/>
  <c r="P8" i="27"/>
  <c r="P9" i="27"/>
  <c r="P10" i="27"/>
  <c r="P11" i="27"/>
  <c r="P12" i="27"/>
  <c r="P13" i="27"/>
  <c r="P14" i="27"/>
  <c r="P15" i="27"/>
  <c r="P16" i="27"/>
  <c r="P17" i="27"/>
  <c r="P18" i="27"/>
  <c r="P19" i="27"/>
  <c r="P20" i="27"/>
  <c r="P21" i="27"/>
  <c r="P22" i="27"/>
  <c r="P23" i="27"/>
  <c r="P24" i="27"/>
  <c r="P25" i="27"/>
  <c r="P26" i="27"/>
  <c r="P27" i="27"/>
  <c r="P28" i="27"/>
  <c r="P29" i="27"/>
  <c r="P30" i="27"/>
  <c r="P31" i="27"/>
  <c r="P32" i="27"/>
  <c r="P2" i="27"/>
  <c r="O30" i="27"/>
  <c r="W58" i="27" s="1"/>
  <c r="O31" i="27"/>
  <c r="W60" i="27" s="1"/>
  <c r="D3" i="27"/>
  <c r="D4" i="27"/>
  <c r="D5" i="27"/>
  <c r="D6" i="27"/>
  <c r="D7" i="27"/>
  <c r="D8" i="27"/>
  <c r="D9" i="27"/>
  <c r="D10" i="27"/>
  <c r="D11" i="27"/>
  <c r="D12" i="27"/>
  <c r="D13" i="27"/>
  <c r="D14" i="27"/>
  <c r="D15" i="27"/>
  <c r="D16" i="27"/>
  <c r="D17" i="27"/>
  <c r="D18" i="27"/>
  <c r="D19" i="27"/>
  <c r="D20" i="27"/>
  <c r="D21" i="27"/>
  <c r="D22" i="27"/>
  <c r="D23" i="27"/>
  <c r="D24" i="27"/>
  <c r="D25" i="27"/>
  <c r="D26" i="27"/>
  <c r="D27" i="27"/>
  <c r="D28" i="27"/>
  <c r="D29" i="27"/>
  <c r="D30" i="27"/>
  <c r="D31" i="27"/>
  <c r="D32" i="27"/>
  <c r="D2" i="27"/>
  <c r="C2" i="27"/>
  <c r="C3" i="27"/>
  <c r="C4" i="27"/>
  <c r="C5" i="27"/>
  <c r="C6" i="27"/>
  <c r="C7" i="27"/>
  <c r="C8" i="27"/>
  <c r="C9" i="27"/>
  <c r="C10" i="27"/>
  <c r="C11" i="27"/>
  <c r="C12" i="27"/>
  <c r="C13" i="27"/>
  <c r="C14" i="27"/>
  <c r="C15" i="27"/>
  <c r="C16" i="27"/>
  <c r="C17" i="27"/>
  <c r="C18" i="27"/>
  <c r="C19" i="27"/>
  <c r="C20" i="27"/>
  <c r="C21" i="27"/>
  <c r="C22" i="27"/>
  <c r="C23" i="27"/>
  <c r="C24" i="27"/>
  <c r="I46" i="27" s="1"/>
  <c r="C25" i="27"/>
  <c r="C26" i="27"/>
  <c r="C27" i="27"/>
  <c r="C28" i="27"/>
  <c r="C29" i="27"/>
  <c r="C30" i="27"/>
  <c r="C31" i="27"/>
  <c r="C32" i="27"/>
  <c r="B30" i="27"/>
  <c r="J58" i="27" s="1"/>
  <c r="B31" i="27"/>
  <c r="J60" i="27" s="1"/>
  <c r="O32" i="27"/>
  <c r="W62" i="27" s="1"/>
  <c r="O29" i="27"/>
  <c r="W56" i="27" s="1"/>
  <c r="O28" i="27"/>
  <c r="W54" i="27" s="1"/>
  <c r="O27" i="27"/>
  <c r="W52" i="27" s="1"/>
  <c r="O26" i="27"/>
  <c r="W50" i="27" s="1"/>
  <c r="O25" i="27"/>
  <c r="W48" i="27" s="1"/>
  <c r="O24" i="27"/>
  <c r="W46" i="27" s="1"/>
  <c r="O23" i="27"/>
  <c r="W44" i="27" s="1"/>
  <c r="O22" i="27"/>
  <c r="W42" i="27" s="1"/>
  <c r="O21" i="27"/>
  <c r="W40" i="27" s="1"/>
  <c r="O20" i="27"/>
  <c r="W38" i="27" s="1"/>
  <c r="O19" i="27"/>
  <c r="W36" i="27" s="1"/>
  <c r="O18" i="27"/>
  <c r="W34" i="27" s="1"/>
  <c r="O17" i="27"/>
  <c r="W32" i="27" s="1"/>
  <c r="O16" i="27"/>
  <c r="W30" i="27" s="1"/>
  <c r="O15" i="27"/>
  <c r="W28" i="27" s="1"/>
  <c r="O14" i="27"/>
  <c r="W26" i="27" s="1"/>
  <c r="O13" i="27"/>
  <c r="W24" i="27" s="1"/>
  <c r="O12" i="27"/>
  <c r="W22" i="27" s="1"/>
  <c r="O11" i="27"/>
  <c r="W20" i="27" s="1"/>
  <c r="O10" i="27"/>
  <c r="W18" i="27" s="1"/>
  <c r="O9" i="27"/>
  <c r="W16" i="27" s="1"/>
  <c r="O8" i="27"/>
  <c r="W14" i="27" s="1"/>
  <c r="O7" i="27"/>
  <c r="W12" i="27" s="1"/>
  <c r="O6" i="27"/>
  <c r="W10" i="27" s="1"/>
  <c r="O5" i="27"/>
  <c r="W8" i="27" s="1"/>
  <c r="O4" i="27"/>
  <c r="W6" i="27" s="1"/>
  <c r="O3" i="27"/>
  <c r="W4" i="27" s="1"/>
  <c r="O2" i="27"/>
  <c r="W2" i="27" s="1"/>
  <c r="B32" i="27"/>
  <c r="J62" i="27" s="1"/>
  <c r="B29" i="27"/>
  <c r="J56" i="27" s="1"/>
  <c r="B28" i="27"/>
  <c r="J54" i="27" s="1"/>
  <c r="B27" i="27"/>
  <c r="J52" i="27" s="1"/>
  <c r="B26" i="27"/>
  <c r="J50" i="27" s="1"/>
  <c r="B25" i="27"/>
  <c r="J48" i="27" s="1"/>
  <c r="B24" i="27"/>
  <c r="J46" i="27" s="1"/>
  <c r="B23" i="27"/>
  <c r="J44" i="27" s="1"/>
  <c r="B22" i="27"/>
  <c r="J42" i="27" s="1"/>
  <c r="B21" i="27"/>
  <c r="J40" i="27" s="1"/>
  <c r="B20" i="27"/>
  <c r="J38" i="27" s="1"/>
  <c r="B19" i="27"/>
  <c r="J36" i="27" s="1"/>
  <c r="B18" i="27"/>
  <c r="J34" i="27" s="1"/>
  <c r="B17" i="27"/>
  <c r="J32" i="27" s="1"/>
  <c r="B16" i="27"/>
  <c r="J30" i="27" s="1"/>
  <c r="B15" i="27"/>
  <c r="J28" i="27" s="1"/>
  <c r="B14" i="27"/>
  <c r="J26" i="27" s="1"/>
  <c r="B13" i="27"/>
  <c r="J24" i="27" s="1"/>
  <c r="B12" i="27"/>
  <c r="J22" i="27" s="1"/>
  <c r="B11" i="27"/>
  <c r="J20" i="27" s="1"/>
  <c r="B10" i="27"/>
  <c r="J18" i="27" s="1"/>
  <c r="B9" i="27"/>
  <c r="J16" i="27" s="1"/>
  <c r="B8" i="27"/>
  <c r="J14" i="27" s="1"/>
  <c r="B7" i="27"/>
  <c r="J12" i="27" s="1"/>
  <c r="B6" i="27"/>
  <c r="J10" i="27" s="1"/>
  <c r="B5" i="27"/>
  <c r="J8" i="27" s="1"/>
  <c r="B4" i="27"/>
  <c r="J6" i="27" s="1"/>
  <c r="B3" i="27"/>
  <c r="B2" i="27"/>
  <c r="J2" i="27" s="1"/>
  <c r="DR37" i="22" l="1"/>
  <c r="DR77" i="22"/>
  <c r="DR113" i="22"/>
  <c r="DR41" i="22"/>
  <c r="DR117" i="22"/>
  <c r="DR45" i="22"/>
  <c r="DR85" i="22"/>
  <c r="DR121" i="22"/>
  <c r="DR9" i="22"/>
  <c r="DR81" i="22"/>
  <c r="DR53" i="22"/>
  <c r="DR89" i="22"/>
  <c r="DR21" i="22"/>
  <c r="DR57" i="22"/>
  <c r="DR93" i="22"/>
  <c r="DR25" i="22"/>
  <c r="DR97" i="22"/>
  <c r="DR29" i="22"/>
  <c r="DR65" i="22"/>
  <c r="DR105" i="22"/>
  <c r="DR61" i="22"/>
  <c r="DR33" i="22"/>
  <c r="DR69" i="22"/>
  <c r="DR109" i="22"/>
  <c r="DQ122" i="22"/>
  <c r="DI33" i="22"/>
  <c r="I56" i="27"/>
  <c r="I57" i="27" s="1"/>
  <c r="I24" i="27"/>
  <c r="I25" i="27" s="1"/>
  <c r="X63" i="26"/>
  <c r="X47" i="26"/>
  <c r="X41" i="26"/>
  <c r="X11" i="26"/>
  <c r="X27" i="26"/>
  <c r="X9" i="26"/>
  <c r="X13" i="26"/>
  <c r="X29" i="26"/>
  <c r="X45" i="26"/>
  <c r="X61" i="26"/>
  <c r="I18" i="27"/>
  <c r="I19" i="27" s="1"/>
  <c r="I12" i="27"/>
  <c r="I13" i="27" s="1"/>
  <c r="I50" i="27"/>
  <c r="I51" i="27" s="1"/>
  <c r="I34" i="27"/>
  <c r="I35" i="27" s="1"/>
  <c r="I48" i="27"/>
  <c r="I49" i="27" s="1"/>
  <c r="I20" i="27"/>
  <c r="I21" i="27" s="1"/>
  <c r="I6" i="27"/>
  <c r="I7" i="27" s="1"/>
  <c r="I52" i="27"/>
  <c r="I53" i="27" s="1"/>
  <c r="I58" i="27"/>
  <c r="I59" i="27" s="1"/>
  <c r="I8" i="27"/>
  <c r="I9" i="27" s="1"/>
  <c r="I38" i="27"/>
  <c r="I39" i="27" s="1"/>
  <c r="I26" i="27"/>
  <c r="I27" i="27" s="1"/>
  <c r="I28" i="27"/>
  <c r="I29" i="27" s="1"/>
  <c r="I60" i="27"/>
  <c r="I61" i="27" s="1"/>
  <c r="I30" i="27"/>
  <c r="I31" i="27" s="1"/>
  <c r="I14" i="27"/>
  <c r="I15" i="27" s="1"/>
  <c r="I4" i="27"/>
  <c r="I5" i="27" s="1"/>
  <c r="I16" i="27"/>
  <c r="I17" i="27" s="1"/>
  <c r="I10" i="27"/>
  <c r="I11" i="27" s="1"/>
  <c r="I62" i="27"/>
  <c r="I63" i="27" s="1"/>
  <c r="I42" i="27"/>
  <c r="I32" i="27"/>
  <c r="I40" i="27"/>
  <c r="I22" i="27"/>
  <c r="I54" i="27"/>
  <c r="X37" i="26"/>
  <c r="X53" i="26"/>
  <c r="Z27" i="26"/>
  <c r="Z5" i="26"/>
  <c r="Z41" i="26"/>
  <c r="X33" i="26"/>
  <c r="X49" i="26"/>
  <c r="X3" i="26"/>
  <c r="Z7" i="26"/>
  <c r="Z19" i="26"/>
  <c r="Z31" i="26"/>
  <c r="Z43" i="26"/>
  <c r="Z53" i="26"/>
  <c r="X35" i="26"/>
  <c r="X51" i="26"/>
  <c r="X5" i="26"/>
  <c r="X21" i="26"/>
  <c r="Z3" i="26"/>
  <c r="Z9" i="26"/>
  <c r="Z11" i="26"/>
  <c r="Z21" i="26"/>
  <c r="Z33" i="26"/>
  <c r="Z45" i="26"/>
  <c r="X39" i="26"/>
  <c r="X55" i="26"/>
  <c r="Z51" i="26"/>
  <c r="Z63" i="26"/>
  <c r="Z17" i="26"/>
  <c r="X17" i="26"/>
  <c r="Z13" i="26"/>
  <c r="X19" i="26"/>
  <c r="Z59" i="26"/>
  <c r="X43" i="26"/>
  <c r="X59" i="26"/>
  <c r="Z39" i="26"/>
  <c r="Z29" i="26"/>
  <c r="Z55" i="26"/>
  <c r="X7" i="26"/>
  <c r="Z23" i="26"/>
  <c r="Z35" i="26"/>
  <c r="Z47" i="26"/>
  <c r="Z57" i="26"/>
  <c r="Z15" i="26"/>
  <c r="Z25" i="26"/>
  <c r="Z37" i="26"/>
  <c r="Z49" i="26"/>
  <c r="Z61" i="26"/>
  <c r="X15" i="26"/>
  <c r="X31" i="26"/>
  <c r="AI36" i="27"/>
  <c r="V36" i="27"/>
  <c r="X13" i="27"/>
  <c r="X45" i="27"/>
  <c r="X15" i="27"/>
  <c r="K61" i="27"/>
  <c r="K33" i="27"/>
  <c r="X39" i="27"/>
  <c r="AK61" i="27"/>
  <c r="AK45" i="27"/>
  <c r="AK29" i="27"/>
  <c r="AK13" i="27"/>
  <c r="K9" i="27"/>
  <c r="K63" i="27"/>
  <c r="X49" i="27"/>
  <c r="K59" i="27"/>
  <c r="K29" i="27"/>
  <c r="X23" i="27"/>
  <c r="AK59" i="27"/>
  <c r="AK43" i="27"/>
  <c r="AK27" i="27"/>
  <c r="AK11" i="27"/>
  <c r="AK63" i="27"/>
  <c r="K25" i="27"/>
  <c r="K43" i="27"/>
  <c r="X35" i="27"/>
  <c r="X51" i="27"/>
  <c r="K55" i="27"/>
  <c r="K23" i="27"/>
  <c r="X7" i="27"/>
  <c r="AK57" i="27"/>
  <c r="AK41" i="27"/>
  <c r="AK25" i="27"/>
  <c r="AK9" i="27"/>
  <c r="I47" i="27"/>
  <c r="K41" i="27"/>
  <c r="K11" i="27"/>
  <c r="X3" i="27"/>
  <c r="K47" i="27"/>
  <c r="X53" i="27"/>
  <c r="AK55" i="27"/>
  <c r="AK39" i="27"/>
  <c r="AK23" i="27"/>
  <c r="AK7" i="27"/>
  <c r="X29" i="27"/>
  <c r="K35" i="27"/>
  <c r="X55" i="27"/>
  <c r="AK15" i="27"/>
  <c r="K57" i="27"/>
  <c r="K27" i="27"/>
  <c r="X19" i="27"/>
  <c r="K31" i="27"/>
  <c r="X21" i="27"/>
  <c r="K51" i="27"/>
  <c r="K49" i="27"/>
  <c r="K17" i="27"/>
  <c r="AK53" i="27"/>
  <c r="AK37" i="27"/>
  <c r="AK21" i="27"/>
  <c r="AK5" i="27"/>
  <c r="AK47" i="27"/>
  <c r="X47" i="27"/>
  <c r="X17" i="27"/>
  <c r="K15" i="27"/>
  <c r="X5" i="27"/>
  <c r="X37" i="27"/>
  <c r="K19" i="27"/>
  <c r="X9" i="27"/>
  <c r="X25" i="27"/>
  <c r="X41" i="27"/>
  <c r="X57" i="27"/>
  <c r="K45" i="27"/>
  <c r="K13" i="27"/>
  <c r="X61" i="27"/>
  <c r="AK51" i="27"/>
  <c r="AK35" i="27"/>
  <c r="AK19" i="27"/>
  <c r="AK31" i="27"/>
  <c r="X31" i="27"/>
  <c r="X33" i="27"/>
  <c r="K21" i="27"/>
  <c r="K37" i="27"/>
  <c r="K53" i="27"/>
  <c r="X11" i="27"/>
  <c r="X27" i="27"/>
  <c r="X43" i="27"/>
  <c r="X63" i="27"/>
  <c r="K39" i="27"/>
  <c r="K7" i="27"/>
  <c r="X59" i="27"/>
  <c r="AK3" i="27"/>
  <c r="AK49" i="27"/>
  <c r="AK33" i="27"/>
  <c r="AK17" i="27"/>
  <c r="I44" i="27"/>
  <c r="AI62" i="27"/>
  <c r="AI28" i="27"/>
  <c r="AI12" i="27"/>
  <c r="AI44" i="27"/>
  <c r="AI30" i="27"/>
  <c r="AI14" i="27"/>
  <c r="V56" i="27"/>
  <c r="V40" i="27"/>
  <c r="V24" i="27"/>
  <c r="AI58" i="27"/>
  <c r="AI42" i="27"/>
  <c r="AI26" i="27"/>
  <c r="AI10" i="27"/>
  <c r="AI24" i="27"/>
  <c r="AI8" i="27"/>
  <c r="AI46" i="27"/>
  <c r="AI20" i="27"/>
  <c r="AI60" i="27"/>
  <c r="AI40" i="27"/>
  <c r="AI22" i="27"/>
  <c r="AI6" i="27"/>
  <c r="AI52" i="27"/>
  <c r="AI4" i="27"/>
  <c r="AI2" i="27"/>
  <c r="AI38" i="27"/>
  <c r="AI56" i="27"/>
  <c r="V10" i="27"/>
  <c r="AI48" i="27"/>
  <c r="AI32" i="27"/>
  <c r="AI16" i="27"/>
  <c r="AI54" i="27"/>
  <c r="AI50" i="27"/>
  <c r="AI34" i="27"/>
  <c r="AI18" i="27"/>
  <c r="V30" i="27"/>
  <c r="V8" i="27"/>
  <c r="V60" i="27"/>
  <c r="V44" i="27"/>
  <c r="V28" i="27"/>
  <c r="V52" i="27"/>
  <c r="V4" i="27"/>
  <c r="V12" i="27"/>
  <c r="V48" i="27"/>
  <c r="V14" i="27"/>
  <c r="V62" i="27"/>
  <c r="V46" i="27"/>
  <c r="V32" i="27"/>
  <c r="V16" i="27"/>
  <c r="V58" i="27"/>
  <c r="V54" i="27"/>
  <c r="V22" i="27"/>
  <c r="V6" i="27"/>
  <c r="V42" i="27"/>
  <c r="V20" i="27"/>
  <c r="V18" i="27"/>
  <c r="V26" i="27"/>
  <c r="V38" i="27"/>
  <c r="V50" i="27"/>
  <c r="V34" i="27"/>
  <c r="V2" i="27"/>
  <c r="I2" i="27"/>
  <c r="I36" i="27"/>
  <c r="J4" i="27"/>
  <c r="K3" i="27"/>
  <c r="DR125" i="22" l="1"/>
  <c r="DR13" i="22"/>
  <c r="DR17" i="22"/>
  <c r="I43" i="27"/>
  <c r="V37" i="27"/>
  <c r="AI37" i="27"/>
  <c r="I55" i="27"/>
  <c r="I23" i="27"/>
  <c r="I41" i="27"/>
  <c r="I33" i="27"/>
  <c r="AI35" i="27"/>
  <c r="V27" i="27"/>
  <c r="V17" i="27"/>
  <c r="V53" i="27"/>
  <c r="AI51" i="27"/>
  <c r="AI3" i="27"/>
  <c r="AI47" i="27"/>
  <c r="V41" i="27"/>
  <c r="I45" i="27"/>
  <c r="AI63" i="27"/>
  <c r="V19" i="27"/>
  <c r="AI55" i="27"/>
  <c r="AI9" i="27"/>
  <c r="K5" i="27"/>
  <c r="V29" i="27"/>
  <c r="AI5" i="27"/>
  <c r="V57" i="27"/>
  <c r="I37" i="27"/>
  <c r="V21" i="27"/>
  <c r="V47" i="27"/>
  <c r="V45" i="27"/>
  <c r="AI17" i="27"/>
  <c r="AI53" i="27"/>
  <c r="AI25" i="27"/>
  <c r="AI15" i="27"/>
  <c r="AI21" i="27"/>
  <c r="V33" i="27"/>
  <c r="I3" i="27"/>
  <c r="V63" i="27"/>
  <c r="AI7" i="27"/>
  <c r="AI31" i="27"/>
  <c r="V39" i="27"/>
  <c r="V25" i="27"/>
  <c r="V43" i="27"/>
  <c r="V61" i="27"/>
  <c r="AI33" i="27"/>
  <c r="AI11" i="27"/>
  <c r="V3" i="27"/>
  <c r="V7" i="27"/>
  <c r="V15" i="27"/>
  <c r="V9" i="27"/>
  <c r="AI49" i="27"/>
  <c r="AI23" i="27"/>
  <c r="AI27" i="27"/>
  <c r="AI45" i="27"/>
  <c r="V5" i="27"/>
  <c r="V35" i="27"/>
  <c r="V23" i="27"/>
  <c r="V49" i="27"/>
  <c r="V31" i="27"/>
  <c r="V11" i="27"/>
  <c r="AI41" i="27"/>
  <c r="AI43" i="27"/>
  <c r="AI13" i="27"/>
  <c r="V59" i="27"/>
  <c r="AI39" i="27"/>
  <c r="V51" i="27"/>
  <c r="V55" i="27"/>
  <c r="V13" i="27"/>
  <c r="AI19" i="27"/>
  <c r="AI57" i="27"/>
  <c r="AI61" i="27"/>
  <c r="AI59" i="27"/>
  <c r="AI29" i="27"/>
  <c r="AA3" i="20"/>
  <c r="AH4" i="20" s="1"/>
  <c r="AA4" i="20"/>
  <c r="AH6" i="20" s="1"/>
  <c r="AA5" i="20"/>
  <c r="AH8" i="20" s="1"/>
  <c r="AA6" i="20"/>
  <c r="AH10" i="20" s="1"/>
  <c r="AA7" i="20"/>
  <c r="AH12" i="20" s="1"/>
  <c r="AA8" i="20"/>
  <c r="AH14" i="20" s="1"/>
  <c r="AA9" i="20"/>
  <c r="AH16" i="20" s="1"/>
  <c r="AA10" i="20"/>
  <c r="AH18" i="20" s="1"/>
  <c r="AA11" i="20"/>
  <c r="AH20" i="20" s="1"/>
  <c r="AA12" i="20"/>
  <c r="AH22" i="20" s="1"/>
  <c r="AA13" i="20"/>
  <c r="AH24" i="20" s="1"/>
  <c r="AA14" i="20"/>
  <c r="AH26" i="20" s="1"/>
  <c r="AA15" i="20"/>
  <c r="AH28" i="20" s="1"/>
  <c r="AA16" i="20"/>
  <c r="AH30" i="20" s="1"/>
  <c r="AA17" i="20"/>
  <c r="AH32" i="20" s="1"/>
  <c r="AA18" i="20"/>
  <c r="AH34" i="20" s="1"/>
  <c r="AA19" i="20"/>
  <c r="AH36" i="20" s="1"/>
  <c r="AA20" i="20"/>
  <c r="AH38" i="20" s="1"/>
  <c r="AA21" i="20"/>
  <c r="AH40" i="20" s="1"/>
  <c r="AA22" i="20"/>
  <c r="AH42" i="20" s="1"/>
  <c r="AA23" i="20"/>
  <c r="AH44" i="20" s="1"/>
  <c r="AA24" i="20"/>
  <c r="AH46" i="20" s="1"/>
  <c r="AA25" i="20"/>
  <c r="AH48" i="20" s="1"/>
  <c r="AA26" i="20"/>
  <c r="AH50" i="20" s="1"/>
  <c r="AA27" i="20"/>
  <c r="AH52" i="20" s="1"/>
  <c r="AA28" i="20"/>
  <c r="AH54" i="20" s="1"/>
  <c r="AA29" i="20"/>
  <c r="AH56" i="20" s="1"/>
  <c r="AA30" i="20"/>
  <c r="AH58" i="20" s="1"/>
  <c r="AA31" i="20"/>
  <c r="AH60" i="20" s="1"/>
  <c r="AA32" i="20"/>
  <c r="AH62" i="20" s="1"/>
  <c r="AA2" i="20"/>
  <c r="AI59" i="20" l="1"/>
  <c r="AI11" i="20"/>
  <c r="AI57" i="20"/>
  <c r="AI41" i="20"/>
  <c r="AI25" i="20"/>
  <c r="AI9" i="20"/>
  <c r="AI43" i="20"/>
  <c r="AI23" i="20"/>
  <c r="AI53" i="20"/>
  <c r="AI37" i="20"/>
  <c r="AI21" i="20"/>
  <c r="AI5" i="20"/>
  <c r="AI7" i="20"/>
  <c r="AI51" i="20"/>
  <c r="AI35" i="20"/>
  <c r="AI19" i="20"/>
  <c r="AI39" i="20"/>
  <c r="AI49" i="20"/>
  <c r="AI33" i="20"/>
  <c r="AI17" i="20"/>
  <c r="AI55" i="20"/>
  <c r="AI63" i="20"/>
  <c r="AI47" i="20"/>
  <c r="AI31" i="20"/>
  <c r="AI15" i="20"/>
  <c r="AI27" i="20"/>
  <c r="AI61" i="20"/>
  <c r="AI45" i="20"/>
  <c r="AI29" i="20"/>
  <c r="AI13" i="20"/>
  <c r="X29" i="25"/>
  <c r="X25" i="25"/>
  <c r="C10" i="21" l="1"/>
  <c r="I18" i="21" s="1"/>
  <c r="H11" i="21" l="1"/>
  <c r="AH62" i="17"/>
  <c r="AH60" i="17"/>
  <c r="AH58" i="17"/>
  <c r="AH56" i="17"/>
  <c r="AH54" i="17"/>
  <c r="AH52" i="17"/>
  <c r="AH50" i="17"/>
  <c r="AH48" i="17"/>
  <c r="AH46" i="17"/>
  <c r="AH44" i="17"/>
  <c r="AH42" i="17"/>
  <c r="AH40" i="17"/>
  <c r="AH38" i="17"/>
  <c r="AH36" i="17"/>
  <c r="AH34" i="17"/>
  <c r="AH32" i="17"/>
  <c r="AH30" i="17"/>
  <c r="AH28" i="17"/>
  <c r="AH26" i="17"/>
  <c r="AH24" i="17"/>
  <c r="AH22" i="17"/>
  <c r="AH20" i="17"/>
  <c r="AH18" i="17"/>
  <c r="AH16" i="17"/>
  <c r="AH14" i="17"/>
  <c r="AH12" i="17"/>
  <c r="AH10" i="17"/>
  <c r="AH8" i="17"/>
  <c r="AH6" i="17"/>
  <c r="AH4" i="17"/>
  <c r="AH2" i="17"/>
  <c r="AU29" i="25" l="1"/>
  <c r="AV25" i="25"/>
  <c r="AU25" i="25"/>
  <c r="AC3" i="17"/>
  <c r="AI4" i="17" s="1"/>
  <c r="AC4" i="17"/>
  <c r="AI6" i="17" s="1"/>
  <c r="AC5" i="17"/>
  <c r="AI8" i="17" s="1"/>
  <c r="AC6" i="17"/>
  <c r="AI10" i="17" s="1"/>
  <c r="AC7" i="17"/>
  <c r="AI12" i="17" s="1"/>
  <c r="AC8" i="17"/>
  <c r="AI14" i="17" s="1"/>
  <c r="AC9" i="17"/>
  <c r="AI16" i="17" s="1"/>
  <c r="AC10" i="17"/>
  <c r="AI18" i="17" s="1"/>
  <c r="AC11" i="17"/>
  <c r="AI20" i="17" s="1"/>
  <c r="AC12" i="17"/>
  <c r="AI22" i="17" s="1"/>
  <c r="AC13" i="17"/>
  <c r="AI24" i="17" s="1"/>
  <c r="AC14" i="17"/>
  <c r="AI26" i="17" s="1"/>
  <c r="AC15" i="17"/>
  <c r="AI28" i="17" s="1"/>
  <c r="AC16" i="17"/>
  <c r="AI30" i="17" s="1"/>
  <c r="AC17" i="17"/>
  <c r="AI32" i="17" s="1"/>
  <c r="AC18" i="17"/>
  <c r="AI34" i="17" s="1"/>
  <c r="AC19" i="17"/>
  <c r="AI36" i="17" s="1"/>
  <c r="AC20" i="17"/>
  <c r="AI38" i="17" s="1"/>
  <c r="AC21" i="17"/>
  <c r="AI40" i="17" s="1"/>
  <c r="AC22" i="17"/>
  <c r="AI42" i="17" s="1"/>
  <c r="AC23" i="17"/>
  <c r="AI44" i="17" s="1"/>
  <c r="AC24" i="17"/>
  <c r="AI46" i="17" s="1"/>
  <c r="AC25" i="17"/>
  <c r="AI48" i="17" s="1"/>
  <c r="AC26" i="17"/>
  <c r="AI50" i="17" s="1"/>
  <c r="AC27" i="17"/>
  <c r="AI52" i="17" s="1"/>
  <c r="AC28" i="17"/>
  <c r="AI54" i="17" s="1"/>
  <c r="AC29" i="17"/>
  <c r="AI56" i="17" s="1"/>
  <c r="AC30" i="17"/>
  <c r="AI58" i="17" s="1"/>
  <c r="AC31" i="17"/>
  <c r="AI60" i="17" s="1"/>
  <c r="AC32" i="17"/>
  <c r="AI62" i="17" s="1"/>
  <c r="AC2" i="17"/>
  <c r="AI2" i="17" s="1"/>
  <c r="AH3" i="17"/>
  <c r="AH51" i="17"/>
  <c r="AH35" i="17"/>
  <c r="AH19" i="17"/>
  <c r="AH9" i="17"/>
  <c r="AH61" i="17"/>
  <c r="AH59" i="17"/>
  <c r="AH57" i="17"/>
  <c r="AH55" i="17"/>
  <c r="AH45" i="17"/>
  <c r="AH43" i="17"/>
  <c r="AH41" i="17"/>
  <c r="AH39" i="17"/>
  <c r="AH29" i="17"/>
  <c r="AH27" i="17"/>
  <c r="AH25" i="17"/>
  <c r="AH23" i="17"/>
  <c r="AH7" i="17"/>
  <c r="AN29" i="25"/>
  <c r="AG21" i="25"/>
  <c r="AJ21" i="25"/>
  <c r="AI21" i="25"/>
  <c r="AH21" i="25"/>
  <c r="B3" i="20"/>
  <c r="B2" i="20"/>
  <c r="AH15" i="17" l="1"/>
  <c r="AJ35" i="17"/>
  <c r="AJ57" i="17"/>
  <c r="AJ41" i="17"/>
  <c r="AJ25" i="17"/>
  <c r="AJ9" i="17"/>
  <c r="AH17" i="17"/>
  <c r="AH13" i="17"/>
  <c r="AH11" i="17"/>
  <c r="AJ55" i="17"/>
  <c r="AJ39" i="17"/>
  <c r="AJ23" i="17"/>
  <c r="AJ7" i="17"/>
  <c r="AJ53" i="17"/>
  <c r="AJ37" i="17"/>
  <c r="AJ21" i="17"/>
  <c r="AJ5" i="17"/>
  <c r="AJ19" i="17"/>
  <c r="AJ17" i="17"/>
  <c r="AH47" i="17"/>
  <c r="AH31" i="17"/>
  <c r="AH49" i="17"/>
  <c r="AJ33" i="17"/>
  <c r="AJ63" i="17"/>
  <c r="AJ47" i="17"/>
  <c r="AJ31" i="17"/>
  <c r="AJ15" i="17"/>
  <c r="AH33" i="17"/>
  <c r="AJ3" i="17"/>
  <c r="AJ49" i="17"/>
  <c r="AH5" i="17"/>
  <c r="AH21" i="17"/>
  <c r="AH37" i="17"/>
  <c r="AH53" i="17"/>
  <c r="AJ61" i="17"/>
  <c r="AJ45" i="17"/>
  <c r="AJ29" i="17"/>
  <c r="AJ13" i="17"/>
  <c r="AJ51" i="17"/>
  <c r="AH63" i="17"/>
  <c r="AJ59" i="17"/>
  <c r="AJ43" i="17"/>
  <c r="AJ27" i="17"/>
  <c r="AJ11" i="17"/>
  <c r="AM21" i="25" l="1"/>
  <c r="X33" i="24"/>
  <c r="N33" i="24"/>
  <c r="D33" i="23" l="1"/>
  <c r="AT25" i="25"/>
  <c r="AS25" i="25"/>
  <c r="AN33" i="25"/>
  <c r="AO25" i="25"/>
  <c r="AM29" i="25"/>
  <c r="AO42" i="25" l="1"/>
  <c r="AN42" i="25"/>
  <c r="AM42" i="25"/>
  <c r="AL42" i="25"/>
  <c r="AK42" i="25"/>
  <c r="AJ42" i="25"/>
  <c r="AI42" i="25"/>
  <c r="AH42" i="25"/>
  <c r="AG42" i="25"/>
  <c r="AF42" i="25"/>
  <c r="AE42" i="25"/>
  <c r="AD42" i="25"/>
  <c r="AC42" i="25"/>
  <c r="AB42" i="25"/>
  <c r="AA42" i="25"/>
  <c r="Z42" i="25"/>
  <c r="Y42" i="25"/>
  <c r="X42" i="25"/>
  <c r="W42" i="25"/>
  <c r="V42" i="25"/>
  <c r="U42" i="25"/>
  <c r="T42" i="25"/>
  <c r="S42" i="25"/>
  <c r="AO38" i="25"/>
  <c r="BL25" i="22" s="1"/>
  <c r="BR48" i="22" s="1"/>
  <c r="AN38" i="25"/>
  <c r="BL24" i="22" s="1"/>
  <c r="BR46" i="22" s="1"/>
  <c r="AM38" i="25"/>
  <c r="BL23" i="22" s="1"/>
  <c r="BR44" i="22" s="1"/>
  <c r="AL38" i="25"/>
  <c r="BL22" i="22" s="1"/>
  <c r="AK38" i="25"/>
  <c r="BL21" i="22" s="1"/>
  <c r="AJ38" i="25"/>
  <c r="BL20" i="22" s="1"/>
  <c r="BR38" i="22" s="1"/>
  <c r="AI38" i="25"/>
  <c r="BL19" i="22" s="1"/>
  <c r="BR36" i="22" s="1"/>
  <c r="AH38" i="25"/>
  <c r="BL18" i="22" s="1"/>
  <c r="BR34" i="22" s="1"/>
  <c r="AG38" i="25"/>
  <c r="BL17" i="22" s="1"/>
  <c r="BR32" i="22" s="1"/>
  <c r="AF38" i="25"/>
  <c r="BL16" i="22" s="1"/>
  <c r="BR30" i="22" s="1"/>
  <c r="AE38" i="25"/>
  <c r="BL15" i="22" s="1"/>
  <c r="AD38" i="25"/>
  <c r="BL14" i="22" s="1"/>
  <c r="AC38" i="25"/>
  <c r="BL13" i="22" s="1"/>
  <c r="BR24" i="22" s="1"/>
  <c r="AB38" i="25"/>
  <c r="BL12" i="22" s="1"/>
  <c r="AA38" i="25"/>
  <c r="BL11" i="22" s="1"/>
  <c r="Z38" i="25"/>
  <c r="BL10" i="22" s="1"/>
  <c r="Y38" i="25"/>
  <c r="BL9" i="22" s="1"/>
  <c r="X38" i="25"/>
  <c r="BL8" i="22" s="1"/>
  <c r="BR14" i="22" s="1"/>
  <c r="W38" i="25"/>
  <c r="BL7" i="22" s="1"/>
  <c r="V38" i="25"/>
  <c r="BL6" i="22" s="1"/>
  <c r="U38" i="25"/>
  <c r="BL5" i="22" s="1"/>
  <c r="BR8" i="22" s="1"/>
  <c r="T38" i="25"/>
  <c r="BL4" i="22" s="1"/>
  <c r="S38" i="25"/>
  <c r="BL3" i="22" s="1"/>
  <c r="BR4" i="22" s="1"/>
  <c r="BL2" i="22"/>
  <c r="B2" i="26"/>
  <c r="BS37" i="22" l="1"/>
  <c r="BS39" i="22"/>
  <c r="BS25" i="22"/>
  <c r="BS9" i="22"/>
  <c r="BS45" i="22"/>
  <c r="BS35" i="22"/>
  <c r="BS31" i="22"/>
  <c r="BS47" i="22"/>
  <c r="BS15" i="22"/>
  <c r="BS33" i="22"/>
  <c r="BS49" i="22"/>
  <c r="BR2" i="22"/>
  <c r="J4" i="20"/>
  <c r="J2" i="20"/>
  <c r="BS3" i="22" l="1"/>
  <c r="B8" i="20"/>
  <c r="J14" i="20" s="1"/>
  <c r="B9" i="20"/>
  <c r="J16" i="20" s="1"/>
  <c r="B10" i="20"/>
  <c r="B11" i="20"/>
  <c r="B12" i="20"/>
  <c r="B13" i="20"/>
  <c r="B14" i="20"/>
  <c r="B15" i="20"/>
  <c r="B16" i="20"/>
  <c r="B17" i="20"/>
  <c r="B18" i="20"/>
  <c r="B19" i="20"/>
  <c r="B20" i="20"/>
  <c r="B21" i="20"/>
  <c r="B22" i="20"/>
  <c r="B23" i="20"/>
  <c r="B24" i="20"/>
  <c r="B25" i="20"/>
  <c r="B26" i="20"/>
  <c r="B27" i="20"/>
  <c r="B28" i="20"/>
  <c r="B29" i="20"/>
  <c r="B30" i="20"/>
  <c r="B31" i="20"/>
  <c r="B32" i="20"/>
  <c r="AW3" i="23" l="1"/>
  <c r="BC4" i="23" s="1"/>
  <c r="AW4" i="23"/>
  <c r="BC6" i="23" s="1"/>
  <c r="AW5" i="23"/>
  <c r="BC8" i="23" s="1"/>
  <c r="AW6" i="23"/>
  <c r="BC10" i="23" s="1"/>
  <c r="AW7" i="23"/>
  <c r="BC12" i="23" s="1"/>
  <c r="AW8" i="23"/>
  <c r="BC14" i="23" s="1"/>
  <c r="AW9" i="23"/>
  <c r="BC16" i="23" s="1"/>
  <c r="AW10" i="23"/>
  <c r="BC18" i="23" s="1"/>
  <c r="AW11" i="23"/>
  <c r="BC20" i="23" s="1"/>
  <c r="AW12" i="23"/>
  <c r="BC22" i="23" s="1"/>
  <c r="AW13" i="23"/>
  <c r="BC24" i="23" s="1"/>
  <c r="AW14" i="23"/>
  <c r="BC26" i="23" s="1"/>
  <c r="AW15" i="23"/>
  <c r="BC28" i="23" s="1"/>
  <c r="AW16" i="23"/>
  <c r="BC30" i="23" s="1"/>
  <c r="AW17" i="23"/>
  <c r="BC32" i="23" s="1"/>
  <c r="AW18" i="23"/>
  <c r="BC34" i="23" s="1"/>
  <c r="AW19" i="23"/>
  <c r="BC36" i="23" s="1"/>
  <c r="AW20" i="23"/>
  <c r="BC38" i="23" s="1"/>
  <c r="AW21" i="23"/>
  <c r="BC40" i="23" s="1"/>
  <c r="AW22" i="23"/>
  <c r="BC42" i="23" s="1"/>
  <c r="AW23" i="23"/>
  <c r="BC44" i="23" s="1"/>
  <c r="AW24" i="23"/>
  <c r="BC46" i="23" s="1"/>
  <c r="AW25" i="23"/>
  <c r="BC48" i="23" s="1"/>
  <c r="AW30" i="23"/>
  <c r="BC58" i="23" s="1"/>
  <c r="AW31" i="23"/>
  <c r="BC60" i="23" s="1"/>
  <c r="AW2" i="23"/>
  <c r="AV3" i="23"/>
  <c r="AV4" i="23"/>
  <c r="AV5" i="23"/>
  <c r="AV6" i="23"/>
  <c r="AV7" i="23"/>
  <c r="AV8" i="23"/>
  <c r="AV9" i="23"/>
  <c r="AV10" i="23"/>
  <c r="AV11" i="23"/>
  <c r="AV12" i="23"/>
  <c r="AV13" i="23"/>
  <c r="AV14" i="23"/>
  <c r="AV15" i="23"/>
  <c r="AV16" i="23"/>
  <c r="AV17" i="23"/>
  <c r="AV18" i="23"/>
  <c r="AV19" i="23"/>
  <c r="AV20" i="23"/>
  <c r="AV21" i="23"/>
  <c r="AV22" i="23"/>
  <c r="AV23" i="23"/>
  <c r="AV24" i="23"/>
  <c r="AV25" i="23"/>
  <c r="AV26" i="23"/>
  <c r="AV27" i="23"/>
  <c r="AV28" i="23"/>
  <c r="AV29" i="23"/>
  <c r="AV30" i="23"/>
  <c r="AV31" i="23"/>
  <c r="AV32" i="23"/>
  <c r="AV2" i="23"/>
  <c r="AU3" i="23"/>
  <c r="AU4" i="23"/>
  <c r="AU5" i="23"/>
  <c r="AU6" i="23"/>
  <c r="AU7" i="23"/>
  <c r="AU8" i="23"/>
  <c r="AU9" i="23"/>
  <c r="AU10" i="23"/>
  <c r="AU11" i="23"/>
  <c r="AU12" i="23"/>
  <c r="AU13" i="23"/>
  <c r="AU14" i="23"/>
  <c r="AU15" i="23"/>
  <c r="AU16" i="23"/>
  <c r="AU17" i="23"/>
  <c r="AU18" i="23"/>
  <c r="AU19" i="23"/>
  <c r="AU20" i="23"/>
  <c r="AU21" i="23"/>
  <c r="AU22" i="23"/>
  <c r="AU23" i="23"/>
  <c r="AU24" i="23"/>
  <c r="AU25" i="23"/>
  <c r="AU26" i="23"/>
  <c r="AU27" i="23"/>
  <c r="AU28" i="23"/>
  <c r="AU29" i="23"/>
  <c r="AU30" i="23"/>
  <c r="AU31" i="23"/>
  <c r="AU32" i="23"/>
  <c r="AU2" i="23"/>
  <c r="AT3" i="23"/>
  <c r="AT4" i="23"/>
  <c r="AT5" i="23"/>
  <c r="AT6" i="23"/>
  <c r="AT7" i="23"/>
  <c r="AT8" i="23"/>
  <c r="AT9" i="23"/>
  <c r="AT10" i="23"/>
  <c r="AT11" i="23"/>
  <c r="AT12" i="23"/>
  <c r="AT13" i="23"/>
  <c r="AT14" i="23"/>
  <c r="AT15" i="23"/>
  <c r="AT16" i="23"/>
  <c r="AT17" i="23"/>
  <c r="AT18" i="23"/>
  <c r="AT19" i="23"/>
  <c r="AT20" i="23"/>
  <c r="AT21" i="23"/>
  <c r="AT22" i="23"/>
  <c r="AT23" i="23"/>
  <c r="AT24" i="23"/>
  <c r="AT25" i="23"/>
  <c r="AT26" i="23"/>
  <c r="AT27" i="23"/>
  <c r="AT28" i="23"/>
  <c r="AT29" i="23"/>
  <c r="AT30" i="23"/>
  <c r="AT31" i="23"/>
  <c r="AT32" i="23"/>
  <c r="AT2" i="23"/>
  <c r="AV42" i="25"/>
  <c r="AW32" i="23" s="1"/>
  <c r="BC62" i="23" s="1"/>
  <c r="AS42" i="25"/>
  <c r="AW29" i="23" s="1"/>
  <c r="BC56" i="23" s="1"/>
  <c r="AR42" i="25"/>
  <c r="AW28" i="23" s="1"/>
  <c r="BC54" i="23" s="1"/>
  <c r="AQ42" i="25"/>
  <c r="AW27" i="23" s="1"/>
  <c r="BC52" i="23" s="1"/>
  <c r="AP42" i="25"/>
  <c r="AW26" i="23" s="1"/>
  <c r="BC50" i="23" s="1"/>
  <c r="AG32" i="23"/>
  <c r="AF32" i="23"/>
  <c r="AE32" i="23"/>
  <c r="AH31" i="23"/>
  <c r="AN60" i="23" s="1"/>
  <c r="AO61" i="23" s="1"/>
  <c r="AG31" i="23"/>
  <c r="AF31" i="23"/>
  <c r="AE31" i="23"/>
  <c r="AH30" i="23"/>
  <c r="AN58" i="23" s="1"/>
  <c r="AO59" i="23" s="1"/>
  <c r="AG30" i="23"/>
  <c r="AF30" i="23"/>
  <c r="AE30" i="23"/>
  <c r="AG29" i="23"/>
  <c r="AF29" i="23"/>
  <c r="AE29" i="23"/>
  <c r="AG28" i="23"/>
  <c r="AF28" i="23"/>
  <c r="AE28" i="23"/>
  <c r="AG27" i="23"/>
  <c r="AF27" i="23"/>
  <c r="AE27" i="23"/>
  <c r="AG26" i="23"/>
  <c r="AF26" i="23"/>
  <c r="AE26" i="23"/>
  <c r="AH25" i="23"/>
  <c r="AN48" i="23" s="1"/>
  <c r="AO49" i="23" s="1"/>
  <c r="AG25" i="23"/>
  <c r="AF25" i="23"/>
  <c r="AE25" i="23"/>
  <c r="AH24" i="23"/>
  <c r="AN46" i="23" s="1"/>
  <c r="AO47" i="23" s="1"/>
  <c r="AG24" i="23"/>
  <c r="AF24" i="23"/>
  <c r="AE24" i="23"/>
  <c r="AH23" i="23"/>
  <c r="AN44" i="23" s="1"/>
  <c r="AO45" i="23" s="1"/>
  <c r="AG23" i="23"/>
  <c r="AF23" i="23"/>
  <c r="AE23" i="23"/>
  <c r="AH22" i="23"/>
  <c r="AN42" i="23" s="1"/>
  <c r="AO43" i="23" s="1"/>
  <c r="AG22" i="23"/>
  <c r="AF22" i="23"/>
  <c r="AE22" i="23"/>
  <c r="AH21" i="23"/>
  <c r="AN40" i="23" s="1"/>
  <c r="AO41" i="23" s="1"/>
  <c r="AG21" i="23"/>
  <c r="AF21" i="23"/>
  <c r="AE21" i="23"/>
  <c r="AH20" i="23"/>
  <c r="AN38" i="23" s="1"/>
  <c r="AO39" i="23" s="1"/>
  <c r="AG20" i="23"/>
  <c r="AF20" i="23"/>
  <c r="AE20" i="23"/>
  <c r="AH19" i="23"/>
  <c r="AN36" i="23" s="1"/>
  <c r="AO37" i="23" s="1"/>
  <c r="AG19" i="23"/>
  <c r="AF19" i="23"/>
  <c r="AE19" i="23"/>
  <c r="AH18" i="23"/>
  <c r="AN34" i="23" s="1"/>
  <c r="AO35" i="23" s="1"/>
  <c r="AG18" i="23"/>
  <c r="AF18" i="23"/>
  <c r="AE18" i="23"/>
  <c r="AH17" i="23"/>
  <c r="AN32" i="23" s="1"/>
  <c r="AO33" i="23" s="1"/>
  <c r="AG17" i="23"/>
  <c r="AF17" i="23"/>
  <c r="AE17" i="23"/>
  <c r="AH16" i="23"/>
  <c r="AN30" i="23" s="1"/>
  <c r="AO31" i="23" s="1"/>
  <c r="AG16" i="23"/>
  <c r="AF16" i="23"/>
  <c r="AE16" i="23"/>
  <c r="AH15" i="23"/>
  <c r="AN28" i="23" s="1"/>
  <c r="AO29" i="23" s="1"/>
  <c r="AG15" i="23"/>
  <c r="AF15" i="23"/>
  <c r="AE15" i="23"/>
  <c r="AH14" i="23"/>
  <c r="AN26" i="23" s="1"/>
  <c r="AO27" i="23" s="1"/>
  <c r="AG14" i="23"/>
  <c r="AF14" i="23"/>
  <c r="AE14" i="23"/>
  <c r="AH13" i="23"/>
  <c r="AN24" i="23" s="1"/>
  <c r="AO25" i="23" s="1"/>
  <c r="AG13" i="23"/>
  <c r="AF13" i="23"/>
  <c r="AE13" i="23"/>
  <c r="AH12" i="23"/>
  <c r="AN22" i="23" s="1"/>
  <c r="AO23" i="23" s="1"/>
  <c r="AG12" i="23"/>
  <c r="AF12" i="23"/>
  <c r="AE12" i="23"/>
  <c r="AH11" i="23"/>
  <c r="AN20" i="23" s="1"/>
  <c r="AO21" i="23" s="1"/>
  <c r="AG11" i="23"/>
  <c r="AF11" i="23"/>
  <c r="AE11" i="23"/>
  <c r="AH10" i="23"/>
  <c r="AN18" i="23" s="1"/>
  <c r="AO19" i="23" s="1"/>
  <c r="AG10" i="23"/>
  <c r="AF10" i="23"/>
  <c r="AE10" i="23"/>
  <c r="AH9" i="23"/>
  <c r="AN16" i="23" s="1"/>
  <c r="AO17" i="23" s="1"/>
  <c r="AG9" i="23"/>
  <c r="AF9" i="23"/>
  <c r="AE9" i="23"/>
  <c r="AH8" i="23"/>
  <c r="AN14" i="23" s="1"/>
  <c r="AO15" i="23" s="1"/>
  <c r="AG8" i="23"/>
  <c r="AF8" i="23"/>
  <c r="AE8" i="23"/>
  <c r="AH7" i="23"/>
  <c r="AN12" i="23" s="1"/>
  <c r="AO13" i="23" s="1"/>
  <c r="AG7" i="23"/>
  <c r="AF7" i="23"/>
  <c r="AE7" i="23"/>
  <c r="AH6" i="23"/>
  <c r="AN10" i="23" s="1"/>
  <c r="AO11" i="23" s="1"/>
  <c r="AG6" i="23"/>
  <c r="AF6" i="23"/>
  <c r="AE6" i="23"/>
  <c r="AH5" i="23"/>
  <c r="AN8" i="23" s="1"/>
  <c r="AO9" i="23" s="1"/>
  <c r="AG5" i="23"/>
  <c r="AF5" i="23"/>
  <c r="AE5" i="23"/>
  <c r="AH4" i="23"/>
  <c r="AN6" i="23" s="1"/>
  <c r="AO7" i="23" s="1"/>
  <c r="AG4" i="23"/>
  <c r="AF4" i="23"/>
  <c r="AE4" i="23"/>
  <c r="AH3" i="23"/>
  <c r="AN4" i="23" s="1"/>
  <c r="AO5" i="23" s="1"/>
  <c r="AG3" i="23"/>
  <c r="AF3" i="23"/>
  <c r="AE3" i="23"/>
  <c r="AH2" i="23"/>
  <c r="AN2" i="23" s="1"/>
  <c r="AO3" i="23" s="1"/>
  <c r="AG2" i="23"/>
  <c r="AF2" i="23"/>
  <c r="AE2" i="23"/>
  <c r="S3" i="23"/>
  <c r="Y4" i="23" s="1"/>
  <c r="S4" i="23"/>
  <c r="Y6" i="23" s="1"/>
  <c r="S5" i="23"/>
  <c r="Y8" i="23" s="1"/>
  <c r="S6" i="23"/>
  <c r="Y10" i="23" s="1"/>
  <c r="S7" i="23"/>
  <c r="Y12" i="23" s="1"/>
  <c r="S8" i="23"/>
  <c r="Y14" i="23" s="1"/>
  <c r="S9" i="23"/>
  <c r="Y16" i="23" s="1"/>
  <c r="S10" i="23"/>
  <c r="Y18" i="23" s="1"/>
  <c r="S11" i="23"/>
  <c r="Y20" i="23" s="1"/>
  <c r="S12" i="23"/>
  <c r="Y22" i="23" s="1"/>
  <c r="S13" i="23"/>
  <c r="Y24" i="23" s="1"/>
  <c r="S14" i="23"/>
  <c r="Y26" i="23" s="1"/>
  <c r="S15" i="23"/>
  <c r="Y28" i="23" s="1"/>
  <c r="S16" i="23"/>
  <c r="Y30" i="23" s="1"/>
  <c r="S17" i="23"/>
  <c r="Y32" i="23" s="1"/>
  <c r="S18" i="23"/>
  <c r="Y34" i="23" s="1"/>
  <c r="S19" i="23"/>
  <c r="Y36" i="23" s="1"/>
  <c r="S20" i="23"/>
  <c r="Y38" i="23" s="1"/>
  <c r="S21" i="23"/>
  <c r="Y40" i="23" s="1"/>
  <c r="S22" i="23"/>
  <c r="Y42" i="23" s="1"/>
  <c r="S23" i="23"/>
  <c r="Y44" i="23" s="1"/>
  <c r="S24" i="23"/>
  <c r="Y46" i="23" s="1"/>
  <c r="S25" i="23"/>
  <c r="Y48" i="23" s="1"/>
  <c r="S30" i="23"/>
  <c r="Y58" i="23" s="1"/>
  <c r="S31" i="23"/>
  <c r="Y60" i="23" s="1"/>
  <c r="S2" i="23"/>
  <c r="Y2" i="23" s="1"/>
  <c r="R3" i="23"/>
  <c r="R4" i="23"/>
  <c r="R5" i="23"/>
  <c r="R6" i="23"/>
  <c r="R7" i="23"/>
  <c r="R8" i="23"/>
  <c r="R9" i="23"/>
  <c r="R10" i="23"/>
  <c r="R11" i="23"/>
  <c r="R12" i="23"/>
  <c r="R13" i="23"/>
  <c r="R14" i="23"/>
  <c r="R15" i="23"/>
  <c r="R16" i="23"/>
  <c r="R17" i="23"/>
  <c r="R18" i="23"/>
  <c r="R19" i="23"/>
  <c r="R20" i="23"/>
  <c r="R21" i="23"/>
  <c r="R22" i="23"/>
  <c r="R23" i="23"/>
  <c r="R24" i="23"/>
  <c r="R25" i="23"/>
  <c r="R26" i="23"/>
  <c r="R27" i="23"/>
  <c r="R28" i="23"/>
  <c r="R29" i="23"/>
  <c r="R30" i="23"/>
  <c r="R31" i="23"/>
  <c r="R32" i="23"/>
  <c r="R2" i="23"/>
  <c r="Q3" i="23"/>
  <c r="Q4" i="23"/>
  <c r="Q5" i="23"/>
  <c r="Q6" i="23"/>
  <c r="Q7" i="23"/>
  <c r="Q8" i="23"/>
  <c r="Q9" i="23"/>
  <c r="Q10" i="23"/>
  <c r="Q11" i="23"/>
  <c r="Q12" i="23"/>
  <c r="Q13" i="23"/>
  <c r="Q14" i="23"/>
  <c r="Q15" i="23"/>
  <c r="Q16" i="23"/>
  <c r="Q17" i="23"/>
  <c r="Q18" i="23"/>
  <c r="Q19" i="23"/>
  <c r="Q20" i="23"/>
  <c r="Q21" i="23"/>
  <c r="Q22" i="23"/>
  <c r="Q23" i="23"/>
  <c r="Q24" i="23"/>
  <c r="Q25" i="23"/>
  <c r="Q26" i="23"/>
  <c r="Q27" i="23"/>
  <c r="Q28" i="23"/>
  <c r="Q29" i="23"/>
  <c r="Q30" i="23"/>
  <c r="Q31" i="23"/>
  <c r="Q32" i="23"/>
  <c r="Q2" i="23"/>
  <c r="P3" i="23"/>
  <c r="P4" i="23"/>
  <c r="P5" i="23"/>
  <c r="P6" i="23"/>
  <c r="P7" i="23"/>
  <c r="P8" i="23"/>
  <c r="P9" i="23"/>
  <c r="P10" i="23"/>
  <c r="P11" i="23"/>
  <c r="P12" i="23"/>
  <c r="P13" i="23"/>
  <c r="P14" i="23"/>
  <c r="P15" i="23"/>
  <c r="P16" i="23"/>
  <c r="P17" i="23"/>
  <c r="P18" i="23"/>
  <c r="P19" i="23"/>
  <c r="P20" i="23"/>
  <c r="P21" i="23"/>
  <c r="P22" i="23"/>
  <c r="P23" i="23"/>
  <c r="P24" i="23"/>
  <c r="P25" i="23"/>
  <c r="P26" i="23"/>
  <c r="P27" i="23"/>
  <c r="P28" i="23"/>
  <c r="P29" i="23"/>
  <c r="P30" i="23"/>
  <c r="P31" i="23"/>
  <c r="P32" i="23"/>
  <c r="P2" i="23"/>
  <c r="AV38" i="25"/>
  <c r="AQ38" i="25"/>
  <c r="AR38" i="25"/>
  <c r="AS38" i="25"/>
  <c r="AP38" i="25"/>
  <c r="S26" i="23" l="1"/>
  <c r="Y50" i="23" s="1"/>
  <c r="BL26" i="22"/>
  <c r="AH29" i="23"/>
  <c r="AN56" i="23" s="1"/>
  <c r="AO57" i="23" s="1"/>
  <c r="BL29" i="22"/>
  <c r="BR56" i="22" s="1"/>
  <c r="S32" i="23"/>
  <c r="Y62" i="23" s="1"/>
  <c r="BL32" i="22"/>
  <c r="BR62" i="22" s="1"/>
  <c r="AH27" i="23"/>
  <c r="AN52" i="23" s="1"/>
  <c r="AO53" i="23" s="1"/>
  <c r="BL27" i="22"/>
  <c r="BR52" i="22" s="1"/>
  <c r="S28" i="23"/>
  <c r="Y54" i="23" s="1"/>
  <c r="Z55" i="23" s="1"/>
  <c r="BL28" i="22"/>
  <c r="BR54" i="22" s="1"/>
  <c r="Z27" i="23"/>
  <c r="Z41" i="23"/>
  <c r="Z25" i="23"/>
  <c r="Z9" i="23"/>
  <c r="BD47" i="23"/>
  <c r="BD31" i="23"/>
  <c r="BD15" i="23"/>
  <c r="Z39" i="23"/>
  <c r="Z23" i="23"/>
  <c r="Z7" i="23"/>
  <c r="BD13" i="23"/>
  <c r="Z61" i="23"/>
  <c r="Z37" i="23"/>
  <c r="Z21" i="23"/>
  <c r="Z5" i="23"/>
  <c r="BD51" i="23"/>
  <c r="BD43" i="23"/>
  <c r="BD27" i="23"/>
  <c r="BD11" i="23"/>
  <c r="Z59" i="23"/>
  <c r="Z35" i="23"/>
  <c r="Z19" i="23"/>
  <c r="BD53" i="23"/>
  <c r="Z49" i="23"/>
  <c r="Z33" i="23"/>
  <c r="Z17" i="23"/>
  <c r="BD55" i="23"/>
  <c r="BD39" i="23"/>
  <c r="BD23" i="23"/>
  <c r="BD7" i="23"/>
  <c r="Z31" i="23"/>
  <c r="BD57" i="23"/>
  <c r="BD37" i="23"/>
  <c r="BD21" i="23"/>
  <c r="BD5" i="23"/>
  <c r="Z45" i="23"/>
  <c r="Z29" i="23"/>
  <c r="Z13" i="23"/>
  <c r="BD63" i="23"/>
  <c r="BD59" i="23"/>
  <c r="BD35" i="23"/>
  <c r="BD19" i="23"/>
  <c r="X36" i="23"/>
  <c r="X20" i="23"/>
  <c r="X4" i="23"/>
  <c r="BB58" i="23"/>
  <c r="BB42" i="23"/>
  <c r="BB26" i="23"/>
  <c r="X40" i="23"/>
  <c r="X41" i="23" s="1"/>
  <c r="X24" i="23"/>
  <c r="X8" i="23"/>
  <c r="BB10" i="23"/>
  <c r="AM2" i="23"/>
  <c r="AM3" i="23" s="1"/>
  <c r="X2" i="23"/>
  <c r="X48" i="23"/>
  <c r="X32" i="23"/>
  <c r="X16" i="23"/>
  <c r="X17" i="23" s="1"/>
  <c r="X38" i="23"/>
  <c r="X22" i="23"/>
  <c r="X6" i="23"/>
  <c r="BB60" i="23"/>
  <c r="BB44" i="23"/>
  <c r="BB45" i="23" s="1"/>
  <c r="BB28" i="23"/>
  <c r="BB12" i="23"/>
  <c r="X34" i="23"/>
  <c r="X18" i="23"/>
  <c r="BB56" i="23"/>
  <c r="BB40" i="23"/>
  <c r="BB24" i="23"/>
  <c r="BB8" i="23"/>
  <c r="BB54" i="23"/>
  <c r="BB38" i="23"/>
  <c r="BB22" i="23"/>
  <c r="BB6" i="23"/>
  <c r="X62" i="23"/>
  <c r="X46" i="23"/>
  <c r="X30" i="23"/>
  <c r="X14" i="23"/>
  <c r="BB52" i="23"/>
  <c r="BB36" i="23"/>
  <c r="BB20" i="23"/>
  <c r="BB4" i="23"/>
  <c r="X60" i="23"/>
  <c r="X44" i="23"/>
  <c r="X28" i="23"/>
  <c r="X12" i="23"/>
  <c r="BB50" i="23"/>
  <c r="BB34" i="23"/>
  <c r="BB18" i="23"/>
  <c r="X58" i="23"/>
  <c r="X42" i="23"/>
  <c r="X26" i="23"/>
  <c r="X10" i="23"/>
  <c r="BB2" i="23"/>
  <c r="BB48" i="23"/>
  <c r="BB32" i="23"/>
  <c r="BB16" i="23"/>
  <c r="BB62" i="23"/>
  <c r="BB46" i="23"/>
  <c r="BB30" i="23"/>
  <c r="BB14" i="23"/>
  <c r="AH28" i="23"/>
  <c r="AN54" i="23" s="1"/>
  <c r="AO55" i="23" s="1"/>
  <c r="AH26" i="23"/>
  <c r="AN50" i="23" s="1"/>
  <c r="AO51" i="23" s="1"/>
  <c r="AM10" i="23"/>
  <c r="AM11" i="23" s="1"/>
  <c r="AM18" i="23"/>
  <c r="AM19" i="23" s="1"/>
  <c r="AM26" i="23"/>
  <c r="AM27" i="23" s="1"/>
  <c r="AM34" i="23"/>
  <c r="AM35" i="23" s="1"/>
  <c r="AM42" i="23"/>
  <c r="AM43" i="23" s="1"/>
  <c r="AM46" i="23"/>
  <c r="AM47" i="23" s="1"/>
  <c r="AM54" i="23"/>
  <c r="AM55" i="23" s="1"/>
  <c r="AM58" i="23"/>
  <c r="AM59" i="23" s="1"/>
  <c r="AH32" i="23"/>
  <c r="AN62" i="23" s="1"/>
  <c r="AO63" i="23" s="1"/>
  <c r="S29" i="23"/>
  <c r="Y56" i="23" s="1"/>
  <c r="AM6" i="23"/>
  <c r="AM7" i="23" s="1"/>
  <c r="AM14" i="23"/>
  <c r="AM15" i="23" s="1"/>
  <c r="AM22" i="23"/>
  <c r="AM23" i="23" s="1"/>
  <c r="AM30" i="23"/>
  <c r="AM31" i="23" s="1"/>
  <c r="AM38" i="23"/>
  <c r="AM39" i="23" s="1"/>
  <c r="AM50" i="23"/>
  <c r="AM51" i="23" s="1"/>
  <c r="AM62" i="23"/>
  <c r="AM63" i="23" s="1"/>
  <c r="S27" i="23"/>
  <c r="Y52" i="23" s="1"/>
  <c r="BD49" i="23"/>
  <c r="BD33" i="23"/>
  <c r="BD17" i="23"/>
  <c r="X56" i="23"/>
  <c r="AM52" i="23"/>
  <c r="AM53" i="23" s="1"/>
  <c r="BD61" i="23"/>
  <c r="BD45" i="23"/>
  <c r="BD29" i="23"/>
  <c r="BD41" i="23"/>
  <c r="BD25" i="23"/>
  <c r="BD9" i="23"/>
  <c r="AM4" i="23"/>
  <c r="AM5" i="23" s="1"/>
  <c r="AM8" i="23"/>
  <c r="AM9" i="23" s="1"/>
  <c r="AM12" i="23"/>
  <c r="AM13" i="23" s="1"/>
  <c r="AM16" i="23"/>
  <c r="AM17" i="23" s="1"/>
  <c r="AM20" i="23"/>
  <c r="AM21" i="23" s="1"/>
  <c r="AM24" i="23"/>
  <c r="AM25" i="23" s="1"/>
  <c r="AM28" i="23"/>
  <c r="AM29" i="23" s="1"/>
  <c r="AM32" i="23"/>
  <c r="AM33" i="23" s="1"/>
  <c r="AM36" i="23"/>
  <c r="AM37" i="23" s="1"/>
  <c r="AM40" i="23"/>
  <c r="AM41" i="23" s="1"/>
  <c r="AM44" i="23"/>
  <c r="AM45" i="23" s="1"/>
  <c r="AM48" i="23"/>
  <c r="AM49" i="23" s="1"/>
  <c r="AM56" i="23"/>
  <c r="AM57" i="23" s="1"/>
  <c r="AM60" i="23"/>
  <c r="AM61" i="23" s="1"/>
  <c r="AE33" i="23"/>
  <c r="Z15" i="23"/>
  <c r="Z63" i="23"/>
  <c r="Z47" i="23"/>
  <c r="Z43" i="23"/>
  <c r="Z11" i="23"/>
  <c r="AW33" i="23"/>
  <c r="BC2" i="23"/>
  <c r="AT33" i="23"/>
  <c r="X54" i="23"/>
  <c r="X50" i="23"/>
  <c r="X52" i="23"/>
  <c r="Z3" i="23"/>
  <c r="P33" i="23"/>
  <c r="BS63" i="22" l="1"/>
  <c r="BS57" i="22"/>
  <c r="BS53" i="22"/>
  <c r="BS55" i="22"/>
  <c r="BR50" i="22"/>
  <c r="BL33" i="22"/>
  <c r="X3" i="23"/>
  <c r="BB9" i="23"/>
  <c r="BB59" i="23"/>
  <c r="BB15" i="23"/>
  <c r="BB61" i="23"/>
  <c r="BB31" i="23"/>
  <c r="Z57" i="23"/>
  <c r="BB47" i="23"/>
  <c r="BB57" i="23"/>
  <c r="X55" i="23"/>
  <c r="BB5" i="23"/>
  <c r="BB7" i="23"/>
  <c r="X57" i="23"/>
  <c r="BB19" i="23"/>
  <c r="BB23" i="23"/>
  <c r="BB33" i="23"/>
  <c r="BB39" i="23"/>
  <c r="BB13" i="23"/>
  <c r="BB53" i="23"/>
  <c r="BB29" i="23"/>
  <c r="X49" i="23"/>
  <c r="AH33" i="23"/>
  <c r="S33" i="23"/>
  <c r="X25" i="23"/>
  <c r="BB27" i="23"/>
  <c r="BB25" i="23"/>
  <c r="BB49" i="23"/>
  <c r="BB63" i="23"/>
  <c r="X35" i="23"/>
  <c r="X7" i="23"/>
  <c r="BB51" i="23"/>
  <c r="X51" i="23"/>
  <c r="BB3" i="23"/>
  <c r="BB43" i="23"/>
  <c r="BB41" i="23"/>
  <c r="X43" i="23"/>
  <c r="X13" i="23"/>
  <c r="X33" i="23"/>
  <c r="BB17" i="23"/>
  <c r="BB21" i="23"/>
  <c r="BB35" i="23"/>
  <c r="BD3" i="23"/>
  <c r="BB11" i="23"/>
  <c r="BB55" i="23"/>
  <c r="BB37" i="23"/>
  <c r="X21" i="23"/>
  <c r="X37" i="23"/>
  <c r="X31" i="23"/>
  <c r="X45" i="23"/>
  <c r="X19" i="23"/>
  <c r="X15" i="23"/>
  <c r="X61" i="23"/>
  <c r="X63" i="23"/>
  <c r="Z53" i="23"/>
  <c r="Z51" i="23"/>
  <c r="X27" i="23"/>
  <c r="X23" i="23"/>
  <c r="X59" i="23"/>
  <c r="X11" i="23"/>
  <c r="X39" i="23"/>
  <c r="X9" i="23"/>
  <c r="X53" i="23"/>
  <c r="X47" i="23"/>
  <c r="X5" i="23"/>
  <c r="X29" i="23"/>
  <c r="BS51" i="22" l="1"/>
  <c r="M3" i="24"/>
  <c r="M4" i="24"/>
  <c r="S6" i="24" s="1"/>
  <c r="M5" i="24"/>
  <c r="S8" i="24" s="1"/>
  <c r="M6" i="24"/>
  <c r="S10" i="24" s="1"/>
  <c r="M7" i="24"/>
  <c r="S12" i="24" s="1"/>
  <c r="M8" i="24"/>
  <c r="S14" i="24" s="1"/>
  <c r="M9" i="24"/>
  <c r="M10" i="24"/>
  <c r="M11" i="24"/>
  <c r="S20" i="24" s="1"/>
  <c r="M12" i="24"/>
  <c r="S22" i="24" s="1"/>
  <c r="M13" i="24"/>
  <c r="S24" i="24" s="1"/>
  <c r="M14" i="24"/>
  <c r="S26" i="24" s="1"/>
  <c r="M15" i="24"/>
  <c r="S28" i="24" s="1"/>
  <c r="M16" i="24"/>
  <c r="S30" i="24" s="1"/>
  <c r="M17" i="24"/>
  <c r="S32" i="24" s="1"/>
  <c r="M18" i="24"/>
  <c r="S34" i="24" s="1"/>
  <c r="M19" i="24"/>
  <c r="M20" i="24"/>
  <c r="M21" i="24"/>
  <c r="S40" i="24" s="1"/>
  <c r="M22" i="24"/>
  <c r="S42" i="24" s="1"/>
  <c r="M23" i="24"/>
  <c r="S44" i="24" s="1"/>
  <c r="M24" i="24"/>
  <c r="S46" i="24" s="1"/>
  <c r="M25" i="24"/>
  <c r="S48" i="24" s="1"/>
  <c r="M26" i="24"/>
  <c r="S50" i="24" s="1"/>
  <c r="M27" i="24"/>
  <c r="S52" i="24" s="1"/>
  <c r="M28" i="24"/>
  <c r="S54" i="24" s="1"/>
  <c r="M29" i="24"/>
  <c r="S56" i="24" s="1"/>
  <c r="M30" i="24"/>
  <c r="S58" i="24" s="1"/>
  <c r="M31" i="24"/>
  <c r="S60" i="24" s="1"/>
  <c r="M32" i="24"/>
  <c r="S62" i="24" s="1"/>
  <c r="M2" i="24"/>
  <c r="S2" i="24" s="1"/>
  <c r="M33" i="24" l="1"/>
  <c r="W23" i="24"/>
  <c r="W24" i="24"/>
  <c r="W25" i="24"/>
  <c r="AD48" i="24" s="1"/>
  <c r="W26" i="24"/>
  <c r="AD50" i="24" s="1"/>
  <c r="W27" i="24"/>
  <c r="AD52" i="24" s="1"/>
  <c r="W28" i="24"/>
  <c r="AD54" i="24" s="1"/>
  <c r="W29" i="24"/>
  <c r="W30" i="24"/>
  <c r="W31" i="24"/>
  <c r="AD62" i="24"/>
  <c r="AV29" i="25" l="1"/>
  <c r="AR29" i="25"/>
  <c r="AQ29" i="25"/>
  <c r="AO29" i="25"/>
  <c r="AR25" i="25"/>
  <c r="AP25" i="25"/>
  <c r="AP29" i="25"/>
  <c r="AQ25" i="25"/>
  <c r="D3" i="23"/>
  <c r="D4" i="23"/>
  <c r="D5" i="23"/>
  <c r="D6" i="23"/>
  <c r="D7" i="23"/>
  <c r="D8" i="23"/>
  <c r="D9" i="23"/>
  <c r="D10" i="23"/>
  <c r="D11" i="23"/>
  <c r="D12" i="23"/>
  <c r="D13" i="23"/>
  <c r="D14" i="23"/>
  <c r="D15" i="23"/>
  <c r="D16" i="23"/>
  <c r="D17" i="23"/>
  <c r="D18" i="23"/>
  <c r="D19" i="23"/>
  <c r="D20" i="23"/>
  <c r="D21" i="23"/>
  <c r="D22" i="23"/>
  <c r="D23" i="23"/>
  <c r="D24" i="23"/>
  <c r="D25" i="23"/>
  <c r="D26" i="23"/>
  <c r="D27" i="23"/>
  <c r="D28" i="23"/>
  <c r="D29" i="23"/>
  <c r="D30" i="23"/>
  <c r="D31" i="23"/>
  <c r="D32" i="23"/>
  <c r="D2" i="23"/>
  <c r="I62" i="23"/>
  <c r="I60" i="23"/>
  <c r="I58" i="23"/>
  <c r="I56" i="23"/>
  <c r="I54" i="23"/>
  <c r="I52" i="23"/>
  <c r="I50" i="23"/>
  <c r="I48" i="23"/>
  <c r="I46" i="23"/>
  <c r="I44" i="23"/>
  <c r="I42" i="23"/>
  <c r="I40" i="23"/>
  <c r="I38" i="23"/>
  <c r="I36" i="23"/>
  <c r="I34" i="23"/>
  <c r="I32" i="23"/>
  <c r="I30" i="23"/>
  <c r="I28" i="23"/>
  <c r="I26" i="23"/>
  <c r="I24" i="23"/>
  <c r="I22" i="23"/>
  <c r="I20" i="23"/>
  <c r="I18" i="23"/>
  <c r="I16" i="23"/>
  <c r="I14" i="23"/>
  <c r="I12" i="23"/>
  <c r="I10" i="23"/>
  <c r="I8" i="23"/>
  <c r="I6" i="23"/>
  <c r="I4" i="23"/>
  <c r="B33" i="23"/>
  <c r="W3" i="24" l="1"/>
  <c r="AD4" i="24" s="1"/>
  <c r="W4" i="24"/>
  <c r="W5" i="24"/>
  <c r="AD8" i="24" s="1"/>
  <c r="W6" i="24"/>
  <c r="AD10" i="24" s="1"/>
  <c r="W7" i="24"/>
  <c r="AD12" i="24" s="1"/>
  <c r="W8" i="24"/>
  <c r="W9" i="24"/>
  <c r="W10" i="24"/>
  <c r="W11" i="24"/>
  <c r="W12" i="24"/>
  <c r="AD22" i="24" s="1"/>
  <c r="W13" i="24"/>
  <c r="AD24" i="24" s="1"/>
  <c r="W14" i="24"/>
  <c r="AD26" i="24" s="1"/>
  <c r="W15" i="24"/>
  <c r="AD28" i="24" s="1"/>
  <c r="W16" i="24"/>
  <c r="AD30" i="24" s="1"/>
  <c r="W17" i="24"/>
  <c r="W18" i="24"/>
  <c r="W19" i="24"/>
  <c r="W20" i="24"/>
  <c r="AD38" i="24" s="1"/>
  <c r="W21" i="24"/>
  <c r="AD40" i="24" s="1"/>
  <c r="W22" i="24"/>
  <c r="AW35" i="22"/>
  <c r="AW3" i="22"/>
  <c r="BC4" i="22" s="1"/>
  <c r="AW4" i="22"/>
  <c r="BC6" i="22" s="1"/>
  <c r="AW5" i="22"/>
  <c r="BC8" i="22" s="1"/>
  <c r="AW6" i="22"/>
  <c r="BC10" i="22" s="1"/>
  <c r="AW7" i="22"/>
  <c r="BC12" i="22" s="1"/>
  <c r="AW8" i="22"/>
  <c r="BC14" i="22" s="1"/>
  <c r="AW9" i="22"/>
  <c r="BC16" i="22" s="1"/>
  <c r="AW10" i="22"/>
  <c r="BC18" i="22" s="1"/>
  <c r="AW11" i="22"/>
  <c r="BC20" i="22" s="1"/>
  <c r="AW12" i="22"/>
  <c r="BC22" i="22" s="1"/>
  <c r="AW13" i="22"/>
  <c r="BC24" i="22" s="1"/>
  <c r="AW14" i="22"/>
  <c r="BC26" i="22" s="1"/>
  <c r="AW16" i="22"/>
  <c r="BC30" i="22" s="1"/>
  <c r="AW17" i="22"/>
  <c r="BC32" i="22" s="1"/>
  <c r="AW19" i="22"/>
  <c r="BC36" i="22" s="1"/>
  <c r="AW21" i="22"/>
  <c r="BC40" i="22" s="1"/>
  <c r="AW22" i="22"/>
  <c r="BC42" i="22" s="1"/>
  <c r="AW23" i="22"/>
  <c r="BC44" i="22" s="1"/>
  <c r="AW24" i="22"/>
  <c r="BC46" i="22" s="1"/>
  <c r="AW25" i="22"/>
  <c r="BC48" i="22" s="1"/>
  <c r="AW26" i="22"/>
  <c r="BC50" i="22" s="1"/>
  <c r="AW27" i="22"/>
  <c r="BC52" i="22" s="1"/>
  <c r="AW28" i="22"/>
  <c r="BC54" i="22" s="1"/>
  <c r="AW29" i="22"/>
  <c r="BC56" i="22" s="1"/>
  <c r="AW30" i="22"/>
  <c r="BC58" i="22" s="1"/>
  <c r="AW31" i="22"/>
  <c r="BC60" i="22" s="1"/>
  <c r="AW32" i="22"/>
  <c r="BC62" i="22" s="1"/>
  <c r="AW2" i="22"/>
  <c r="BC2" i="22" s="1"/>
  <c r="AV3" i="22"/>
  <c r="AV4" i="22"/>
  <c r="AV5" i="22"/>
  <c r="AV6" i="22"/>
  <c r="AV7" i="22"/>
  <c r="AV8" i="22"/>
  <c r="AV9" i="22"/>
  <c r="AV10" i="22"/>
  <c r="AV11" i="22"/>
  <c r="AV12" i="22"/>
  <c r="AV13" i="22"/>
  <c r="AV14" i="22"/>
  <c r="AV15" i="22"/>
  <c r="AV16" i="22"/>
  <c r="AV17" i="22"/>
  <c r="AV18" i="22"/>
  <c r="AV19" i="22"/>
  <c r="AV20" i="22"/>
  <c r="AV21" i="22"/>
  <c r="AV22" i="22"/>
  <c r="AV23" i="22"/>
  <c r="AV24" i="22"/>
  <c r="AV25" i="22"/>
  <c r="AV26" i="22"/>
  <c r="AV27" i="22"/>
  <c r="AV28" i="22"/>
  <c r="AV29" i="22"/>
  <c r="AV30" i="22"/>
  <c r="AV31" i="22"/>
  <c r="AV32" i="22"/>
  <c r="AV2" i="22"/>
  <c r="AU3" i="22"/>
  <c r="AU4" i="22"/>
  <c r="AU5" i="22"/>
  <c r="AU6" i="22"/>
  <c r="AU7" i="22"/>
  <c r="AU8" i="22"/>
  <c r="AU9" i="22"/>
  <c r="AU10" i="22"/>
  <c r="AU11" i="22"/>
  <c r="AU12" i="22"/>
  <c r="AU13" i="22"/>
  <c r="AU14" i="22"/>
  <c r="AU15" i="22"/>
  <c r="AU16" i="22"/>
  <c r="AU17" i="22"/>
  <c r="AU18" i="22"/>
  <c r="AU19" i="22"/>
  <c r="AU20" i="22"/>
  <c r="AU21" i="22"/>
  <c r="AU22" i="22"/>
  <c r="AU23" i="22"/>
  <c r="AU24" i="22"/>
  <c r="AU25" i="22"/>
  <c r="AU26" i="22"/>
  <c r="AU27" i="22"/>
  <c r="AU28" i="22"/>
  <c r="AU29" i="22"/>
  <c r="AU30" i="22"/>
  <c r="AU31" i="22"/>
  <c r="AU32" i="22"/>
  <c r="AU2" i="22"/>
  <c r="AT3" i="22"/>
  <c r="AT7" i="22"/>
  <c r="AT11" i="22"/>
  <c r="AT15" i="22"/>
  <c r="AT22" i="22"/>
  <c r="AT23" i="22"/>
  <c r="AT24" i="22"/>
  <c r="AT25" i="22"/>
  <c r="AT26" i="22"/>
  <c r="AT27" i="22"/>
  <c r="AT28" i="22"/>
  <c r="AT29" i="22"/>
  <c r="AT30" i="22"/>
  <c r="AT31" i="22"/>
  <c r="AT32" i="22"/>
  <c r="AJ33" i="25"/>
  <c r="AW20" i="22" s="1"/>
  <c r="BC38" i="22" s="1"/>
  <c r="AH33" i="25"/>
  <c r="AW18" i="22" s="1"/>
  <c r="BC34" i="22" s="1"/>
  <c r="AW15" i="22"/>
  <c r="BC28" i="22" s="1"/>
  <c r="M33" i="25"/>
  <c r="M32" i="25"/>
  <c r="M31" i="25"/>
  <c r="M30" i="25"/>
  <c r="AH23" i="22"/>
  <c r="AN44" i="22" s="1"/>
  <c r="AH24" i="22"/>
  <c r="AN46" i="22" s="1"/>
  <c r="AH25" i="22"/>
  <c r="AN48" i="22" s="1"/>
  <c r="AH26" i="22"/>
  <c r="AN50" i="22" s="1"/>
  <c r="AH27" i="22"/>
  <c r="AN52" i="22" s="1"/>
  <c r="AH28" i="22"/>
  <c r="AN54" i="22" s="1"/>
  <c r="AH29" i="22"/>
  <c r="AN56" i="22" s="1"/>
  <c r="AH30" i="22"/>
  <c r="AN58" i="22" s="1"/>
  <c r="AG3" i="22"/>
  <c r="AG4" i="22"/>
  <c r="AG5" i="22"/>
  <c r="AG6" i="22"/>
  <c r="AG7" i="22"/>
  <c r="AG8" i="22"/>
  <c r="AG9" i="22"/>
  <c r="AG10" i="22"/>
  <c r="AG11" i="22"/>
  <c r="AG12" i="22"/>
  <c r="AG13" i="22"/>
  <c r="AG14" i="22"/>
  <c r="AG15" i="22"/>
  <c r="AG16" i="22"/>
  <c r="AG17" i="22"/>
  <c r="AG18" i="22"/>
  <c r="AG19" i="22"/>
  <c r="AG20" i="22"/>
  <c r="AG21" i="22"/>
  <c r="AG22" i="22"/>
  <c r="AG23" i="22"/>
  <c r="AG24" i="22"/>
  <c r="AG25" i="22"/>
  <c r="AG26" i="22"/>
  <c r="AG27" i="22"/>
  <c r="AG28" i="22"/>
  <c r="AG29" i="22"/>
  <c r="AG30" i="22"/>
  <c r="AG31" i="22"/>
  <c r="AG32" i="22"/>
  <c r="AG2" i="22"/>
  <c r="AF3" i="22"/>
  <c r="AF4" i="22"/>
  <c r="AF5" i="22"/>
  <c r="AF6" i="22"/>
  <c r="AF7" i="22"/>
  <c r="AF8" i="22"/>
  <c r="AF9" i="22"/>
  <c r="AF10" i="22"/>
  <c r="AF11" i="22"/>
  <c r="AF12" i="22"/>
  <c r="AF13" i="22"/>
  <c r="AF14" i="22"/>
  <c r="AF15" i="22"/>
  <c r="AF16" i="22"/>
  <c r="AF17" i="22"/>
  <c r="AF18" i="22"/>
  <c r="AF19" i="22"/>
  <c r="AF20" i="22"/>
  <c r="AF21" i="22"/>
  <c r="AF22" i="22"/>
  <c r="AF23" i="22"/>
  <c r="AF24" i="22"/>
  <c r="AF25" i="22"/>
  <c r="AF26" i="22"/>
  <c r="AF27" i="22"/>
  <c r="AF28" i="22"/>
  <c r="AF29" i="22"/>
  <c r="AF30" i="22"/>
  <c r="AF31" i="22"/>
  <c r="AF32" i="22"/>
  <c r="AF2" i="22"/>
  <c r="AE3" i="22"/>
  <c r="AE7" i="22"/>
  <c r="AE11" i="22"/>
  <c r="AE15" i="22"/>
  <c r="AE19" i="22"/>
  <c r="AE23" i="22"/>
  <c r="AE24" i="22"/>
  <c r="AE25" i="22"/>
  <c r="AE26" i="22"/>
  <c r="AE27" i="22"/>
  <c r="AE28" i="22"/>
  <c r="AE29" i="22"/>
  <c r="AE30" i="22"/>
  <c r="AE31" i="22"/>
  <c r="AE32" i="22"/>
  <c r="AI29" i="25"/>
  <c r="AH19" i="22" s="1"/>
  <c r="AL29" i="25"/>
  <c r="AH22" i="22" s="1"/>
  <c r="AK29" i="25"/>
  <c r="AH21" i="22" s="1"/>
  <c r="AJ29" i="25"/>
  <c r="AH20" i="22" s="1"/>
  <c r="AH29" i="25"/>
  <c r="AH18" i="22" s="1"/>
  <c r="AG29" i="25"/>
  <c r="AH17" i="22" s="1"/>
  <c r="AN32" i="22" s="1"/>
  <c r="AF29" i="25"/>
  <c r="AH16" i="22" s="1"/>
  <c r="AE29" i="25"/>
  <c r="AH15" i="22" s="1"/>
  <c r="AD29" i="25"/>
  <c r="AH14" i="22" s="1"/>
  <c r="AC29" i="25"/>
  <c r="AH13" i="22" s="1"/>
  <c r="AN24" i="22" s="1"/>
  <c r="AB29" i="25"/>
  <c r="AH12" i="22" s="1"/>
  <c r="AA29" i="25"/>
  <c r="AH11" i="22" s="1"/>
  <c r="Z29" i="25"/>
  <c r="AH10" i="22" s="1"/>
  <c r="Y29" i="25"/>
  <c r="AH9" i="22" s="1"/>
  <c r="AN16" i="22" s="1"/>
  <c r="AH8" i="22"/>
  <c r="W29" i="25"/>
  <c r="AH7" i="22" s="1"/>
  <c r="V29" i="25"/>
  <c r="AH6" i="22" s="1"/>
  <c r="U29" i="25"/>
  <c r="AH5" i="22" s="1"/>
  <c r="T29" i="25"/>
  <c r="AH4" i="22" s="1"/>
  <c r="S29" i="25"/>
  <c r="AH3" i="22" s="1"/>
  <c r="AH31" i="22"/>
  <c r="AN60" i="22" s="1"/>
  <c r="M29" i="25"/>
  <c r="M28" i="25"/>
  <c r="M27" i="25"/>
  <c r="M26" i="25"/>
  <c r="T23" i="22"/>
  <c r="Z44" i="22" s="1"/>
  <c r="T24" i="22"/>
  <c r="Z46" i="22" s="1"/>
  <c r="T25" i="22"/>
  <c r="Z48" i="22" s="1"/>
  <c r="T26" i="22"/>
  <c r="Z50" i="22" s="1"/>
  <c r="T27" i="22"/>
  <c r="Z52" i="22" s="1"/>
  <c r="T28" i="22"/>
  <c r="Z54" i="22" s="1"/>
  <c r="T29" i="22"/>
  <c r="Z56" i="22" s="1"/>
  <c r="T30" i="22"/>
  <c r="Z58" i="22" s="1"/>
  <c r="S25" i="25"/>
  <c r="T3" i="22" s="1"/>
  <c r="T25" i="25"/>
  <c r="AE4" i="22" s="1"/>
  <c r="U25" i="25"/>
  <c r="AE5" i="22" s="1"/>
  <c r="V25" i="25"/>
  <c r="T6" i="22" s="1"/>
  <c r="W25" i="25"/>
  <c r="T7" i="22" s="1"/>
  <c r="T8" i="22"/>
  <c r="Y25" i="25"/>
  <c r="T9" i="22" s="1"/>
  <c r="Z25" i="25"/>
  <c r="AE10" i="22" s="1"/>
  <c r="AA25" i="25"/>
  <c r="T11" i="22" s="1"/>
  <c r="AB25" i="25"/>
  <c r="AE12" i="22" s="1"/>
  <c r="AC25" i="25"/>
  <c r="T13" i="22" s="1"/>
  <c r="AD25" i="25"/>
  <c r="T14" i="22" s="1"/>
  <c r="AE25" i="25"/>
  <c r="T15" i="22" s="1"/>
  <c r="AF25" i="25"/>
  <c r="T16" i="22" s="1"/>
  <c r="AG25" i="25"/>
  <c r="T17" i="22" s="1"/>
  <c r="AH25" i="25"/>
  <c r="AE18" i="22" s="1"/>
  <c r="AI25" i="25"/>
  <c r="T19" i="22" s="1"/>
  <c r="AJ25" i="25"/>
  <c r="AE20" i="22" s="1"/>
  <c r="AK25" i="25"/>
  <c r="AE21" i="22" s="1"/>
  <c r="AL25" i="25"/>
  <c r="T22" i="22" s="1"/>
  <c r="T31" i="22"/>
  <c r="Z60" i="22" s="1"/>
  <c r="S3" i="22"/>
  <c r="S4" i="22"/>
  <c r="S5" i="22"/>
  <c r="S6" i="22"/>
  <c r="S7" i="22"/>
  <c r="S8" i="22"/>
  <c r="S9" i="22"/>
  <c r="S10" i="22"/>
  <c r="S11" i="22"/>
  <c r="S12" i="22"/>
  <c r="S13" i="22"/>
  <c r="S14" i="22"/>
  <c r="S15" i="22"/>
  <c r="S16" i="22"/>
  <c r="S17" i="22"/>
  <c r="S18" i="22"/>
  <c r="S19" i="22"/>
  <c r="S20" i="22"/>
  <c r="S21" i="22"/>
  <c r="S22" i="22"/>
  <c r="S23" i="22"/>
  <c r="S24" i="22"/>
  <c r="S25" i="22"/>
  <c r="S26" i="22"/>
  <c r="S27" i="22"/>
  <c r="S28" i="22"/>
  <c r="S29" i="22"/>
  <c r="S30" i="22"/>
  <c r="S31" i="22"/>
  <c r="S32" i="22"/>
  <c r="S2" i="22"/>
  <c r="R3" i="22"/>
  <c r="R4" i="22"/>
  <c r="R5" i="22"/>
  <c r="R6" i="22"/>
  <c r="R7" i="22"/>
  <c r="R8" i="22"/>
  <c r="R9" i="22"/>
  <c r="R10" i="22"/>
  <c r="R11" i="22"/>
  <c r="R12" i="22"/>
  <c r="R13" i="22"/>
  <c r="R14" i="22"/>
  <c r="R15" i="22"/>
  <c r="R16" i="22"/>
  <c r="R17" i="22"/>
  <c r="R18" i="22"/>
  <c r="R19" i="22"/>
  <c r="R20" i="22"/>
  <c r="R21" i="22"/>
  <c r="R22" i="22"/>
  <c r="R23" i="22"/>
  <c r="R24" i="22"/>
  <c r="R25" i="22"/>
  <c r="R26" i="22"/>
  <c r="R27" i="22"/>
  <c r="R28" i="22"/>
  <c r="R29" i="22"/>
  <c r="R30" i="22"/>
  <c r="R31" i="22"/>
  <c r="R32" i="22"/>
  <c r="R2" i="22"/>
  <c r="Q16" i="22"/>
  <c r="Q17" i="22"/>
  <c r="Q18" i="22"/>
  <c r="Q19" i="22"/>
  <c r="Q20" i="22"/>
  <c r="Q23" i="22"/>
  <c r="Q24" i="22"/>
  <c r="Q25" i="22"/>
  <c r="Q26" i="22"/>
  <c r="Q27" i="22"/>
  <c r="Q28" i="22"/>
  <c r="Q29" i="22"/>
  <c r="Q30" i="22"/>
  <c r="Q31" i="22"/>
  <c r="Q32" i="22"/>
  <c r="Q2" i="22"/>
  <c r="AM2" i="22" l="1"/>
  <c r="Y50" i="22"/>
  <c r="Y34" i="22"/>
  <c r="Y18" i="22"/>
  <c r="Y54" i="22"/>
  <c r="Y38" i="22"/>
  <c r="Y22" i="22"/>
  <c r="AM50" i="22"/>
  <c r="AM34" i="22"/>
  <c r="AM18" i="22"/>
  <c r="BB2" i="22"/>
  <c r="BB48" i="22"/>
  <c r="BB32" i="22"/>
  <c r="BB16" i="22"/>
  <c r="Y52" i="22"/>
  <c r="Y20" i="22"/>
  <c r="Y58" i="22"/>
  <c r="Y42" i="22"/>
  <c r="Y26" i="22"/>
  <c r="Y10" i="22"/>
  <c r="AM54" i="22"/>
  <c r="AM38" i="22"/>
  <c r="AM22" i="22"/>
  <c r="AM6" i="22"/>
  <c r="BB52" i="22"/>
  <c r="BB36" i="22"/>
  <c r="BB20" i="22"/>
  <c r="BB4" i="22"/>
  <c r="Y56" i="22"/>
  <c r="Y40" i="22"/>
  <c r="Y24" i="22"/>
  <c r="AM52" i="22"/>
  <c r="AM36" i="22"/>
  <c r="AM20" i="22"/>
  <c r="AM4" i="22"/>
  <c r="BB50" i="22"/>
  <c r="BB34" i="22"/>
  <c r="BB18" i="22"/>
  <c r="AM48" i="22"/>
  <c r="AM32" i="22"/>
  <c r="AM16" i="22"/>
  <c r="BB62" i="22"/>
  <c r="BB46" i="22"/>
  <c r="BB30" i="22"/>
  <c r="BB14" i="22"/>
  <c r="AM62" i="22"/>
  <c r="AM46" i="22"/>
  <c r="AM30" i="22"/>
  <c r="AM14" i="22"/>
  <c r="BB60" i="22"/>
  <c r="BB44" i="22"/>
  <c r="BB28" i="22"/>
  <c r="BB12" i="22"/>
  <c r="Y32" i="22"/>
  <c r="Y16" i="22"/>
  <c r="AM60" i="22"/>
  <c r="AM44" i="22"/>
  <c r="AM28" i="22"/>
  <c r="AM12" i="22"/>
  <c r="BB58" i="22"/>
  <c r="BB42" i="22"/>
  <c r="BB26" i="22"/>
  <c r="BB10" i="22"/>
  <c r="Y62" i="22"/>
  <c r="Y30" i="22"/>
  <c r="Y14" i="22"/>
  <c r="AM58" i="22"/>
  <c r="AM42" i="22"/>
  <c r="AM26" i="22"/>
  <c r="AM10" i="22"/>
  <c r="BB56" i="22"/>
  <c r="BB40" i="22"/>
  <c r="BB24" i="22"/>
  <c r="BB8" i="22"/>
  <c r="Y60" i="22"/>
  <c r="Y44" i="22"/>
  <c r="Y28" i="22"/>
  <c r="Y12" i="22"/>
  <c r="AM56" i="22"/>
  <c r="AM40" i="22"/>
  <c r="AM24" i="22"/>
  <c r="AM8" i="22"/>
  <c r="BB54" i="22"/>
  <c r="BB38" i="22"/>
  <c r="BB22" i="22"/>
  <c r="BB6" i="22"/>
  <c r="Y8" i="22"/>
  <c r="BD41" i="22"/>
  <c r="AC23" i="24"/>
  <c r="AC29" i="24"/>
  <c r="BD63" i="22"/>
  <c r="Y36" i="22"/>
  <c r="Y4" i="22"/>
  <c r="Y2" i="22"/>
  <c r="Y48" i="22"/>
  <c r="Y46" i="22"/>
  <c r="Y6" i="22"/>
  <c r="T2" i="22"/>
  <c r="AW25" i="25"/>
  <c r="AH2" i="22"/>
  <c r="AN2" i="22" s="1"/>
  <c r="AW29" i="25"/>
  <c r="W33" i="24"/>
  <c r="AE3" i="24"/>
  <c r="AE14" i="22"/>
  <c r="AT14" i="22"/>
  <c r="AE13" i="22"/>
  <c r="AT21" i="22"/>
  <c r="AT13" i="22"/>
  <c r="AT5" i="22"/>
  <c r="AE22" i="22"/>
  <c r="AE6" i="22"/>
  <c r="AT6" i="22"/>
  <c r="AT20" i="22"/>
  <c r="AT12" i="22"/>
  <c r="AT4" i="22"/>
  <c r="AT19" i="22"/>
  <c r="AT18" i="22"/>
  <c r="AE2" i="22"/>
  <c r="AE17" i="22"/>
  <c r="AE9" i="22"/>
  <c r="AT2" i="22"/>
  <c r="AT17" i="22"/>
  <c r="AT9" i="22"/>
  <c r="AT10" i="22"/>
  <c r="AE16" i="22"/>
  <c r="AE8" i="22"/>
  <c r="AT16" i="22"/>
  <c r="AT8" i="22"/>
  <c r="AH32" i="22"/>
  <c r="AN62" i="22" s="1"/>
  <c r="T32" i="22"/>
  <c r="Z62" i="22" s="1"/>
  <c r="AC57" i="24"/>
  <c r="AC7" i="24"/>
  <c r="AC31" i="24"/>
  <c r="AC41" i="24"/>
  <c r="AC45" i="24"/>
  <c r="AC55" i="24"/>
  <c r="AC35" i="24"/>
  <c r="AE15" i="24"/>
  <c r="AE29" i="24"/>
  <c r="AE13" i="24"/>
  <c r="AE27" i="24"/>
  <c r="AE11" i="24"/>
  <c r="AE25" i="24"/>
  <c r="AE39" i="24"/>
  <c r="AE7" i="24"/>
  <c r="AC21" i="24"/>
  <c r="AC3" i="24"/>
  <c r="AC5" i="24"/>
  <c r="AC43" i="24"/>
  <c r="AC15" i="24"/>
  <c r="AE41" i="24"/>
  <c r="AC27" i="24"/>
  <c r="AC25" i="24"/>
  <c r="AE23" i="24"/>
  <c r="AC9" i="24"/>
  <c r="AC49" i="24"/>
  <c r="AC37" i="24"/>
  <c r="AE37" i="24"/>
  <c r="AE31" i="24"/>
  <c r="AC11" i="24"/>
  <c r="AC51" i="24"/>
  <c r="AC47" i="24"/>
  <c r="AE35" i="24"/>
  <c r="AE19" i="24"/>
  <c r="AE33" i="24"/>
  <c r="AC13" i="24"/>
  <c r="AC33" i="24"/>
  <c r="AC53" i="24"/>
  <c r="AE17" i="24"/>
  <c r="AC17" i="24"/>
  <c r="AC61" i="24"/>
  <c r="AC19" i="24"/>
  <c r="AC39" i="24"/>
  <c r="AC59" i="24"/>
  <c r="AC63" i="24"/>
  <c r="AE43" i="24"/>
  <c r="AE51" i="24"/>
  <c r="AE63" i="24"/>
  <c r="AE53" i="24"/>
  <c r="AE55" i="24"/>
  <c r="AE45" i="24"/>
  <c r="AE57" i="24"/>
  <c r="AE47" i="24"/>
  <c r="AE59" i="24"/>
  <c r="AE49" i="24"/>
  <c r="AE61" i="24"/>
  <c r="BD13" i="22"/>
  <c r="BD57" i="22"/>
  <c r="AO49" i="22"/>
  <c r="AO61" i="22"/>
  <c r="AO45" i="22"/>
  <c r="BD21" i="22"/>
  <c r="AO25" i="22"/>
  <c r="AO59" i="22"/>
  <c r="BD25" i="22"/>
  <c r="BD19" i="22"/>
  <c r="AA51" i="22"/>
  <c r="AO57" i="22"/>
  <c r="BD29" i="22"/>
  <c r="BD43" i="22"/>
  <c r="BD55" i="22"/>
  <c r="BD37" i="22"/>
  <c r="BD17" i="22"/>
  <c r="AO55" i="22"/>
  <c r="BD35" i="22"/>
  <c r="BD27" i="22"/>
  <c r="BD33" i="22"/>
  <c r="BD15" i="22"/>
  <c r="AO53" i="22"/>
  <c r="BD31" i="22"/>
  <c r="AA61" i="22"/>
  <c r="AA45" i="22"/>
  <c r="AO17" i="22"/>
  <c r="AO33" i="22"/>
  <c r="AO51" i="22"/>
  <c r="BD5" i="22"/>
  <c r="BD3" i="22"/>
  <c r="BD49" i="22"/>
  <c r="AA53" i="22"/>
  <c r="BD53" i="22"/>
  <c r="AA59" i="22"/>
  <c r="BD59" i="22"/>
  <c r="BD47" i="22"/>
  <c r="BD9" i="22"/>
  <c r="AA47" i="22"/>
  <c r="BD39" i="22"/>
  <c r="BD51" i="22"/>
  <c r="AA57" i="22"/>
  <c r="AO47" i="22"/>
  <c r="BD11" i="22"/>
  <c r="BD61" i="22"/>
  <c r="BD45" i="22"/>
  <c r="BD23" i="22"/>
  <c r="BD7" i="22"/>
  <c r="AE9" i="24"/>
  <c r="AN38" i="22"/>
  <c r="AN6" i="22"/>
  <c r="AN8" i="22"/>
  <c r="AN22" i="22"/>
  <c r="AW33" i="22"/>
  <c r="AN42" i="22"/>
  <c r="AN26" i="22"/>
  <c r="AN10" i="22"/>
  <c r="AN40" i="22"/>
  <c r="AN34" i="22"/>
  <c r="AN18" i="22"/>
  <c r="T5" i="22"/>
  <c r="AN20" i="22"/>
  <c r="T21" i="22"/>
  <c r="T18" i="22"/>
  <c r="AN36" i="22"/>
  <c r="AN4" i="22"/>
  <c r="T10" i="22"/>
  <c r="AN12" i="22"/>
  <c r="AN28" i="22"/>
  <c r="T20" i="22"/>
  <c r="T12" i="22"/>
  <c r="T4" i="22"/>
  <c r="AN14" i="22"/>
  <c r="AN30" i="22"/>
  <c r="AA49" i="22"/>
  <c r="AA55" i="22"/>
  <c r="BB63" i="22" l="1"/>
  <c r="BB41" i="22"/>
  <c r="AA63" i="22"/>
  <c r="AO63" i="22"/>
  <c r="AE33" i="22"/>
  <c r="AT33" i="22"/>
  <c r="Y29" i="22"/>
  <c r="AE21" i="24"/>
  <c r="AE5" i="24"/>
  <c r="AM63" i="22"/>
  <c r="AM55" i="22"/>
  <c r="AM11" i="22"/>
  <c r="AM59" i="22"/>
  <c r="AM19" i="22"/>
  <c r="AM51" i="22"/>
  <c r="AM5" i="22"/>
  <c r="Y5" i="22"/>
  <c r="Y3" i="22"/>
  <c r="AM17" i="22"/>
  <c r="BB51" i="22"/>
  <c r="AM3" i="22"/>
  <c r="BB9" i="22"/>
  <c r="Y17" i="22"/>
  <c r="BB55" i="22"/>
  <c r="Y59" i="22"/>
  <c r="AM13" i="22"/>
  <c r="AM33" i="22"/>
  <c r="AO3" i="22"/>
  <c r="AM43" i="22"/>
  <c r="BB3" i="22"/>
  <c r="BB45" i="22"/>
  <c r="AO9" i="22"/>
  <c r="AM41" i="22"/>
  <c r="AO31" i="22"/>
  <c r="AM37" i="22"/>
  <c r="BB25" i="22"/>
  <c r="AM29" i="22"/>
  <c r="AM15" i="22"/>
  <c r="BB19" i="22"/>
  <c r="BB61" i="22"/>
  <c r="BB33" i="22"/>
  <c r="BB57" i="22"/>
  <c r="AM39" i="22"/>
  <c r="AO27" i="22"/>
  <c r="BB39" i="22"/>
  <c r="AM23" i="22"/>
  <c r="AO15" i="22"/>
  <c r="BB29" i="22"/>
  <c r="AM47" i="22"/>
  <c r="AM61" i="22"/>
  <c r="AM25" i="22"/>
  <c r="AO5" i="22"/>
  <c r="AM31" i="22"/>
  <c r="AO19" i="22"/>
  <c r="BB11" i="22"/>
  <c r="AO23" i="22"/>
  <c r="BB49" i="22"/>
  <c r="BB5" i="22"/>
  <c r="Y51" i="22"/>
  <c r="AM57" i="22"/>
  <c r="AM21" i="22"/>
  <c r="AO37" i="22"/>
  <c r="AO21" i="22"/>
  <c r="AO35" i="22"/>
  <c r="BB35" i="22"/>
  <c r="BB27" i="22"/>
  <c r="BB15" i="22"/>
  <c r="BB21" i="22"/>
  <c r="AO43" i="22"/>
  <c r="AM49" i="22"/>
  <c r="AO29" i="22"/>
  <c r="AM7" i="22"/>
  <c r="AO41" i="22"/>
  <c r="BB43" i="22"/>
  <c r="BB31" i="22"/>
  <c r="AO7" i="22"/>
  <c r="BB17" i="22"/>
  <c r="BB37" i="22"/>
  <c r="BB7" i="22"/>
  <c r="BB13" i="22"/>
  <c r="Y39" i="22"/>
  <c r="AM35" i="22"/>
  <c r="AM53" i="22"/>
  <c r="AM45" i="22"/>
  <c r="AM9" i="22"/>
  <c r="AO13" i="22"/>
  <c r="AM27" i="22"/>
  <c r="AO11" i="22"/>
  <c r="Y7" i="22"/>
  <c r="BB59" i="22"/>
  <c r="BB47" i="22"/>
  <c r="AO39" i="22"/>
  <c r="BB53" i="22"/>
  <c r="BB23" i="22"/>
  <c r="Y33" i="22"/>
  <c r="AH33" i="22"/>
  <c r="Y55" i="22"/>
  <c r="Y35" i="22"/>
  <c r="Y43" i="22"/>
  <c r="Y11" i="22"/>
  <c r="Y63" i="22"/>
  <c r="Y23" i="22"/>
  <c r="Y19" i="22"/>
  <c r="Y13" i="22"/>
  <c r="Y25" i="22"/>
  <c r="Y9" i="22"/>
  <c r="Y47" i="22"/>
  <c r="Y21" i="22"/>
  <c r="Y31" i="22"/>
  <c r="Y15" i="22"/>
  <c r="Y57" i="22"/>
  <c r="Y53" i="22"/>
  <c r="Y27" i="22"/>
  <c r="Y61" i="22"/>
  <c r="Y37" i="22"/>
  <c r="Y45" i="22"/>
  <c r="Y41" i="22"/>
  <c r="Y49" i="22"/>
  <c r="D2" i="22" l="1"/>
  <c r="E23" i="22"/>
  <c r="K44" i="22" s="1"/>
  <c r="E24" i="22"/>
  <c r="K46" i="22" s="1"/>
  <c r="E25" i="22"/>
  <c r="K48" i="22" s="1"/>
  <c r="E26" i="22"/>
  <c r="K50" i="22" s="1"/>
  <c r="E27" i="22"/>
  <c r="K52" i="22" s="1"/>
  <c r="E28" i="22"/>
  <c r="K54" i="22" s="1"/>
  <c r="E29" i="22"/>
  <c r="K56" i="22" s="1"/>
  <c r="E30" i="22"/>
  <c r="K58" i="22" s="1"/>
  <c r="E31" i="22"/>
  <c r="K60" i="22" s="1"/>
  <c r="S21" i="25"/>
  <c r="T21" i="25"/>
  <c r="Q5" i="22"/>
  <c r="V21" i="25"/>
  <c r="BR10" i="22" s="1"/>
  <c r="W21" i="25"/>
  <c r="BR12" i="22" s="1"/>
  <c r="Y21" i="25"/>
  <c r="BR16" i="22" s="1"/>
  <c r="Z21" i="25"/>
  <c r="BR18" i="22" s="1"/>
  <c r="AA21" i="25"/>
  <c r="BR20" i="22" s="1"/>
  <c r="AB21" i="25"/>
  <c r="BR22" i="22" s="1"/>
  <c r="Q13" i="22"/>
  <c r="AD21" i="25"/>
  <c r="BR26" i="22" s="1"/>
  <c r="AE21" i="25"/>
  <c r="BR28" i="22" s="1"/>
  <c r="E16" i="22"/>
  <c r="K30" i="22" s="1"/>
  <c r="E17" i="22"/>
  <c r="K32" i="22" s="1"/>
  <c r="E18" i="22"/>
  <c r="K34" i="22" s="1"/>
  <c r="E19" i="22"/>
  <c r="K36" i="22" s="1"/>
  <c r="E20" i="22"/>
  <c r="K38" i="22" s="1"/>
  <c r="AK21" i="25"/>
  <c r="AL21" i="25"/>
  <c r="BR42" i="22" s="1"/>
  <c r="E2" i="22"/>
  <c r="K2" i="22" s="1"/>
  <c r="D3" i="22"/>
  <c r="D4" i="22"/>
  <c r="D5" i="22"/>
  <c r="D6" i="22"/>
  <c r="D7" i="22"/>
  <c r="D8" i="22"/>
  <c r="D9" i="22"/>
  <c r="D10" i="22"/>
  <c r="D11" i="22"/>
  <c r="D12" i="22"/>
  <c r="D13" i="22"/>
  <c r="D14" i="22"/>
  <c r="D15" i="22"/>
  <c r="D16" i="22"/>
  <c r="D17" i="22"/>
  <c r="D18" i="22"/>
  <c r="D19" i="22"/>
  <c r="D20" i="22"/>
  <c r="D21" i="22"/>
  <c r="D22" i="22"/>
  <c r="D23" i="22"/>
  <c r="D24" i="22"/>
  <c r="D25" i="22"/>
  <c r="D26" i="22"/>
  <c r="D27" i="22"/>
  <c r="D28" i="22"/>
  <c r="D29" i="22"/>
  <c r="D30" i="22"/>
  <c r="D31" i="22"/>
  <c r="D32" i="22"/>
  <c r="C3" i="22"/>
  <c r="C4" i="22"/>
  <c r="C5" i="22"/>
  <c r="C6" i="22"/>
  <c r="C7" i="22"/>
  <c r="C8" i="22"/>
  <c r="C9" i="22"/>
  <c r="C10" i="22"/>
  <c r="C11" i="22"/>
  <c r="C12" i="22"/>
  <c r="C13" i="22"/>
  <c r="C14" i="22"/>
  <c r="C15" i="22"/>
  <c r="C16" i="22"/>
  <c r="C17" i="22"/>
  <c r="C18" i="22"/>
  <c r="C19" i="22"/>
  <c r="C20" i="22"/>
  <c r="C21" i="22"/>
  <c r="C22" i="22"/>
  <c r="C23" i="22"/>
  <c r="C24" i="22"/>
  <c r="C25" i="22"/>
  <c r="C26" i="22"/>
  <c r="C27" i="22"/>
  <c r="C28" i="22"/>
  <c r="C29" i="22"/>
  <c r="C30" i="22"/>
  <c r="C31" i="22"/>
  <c r="C32" i="22"/>
  <c r="C2" i="22"/>
  <c r="B3" i="22"/>
  <c r="B4" i="22"/>
  <c r="B5" i="22"/>
  <c r="B6" i="22"/>
  <c r="B7" i="22"/>
  <c r="B8" i="22"/>
  <c r="B9" i="22"/>
  <c r="B10" i="22"/>
  <c r="B11" i="22"/>
  <c r="B12" i="22"/>
  <c r="B13" i="22"/>
  <c r="B14" i="22"/>
  <c r="B15" i="22"/>
  <c r="B16" i="22"/>
  <c r="B17" i="22"/>
  <c r="B18" i="22"/>
  <c r="B19" i="22"/>
  <c r="B20" i="22"/>
  <c r="B21" i="22"/>
  <c r="B22" i="22"/>
  <c r="B23" i="22"/>
  <c r="B24" i="22"/>
  <c r="B25" i="22"/>
  <c r="B26" i="22"/>
  <c r="B27" i="22"/>
  <c r="B28" i="22"/>
  <c r="B29" i="22"/>
  <c r="B30" i="22"/>
  <c r="B31" i="22"/>
  <c r="B32" i="22"/>
  <c r="B2" i="22"/>
  <c r="B3" i="26"/>
  <c r="K4" i="26" s="1"/>
  <c r="B4" i="26"/>
  <c r="K6" i="26" s="1"/>
  <c r="B5" i="26"/>
  <c r="K8" i="26" s="1"/>
  <c r="B6" i="26"/>
  <c r="K10" i="26" s="1"/>
  <c r="B7" i="26"/>
  <c r="K12" i="26" s="1"/>
  <c r="B8" i="26"/>
  <c r="K14" i="26" s="1"/>
  <c r="B9" i="26"/>
  <c r="K16" i="26" s="1"/>
  <c r="B10" i="26"/>
  <c r="K18" i="26" s="1"/>
  <c r="B11" i="26"/>
  <c r="K20" i="26" s="1"/>
  <c r="B12" i="26"/>
  <c r="K22" i="26" s="1"/>
  <c r="B13" i="26"/>
  <c r="K24" i="26" s="1"/>
  <c r="B14" i="26"/>
  <c r="K26" i="26" s="1"/>
  <c r="B15" i="26"/>
  <c r="K28" i="26" s="1"/>
  <c r="B16" i="26"/>
  <c r="K30" i="26" s="1"/>
  <c r="B17" i="26"/>
  <c r="K32" i="26" s="1"/>
  <c r="B18" i="26"/>
  <c r="K34" i="26" s="1"/>
  <c r="B19" i="26"/>
  <c r="K36" i="26" s="1"/>
  <c r="B20" i="26"/>
  <c r="K38" i="26" s="1"/>
  <c r="B21" i="26"/>
  <c r="K40" i="26" s="1"/>
  <c r="B22" i="26"/>
  <c r="K42" i="26" s="1"/>
  <c r="B23" i="26"/>
  <c r="K44" i="26" s="1"/>
  <c r="B24" i="26"/>
  <c r="K46" i="26" s="1"/>
  <c r="B25" i="26"/>
  <c r="K48" i="26" s="1"/>
  <c r="B26" i="26"/>
  <c r="K50" i="26" s="1"/>
  <c r="B27" i="26"/>
  <c r="K52" i="26" s="1"/>
  <c r="B28" i="26"/>
  <c r="K54" i="26" s="1"/>
  <c r="B29" i="26"/>
  <c r="K56" i="26" s="1"/>
  <c r="B30" i="26"/>
  <c r="K58" i="26" s="1"/>
  <c r="B31" i="26"/>
  <c r="K60" i="26" s="1"/>
  <c r="B32" i="26"/>
  <c r="K62" i="26" s="1"/>
  <c r="K2" i="26"/>
  <c r="D32" i="26"/>
  <c r="C32" i="26"/>
  <c r="D31" i="26"/>
  <c r="C31" i="26"/>
  <c r="D30" i="26"/>
  <c r="C30" i="26"/>
  <c r="D29" i="26"/>
  <c r="C29" i="26"/>
  <c r="D28" i="26"/>
  <c r="C28" i="26"/>
  <c r="D27" i="26"/>
  <c r="C27" i="26"/>
  <c r="D26" i="26"/>
  <c r="C26" i="26"/>
  <c r="D25" i="26"/>
  <c r="C25" i="26"/>
  <c r="D24" i="26"/>
  <c r="C24" i="26"/>
  <c r="D23" i="26"/>
  <c r="C23" i="26"/>
  <c r="D22" i="26"/>
  <c r="C22" i="26"/>
  <c r="D21" i="26"/>
  <c r="C21" i="26"/>
  <c r="D20" i="26"/>
  <c r="C20" i="26"/>
  <c r="D19" i="26"/>
  <c r="C19" i="26"/>
  <c r="D18" i="26"/>
  <c r="C18" i="26"/>
  <c r="D17" i="26"/>
  <c r="C17" i="26"/>
  <c r="D16" i="26"/>
  <c r="C16" i="26"/>
  <c r="D15" i="26"/>
  <c r="C15" i="26"/>
  <c r="D14" i="26"/>
  <c r="C14" i="26"/>
  <c r="D13" i="26"/>
  <c r="C13" i="26"/>
  <c r="D12" i="26"/>
  <c r="C12" i="26"/>
  <c r="D11" i="26"/>
  <c r="C11" i="26"/>
  <c r="D10" i="26"/>
  <c r="C10" i="26"/>
  <c r="D9" i="26"/>
  <c r="C9" i="26"/>
  <c r="D8" i="26"/>
  <c r="C8" i="26"/>
  <c r="D7" i="26"/>
  <c r="C7" i="26"/>
  <c r="D6" i="26"/>
  <c r="C6" i="26"/>
  <c r="D5" i="26"/>
  <c r="C5" i="26"/>
  <c r="D4" i="26"/>
  <c r="C4" i="26"/>
  <c r="D3" i="26"/>
  <c r="C3" i="26"/>
  <c r="D2" i="26"/>
  <c r="C2" i="26"/>
  <c r="BS5" i="22" l="1"/>
  <c r="AW21" i="25"/>
  <c r="J8" i="26"/>
  <c r="J24" i="26"/>
  <c r="J32" i="26"/>
  <c r="J40" i="26"/>
  <c r="J48" i="26"/>
  <c r="J56" i="26"/>
  <c r="J16" i="26"/>
  <c r="J10" i="26"/>
  <c r="J42" i="26"/>
  <c r="J50" i="26"/>
  <c r="J58" i="26"/>
  <c r="J34" i="26"/>
  <c r="J2" i="26"/>
  <c r="J18" i="26"/>
  <c r="J26" i="26"/>
  <c r="BS13" i="22"/>
  <c r="BS29" i="22"/>
  <c r="BS11" i="22"/>
  <c r="BS43" i="22"/>
  <c r="BS27" i="22"/>
  <c r="BS17" i="22"/>
  <c r="BS23" i="22"/>
  <c r="BS21" i="22"/>
  <c r="BS19" i="22"/>
  <c r="J6" i="26"/>
  <c r="J14" i="26"/>
  <c r="J30" i="26"/>
  <c r="J38" i="26"/>
  <c r="J46" i="26"/>
  <c r="J54" i="26"/>
  <c r="J62" i="26"/>
  <c r="J22" i="26"/>
  <c r="J12" i="26"/>
  <c r="J28" i="26"/>
  <c r="J36" i="26"/>
  <c r="J52" i="26"/>
  <c r="J60" i="26"/>
  <c r="J4" i="26"/>
  <c r="J20" i="26"/>
  <c r="J44" i="26"/>
  <c r="Q21" i="22"/>
  <c r="BR40" i="22"/>
  <c r="Q4" i="22"/>
  <c r="BR6" i="22"/>
  <c r="J54" i="22"/>
  <c r="J38" i="22"/>
  <c r="J22" i="22"/>
  <c r="J6" i="22"/>
  <c r="J52" i="22"/>
  <c r="J36" i="22"/>
  <c r="J20" i="22"/>
  <c r="J4" i="22"/>
  <c r="J50" i="22"/>
  <c r="J34" i="22"/>
  <c r="J18" i="22"/>
  <c r="J48" i="22"/>
  <c r="J32" i="22"/>
  <c r="J16" i="22"/>
  <c r="J62" i="22"/>
  <c r="J46" i="22"/>
  <c r="J30" i="22"/>
  <c r="J14" i="22"/>
  <c r="J60" i="22"/>
  <c r="J44" i="22"/>
  <c r="J28" i="22"/>
  <c r="J12" i="22"/>
  <c r="J58" i="22"/>
  <c r="J42" i="22"/>
  <c r="J26" i="22"/>
  <c r="J10" i="22"/>
  <c r="J56" i="22"/>
  <c r="J40" i="22"/>
  <c r="J24" i="22"/>
  <c r="J8" i="22"/>
  <c r="J2" i="22"/>
  <c r="L63" i="26"/>
  <c r="L61" i="26"/>
  <c r="E15" i="22"/>
  <c r="K28" i="22" s="1"/>
  <c r="Q15" i="22"/>
  <c r="E22" i="22"/>
  <c r="K42" i="22" s="1"/>
  <c r="Q22" i="22"/>
  <c r="E14" i="22"/>
  <c r="K26" i="22" s="1"/>
  <c r="Q14" i="22"/>
  <c r="E6" i="22"/>
  <c r="K10" i="22" s="1"/>
  <c r="Q6" i="22"/>
  <c r="E7" i="22"/>
  <c r="K12" i="22" s="1"/>
  <c r="Q7" i="22"/>
  <c r="E8" i="22"/>
  <c r="K14" i="22" s="1"/>
  <c r="Q8" i="22"/>
  <c r="E12" i="22"/>
  <c r="K22" i="22" s="1"/>
  <c r="Q12" i="22"/>
  <c r="E11" i="22"/>
  <c r="K20" i="22" s="1"/>
  <c r="Q11" i="22"/>
  <c r="E3" i="22"/>
  <c r="K4" i="22" s="1"/>
  <c r="Q3" i="22"/>
  <c r="E10" i="22"/>
  <c r="K18" i="22" s="1"/>
  <c r="Q10" i="22"/>
  <c r="E9" i="22"/>
  <c r="K16" i="22" s="1"/>
  <c r="Q9" i="22"/>
  <c r="E32" i="22"/>
  <c r="K62" i="22" s="1"/>
  <c r="L47" i="26"/>
  <c r="L21" i="26"/>
  <c r="L9" i="26"/>
  <c r="Z40" i="22"/>
  <c r="Z24" i="22"/>
  <c r="Z8" i="22"/>
  <c r="L23" i="26"/>
  <c r="L29" i="26"/>
  <c r="L57" i="26"/>
  <c r="L45" i="26"/>
  <c r="L53" i="26"/>
  <c r="L37" i="26"/>
  <c r="Z38" i="22"/>
  <c r="Z22" i="22"/>
  <c r="Z6" i="22"/>
  <c r="L5" i="26"/>
  <c r="L31" i="26"/>
  <c r="L51" i="26"/>
  <c r="L35" i="26"/>
  <c r="L19" i="26"/>
  <c r="Z36" i="22"/>
  <c r="Z20" i="22"/>
  <c r="Z4" i="22"/>
  <c r="E4" i="22"/>
  <c r="K6" i="22" s="1"/>
  <c r="L15" i="26"/>
  <c r="L49" i="26"/>
  <c r="L33" i="26"/>
  <c r="L17" i="26"/>
  <c r="Z34" i="22"/>
  <c r="Z18" i="22"/>
  <c r="L25" i="26"/>
  <c r="L39" i="26"/>
  <c r="L59" i="26"/>
  <c r="Z32" i="22"/>
  <c r="Z16" i="22"/>
  <c r="L7" i="26"/>
  <c r="L13" i="26"/>
  <c r="Z30" i="22"/>
  <c r="Z14" i="22"/>
  <c r="L55" i="26"/>
  <c r="L43" i="26"/>
  <c r="L27" i="26"/>
  <c r="L11" i="26"/>
  <c r="Z28" i="22"/>
  <c r="Z12" i="22"/>
  <c r="L41" i="26"/>
  <c r="L3" i="26"/>
  <c r="Z42" i="22"/>
  <c r="Z26" i="22"/>
  <c r="Z10" i="22"/>
  <c r="E21" i="22"/>
  <c r="K40" i="22" s="1"/>
  <c r="E13" i="22"/>
  <c r="K24" i="22" s="1"/>
  <c r="E5" i="22"/>
  <c r="K8" i="22" s="1"/>
  <c r="L39" i="22"/>
  <c r="L55" i="22"/>
  <c r="L49" i="22"/>
  <c r="L33" i="22"/>
  <c r="L57" i="22"/>
  <c r="L47" i="22"/>
  <c r="L31" i="22"/>
  <c r="L61" i="22"/>
  <c r="L45" i="22"/>
  <c r="L51" i="22"/>
  <c r="L35" i="22"/>
  <c r="L59" i="22"/>
  <c r="L37" i="22"/>
  <c r="L53" i="22"/>
  <c r="L3" i="22"/>
  <c r="B33" i="22"/>
  <c r="B33" i="26"/>
  <c r="J5" i="26" l="1"/>
  <c r="BS7" i="22"/>
  <c r="BS41" i="22"/>
  <c r="L5" i="22"/>
  <c r="L13" i="22"/>
  <c r="L29" i="22"/>
  <c r="J27" i="26"/>
  <c r="L11" i="22"/>
  <c r="J57" i="26"/>
  <c r="J49" i="26"/>
  <c r="J23" i="26"/>
  <c r="J41" i="26"/>
  <c r="J15" i="26"/>
  <c r="J13" i="26"/>
  <c r="J25" i="26"/>
  <c r="J33" i="26"/>
  <c r="J7" i="26"/>
  <c r="L21" i="22"/>
  <c r="J17" i="26"/>
  <c r="J11" i="26"/>
  <c r="J35" i="26"/>
  <c r="J19" i="26"/>
  <c r="J63" i="26"/>
  <c r="J61" i="26"/>
  <c r="J9" i="26"/>
  <c r="J31" i="26"/>
  <c r="J29" i="26"/>
  <c r="J55" i="26"/>
  <c r="J53" i="26"/>
  <c r="L17" i="22"/>
  <c r="L23" i="22"/>
  <c r="L27" i="22"/>
  <c r="J59" i="26"/>
  <c r="J21" i="26"/>
  <c r="J47" i="26"/>
  <c r="J45" i="26"/>
  <c r="J51" i="26"/>
  <c r="L63" i="22"/>
  <c r="J39" i="26"/>
  <c r="J37" i="26"/>
  <c r="L19" i="22"/>
  <c r="L15" i="22"/>
  <c r="L43" i="22"/>
  <c r="J43" i="26"/>
  <c r="Q33" i="22"/>
  <c r="J55" i="22"/>
  <c r="J11" i="22"/>
  <c r="J43" i="22"/>
  <c r="J49" i="22"/>
  <c r="J47" i="22"/>
  <c r="J25" i="22"/>
  <c r="L25" i="22"/>
  <c r="J27" i="22"/>
  <c r="J53" i="22"/>
  <c r="J15" i="22"/>
  <c r="J33" i="22"/>
  <c r="J57" i="22"/>
  <c r="J59" i="22"/>
  <c r="J61" i="22"/>
  <c r="J63" i="22"/>
  <c r="J29" i="22"/>
  <c r="J45" i="22"/>
  <c r="J13" i="22"/>
  <c r="L9" i="22"/>
  <c r="E33" i="22"/>
  <c r="J19" i="22"/>
  <c r="AA33" i="22"/>
  <c r="AA25" i="22"/>
  <c r="AA27" i="22"/>
  <c r="AA37" i="22"/>
  <c r="AA39" i="22"/>
  <c r="AA41" i="22"/>
  <c r="J17" i="22"/>
  <c r="AA43" i="22"/>
  <c r="AA13" i="22"/>
  <c r="AA19" i="22"/>
  <c r="AA15" i="22"/>
  <c r="AA7" i="22"/>
  <c r="AA29" i="22"/>
  <c r="AA35" i="22"/>
  <c r="AA5" i="22"/>
  <c r="AA11" i="22"/>
  <c r="AA31" i="22"/>
  <c r="AA23" i="22"/>
  <c r="L7" i="22"/>
  <c r="AA9" i="22"/>
  <c r="AA21" i="22"/>
  <c r="J7" i="22"/>
  <c r="J23" i="22"/>
  <c r="L41" i="22"/>
  <c r="J31" i="22"/>
  <c r="AA17" i="22"/>
  <c r="J21" i="22"/>
  <c r="J3" i="26"/>
  <c r="Z2" i="22"/>
  <c r="T33" i="22"/>
  <c r="J3" i="22"/>
  <c r="J37" i="22"/>
  <c r="J51" i="22"/>
  <c r="J39" i="22"/>
  <c r="J35" i="22"/>
  <c r="J9" i="22"/>
  <c r="J41" i="22"/>
  <c r="J5" i="22"/>
  <c r="C3" i="21"/>
  <c r="C4" i="21"/>
  <c r="C5" i="21"/>
  <c r="C6" i="21"/>
  <c r="C7" i="21"/>
  <c r="C8" i="21"/>
  <c r="C9" i="21"/>
  <c r="C11" i="21"/>
  <c r="C12" i="21"/>
  <c r="C13" i="21"/>
  <c r="C14" i="21"/>
  <c r="C15" i="21"/>
  <c r="C16" i="21"/>
  <c r="C17" i="21"/>
  <c r="C18" i="21"/>
  <c r="C19" i="21"/>
  <c r="C20" i="21"/>
  <c r="C21" i="21"/>
  <c r="C22" i="21"/>
  <c r="C23" i="21"/>
  <c r="C24" i="21"/>
  <c r="C25" i="21"/>
  <c r="C26" i="21"/>
  <c r="C27" i="21"/>
  <c r="C28" i="21"/>
  <c r="C29" i="21"/>
  <c r="C30" i="21"/>
  <c r="C31" i="21"/>
  <c r="C32" i="21"/>
  <c r="C2" i="21"/>
  <c r="C4" i="20"/>
  <c r="C5" i="20"/>
  <c r="C6" i="20"/>
  <c r="C7" i="20"/>
  <c r="C8" i="20"/>
  <c r="C11" i="20"/>
  <c r="C23" i="20"/>
  <c r="C24" i="20"/>
  <c r="C25" i="20"/>
  <c r="C26" i="20"/>
  <c r="C27" i="20"/>
  <c r="C28" i="20"/>
  <c r="C29" i="20"/>
  <c r="C30" i="20"/>
  <c r="C31" i="20"/>
  <c r="C32" i="20"/>
  <c r="B4" i="20"/>
  <c r="J6" i="20" s="1"/>
  <c r="B5" i="20"/>
  <c r="J8" i="20" s="1"/>
  <c r="B6" i="20"/>
  <c r="J10" i="20" s="1"/>
  <c r="B7" i="20"/>
  <c r="J44" i="20"/>
  <c r="BQ3" i="16"/>
  <c r="BK3" i="16"/>
  <c r="BR4" i="16" s="1"/>
  <c r="BK4" i="16"/>
  <c r="BR6" i="16" s="1"/>
  <c r="BK5" i="16"/>
  <c r="BR8" i="16" s="1"/>
  <c r="BK6" i="16"/>
  <c r="BR10" i="16" s="1"/>
  <c r="BK7" i="16"/>
  <c r="BR12" i="16" s="1"/>
  <c r="BK8" i="16"/>
  <c r="BR14" i="16" s="1"/>
  <c r="BK9" i="16"/>
  <c r="BR16" i="16" s="1"/>
  <c r="BK10" i="16"/>
  <c r="BR18" i="16" s="1"/>
  <c r="BK11" i="16"/>
  <c r="BR20" i="16" s="1"/>
  <c r="BK12" i="16"/>
  <c r="BR22" i="16" s="1"/>
  <c r="BK13" i="16"/>
  <c r="BR24" i="16" s="1"/>
  <c r="BK14" i="16"/>
  <c r="BR26" i="16" s="1"/>
  <c r="BK15" i="16"/>
  <c r="BR28" i="16" s="1"/>
  <c r="BK16" i="16"/>
  <c r="BR30" i="16" s="1"/>
  <c r="BK17" i="16"/>
  <c r="BR32" i="16" s="1"/>
  <c r="BK18" i="16"/>
  <c r="BR34" i="16" s="1"/>
  <c r="BK19" i="16"/>
  <c r="BR36" i="16" s="1"/>
  <c r="BK20" i="16"/>
  <c r="BR38" i="16" s="1"/>
  <c r="BK21" i="16"/>
  <c r="BR40" i="16" s="1"/>
  <c r="BK22" i="16"/>
  <c r="BR42" i="16" s="1"/>
  <c r="BK23" i="16"/>
  <c r="BR44" i="16" s="1"/>
  <c r="BK24" i="16"/>
  <c r="BR46" i="16" s="1"/>
  <c r="BK25" i="16"/>
  <c r="BR48" i="16" s="1"/>
  <c r="BK26" i="16"/>
  <c r="BR50" i="16" s="1"/>
  <c r="BK27" i="16"/>
  <c r="BR52" i="16" s="1"/>
  <c r="BK28" i="16"/>
  <c r="BR54" i="16" s="1"/>
  <c r="BK29" i="16"/>
  <c r="BR56" i="16" s="1"/>
  <c r="BK30" i="16"/>
  <c r="BR58" i="16" s="1"/>
  <c r="BK31" i="16"/>
  <c r="BR60" i="16" s="1"/>
  <c r="BK32" i="16"/>
  <c r="BR62" i="16" s="1"/>
  <c r="BK2" i="16"/>
  <c r="BR2" i="16" s="1"/>
  <c r="AX3" i="16"/>
  <c r="AX4" i="16"/>
  <c r="AX5" i="16"/>
  <c r="AX6" i="16"/>
  <c r="AX7" i="16"/>
  <c r="AX8" i="16"/>
  <c r="AX9" i="16"/>
  <c r="AX10" i="16"/>
  <c r="AX11" i="16"/>
  <c r="AX12" i="16"/>
  <c r="AX13" i="16"/>
  <c r="AX14" i="16"/>
  <c r="AX15" i="16"/>
  <c r="AX16" i="16"/>
  <c r="AX17" i="16"/>
  <c r="AX18" i="16"/>
  <c r="AX19" i="16"/>
  <c r="AX20" i="16"/>
  <c r="AX21" i="16"/>
  <c r="AX22" i="16"/>
  <c r="AX23" i="16"/>
  <c r="AX24" i="16"/>
  <c r="AX25" i="16"/>
  <c r="AX26" i="16"/>
  <c r="AX27" i="16"/>
  <c r="AX28" i="16"/>
  <c r="AX29" i="16"/>
  <c r="AX30" i="16"/>
  <c r="AX31" i="16"/>
  <c r="AX32" i="16"/>
  <c r="AX2" i="16"/>
  <c r="AL3" i="16"/>
  <c r="AL4" i="16"/>
  <c r="AL5" i="16"/>
  <c r="AL6" i="16"/>
  <c r="AL7" i="16"/>
  <c r="AL8" i="16"/>
  <c r="AL9" i="16"/>
  <c r="AL10" i="16"/>
  <c r="AL11" i="16"/>
  <c r="AL12" i="16"/>
  <c r="AL13" i="16"/>
  <c r="AL14" i="16"/>
  <c r="AL15" i="16"/>
  <c r="AL16" i="16"/>
  <c r="AL17" i="16"/>
  <c r="AL18" i="16"/>
  <c r="AL19" i="16"/>
  <c r="AL20" i="16"/>
  <c r="AL21" i="16"/>
  <c r="AL22" i="16"/>
  <c r="AL23" i="16"/>
  <c r="AL24" i="16"/>
  <c r="AL25" i="16"/>
  <c r="AL26" i="16"/>
  <c r="AL27" i="16"/>
  <c r="AL28" i="16"/>
  <c r="AL29" i="16"/>
  <c r="AL30" i="16"/>
  <c r="AL31" i="16"/>
  <c r="AL32" i="16"/>
  <c r="AL2" i="16"/>
  <c r="Z3" i="16"/>
  <c r="Z4" i="16"/>
  <c r="Z5" i="16"/>
  <c r="Z6" i="16"/>
  <c r="Z7" i="16"/>
  <c r="Z8" i="16"/>
  <c r="Z9" i="16"/>
  <c r="Z10" i="16"/>
  <c r="Z11" i="16"/>
  <c r="Z12" i="16"/>
  <c r="Z13" i="16"/>
  <c r="Z14" i="16"/>
  <c r="Z15" i="16"/>
  <c r="Z16" i="16"/>
  <c r="Z17" i="16"/>
  <c r="Z18" i="16"/>
  <c r="Z19" i="16"/>
  <c r="Z20" i="16"/>
  <c r="Z21" i="16"/>
  <c r="Z22" i="16"/>
  <c r="Z23" i="16"/>
  <c r="Z24" i="16"/>
  <c r="Z25" i="16"/>
  <c r="Z26" i="16"/>
  <c r="Z27" i="16"/>
  <c r="Z28" i="16"/>
  <c r="Z29" i="16"/>
  <c r="Z30" i="16"/>
  <c r="Z31" i="16"/>
  <c r="Z32" i="16"/>
  <c r="N3" i="16"/>
  <c r="N4" i="16"/>
  <c r="N5" i="16"/>
  <c r="N6" i="16"/>
  <c r="N7" i="16"/>
  <c r="N8" i="16"/>
  <c r="N9" i="16"/>
  <c r="N10" i="16"/>
  <c r="N11" i="16"/>
  <c r="N12" i="16"/>
  <c r="N13" i="16"/>
  <c r="N14" i="16"/>
  <c r="N15" i="16"/>
  <c r="N16" i="16"/>
  <c r="N17" i="16"/>
  <c r="N18" i="16"/>
  <c r="N19" i="16"/>
  <c r="N20" i="16"/>
  <c r="N21" i="16"/>
  <c r="N22" i="16"/>
  <c r="N23" i="16"/>
  <c r="N24" i="16"/>
  <c r="N25" i="16"/>
  <c r="N26" i="16"/>
  <c r="N27" i="16"/>
  <c r="N28" i="16"/>
  <c r="N29" i="16"/>
  <c r="N30" i="16"/>
  <c r="N31" i="16"/>
  <c r="N32" i="16"/>
  <c r="B3" i="16"/>
  <c r="B4" i="16"/>
  <c r="B5" i="16"/>
  <c r="B6" i="16"/>
  <c r="B7" i="16"/>
  <c r="B8" i="16"/>
  <c r="B9" i="16"/>
  <c r="B10" i="16"/>
  <c r="B11" i="16"/>
  <c r="B12" i="16"/>
  <c r="B13" i="16"/>
  <c r="B14" i="16"/>
  <c r="B15" i="16"/>
  <c r="B16" i="16"/>
  <c r="B17" i="16"/>
  <c r="B18" i="16"/>
  <c r="B19" i="16"/>
  <c r="B20" i="16"/>
  <c r="B21" i="16"/>
  <c r="B22" i="16"/>
  <c r="B23" i="16"/>
  <c r="B24" i="16"/>
  <c r="B25" i="16"/>
  <c r="B26" i="16"/>
  <c r="B27" i="16"/>
  <c r="B28" i="16"/>
  <c r="B29" i="16"/>
  <c r="B30" i="16"/>
  <c r="B31" i="16"/>
  <c r="B32" i="16"/>
  <c r="P3" i="17"/>
  <c r="V4" i="17" s="1"/>
  <c r="P4" i="17"/>
  <c r="V6" i="17" s="1"/>
  <c r="P5" i="17"/>
  <c r="V8" i="17" s="1"/>
  <c r="P6" i="17"/>
  <c r="V10" i="17" s="1"/>
  <c r="P7" i="17"/>
  <c r="V12" i="17" s="1"/>
  <c r="P8" i="17"/>
  <c r="V14" i="17" s="1"/>
  <c r="P9" i="17"/>
  <c r="V16" i="17" s="1"/>
  <c r="P10" i="17"/>
  <c r="V18" i="17" s="1"/>
  <c r="P11" i="17"/>
  <c r="V20" i="17" s="1"/>
  <c r="P12" i="17"/>
  <c r="V22" i="17" s="1"/>
  <c r="P13" i="17"/>
  <c r="V24" i="17" s="1"/>
  <c r="P14" i="17"/>
  <c r="V26" i="17" s="1"/>
  <c r="P15" i="17"/>
  <c r="V28" i="17" s="1"/>
  <c r="P16" i="17"/>
  <c r="V30" i="17" s="1"/>
  <c r="P17" i="17"/>
  <c r="V32" i="17" s="1"/>
  <c r="P18" i="17"/>
  <c r="V34" i="17" s="1"/>
  <c r="P19" i="17"/>
  <c r="V36" i="17" s="1"/>
  <c r="P20" i="17"/>
  <c r="V38" i="17" s="1"/>
  <c r="P21" i="17"/>
  <c r="V40" i="17" s="1"/>
  <c r="P22" i="17"/>
  <c r="V42" i="17" s="1"/>
  <c r="P23" i="17"/>
  <c r="V44" i="17" s="1"/>
  <c r="P24" i="17"/>
  <c r="V46" i="17" s="1"/>
  <c r="P25" i="17"/>
  <c r="V48" i="17" s="1"/>
  <c r="P26" i="17"/>
  <c r="V50" i="17" s="1"/>
  <c r="P27" i="17"/>
  <c r="V52" i="17" s="1"/>
  <c r="P28" i="17"/>
  <c r="V54" i="17" s="1"/>
  <c r="P29" i="17"/>
  <c r="V56" i="17" s="1"/>
  <c r="P30" i="17"/>
  <c r="V58" i="17" s="1"/>
  <c r="P31" i="17"/>
  <c r="V60" i="17" s="1"/>
  <c r="P32" i="17"/>
  <c r="V62" i="17" s="1"/>
  <c r="P2" i="17"/>
  <c r="V2" i="17" s="1"/>
  <c r="AA3" i="22" l="1"/>
  <c r="BS31" i="16"/>
  <c r="BS13" i="16"/>
  <c r="W43" i="17"/>
  <c r="BS29" i="16"/>
  <c r="W57" i="17"/>
  <c r="W41" i="17"/>
  <c r="W25" i="17"/>
  <c r="W9" i="17"/>
  <c r="BS27" i="16"/>
  <c r="BS11" i="16"/>
  <c r="BS9" i="16"/>
  <c r="BS57" i="16"/>
  <c r="BS41" i="16"/>
  <c r="W59" i="17"/>
  <c r="BS45" i="16"/>
  <c r="W53" i="17"/>
  <c r="W37" i="17"/>
  <c r="W21" i="17"/>
  <c r="W5" i="17"/>
  <c r="BS25" i="16"/>
  <c r="BS55" i="16"/>
  <c r="BS39" i="16"/>
  <c r="BS23" i="16"/>
  <c r="BS7" i="16"/>
  <c r="W27" i="17"/>
  <c r="W51" i="17"/>
  <c r="W35" i="17"/>
  <c r="W19" i="17"/>
  <c r="BS53" i="16"/>
  <c r="BS37" i="16"/>
  <c r="BS21" i="16"/>
  <c r="BS5" i="16"/>
  <c r="BS61" i="16"/>
  <c r="W3" i="17"/>
  <c r="W49" i="17"/>
  <c r="W33" i="17"/>
  <c r="W17" i="17"/>
  <c r="BS43" i="16"/>
  <c r="BS51" i="16"/>
  <c r="BS35" i="16"/>
  <c r="BS19" i="16"/>
  <c r="W11" i="17"/>
  <c r="W31" i="17"/>
  <c r="W15" i="17"/>
  <c r="BS59" i="16"/>
  <c r="BS3" i="16"/>
  <c r="BS49" i="16"/>
  <c r="BS33" i="16"/>
  <c r="BS17" i="16"/>
  <c r="W63" i="17"/>
  <c r="W47" i="17"/>
  <c r="W61" i="17"/>
  <c r="W45" i="17"/>
  <c r="W29" i="17"/>
  <c r="W13" i="17"/>
  <c r="BS63" i="16"/>
  <c r="BS47" i="16"/>
  <c r="BS15" i="16"/>
  <c r="C33" i="20"/>
  <c r="B33" i="20"/>
  <c r="AL33" i="16"/>
  <c r="AX33" i="16"/>
  <c r="W55" i="17"/>
  <c r="W39" i="17"/>
  <c r="W23" i="17"/>
  <c r="W7" i="17"/>
  <c r="U3" i="17"/>
  <c r="C3" i="17" l="1"/>
  <c r="C4" i="17"/>
  <c r="C5" i="17"/>
  <c r="C6" i="17"/>
  <c r="C7" i="17"/>
  <c r="C8" i="17"/>
  <c r="C9" i="17"/>
  <c r="C10" i="17"/>
  <c r="C11" i="17"/>
  <c r="C12" i="17"/>
  <c r="C13" i="17"/>
  <c r="C14" i="17"/>
  <c r="C15" i="17"/>
  <c r="C16" i="17"/>
  <c r="C17" i="17"/>
  <c r="C18" i="17"/>
  <c r="C19" i="17"/>
  <c r="C20" i="17"/>
  <c r="C21" i="17"/>
  <c r="C22" i="17"/>
  <c r="C23" i="17"/>
  <c r="C24" i="17"/>
  <c r="C25" i="17"/>
  <c r="C26" i="17"/>
  <c r="C27" i="17"/>
  <c r="C28" i="17"/>
  <c r="C29" i="17"/>
  <c r="C30" i="17"/>
  <c r="C31" i="17"/>
  <c r="C32" i="17"/>
  <c r="C2" i="17"/>
  <c r="B2" i="16"/>
  <c r="B33" i="16" s="1"/>
  <c r="Z2" i="16"/>
  <c r="N2" i="16"/>
  <c r="N33" i="16" s="1"/>
  <c r="M3" i="25"/>
  <c r="M4" i="25"/>
  <c r="M5" i="25"/>
  <c r="M6" i="25"/>
  <c r="M7" i="25"/>
  <c r="M8" i="25"/>
  <c r="M9" i="25"/>
  <c r="M10" i="25"/>
  <c r="M11" i="25"/>
  <c r="M12" i="25"/>
  <c r="M13" i="25"/>
  <c r="M14" i="25"/>
  <c r="M15" i="25"/>
  <c r="M16" i="25"/>
  <c r="M17" i="25"/>
  <c r="M18" i="25"/>
  <c r="M19" i="25"/>
  <c r="M20" i="25"/>
  <c r="M21" i="25"/>
  <c r="M22" i="25"/>
  <c r="M23" i="25"/>
  <c r="M25" i="25"/>
  <c r="I2" i="23" l="1"/>
  <c r="J2" i="23" l="1"/>
  <c r="I24" i="17"/>
  <c r="V51" i="20" l="1"/>
  <c r="AT51" i="20"/>
  <c r="BE51" i="20"/>
  <c r="BF51" i="20"/>
  <c r="V48" i="20"/>
  <c r="AT48" i="20"/>
  <c r="BE48" i="20"/>
  <c r="BF48" i="20"/>
  <c r="V45" i="20"/>
  <c r="AT45" i="20"/>
  <c r="BE45" i="20"/>
  <c r="BF45" i="20"/>
  <c r="V42" i="20"/>
  <c r="AT42" i="20"/>
  <c r="BE42" i="20"/>
  <c r="BF42" i="20"/>
  <c r="V36" i="20"/>
  <c r="AT36" i="20"/>
  <c r="BE36" i="20"/>
  <c r="BF36" i="20"/>
  <c r="V30" i="20"/>
  <c r="AT30" i="20"/>
  <c r="BE30" i="20"/>
  <c r="BF30" i="20"/>
  <c r="V24" i="20"/>
  <c r="AT24" i="20"/>
  <c r="BE24" i="20"/>
  <c r="BF24" i="20"/>
  <c r="V18" i="20"/>
  <c r="AT18" i="20"/>
  <c r="BE18" i="20"/>
  <c r="BF18" i="20"/>
  <c r="V12" i="20"/>
  <c r="AT12" i="20"/>
  <c r="BE12" i="20"/>
  <c r="BF12" i="20"/>
  <c r="V6" i="20"/>
  <c r="AT6" i="20"/>
  <c r="BE6" i="20"/>
  <c r="BF6" i="20"/>
  <c r="J62" i="20" l="1"/>
  <c r="J60" i="20"/>
  <c r="J58" i="20"/>
  <c r="I16" i="16" l="1"/>
  <c r="AS2" i="16"/>
  <c r="AG2" i="16"/>
  <c r="I16" i="17" l="1"/>
  <c r="I12" i="17"/>
  <c r="I10" i="17"/>
  <c r="I8" i="17"/>
  <c r="I6" i="17"/>
  <c r="I4" i="17"/>
  <c r="I2" i="17"/>
  <c r="R62" i="24" l="1"/>
  <c r="R60" i="24"/>
  <c r="R58" i="24"/>
  <c r="R56" i="24"/>
  <c r="R54" i="24"/>
  <c r="R52" i="24"/>
  <c r="R50" i="24"/>
  <c r="R48" i="24"/>
  <c r="R46" i="24"/>
  <c r="R44" i="24"/>
  <c r="R42" i="24"/>
  <c r="R40" i="24"/>
  <c r="R38" i="24"/>
  <c r="R36" i="24"/>
  <c r="R34" i="24"/>
  <c r="R32" i="24"/>
  <c r="R30" i="24"/>
  <c r="R28" i="24"/>
  <c r="R26" i="24"/>
  <c r="R24" i="24"/>
  <c r="R22" i="24"/>
  <c r="R20" i="24"/>
  <c r="R18" i="24"/>
  <c r="R16" i="24"/>
  <c r="R14" i="24"/>
  <c r="R12" i="24"/>
  <c r="R10" i="24"/>
  <c r="R8" i="24"/>
  <c r="R6" i="24"/>
  <c r="R4" i="24"/>
  <c r="S38" i="24"/>
  <c r="S36" i="24"/>
  <c r="T27" i="24"/>
  <c r="S18" i="24"/>
  <c r="S16" i="24"/>
  <c r="S4" i="24"/>
  <c r="R2" i="24"/>
  <c r="S64" i="24" l="1"/>
  <c r="R63" i="24"/>
  <c r="R31" i="24"/>
  <c r="R43" i="24"/>
  <c r="R59" i="24"/>
  <c r="R39" i="24"/>
  <c r="R23" i="24"/>
  <c r="R55" i="24"/>
  <c r="R7" i="24"/>
  <c r="R57" i="24"/>
  <c r="T11" i="24"/>
  <c r="R25" i="24"/>
  <c r="T35" i="24"/>
  <c r="T47" i="24"/>
  <c r="T59" i="24"/>
  <c r="R11" i="24"/>
  <c r="R27" i="24"/>
  <c r="T45" i="24"/>
  <c r="R29" i="24"/>
  <c r="R15" i="24"/>
  <c r="R47" i="24"/>
  <c r="R9" i="24"/>
  <c r="R45" i="24"/>
  <c r="T61" i="24"/>
  <c r="T3" i="24"/>
  <c r="T17" i="24"/>
  <c r="T29" i="24"/>
  <c r="T39" i="24"/>
  <c r="T53" i="24"/>
  <c r="R17" i="24"/>
  <c r="R33" i="24"/>
  <c r="R49" i="24"/>
  <c r="R41" i="24"/>
  <c r="R3" i="24"/>
  <c r="T15" i="24"/>
  <c r="T51" i="24"/>
  <c r="T5" i="24"/>
  <c r="T19" i="24"/>
  <c r="T41" i="24"/>
  <c r="T63" i="24"/>
  <c r="R19" i="24"/>
  <c r="R35" i="24"/>
  <c r="R51" i="24"/>
  <c r="T9" i="24"/>
  <c r="T23" i="24"/>
  <c r="R13" i="24"/>
  <c r="T21" i="24"/>
  <c r="T31" i="24"/>
  <c r="T55" i="24"/>
  <c r="R5" i="24"/>
  <c r="R21" i="24"/>
  <c r="R37" i="24"/>
  <c r="R53" i="24"/>
  <c r="T13" i="24"/>
  <c r="T25" i="24"/>
  <c r="T37" i="24"/>
  <c r="T49" i="24"/>
  <c r="R61" i="24"/>
  <c r="T7" i="24"/>
  <c r="T33" i="24"/>
  <c r="T43" i="24"/>
  <c r="T57" i="24"/>
  <c r="H56" i="24"/>
  <c r="H34" i="24"/>
  <c r="H24" i="24"/>
  <c r="H46" i="24"/>
  <c r="H44" i="24"/>
  <c r="H62" i="24"/>
  <c r="H40" i="24"/>
  <c r="H26" i="24"/>
  <c r="H22" i="24"/>
  <c r="H14" i="24"/>
  <c r="H10" i="24"/>
  <c r="I3" i="24" l="1"/>
  <c r="H64" i="24"/>
  <c r="I63" i="24" l="1"/>
  <c r="I61" i="24"/>
  <c r="I59" i="24"/>
  <c r="I57" i="24"/>
  <c r="I55" i="24"/>
  <c r="I53" i="24"/>
  <c r="I51" i="24"/>
  <c r="I49" i="24"/>
  <c r="I47" i="24"/>
  <c r="I45" i="24"/>
  <c r="I43" i="24"/>
  <c r="I41" i="24"/>
  <c r="I39" i="24"/>
  <c r="I37" i="24"/>
  <c r="I35" i="24"/>
  <c r="I33" i="24"/>
  <c r="I31" i="24"/>
  <c r="I29" i="24"/>
  <c r="I27" i="24"/>
  <c r="I25" i="24"/>
  <c r="I23" i="24"/>
  <c r="I21" i="24"/>
  <c r="I19" i="24"/>
  <c r="I17" i="24"/>
  <c r="I15" i="24"/>
  <c r="I13" i="24"/>
  <c r="I11" i="24"/>
  <c r="I9" i="24"/>
  <c r="I7" i="24"/>
  <c r="I5" i="24"/>
  <c r="G3" i="24"/>
  <c r="J42" i="23"/>
  <c r="J36" i="23"/>
  <c r="J40" i="23" l="1"/>
  <c r="J34" i="23"/>
  <c r="U39" i="20"/>
  <c r="U33" i="20"/>
  <c r="U27" i="20"/>
  <c r="U21" i="20"/>
  <c r="U15" i="20"/>
  <c r="U9" i="20"/>
  <c r="U3" i="20"/>
  <c r="J12" i="20" l="1"/>
  <c r="U2" i="16"/>
  <c r="I2" i="16"/>
  <c r="J4" i="23" l="1"/>
  <c r="J6" i="23"/>
  <c r="J8" i="23"/>
  <c r="J12" i="23"/>
  <c r="J16" i="23"/>
  <c r="J18" i="23"/>
  <c r="J20" i="23"/>
  <c r="J22" i="23"/>
  <c r="J24" i="23"/>
  <c r="J28" i="23"/>
  <c r="J32" i="23"/>
  <c r="K35" i="23"/>
  <c r="K37" i="23"/>
  <c r="J38" i="23"/>
  <c r="J44" i="23"/>
  <c r="J48" i="23"/>
  <c r="J50" i="23"/>
  <c r="J54" i="23"/>
  <c r="J56" i="23"/>
  <c r="J60" i="23"/>
  <c r="I63" i="23"/>
  <c r="I61" i="23"/>
  <c r="I59" i="23"/>
  <c r="I57" i="23"/>
  <c r="I55" i="23"/>
  <c r="I53" i="23"/>
  <c r="I51" i="23"/>
  <c r="I49" i="23"/>
  <c r="I47" i="23"/>
  <c r="I45" i="23"/>
  <c r="I43" i="23"/>
  <c r="K41" i="23"/>
  <c r="I41" i="23"/>
  <c r="I39" i="23"/>
  <c r="I37" i="23"/>
  <c r="I35" i="23"/>
  <c r="I33" i="23"/>
  <c r="I31" i="23"/>
  <c r="I29" i="23"/>
  <c r="I27" i="23"/>
  <c r="I25" i="23"/>
  <c r="I23" i="23"/>
  <c r="I21" i="23"/>
  <c r="I19" i="23"/>
  <c r="I17" i="23"/>
  <c r="I15" i="23"/>
  <c r="K13" i="23"/>
  <c r="I13" i="23"/>
  <c r="I11" i="23"/>
  <c r="I9" i="23"/>
  <c r="I7" i="23"/>
  <c r="I5" i="23"/>
  <c r="K45" i="23" l="1"/>
  <c r="K21" i="23"/>
  <c r="K49" i="23"/>
  <c r="K39" i="23"/>
  <c r="K19" i="23"/>
  <c r="K61" i="23"/>
  <c r="K51" i="23"/>
  <c r="K57" i="23"/>
  <c r="K55" i="23"/>
  <c r="K29" i="23"/>
  <c r="K5" i="23"/>
  <c r="K3" i="23"/>
  <c r="J52" i="23"/>
  <c r="K33" i="23"/>
  <c r="J62" i="23"/>
  <c r="J58" i="23"/>
  <c r="K23" i="23"/>
  <c r="K43" i="23"/>
  <c r="J26" i="23"/>
  <c r="K7" i="23"/>
  <c r="J10" i="23"/>
  <c r="K17" i="23"/>
  <c r="J30" i="23"/>
  <c r="K25" i="23"/>
  <c r="J46" i="23"/>
  <c r="K9" i="23"/>
  <c r="J14" i="23"/>
  <c r="I3" i="23"/>
  <c r="K31" i="23" l="1"/>
  <c r="K63" i="23"/>
  <c r="K47" i="23"/>
  <c r="K11" i="23"/>
  <c r="K53" i="23"/>
  <c r="K59" i="23"/>
  <c r="K15" i="23"/>
  <c r="K27" i="23"/>
  <c r="J64" i="23"/>
  <c r="I62" i="16" l="1"/>
  <c r="BE12" i="16"/>
  <c r="J56" i="20"/>
  <c r="J54" i="20"/>
  <c r="J52" i="20"/>
  <c r="J50" i="20"/>
  <c r="J48" i="20"/>
  <c r="J46" i="20"/>
  <c r="J42" i="20"/>
  <c r="J40" i="20"/>
  <c r="J38" i="20"/>
  <c r="J36" i="20"/>
  <c r="J34" i="20"/>
  <c r="J32" i="20"/>
  <c r="J30" i="20"/>
  <c r="J28" i="20"/>
  <c r="J26" i="20"/>
  <c r="J24" i="20"/>
  <c r="K63" i="20"/>
  <c r="K61" i="20"/>
  <c r="K59" i="20"/>
  <c r="H63" i="21"/>
  <c r="H61" i="21"/>
  <c r="H59" i="21"/>
  <c r="H57" i="21"/>
  <c r="H53" i="21"/>
  <c r="H51" i="21"/>
  <c r="H49" i="21"/>
  <c r="H47" i="21"/>
  <c r="H45" i="21"/>
  <c r="H43" i="21"/>
  <c r="H37" i="21"/>
  <c r="H35" i="21"/>
  <c r="H33" i="21"/>
  <c r="H31" i="21"/>
  <c r="H27" i="21"/>
  <c r="H21" i="21"/>
  <c r="H19" i="21"/>
  <c r="H17" i="21"/>
  <c r="H15" i="21"/>
  <c r="H13" i="21"/>
  <c r="H9" i="21"/>
  <c r="H7" i="21"/>
  <c r="H5" i="21"/>
  <c r="H23" i="21"/>
  <c r="H25" i="21"/>
  <c r="H29" i="21"/>
  <c r="H39" i="21"/>
  <c r="H41" i="21"/>
  <c r="H55" i="21"/>
  <c r="I62" i="21"/>
  <c r="I60" i="21"/>
  <c r="I58" i="21"/>
  <c r="I56" i="21"/>
  <c r="I54" i="21"/>
  <c r="I52" i="21"/>
  <c r="I50" i="21"/>
  <c r="I48" i="21"/>
  <c r="I46" i="21"/>
  <c r="I44" i="21"/>
  <c r="I42" i="21"/>
  <c r="I40" i="21"/>
  <c r="I38" i="21"/>
  <c r="I36" i="21"/>
  <c r="I34" i="21"/>
  <c r="I32" i="21"/>
  <c r="I30" i="21"/>
  <c r="I28" i="21"/>
  <c r="I26" i="21"/>
  <c r="I24" i="21"/>
  <c r="I22" i="21"/>
  <c r="I20" i="21"/>
  <c r="I16" i="21"/>
  <c r="I14" i="21"/>
  <c r="I12" i="21"/>
  <c r="I10" i="21"/>
  <c r="I8" i="21"/>
  <c r="I6" i="21"/>
  <c r="I4" i="21"/>
  <c r="I2" i="21"/>
  <c r="J11" i="21" l="1"/>
  <c r="J7" i="21"/>
  <c r="J39" i="21"/>
  <c r="J9" i="21"/>
  <c r="J57" i="21"/>
  <c r="J27" i="21"/>
  <c r="J43" i="21"/>
  <c r="J59" i="21"/>
  <c r="J21" i="21"/>
  <c r="J37" i="21"/>
  <c r="J29" i="21"/>
  <c r="J45" i="21"/>
  <c r="J15" i="21"/>
  <c r="J31" i="21"/>
  <c r="J47" i="21"/>
  <c r="J63" i="21"/>
  <c r="J17" i="21"/>
  <c r="J33" i="21"/>
  <c r="J49" i="21"/>
  <c r="J5" i="21"/>
  <c r="J53" i="21"/>
  <c r="J23" i="21"/>
  <c r="J55" i="21"/>
  <c r="J25" i="21"/>
  <c r="J41" i="21"/>
  <c r="J13" i="21"/>
  <c r="J61" i="21"/>
  <c r="J3" i="21"/>
  <c r="J19" i="21"/>
  <c r="J35" i="21"/>
  <c r="J51" i="21"/>
  <c r="H3" i="21"/>
  <c r="K43" i="20"/>
  <c r="K29" i="20"/>
  <c r="K39" i="20"/>
  <c r="K33" i="20"/>
  <c r="K35" i="20"/>
  <c r="K25" i="20"/>
  <c r="K41" i="20"/>
  <c r="K31" i="20"/>
  <c r="K37" i="20"/>
  <c r="K27" i="20"/>
  <c r="K45" i="20"/>
  <c r="K57" i="20"/>
  <c r="K55" i="20"/>
  <c r="K53" i="20"/>
  <c r="K51" i="20"/>
  <c r="K47" i="20"/>
  <c r="K49" i="20"/>
  <c r="J20" i="20"/>
  <c r="J22" i="20"/>
  <c r="J18" i="20" l="1"/>
  <c r="K23" i="20"/>
  <c r="K21" i="20"/>
  <c r="V8" i="20"/>
  <c r="AS9" i="20"/>
  <c r="AT8" i="20"/>
  <c r="AU9" i="20" s="1"/>
  <c r="BE8" i="20"/>
  <c r="BE9" i="20" s="1"/>
  <c r="BF8" i="20"/>
  <c r="BG9" i="20" s="1"/>
  <c r="U11" i="20"/>
  <c r="V10" i="20"/>
  <c r="AS11" i="20"/>
  <c r="AT10" i="20"/>
  <c r="AU11" i="20" s="1"/>
  <c r="BE10" i="20"/>
  <c r="BE11" i="20" s="1"/>
  <c r="BF10" i="20"/>
  <c r="BG11" i="20" s="1"/>
  <c r="U13" i="20"/>
  <c r="W13" i="20"/>
  <c r="AS13" i="20"/>
  <c r="AU13" i="20"/>
  <c r="BE13" i="20"/>
  <c r="BG13" i="20"/>
  <c r="V14" i="20"/>
  <c r="AS15" i="20"/>
  <c r="AT14" i="20"/>
  <c r="AU15" i="20" s="1"/>
  <c r="BE14" i="20"/>
  <c r="BE15" i="20" s="1"/>
  <c r="BF14" i="20"/>
  <c r="BG15" i="20" s="1"/>
  <c r="U17" i="20"/>
  <c r="V16" i="20"/>
  <c r="AS17" i="20"/>
  <c r="AT16" i="20"/>
  <c r="AU17" i="20" s="1"/>
  <c r="BE16" i="20"/>
  <c r="BE17" i="20" s="1"/>
  <c r="BF16" i="20"/>
  <c r="BG17" i="20" s="1"/>
  <c r="U19" i="20"/>
  <c r="W19" i="20"/>
  <c r="AS19" i="20"/>
  <c r="AU19" i="20"/>
  <c r="BE19" i="20"/>
  <c r="BG19" i="20"/>
  <c r="V20" i="20"/>
  <c r="AS21" i="20"/>
  <c r="AT20" i="20"/>
  <c r="AU21" i="20" s="1"/>
  <c r="BE20" i="20"/>
  <c r="BE21" i="20" s="1"/>
  <c r="BF20" i="20"/>
  <c r="BG21" i="20" s="1"/>
  <c r="U23" i="20"/>
  <c r="V22" i="20"/>
  <c r="AS23" i="20"/>
  <c r="AT22" i="20"/>
  <c r="AU23" i="20" s="1"/>
  <c r="BE22" i="20"/>
  <c r="BE23" i="20" s="1"/>
  <c r="BF22" i="20"/>
  <c r="BG23" i="20" s="1"/>
  <c r="U25" i="20"/>
  <c r="W25" i="20"/>
  <c r="AS25" i="20"/>
  <c r="AU25" i="20"/>
  <c r="BE25" i="20"/>
  <c r="BG25" i="20"/>
  <c r="V26" i="20"/>
  <c r="AS27" i="20"/>
  <c r="AT26" i="20"/>
  <c r="AU27" i="20" s="1"/>
  <c r="BE26" i="20"/>
  <c r="BE27" i="20" s="1"/>
  <c r="BF26" i="20"/>
  <c r="BG27" i="20" s="1"/>
  <c r="U29" i="20"/>
  <c r="V28" i="20"/>
  <c r="AS29" i="20"/>
  <c r="AT28" i="20"/>
  <c r="AU29" i="20" s="1"/>
  <c r="BE28" i="20"/>
  <c r="BE29" i="20" s="1"/>
  <c r="BF28" i="20"/>
  <c r="BG29" i="20" s="1"/>
  <c r="U31" i="20"/>
  <c r="AS31" i="20"/>
  <c r="AU31" i="20"/>
  <c r="BE31" i="20"/>
  <c r="BG31" i="20"/>
  <c r="V32" i="20"/>
  <c r="W33" i="20" s="1"/>
  <c r="AS33" i="20"/>
  <c r="AT32" i="20"/>
  <c r="AU33" i="20" s="1"/>
  <c r="BE32" i="20"/>
  <c r="BE33" i="20" s="1"/>
  <c r="BF32" i="20"/>
  <c r="BG33" i="20" s="1"/>
  <c r="U35" i="20"/>
  <c r="V34" i="20"/>
  <c r="AS35" i="20"/>
  <c r="AT34" i="20"/>
  <c r="AU35" i="20" s="1"/>
  <c r="BE34" i="20"/>
  <c r="BE35" i="20" s="1"/>
  <c r="BF34" i="20"/>
  <c r="BG35" i="20" s="1"/>
  <c r="U37" i="20"/>
  <c r="AS37" i="20"/>
  <c r="AU37" i="20"/>
  <c r="BE37" i="20"/>
  <c r="BG37" i="20"/>
  <c r="V38" i="20"/>
  <c r="W39" i="20" s="1"/>
  <c r="AS39" i="20"/>
  <c r="AT38" i="20"/>
  <c r="AU39" i="20" s="1"/>
  <c r="BE38" i="20"/>
  <c r="BE39" i="20" s="1"/>
  <c r="BF38" i="20"/>
  <c r="BG39" i="20" s="1"/>
  <c r="U41" i="20"/>
  <c r="V40" i="20"/>
  <c r="AS41" i="20"/>
  <c r="AT40" i="20"/>
  <c r="AU41" i="20" s="1"/>
  <c r="BE40" i="20"/>
  <c r="BE41" i="20" s="1"/>
  <c r="BF40" i="20"/>
  <c r="BG41" i="20" s="1"/>
  <c r="V43" i="20"/>
  <c r="AT43" i="20"/>
  <c r="BE43" i="20"/>
  <c r="BF43" i="20"/>
  <c r="V44" i="20"/>
  <c r="AT44" i="20"/>
  <c r="BE44" i="20"/>
  <c r="BF44" i="20"/>
  <c r="V46" i="20"/>
  <c r="AT46" i="20"/>
  <c r="BE46" i="20"/>
  <c r="BF46" i="20"/>
  <c r="V47" i="20"/>
  <c r="AT47" i="20"/>
  <c r="BE47" i="20"/>
  <c r="BF47" i="20"/>
  <c r="V49" i="20"/>
  <c r="AT49" i="20"/>
  <c r="BE49" i="20"/>
  <c r="BF49" i="20"/>
  <c r="V50" i="20"/>
  <c r="AT50" i="20"/>
  <c r="BE50" i="20"/>
  <c r="BF50" i="20"/>
  <c r="V52" i="20"/>
  <c r="AT52" i="20"/>
  <c r="BE52" i="20"/>
  <c r="BF52" i="20"/>
  <c r="BG7" i="20"/>
  <c r="BE7" i="20"/>
  <c r="AU7" i="20"/>
  <c r="AS7" i="20"/>
  <c r="W7" i="20"/>
  <c r="U7" i="20"/>
  <c r="BF4" i="20"/>
  <c r="BG5" i="20" s="1"/>
  <c r="BE4" i="20"/>
  <c r="BE5" i="20" s="1"/>
  <c r="AT4" i="20"/>
  <c r="AU5" i="20" s="1"/>
  <c r="AS5" i="20"/>
  <c r="V4" i="20"/>
  <c r="U5" i="20"/>
  <c r="BF2" i="20"/>
  <c r="BG3" i="20" s="1"/>
  <c r="BE2" i="20"/>
  <c r="BE3" i="20" s="1"/>
  <c r="AT2" i="20"/>
  <c r="AU3" i="20" s="1"/>
  <c r="AS3" i="20"/>
  <c r="AH2" i="20"/>
  <c r="V2" i="20"/>
  <c r="BE62" i="16"/>
  <c r="BE60" i="16"/>
  <c r="BE58" i="16"/>
  <c r="BE56" i="16"/>
  <c r="BE54" i="16"/>
  <c r="BE52" i="16"/>
  <c r="BE50" i="16"/>
  <c r="BE48" i="16"/>
  <c r="BE46" i="16"/>
  <c r="BE44" i="16"/>
  <c r="BE42" i="16"/>
  <c r="BE40" i="16"/>
  <c r="BE38" i="16"/>
  <c r="BE36" i="16"/>
  <c r="BE34" i="16"/>
  <c r="BE32" i="16"/>
  <c r="BE30" i="16"/>
  <c r="BE28" i="16"/>
  <c r="BE26" i="16"/>
  <c r="BE24" i="16"/>
  <c r="BE22" i="16"/>
  <c r="BE20" i="16"/>
  <c r="BE18" i="16"/>
  <c r="BE16" i="16"/>
  <c r="BE14" i="16"/>
  <c r="BF13" i="16"/>
  <c r="BE10" i="16"/>
  <c r="BE8" i="16"/>
  <c r="BE6" i="16"/>
  <c r="BE4" i="16"/>
  <c r="BE2" i="16"/>
  <c r="AS62" i="16"/>
  <c r="AS60" i="16"/>
  <c r="AS58" i="16"/>
  <c r="AS56" i="16"/>
  <c r="AS54" i="16"/>
  <c r="AS52" i="16"/>
  <c r="AS50" i="16"/>
  <c r="AS48" i="16"/>
  <c r="AS46" i="16"/>
  <c r="AS44" i="16"/>
  <c r="AS42" i="16"/>
  <c r="AS40" i="16"/>
  <c r="AS38" i="16"/>
  <c r="AS36" i="16"/>
  <c r="AS34" i="16"/>
  <c r="AS32" i="16"/>
  <c r="AS30" i="16"/>
  <c r="AS28" i="16"/>
  <c r="AS26" i="16"/>
  <c r="AS24" i="16"/>
  <c r="AS22" i="16"/>
  <c r="AS20" i="16"/>
  <c r="AS18" i="16"/>
  <c r="AS16" i="16"/>
  <c r="AS14" i="16"/>
  <c r="AS12" i="16"/>
  <c r="AS10" i="16"/>
  <c r="AS8" i="16"/>
  <c r="AS6" i="16"/>
  <c r="AS4" i="16"/>
  <c r="AG62" i="16"/>
  <c r="AG60" i="16"/>
  <c r="AG58" i="16"/>
  <c r="AG56" i="16"/>
  <c r="AG54" i="16"/>
  <c r="AG52" i="16"/>
  <c r="AG50" i="16"/>
  <c r="AG48" i="16"/>
  <c r="AG46" i="16"/>
  <c r="AG44" i="16"/>
  <c r="AG42" i="16"/>
  <c r="AG40" i="16"/>
  <c r="AG38" i="16"/>
  <c r="AG36" i="16"/>
  <c r="AG34" i="16"/>
  <c r="AG32" i="16"/>
  <c r="AG30" i="16"/>
  <c r="AG28" i="16"/>
  <c r="AG26" i="16"/>
  <c r="AG24" i="16"/>
  <c r="AG22" i="16"/>
  <c r="AG20" i="16"/>
  <c r="AG18" i="16"/>
  <c r="AG16" i="16"/>
  <c r="AG14" i="16"/>
  <c r="AG12" i="16"/>
  <c r="AG10" i="16"/>
  <c r="AG8" i="16"/>
  <c r="AG6" i="16"/>
  <c r="AG4" i="16"/>
  <c r="U62" i="16"/>
  <c r="U60" i="16"/>
  <c r="U58" i="16"/>
  <c r="U56" i="16"/>
  <c r="U54" i="16"/>
  <c r="U52" i="16"/>
  <c r="U50" i="16"/>
  <c r="U48" i="16"/>
  <c r="U46" i="16"/>
  <c r="U44" i="16"/>
  <c r="U42" i="16"/>
  <c r="U40" i="16"/>
  <c r="U38" i="16"/>
  <c r="U36" i="16"/>
  <c r="U34" i="16"/>
  <c r="U32" i="16"/>
  <c r="U30" i="16"/>
  <c r="U28" i="16"/>
  <c r="U26" i="16"/>
  <c r="U24" i="16"/>
  <c r="U22" i="16"/>
  <c r="U20" i="16"/>
  <c r="U18" i="16"/>
  <c r="U16" i="16"/>
  <c r="U14" i="16"/>
  <c r="U12" i="16"/>
  <c r="U10" i="16"/>
  <c r="U8" i="16"/>
  <c r="U6" i="16"/>
  <c r="U4" i="16"/>
  <c r="AI3" i="20" l="1"/>
  <c r="BF21" i="16"/>
  <c r="K15" i="20"/>
  <c r="W23" i="20"/>
  <c r="W21" i="20"/>
  <c r="W29" i="20"/>
  <c r="W27" i="20"/>
  <c r="W17" i="20"/>
  <c r="W11" i="20"/>
  <c r="W9" i="20"/>
  <c r="W15" i="20"/>
  <c r="W5" i="20"/>
  <c r="W3" i="20"/>
  <c r="W41" i="20"/>
  <c r="W37" i="20"/>
  <c r="W35" i="20"/>
  <c r="W31" i="20"/>
  <c r="K17" i="20"/>
  <c r="V21" i="16"/>
  <c r="V53" i="16"/>
  <c r="AT41" i="16"/>
  <c r="BF3" i="16"/>
  <c r="BF19" i="16"/>
  <c r="BF47" i="16"/>
  <c r="V7" i="16"/>
  <c r="V23" i="16"/>
  <c r="V39" i="16"/>
  <c r="V55" i="16"/>
  <c r="AH11" i="16"/>
  <c r="AH27" i="16"/>
  <c r="AH43" i="16"/>
  <c r="AH59" i="16"/>
  <c r="AT13" i="16"/>
  <c r="AT27" i="16"/>
  <c r="AT43" i="16"/>
  <c r="AT57" i="16"/>
  <c r="AR3" i="16"/>
  <c r="BF5" i="16"/>
  <c r="BF35" i="16"/>
  <c r="BF63" i="16"/>
  <c r="AT25" i="16"/>
  <c r="AT15" i="16"/>
  <c r="BF7" i="16"/>
  <c r="BF37" i="16"/>
  <c r="V11" i="16"/>
  <c r="V27" i="16"/>
  <c r="V43" i="16"/>
  <c r="V59" i="16"/>
  <c r="AH15" i="16"/>
  <c r="AH31" i="16"/>
  <c r="AH47" i="16"/>
  <c r="AH63" i="16"/>
  <c r="AT17" i="16"/>
  <c r="AT31" i="16"/>
  <c r="AT47" i="16"/>
  <c r="AT59" i="16"/>
  <c r="BF9" i="16"/>
  <c r="BF25" i="16"/>
  <c r="BF39" i="16"/>
  <c r="BF53" i="16"/>
  <c r="V5" i="16"/>
  <c r="V37" i="16"/>
  <c r="AT11" i="16"/>
  <c r="AH13" i="16"/>
  <c r="AH29" i="16"/>
  <c r="AH45" i="16"/>
  <c r="AH61" i="16"/>
  <c r="V13" i="16"/>
  <c r="V45" i="16"/>
  <c r="V61" i="16"/>
  <c r="AH17" i="16"/>
  <c r="AH33" i="16"/>
  <c r="AH49" i="16"/>
  <c r="AH3" i="16"/>
  <c r="AT3" i="16"/>
  <c r="AT19" i="16"/>
  <c r="AT33" i="16"/>
  <c r="AT49" i="16"/>
  <c r="AT61" i="16"/>
  <c r="BF11" i="16"/>
  <c r="BF41" i="16"/>
  <c r="BF55" i="16"/>
  <c r="BF61" i="16"/>
  <c r="AT29" i="16"/>
  <c r="BF23" i="16"/>
  <c r="BF51" i="16"/>
  <c r="V15" i="16"/>
  <c r="V47" i="16"/>
  <c r="V63" i="16"/>
  <c r="AH19" i="16"/>
  <c r="AH35" i="16"/>
  <c r="AH51" i="16"/>
  <c r="AF3" i="16"/>
  <c r="AT5" i="16"/>
  <c r="AT21" i="16"/>
  <c r="AT35" i="16"/>
  <c r="AT51" i="16"/>
  <c r="AT63" i="16"/>
  <c r="BF27" i="16"/>
  <c r="BF57" i="16"/>
  <c r="AH25" i="16"/>
  <c r="AH41" i="16"/>
  <c r="V9" i="16"/>
  <c r="V25" i="16"/>
  <c r="V57" i="16"/>
  <c r="V17" i="16"/>
  <c r="V33" i="16"/>
  <c r="V49" i="16"/>
  <c r="V3" i="16"/>
  <c r="AH5" i="16"/>
  <c r="AH21" i="16"/>
  <c r="AH37" i="16"/>
  <c r="AH53" i="16"/>
  <c r="AT7" i="16"/>
  <c r="AT23" i="16"/>
  <c r="AT37" i="16"/>
  <c r="AT53" i="16"/>
  <c r="BF15" i="16"/>
  <c r="BF29" i="16"/>
  <c r="BF43" i="16"/>
  <c r="AH9" i="16"/>
  <c r="AH57" i="16"/>
  <c r="AT45" i="16"/>
  <c r="V19" i="16"/>
  <c r="V35" i="16"/>
  <c r="V51" i="16"/>
  <c r="T3" i="16"/>
  <c r="AH7" i="16"/>
  <c r="AH23" i="16"/>
  <c r="AH39" i="16"/>
  <c r="AH55" i="16"/>
  <c r="AT9" i="16"/>
  <c r="AT39" i="16"/>
  <c r="AT55" i="16"/>
  <c r="BF17" i="16"/>
  <c r="BF31" i="16"/>
  <c r="BF45" i="16"/>
  <c r="BF59" i="16"/>
  <c r="K13" i="20"/>
  <c r="K11" i="20"/>
  <c r="K19" i="20"/>
  <c r="K3" i="20"/>
  <c r="K5" i="20"/>
  <c r="K9" i="20"/>
  <c r="K7" i="20"/>
  <c r="I3" i="20"/>
  <c r="BF33" i="16"/>
  <c r="BF49" i="16"/>
  <c r="BD3" i="16"/>
  <c r="V41" i="16"/>
  <c r="V29" i="16"/>
  <c r="V31" i="16"/>
  <c r="I62" i="17" l="1"/>
  <c r="I60" i="17"/>
  <c r="I58" i="17"/>
  <c r="I56" i="17"/>
  <c r="I54" i="17"/>
  <c r="I52" i="17"/>
  <c r="I50" i="17"/>
  <c r="I48" i="17"/>
  <c r="I46" i="17"/>
  <c r="I44" i="17"/>
  <c r="I42" i="17"/>
  <c r="I40" i="17"/>
  <c r="I38" i="17"/>
  <c r="I36" i="17"/>
  <c r="J55" i="17" l="1"/>
  <c r="J59" i="17"/>
  <c r="J45" i="17"/>
  <c r="J61" i="17"/>
  <c r="J39" i="17"/>
  <c r="J41" i="17"/>
  <c r="J57" i="17"/>
  <c r="J47" i="17"/>
  <c r="J63" i="17"/>
  <c r="J51" i="17"/>
  <c r="J53" i="17"/>
  <c r="J43" i="17"/>
  <c r="J49" i="17"/>
  <c r="E36" i="10" l="1"/>
  <c r="I32" i="17" l="1"/>
  <c r="I34" i="17"/>
  <c r="J37" i="17"/>
  <c r="J35" i="17" l="1"/>
  <c r="J33" i="17"/>
  <c r="I26" i="16" l="1"/>
  <c r="I28" i="16"/>
  <c r="I30" i="16"/>
  <c r="I32" i="16"/>
  <c r="I34" i="16"/>
  <c r="I36" i="16"/>
  <c r="I38" i="16"/>
  <c r="I40" i="16"/>
  <c r="I42" i="16"/>
  <c r="I44" i="16"/>
  <c r="I46" i="16"/>
  <c r="I48" i="16"/>
  <c r="I50" i="16"/>
  <c r="I52" i="16"/>
  <c r="I54" i="16"/>
  <c r="I56" i="16"/>
  <c r="I58" i="16"/>
  <c r="I60" i="16"/>
  <c r="J63" i="16" l="1"/>
  <c r="J61" i="16"/>
  <c r="J59" i="16"/>
  <c r="J57" i="16"/>
  <c r="J55" i="16"/>
  <c r="J53" i="16"/>
  <c r="J51" i="16"/>
  <c r="J49" i="16"/>
  <c r="J47" i="16"/>
  <c r="J45" i="16"/>
  <c r="J43" i="16"/>
  <c r="J41" i="16"/>
  <c r="J39" i="16"/>
  <c r="J37" i="16"/>
  <c r="J35" i="16"/>
  <c r="J33" i="16"/>
  <c r="P82" i="19" l="1"/>
  <c r="J48" i="10" l="1"/>
  <c r="J47" i="10" s="1"/>
  <c r="J50" i="10"/>
  <c r="J49" i="10" s="1"/>
  <c r="J52" i="10"/>
  <c r="J51" i="10" s="1"/>
  <c r="L7" i="10"/>
  <c r="R96" i="10" s="1"/>
  <c r="S97" i="10" s="1"/>
  <c r="Q98" i="10"/>
  <c r="Q99" i="10" s="1"/>
  <c r="L6" i="10"/>
  <c r="G32" i="10"/>
  <c r="Q96" i="10" s="1"/>
  <c r="Q97" i="10" s="1"/>
  <c r="K7" i="10" l="1"/>
  <c r="M7" i="10" s="1"/>
  <c r="R98" i="10" s="1"/>
  <c r="S99" i="10" s="1"/>
  <c r="T99" i="10" s="1"/>
  <c r="H32" i="10"/>
  <c r="I32" i="10" s="1"/>
  <c r="I31" i="10"/>
  <c r="H26" i="10"/>
  <c r="I26" i="10" s="1"/>
  <c r="H27" i="10"/>
  <c r="I27" i="10" s="1"/>
  <c r="H28" i="10"/>
  <c r="I28" i="10" s="1"/>
  <c r="H29" i="10"/>
  <c r="I29" i="10" s="1"/>
  <c r="H30" i="10"/>
  <c r="I30" i="10" s="1"/>
  <c r="H31" i="10"/>
  <c r="E26" i="10"/>
  <c r="E27" i="10"/>
  <c r="E28" i="10"/>
  <c r="E29" i="10"/>
  <c r="E30" i="10"/>
  <c r="E31" i="10"/>
  <c r="E32" i="10"/>
  <c r="E38" i="10" l="1"/>
  <c r="R33" i="9" l="1"/>
  <c r="P33" i="9"/>
  <c r="Q33" i="9"/>
  <c r="Q28" i="9"/>
  <c r="Q27" i="9"/>
  <c r="Q26" i="9"/>
  <c r="Q25" i="9"/>
  <c r="Q22" i="9"/>
  <c r="P21" i="9"/>
  <c r="Q20" i="9"/>
  <c r="Q18" i="9"/>
  <c r="P15" i="9"/>
  <c r="R3" i="9"/>
  <c r="R4" i="9" s="1"/>
  <c r="S3" i="9"/>
  <c r="S2" i="9"/>
  <c r="R2" i="9"/>
  <c r="F2" i="9"/>
  <c r="E32" i="9"/>
  <c r="E31" i="9"/>
  <c r="E30" i="9"/>
  <c r="E29" i="9"/>
  <c r="E28" i="9"/>
  <c r="E27" i="9"/>
  <c r="E26" i="9"/>
  <c r="E25" i="9"/>
  <c r="E24" i="9"/>
  <c r="E23" i="9"/>
  <c r="E22" i="9"/>
  <c r="E21" i="9"/>
  <c r="E20" i="9"/>
  <c r="E19" i="9"/>
  <c r="E18" i="9"/>
  <c r="E17" i="9"/>
  <c r="E16" i="9"/>
  <c r="E15" i="9"/>
  <c r="E14" i="9"/>
  <c r="E13" i="9"/>
  <c r="E12" i="9"/>
  <c r="E11" i="9"/>
  <c r="E10" i="9"/>
  <c r="E9" i="9"/>
  <c r="E8" i="9"/>
  <c r="E7" i="9"/>
  <c r="E6" i="9"/>
  <c r="E5" i="9"/>
  <c r="E4" i="9"/>
  <c r="E3" i="9"/>
  <c r="H52" i="9"/>
  <c r="H51" i="9" s="1"/>
  <c r="H50" i="9"/>
  <c r="H48" i="9"/>
  <c r="H46" i="9"/>
  <c r="H44" i="9"/>
  <c r="H42" i="9"/>
  <c r="H40" i="9"/>
  <c r="H38" i="9"/>
  <c r="H36" i="9"/>
  <c r="H34" i="9"/>
  <c r="H33" i="9"/>
  <c r="H32" i="9"/>
  <c r="F32" i="9"/>
  <c r="G32" i="9" s="1"/>
  <c r="H30" i="9"/>
  <c r="F31" i="9"/>
  <c r="G31" i="9" s="1"/>
  <c r="F30" i="9"/>
  <c r="G30" i="9" s="1"/>
  <c r="H28" i="9"/>
  <c r="H45" i="9"/>
  <c r="H26" i="9"/>
  <c r="F25" i="9"/>
  <c r="G25" i="9" s="1"/>
  <c r="H24" i="9"/>
  <c r="F24" i="9"/>
  <c r="G24" i="9" s="1"/>
  <c r="H22" i="9"/>
  <c r="F23" i="9"/>
  <c r="G23" i="9" s="1"/>
  <c r="F22" i="9"/>
  <c r="G22" i="9" s="1"/>
  <c r="H20" i="9"/>
  <c r="H19" i="9" s="1"/>
  <c r="Q8" i="9" s="1"/>
  <c r="F19" i="9"/>
  <c r="G19" i="9" s="1"/>
  <c r="H18" i="9"/>
  <c r="F17" i="9"/>
  <c r="G17" i="9" s="1"/>
  <c r="H16" i="9"/>
  <c r="F16" i="9"/>
  <c r="G16" i="9" s="1"/>
  <c r="H14" i="9"/>
  <c r="F14" i="9"/>
  <c r="G14" i="9" s="1"/>
  <c r="H23" i="9"/>
  <c r="Q12" i="9" s="1"/>
  <c r="F10" i="9"/>
  <c r="G10" i="9" s="1"/>
  <c r="F9" i="9"/>
  <c r="G9" i="9" s="1"/>
  <c r="F8" i="9"/>
  <c r="G8" i="9" s="1"/>
  <c r="F6" i="9"/>
  <c r="G6" i="9" s="1"/>
  <c r="F4" i="9"/>
  <c r="G4" i="9" s="1"/>
  <c r="G2" i="9"/>
  <c r="E2" i="9"/>
  <c r="F3" i="9" s="1"/>
  <c r="G3" i="9" s="1"/>
  <c r="S4" i="9" l="1"/>
  <c r="R5" i="9"/>
  <c r="R6" i="9" s="1"/>
  <c r="R7" i="9" s="1"/>
  <c r="R8" i="9" s="1"/>
  <c r="R9" i="9" s="1"/>
  <c r="R10" i="9" s="1"/>
  <c r="R11" i="9" s="1"/>
  <c r="R12" i="9" s="1"/>
  <c r="R13" i="9" s="1"/>
  <c r="R14" i="9" s="1"/>
  <c r="R15" i="9" s="1"/>
  <c r="R16" i="9" s="1"/>
  <c r="R17" i="9" s="1"/>
  <c r="R18" i="9" s="1"/>
  <c r="R19" i="9" s="1"/>
  <c r="R20" i="9" s="1"/>
  <c r="R21" i="9" s="1"/>
  <c r="R22" i="9" s="1"/>
  <c r="R23" i="9" s="1"/>
  <c r="R24" i="9" s="1"/>
  <c r="R25" i="9" s="1"/>
  <c r="R26" i="9" s="1"/>
  <c r="R27" i="9" s="1"/>
  <c r="R28" i="9" s="1"/>
  <c r="R29" i="9" s="1"/>
  <c r="R30" i="9" s="1"/>
  <c r="R31" i="9" s="1"/>
  <c r="R32" i="9" s="1"/>
  <c r="S1" i="9"/>
  <c r="F5" i="9"/>
  <c r="G5" i="9" s="1"/>
  <c r="H13" i="9"/>
  <c r="Q5" i="9" s="1"/>
  <c r="H35" i="9"/>
  <c r="F20" i="9"/>
  <c r="G20" i="9" s="1"/>
  <c r="H47" i="9"/>
  <c r="F28" i="9"/>
  <c r="G28" i="9" s="1"/>
  <c r="F18" i="9"/>
  <c r="G18" i="9" s="1"/>
  <c r="H31" i="9"/>
  <c r="F26" i="9"/>
  <c r="G26" i="9" s="1"/>
  <c r="H43" i="9"/>
  <c r="H21" i="9"/>
  <c r="Q11" i="9" s="1"/>
  <c r="F11" i="9"/>
  <c r="G11" i="9" s="1"/>
  <c r="F7" i="9"/>
  <c r="G7" i="9" s="1"/>
  <c r="H17" i="9"/>
  <c r="F21" i="9"/>
  <c r="G21" i="9" s="1"/>
  <c r="H37" i="9"/>
  <c r="H49" i="9"/>
  <c r="F29" i="9"/>
  <c r="G29" i="9" s="1"/>
  <c r="H29" i="9"/>
  <c r="F15" i="9"/>
  <c r="G15" i="9" s="1"/>
  <c r="F13" i="9"/>
  <c r="G13" i="9" s="1"/>
  <c r="H25" i="9"/>
  <c r="Q13" i="9" s="1"/>
  <c r="H41" i="9"/>
  <c r="H15" i="9"/>
  <c r="F27" i="9"/>
  <c r="G27" i="9" s="1"/>
  <c r="H27" i="9"/>
  <c r="Q14" i="9" s="1"/>
  <c r="H39" i="9"/>
  <c r="F12" i="9"/>
  <c r="G12" i="9" s="1"/>
  <c r="R34" i="9" l="1"/>
  <c r="S5" i="9"/>
  <c r="S6" i="9" l="1"/>
  <c r="S7" i="9" l="1"/>
  <c r="S8" i="9" l="1"/>
  <c r="S9" i="9" l="1"/>
  <c r="S10" i="9" l="1"/>
  <c r="S11" i="9" l="1"/>
  <c r="S12" i="9" l="1"/>
  <c r="S13" i="9" l="1"/>
  <c r="S14" i="9" l="1"/>
  <c r="S15" i="9"/>
  <c r="S16" i="9" l="1"/>
  <c r="S17" i="9" l="1"/>
  <c r="S18" i="9" l="1"/>
  <c r="S19" i="9" l="1"/>
  <c r="S20" i="9" l="1"/>
  <c r="S21" i="9" l="1"/>
  <c r="S22" i="9" l="1"/>
  <c r="S23" i="9" l="1"/>
  <c r="S24" i="9" l="1"/>
  <c r="S25" i="9" l="1"/>
  <c r="S26" i="9" l="1"/>
  <c r="S27" i="9" l="1"/>
  <c r="S28" i="9" l="1"/>
  <c r="S29" i="9" l="1"/>
  <c r="S30" i="9" l="1"/>
  <c r="S31" i="9" l="1"/>
  <c r="S32" i="9" l="1"/>
  <c r="P16" i="19" l="1"/>
  <c r="P17" i="19" l="1"/>
  <c r="P8" i="19"/>
  <c r="P9" i="19" s="1"/>
  <c r="P18" i="19"/>
  <c r="P19" i="19" s="1"/>
  <c r="P14" i="19"/>
  <c r="P15" i="19" s="1"/>
  <c r="P10" i="19"/>
  <c r="P11" i="19" s="1"/>
  <c r="P6" i="19"/>
  <c r="P7" i="19" s="1"/>
  <c r="P4" i="19"/>
  <c r="P5" i="19" s="1"/>
  <c r="P2" i="19"/>
  <c r="H3" i="19"/>
  <c r="H4" i="19"/>
  <c r="H8" i="19"/>
  <c r="H9" i="19"/>
  <c r="H10" i="19"/>
  <c r="H11" i="19"/>
  <c r="H12" i="19"/>
  <c r="H13" i="19"/>
  <c r="H14" i="19"/>
  <c r="H15" i="19"/>
  <c r="H16" i="19"/>
  <c r="H17" i="19"/>
  <c r="H18" i="19"/>
  <c r="H19" i="19"/>
  <c r="H20" i="19"/>
  <c r="H21" i="19"/>
  <c r="H22" i="19"/>
  <c r="H23" i="19"/>
  <c r="H24" i="19"/>
  <c r="H25" i="19"/>
  <c r="H26" i="19"/>
  <c r="H27" i="19"/>
  <c r="H28" i="19"/>
  <c r="H29" i="19"/>
  <c r="H30" i="19"/>
  <c r="H31" i="19"/>
  <c r="H32" i="19"/>
  <c r="I32" i="19" s="1"/>
  <c r="H2" i="19"/>
  <c r="I2" i="19" s="1"/>
  <c r="Q2" i="19" s="1"/>
  <c r="J18" i="19"/>
  <c r="J16" i="19"/>
  <c r="J14" i="19"/>
  <c r="G3" i="19"/>
  <c r="G4" i="19"/>
  <c r="Q8" i="19" s="1"/>
  <c r="R9" i="19" s="1"/>
  <c r="G5" i="19"/>
  <c r="G6" i="19"/>
  <c r="Q16" i="19" s="1"/>
  <c r="G2" i="19"/>
  <c r="E2" i="19"/>
  <c r="Q104" i="19"/>
  <c r="R105" i="19" s="1"/>
  <c r="P104" i="19"/>
  <c r="P105" i="19" s="1"/>
  <c r="Q102" i="19"/>
  <c r="R103" i="19" s="1"/>
  <c r="P102" i="19"/>
  <c r="P103" i="19" s="1"/>
  <c r="Q100" i="19"/>
  <c r="R101" i="19" s="1"/>
  <c r="P100" i="19"/>
  <c r="P101" i="19" s="1"/>
  <c r="Q98" i="19"/>
  <c r="P98" i="19"/>
  <c r="P99" i="19" s="1"/>
  <c r="P96" i="19"/>
  <c r="P97" i="19" s="1"/>
  <c r="P94" i="19"/>
  <c r="P95" i="19" s="1"/>
  <c r="P92" i="19"/>
  <c r="P93" i="19" s="1"/>
  <c r="P90" i="19"/>
  <c r="P91" i="19" s="1"/>
  <c r="P88" i="19"/>
  <c r="P89" i="19" s="1"/>
  <c r="P86" i="19"/>
  <c r="P87" i="19" s="1"/>
  <c r="P84" i="19"/>
  <c r="P85" i="19" s="1"/>
  <c r="P83" i="19"/>
  <c r="P80" i="19"/>
  <c r="P81" i="19" s="1"/>
  <c r="P78" i="19"/>
  <c r="P79" i="19" s="1"/>
  <c r="P76" i="19"/>
  <c r="P77" i="19" s="1"/>
  <c r="P74" i="19"/>
  <c r="P75" i="19" s="1"/>
  <c r="P72" i="19"/>
  <c r="P73" i="19" s="1"/>
  <c r="P70" i="19"/>
  <c r="P71" i="19" s="1"/>
  <c r="P68" i="19"/>
  <c r="P69" i="19" s="1"/>
  <c r="P66" i="19"/>
  <c r="P67" i="19" s="1"/>
  <c r="P64" i="19"/>
  <c r="P65" i="19" s="1"/>
  <c r="P62" i="19"/>
  <c r="P63" i="19" s="1"/>
  <c r="P60" i="19"/>
  <c r="P61" i="19" s="1"/>
  <c r="P58" i="19"/>
  <c r="P59" i="19" s="1"/>
  <c r="P56" i="19"/>
  <c r="P57" i="19" s="1"/>
  <c r="P54" i="19"/>
  <c r="P55" i="19" s="1"/>
  <c r="J52" i="19"/>
  <c r="J51" i="19" s="1"/>
  <c r="P52" i="19"/>
  <c r="P53" i="19" s="1"/>
  <c r="J50" i="19"/>
  <c r="P50" i="19"/>
  <c r="P51" i="19" s="1"/>
  <c r="J48" i="19"/>
  <c r="P48" i="19"/>
  <c r="P49" i="19" s="1"/>
  <c r="J46" i="19"/>
  <c r="P46" i="19"/>
  <c r="P47" i="19" s="1"/>
  <c r="J44" i="19"/>
  <c r="J43" i="19" s="1"/>
  <c r="Q84" i="19" s="1"/>
  <c r="R85" i="19" s="1"/>
  <c r="P44" i="19"/>
  <c r="P45" i="19" s="1"/>
  <c r="J42" i="19"/>
  <c r="P42" i="19"/>
  <c r="P43" i="19" s="1"/>
  <c r="J40" i="19"/>
  <c r="P40" i="19"/>
  <c r="P41" i="19" s="1"/>
  <c r="J38" i="19"/>
  <c r="P38" i="19"/>
  <c r="P39" i="19" s="1"/>
  <c r="J36" i="19"/>
  <c r="P36" i="19"/>
  <c r="P37" i="19" s="1"/>
  <c r="J34" i="19"/>
  <c r="P34" i="19"/>
  <c r="P35" i="19" s="1"/>
  <c r="J32" i="19"/>
  <c r="E32" i="19"/>
  <c r="I31" i="19"/>
  <c r="E31" i="19"/>
  <c r="P32" i="19"/>
  <c r="P33" i="19" s="1"/>
  <c r="J30" i="19"/>
  <c r="E30" i="19"/>
  <c r="E29" i="19"/>
  <c r="I30" i="19" s="1"/>
  <c r="P30" i="19"/>
  <c r="P31" i="19" s="1"/>
  <c r="J28" i="19"/>
  <c r="E28" i="19"/>
  <c r="E27" i="19"/>
  <c r="P28" i="19"/>
  <c r="P29" i="19" s="1"/>
  <c r="J26" i="19"/>
  <c r="E26" i="19"/>
  <c r="P27" i="19"/>
  <c r="E25" i="19"/>
  <c r="P26" i="19"/>
  <c r="J24" i="19"/>
  <c r="E24" i="19"/>
  <c r="E23" i="19"/>
  <c r="I23" i="19"/>
  <c r="Q74" i="19" s="1"/>
  <c r="P24" i="19"/>
  <c r="P25" i="19" s="1"/>
  <c r="J22" i="19"/>
  <c r="E22" i="19"/>
  <c r="E21" i="19"/>
  <c r="I22" i="19" s="1"/>
  <c r="Q70" i="19" s="1"/>
  <c r="P22" i="19"/>
  <c r="P23" i="19" s="1"/>
  <c r="J20" i="19"/>
  <c r="J19" i="19" s="1"/>
  <c r="Q24" i="19" s="1"/>
  <c r="E20" i="19"/>
  <c r="E19" i="19"/>
  <c r="P20" i="19"/>
  <c r="P21" i="19" s="1"/>
  <c r="E18" i="19"/>
  <c r="E17" i="19"/>
  <c r="E16" i="19"/>
  <c r="E15" i="19"/>
  <c r="E14" i="19"/>
  <c r="E13" i="19"/>
  <c r="J27" i="19" s="1"/>
  <c r="Q44" i="19" s="1"/>
  <c r="E12" i="19"/>
  <c r="E11" i="19"/>
  <c r="P12" i="19"/>
  <c r="P13" i="19" s="1"/>
  <c r="E10" i="19"/>
  <c r="E9" i="19"/>
  <c r="E8" i="19"/>
  <c r="E7" i="19"/>
  <c r="E6" i="19"/>
  <c r="H7" i="19" s="1"/>
  <c r="E5" i="19"/>
  <c r="H6" i="19" s="1"/>
  <c r="E4" i="19"/>
  <c r="J13" i="19" s="1"/>
  <c r="E3" i="19"/>
  <c r="Z2" i="19"/>
  <c r="M2" i="19"/>
  <c r="H5" i="19" l="1"/>
  <c r="J15" i="19"/>
  <c r="J17" i="19"/>
  <c r="I11" i="19"/>
  <c r="R31" i="19" s="1"/>
  <c r="Q30" i="19" s="1"/>
  <c r="P3" i="19"/>
  <c r="I16" i="19"/>
  <c r="Q50" i="19" s="1"/>
  <c r="R51" i="19" s="1"/>
  <c r="I17" i="19"/>
  <c r="Q52" i="19" s="1"/>
  <c r="R53" i="19" s="1"/>
  <c r="I24" i="19"/>
  <c r="Q76" i="19" s="1"/>
  <c r="R77" i="19" s="1"/>
  <c r="I8" i="19"/>
  <c r="Q22" i="19" s="1"/>
  <c r="R23" i="19" s="1"/>
  <c r="I12" i="19"/>
  <c r="Q34" i="19" s="1"/>
  <c r="R35" i="19" s="1"/>
  <c r="I4" i="19"/>
  <c r="Q6" i="19" s="1"/>
  <c r="I3" i="19"/>
  <c r="Q4" i="19" s="1"/>
  <c r="X4" i="19" s="1"/>
  <c r="I9" i="19"/>
  <c r="Q26" i="19" s="1"/>
  <c r="R27" i="19" s="1"/>
  <c r="I10" i="19"/>
  <c r="Q28" i="19" s="1"/>
  <c r="R29" i="19" s="1"/>
  <c r="R3" i="19"/>
  <c r="I21" i="19"/>
  <c r="Q66" i="19" s="1"/>
  <c r="J37" i="19"/>
  <c r="Q68" i="19" s="1"/>
  <c r="R69" i="19" s="1"/>
  <c r="R25" i="19"/>
  <c r="I5" i="19"/>
  <c r="Q10" i="19" s="1"/>
  <c r="Q12" i="19"/>
  <c r="R13" i="19" s="1"/>
  <c r="R45" i="19"/>
  <c r="J31" i="19"/>
  <c r="Q56" i="19" s="1"/>
  <c r="R57" i="19" s="1"/>
  <c r="I18" i="19"/>
  <c r="Q54" i="19" s="1"/>
  <c r="J45" i="19"/>
  <c r="Q88" i="19" s="1"/>
  <c r="R89" i="19" s="1"/>
  <c r="I27" i="19"/>
  <c r="Q86" i="19" s="1"/>
  <c r="Q20" i="19"/>
  <c r="R21" i="19" s="1"/>
  <c r="I7" i="19"/>
  <c r="Q18" i="19" s="1"/>
  <c r="R19" i="19" s="1"/>
  <c r="J23" i="19"/>
  <c r="Q36" i="19" s="1"/>
  <c r="R37" i="19" s="1"/>
  <c r="I28" i="19"/>
  <c r="Q90" i="19" s="1"/>
  <c r="R91" i="19" s="1"/>
  <c r="J47" i="19"/>
  <c r="Q92" i="19" s="1"/>
  <c r="R93" i="19" s="1"/>
  <c r="I15" i="19"/>
  <c r="Q46" i="19" s="1"/>
  <c r="R47" i="19" s="1"/>
  <c r="J29" i="19"/>
  <c r="Q48" i="19" s="1"/>
  <c r="R17" i="19"/>
  <c r="I6" i="19"/>
  <c r="I25" i="19"/>
  <c r="Q78" i="19" s="1"/>
  <c r="J41" i="19"/>
  <c r="Q80" i="19" s="1"/>
  <c r="R81" i="19" s="1"/>
  <c r="I29" i="19"/>
  <c r="J49" i="19"/>
  <c r="Q96" i="19" s="1"/>
  <c r="I19" i="19"/>
  <c r="J33" i="19"/>
  <c r="Q60" i="19" s="1"/>
  <c r="I13" i="19"/>
  <c r="Q38" i="19" s="1"/>
  <c r="R39" i="19" s="1"/>
  <c r="J25" i="19"/>
  <c r="I20" i="19"/>
  <c r="J35" i="19"/>
  <c r="Q64" i="19" s="1"/>
  <c r="R65" i="19" s="1"/>
  <c r="I14" i="19"/>
  <c r="Q42" i="19" s="1"/>
  <c r="R43" i="19" s="1"/>
  <c r="I26" i="19"/>
  <c r="Y27" i="19" s="1"/>
  <c r="Z3" i="19"/>
  <c r="AA3" i="19" s="1"/>
  <c r="J39" i="19"/>
  <c r="Q72" i="19" s="1"/>
  <c r="R73" i="19" s="1"/>
  <c r="J21" i="19"/>
  <c r="S9" i="19" l="1"/>
  <c r="Y5" i="19" s="1"/>
  <c r="Q14" i="19"/>
  <c r="R5" i="19"/>
  <c r="R7" i="19"/>
  <c r="S91" i="19"/>
  <c r="S35" i="19"/>
  <c r="S67" i="19"/>
  <c r="R67" i="19"/>
  <c r="S87" i="19"/>
  <c r="R87" i="19"/>
  <c r="R33" i="19"/>
  <c r="Q32" i="19"/>
  <c r="R55" i="19"/>
  <c r="S55" i="19"/>
  <c r="S79" i="19"/>
  <c r="R79" i="19"/>
  <c r="R97" i="19"/>
  <c r="Q82" i="19"/>
  <c r="R83" i="19" s="1"/>
  <c r="Q94" i="19"/>
  <c r="R95" i="19" s="1"/>
  <c r="R11" i="19"/>
  <c r="R41" i="19"/>
  <c r="Q40" i="19"/>
  <c r="R49" i="19"/>
  <c r="Z4" i="19"/>
  <c r="R61" i="19"/>
  <c r="R15" i="19" l="1"/>
  <c r="S17" i="19"/>
  <c r="X7" i="19" s="1"/>
  <c r="Y34" i="19"/>
  <c r="X34" i="19"/>
  <c r="Z5" i="19"/>
  <c r="AA4" i="19"/>
  <c r="Z35" i="19" l="1"/>
  <c r="Z34" i="19"/>
  <c r="Z6" i="19"/>
  <c r="AA5" i="19"/>
  <c r="Z7" i="19" l="1"/>
  <c r="AA6" i="19"/>
  <c r="Z8" i="19" l="1"/>
  <c r="AA7" i="19"/>
  <c r="Z9" i="19" l="1"/>
  <c r="AA8" i="19"/>
  <c r="AA9" i="19" l="1"/>
  <c r="Z10" i="19"/>
  <c r="Z11" i="19" l="1"/>
  <c r="AA10" i="19"/>
  <c r="Z12" i="19" l="1"/>
  <c r="AA11" i="19"/>
  <c r="Z13" i="19" l="1"/>
  <c r="AA12" i="19"/>
  <c r="Z14" i="19" l="1"/>
  <c r="AA13" i="19"/>
  <c r="Z15" i="19" l="1"/>
  <c r="AA14" i="19"/>
  <c r="AA15" i="19" l="1"/>
  <c r="Z16" i="19"/>
  <c r="Z17" i="19" l="1"/>
  <c r="AA16" i="19"/>
  <c r="Z18" i="19" l="1"/>
  <c r="AA17" i="19"/>
  <c r="Z19" i="19" l="1"/>
  <c r="AA18" i="19"/>
  <c r="Z20" i="19" l="1"/>
  <c r="AA19" i="19"/>
  <c r="Z21" i="19" l="1"/>
  <c r="AA20" i="19"/>
  <c r="AA21" i="19" l="1"/>
  <c r="Z22" i="19"/>
  <c r="Z23" i="19" l="1"/>
  <c r="AA22" i="19"/>
  <c r="Z24" i="19" l="1"/>
  <c r="AA23" i="19"/>
  <c r="AA24" i="19" l="1"/>
  <c r="Z25" i="19"/>
  <c r="Z26" i="19" l="1"/>
  <c r="AA25" i="19"/>
  <c r="AA26" i="19" l="1"/>
  <c r="Z27" i="19"/>
  <c r="AA27" i="19" l="1"/>
  <c r="Z28" i="19"/>
  <c r="Z29" i="19" l="1"/>
  <c r="AA28" i="19"/>
  <c r="Z30" i="19" l="1"/>
  <c r="AA29" i="19"/>
  <c r="Z31" i="19" l="1"/>
  <c r="AA30" i="19"/>
  <c r="Z32" i="19" l="1"/>
  <c r="AA31" i="19"/>
  <c r="AA32" i="19" l="1"/>
  <c r="Z33" i="19"/>
  <c r="AA33" i="19" s="1"/>
  <c r="AA20" i="10" l="1"/>
  <c r="R68" i="10"/>
  <c r="S69" i="10" s="1"/>
  <c r="Q94" i="10"/>
  <c r="Q95" i="10" s="1"/>
  <c r="Q70" i="10"/>
  <c r="Q71" i="10" s="1"/>
  <c r="Q62" i="10"/>
  <c r="Q63" i="10" s="1"/>
  <c r="R90" i="10"/>
  <c r="S91" i="10" s="1"/>
  <c r="Q90" i="10"/>
  <c r="Q91" i="10" s="1"/>
  <c r="S87" i="10"/>
  <c r="R86" i="10" s="1"/>
  <c r="Q86" i="10"/>
  <c r="Q87" i="10" s="1"/>
  <c r="Q82" i="10"/>
  <c r="Q83" i="10" s="1"/>
  <c r="Q78" i="10"/>
  <c r="Q79" i="10" s="1"/>
  <c r="Q74" i="10"/>
  <c r="Q75" i="10" s="1"/>
  <c r="Q66" i="10"/>
  <c r="Q67" i="10" s="1"/>
  <c r="E21" i="10"/>
  <c r="H22" i="10" s="1"/>
  <c r="I22" i="10" s="1"/>
  <c r="R80" i="10" s="1"/>
  <c r="S81" i="10" s="1"/>
  <c r="E22" i="10"/>
  <c r="H23" i="10" s="1"/>
  <c r="I23" i="10" s="1"/>
  <c r="R84" i="10" s="1"/>
  <c r="S85" i="10" s="1"/>
  <c r="E23" i="10"/>
  <c r="H24" i="10" s="1"/>
  <c r="I24" i="10" s="1"/>
  <c r="R88" i="10" s="1"/>
  <c r="S89" i="10" s="1"/>
  <c r="E24" i="10"/>
  <c r="H25" i="10" s="1"/>
  <c r="E25" i="10"/>
  <c r="Z24" i="10" l="1"/>
  <c r="Z25" i="10"/>
  <c r="I25" i="10"/>
  <c r="R92" i="10" s="1"/>
  <c r="Q92" i="10"/>
  <c r="Q88" i="10"/>
  <c r="Q89" i="10" s="1"/>
  <c r="Q84" i="10"/>
  <c r="Q85" i="10" s="1"/>
  <c r="Q80" i="10"/>
  <c r="Q81" i="10" s="1"/>
  <c r="Q93" i="10" l="1"/>
  <c r="S93" i="10"/>
  <c r="E4" i="10"/>
  <c r="G4" i="10"/>
  <c r="K4" i="10" s="1"/>
  <c r="L4" i="10"/>
  <c r="J46" i="10"/>
  <c r="J45" i="10" s="1"/>
  <c r="J44" i="10"/>
  <c r="J43" i="10" s="1"/>
  <c r="J42" i="10"/>
  <c r="J41" i="10" s="1"/>
  <c r="R94" i="10" s="1"/>
  <c r="S95" i="10" s="1"/>
  <c r="T95" i="10" s="1"/>
  <c r="AA26" i="10" s="1"/>
  <c r="J40" i="10"/>
  <c r="J39" i="10" s="1"/>
  <c r="R82" i="10" s="1"/>
  <c r="S83" i="10" s="1"/>
  <c r="T83" i="10" s="1"/>
  <c r="Z23" i="10" s="1"/>
  <c r="J38" i="10"/>
  <c r="J36" i="10"/>
  <c r="J34" i="10"/>
  <c r="J32" i="10"/>
  <c r="M4" i="10" l="1"/>
  <c r="Q38" i="10" l="1"/>
  <c r="Q39" i="10" s="1"/>
  <c r="Q10" i="10"/>
  <c r="L5" i="10"/>
  <c r="G19" i="10" l="1"/>
  <c r="G11" i="10"/>
  <c r="Q36" i="10" s="1"/>
  <c r="K6" i="10" l="1"/>
  <c r="Q68" i="10"/>
  <c r="Q69" i="10" s="1"/>
  <c r="Q8" i="10"/>
  <c r="Q11" i="10"/>
  <c r="M6" i="10" l="1"/>
  <c r="R70" i="10" s="1"/>
  <c r="S71" i="10" s="1"/>
  <c r="T71" i="10" s="1"/>
  <c r="K5" i="10"/>
  <c r="H2" i="10"/>
  <c r="E17" i="10"/>
  <c r="J31" i="10" s="1"/>
  <c r="R62" i="10" s="1"/>
  <c r="S63" i="10" s="1"/>
  <c r="E18" i="10"/>
  <c r="H19" i="10" s="1"/>
  <c r="E19" i="10"/>
  <c r="E20" i="10"/>
  <c r="I14" i="17"/>
  <c r="I18" i="17"/>
  <c r="I22" i="17"/>
  <c r="I26" i="17"/>
  <c r="I28" i="17"/>
  <c r="I30" i="17"/>
  <c r="I22" i="16"/>
  <c r="I18" i="16"/>
  <c r="J3" i="16"/>
  <c r="H3" i="16"/>
  <c r="J31" i="16"/>
  <c r="J29" i="16"/>
  <c r="J27" i="16"/>
  <c r="I14" i="16"/>
  <c r="I12" i="16"/>
  <c r="I10" i="16"/>
  <c r="I8" i="16"/>
  <c r="I6" i="16"/>
  <c r="I4" i="16"/>
  <c r="J23" i="17" l="1"/>
  <c r="J9" i="17"/>
  <c r="J19" i="17"/>
  <c r="J25" i="17"/>
  <c r="H3" i="17"/>
  <c r="J27" i="17"/>
  <c r="J29" i="17"/>
  <c r="J31" i="17"/>
  <c r="I24" i="16"/>
  <c r="J19" i="16"/>
  <c r="J9" i="16"/>
  <c r="J23" i="16"/>
  <c r="I19" i="10"/>
  <c r="R64" i="10" s="1"/>
  <c r="Q64" i="10"/>
  <c r="Q65" i="10" s="1"/>
  <c r="H21" i="10"/>
  <c r="J37" i="10"/>
  <c r="R78" i="10" s="1"/>
  <c r="S79" i="10" s="1"/>
  <c r="H20" i="10"/>
  <c r="Q72" i="10" s="1"/>
  <c r="Q73" i="10" s="1"/>
  <c r="J35" i="10"/>
  <c r="R74" i="10" s="1"/>
  <c r="S75" i="10" s="1"/>
  <c r="J33" i="10"/>
  <c r="R66" i="10" s="1"/>
  <c r="S67" i="10" s="1"/>
  <c r="H18" i="10"/>
  <c r="S37" i="10"/>
  <c r="R36" i="10" s="1"/>
  <c r="M5" i="10"/>
  <c r="S39" i="10" s="1"/>
  <c r="S9" i="10"/>
  <c r="S11" i="10"/>
  <c r="R10" i="10" s="1"/>
  <c r="Q37" i="10"/>
  <c r="Q9" i="10"/>
  <c r="I20" i="10"/>
  <c r="R72" i="10" s="1"/>
  <c r="J7" i="17"/>
  <c r="J3" i="17"/>
  <c r="I20" i="16"/>
  <c r="J17" i="17"/>
  <c r="J11" i="17"/>
  <c r="J15" i="17"/>
  <c r="J5" i="17"/>
  <c r="J13" i="17"/>
  <c r="I20" i="17"/>
  <c r="J11" i="16"/>
  <c r="J13" i="16"/>
  <c r="J5" i="16"/>
  <c r="J15" i="16"/>
  <c r="J7" i="16"/>
  <c r="J17" i="16"/>
  <c r="J21" i="16" l="1"/>
  <c r="J25" i="16"/>
  <c r="J21" i="17"/>
  <c r="S73" i="10"/>
  <c r="T75" i="10"/>
  <c r="Z21" i="10" s="1"/>
  <c r="S65" i="10"/>
  <c r="T67" i="10"/>
  <c r="Z20" i="10" s="1"/>
  <c r="I21" i="10"/>
  <c r="R76" i="10" s="1"/>
  <c r="Q76" i="10"/>
  <c r="Q77" i="10" s="1"/>
  <c r="I18" i="10"/>
  <c r="Q60" i="10"/>
  <c r="Q61" i="10" s="1"/>
  <c r="T39" i="10"/>
  <c r="AA12" i="10" s="1"/>
  <c r="R38" i="10"/>
  <c r="R8" i="10"/>
  <c r="T11" i="10"/>
  <c r="AA5" i="10" s="1"/>
  <c r="AA34" i="10" s="1"/>
  <c r="S77" i="10" l="1"/>
  <c r="T79" i="10"/>
  <c r="Z22" i="10" s="1"/>
  <c r="R60" i="10"/>
  <c r="S61" i="10" l="1"/>
  <c r="T63" i="10"/>
  <c r="Z19" i="10" s="1"/>
  <c r="Q54" i="10" l="1"/>
  <c r="Q50" i="10"/>
  <c r="Q46" i="10"/>
  <c r="Q42" i="10"/>
  <c r="Q34" i="10"/>
  <c r="Q26" i="10"/>
  <c r="Q22" i="10"/>
  <c r="Q18" i="10"/>
  <c r="Q14" i="10"/>
  <c r="Q15" i="10" l="1"/>
  <c r="Q27" i="10"/>
  <c r="Q19" i="10"/>
  <c r="Q35" i="10"/>
  <c r="Q23" i="10"/>
  <c r="Q43" i="10"/>
  <c r="Q55" i="10"/>
  <c r="Q47" i="10"/>
  <c r="Q51" i="10"/>
  <c r="E2" i="10"/>
  <c r="J30" i="10" l="1"/>
  <c r="J28" i="10"/>
  <c r="J26" i="10"/>
  <c r="J24" i="10"/>
  <c r="E12" i="10"/>
  <c r="E13" i="10"/>
  <c r="E14" i="10"/>
  <c r="E15" i="10"/>
  <c r="E16" i="10"/>
  <c r="H17" i="10" l="1"/>
  <c r="Q58" i="10" s="1"/>
  <c r="I17" i="10" l="1"/>
  <c r="R58" i="10" s="1"/>
  <c r="Q59" i="10"/>
  <c r="H13" i="10"/>
  <c r="Q44" i="10" s="1"/>
  <c r="H15" i="10"/>
  <c r="Q52" i="10" s="1"/>
  <c r="H16" i="10"/>
  <c r="Q56" i="10" s="1"/>
  <c r="H14" i="10"/>
  <c r="J25" i="10"/>
  <c r="S47" i="10" s="1"/>
  <c r="R46" i="10" s="1"/>
  <c r="J27" i="10"/>
  <c r="R50" i="10" s="1"/>
  <c r="J29" i="10"/>
  <c r="R54" i="10" s="1"/>
  <c r="I15" i="10" l="1"/>
  <c r="R52" i="10" s="1"/>
  <c r="Z18" i="10"/>
  <c r="S59" i="10"/>
  <c r="I13" i="10"/>
  <c r="R44" i="10" s="1"/>
  <c r="T47" i="10" s="1"/>
  <c r="Z14" i="10" s="1"/>
  <c r="I14" i="10"/>
  <c r="R48" i="10" s="1"/>
  <c r="S49" i="10" s="1"/>
  <c r="Q48" i="10"/>
  <c r="Q49" i="10" s="1"/>
  <c r="I16" i="10"/>
  <c r="R56" i="10" s="1"/>
  <c r="Z17" i="10" s="1"/>
  <c r="Q45" i="10"/>
  <c r="S53" i="10"/>
  <c r="S51" i="10"/>
  <c r="S55" i="10"/>
  <c r="Q53" i="10"/>
  <c r="T51" i="10"/>
  <c r="Z15" i="10" s="1"/>
  <c r="T55" i="10"/>
  <c r="Z16" i="10" s="1"/>
  <c r="J22" i="10"/>
  <c r="J20" i="10"/>
  <c r="J18" i="10"/>
  <c r="J16" i="10"/>
  <c r="J14" i="10"/>
  <c r="E11" i="10"/>
  <c r="E10" i="10"/>
  <c r="E9" i="10"/>
  <c r="E8" i="10"/>
  <c r="E7" i="10"/>
  <c r="E6" i="10"/>
  <c r="E5" i="10"/>
  <c r="E3" i="10"/>
  <c r="N2" i="10"/>
  <c r="Q2" i="10" s="1"/>
  <c r="I2" i="10"/>
  <c r="R2" i="10" s="1"/>
  <c r="S57" i="10" l="1"/>
  <c r="S45" i="10"/>
  <c r="Q57" i="10"/>
  <c r="H3" i="10"/>
  <c r="Q4" i="10" s="1"/>
  <c r="Z3" i="10"/>
  <c r="S3" i="10"/>
  <c r="H4" i="10"/>
  <c r="I4" i="10" s="1"/>
  <c r="I3" i="10" l="1"/>
  <c r="R4" i="10" s="1"/>
  <c r="Z4" i="10" s="1"/>
  <c r="Q3" i="10"/>
  <c r="Q5" i="10"/>
  <c r="H6" i="10"/>
  <c r="Q16" i="10" s="1"/>
  <c r="H11" i="10"/>
  <c r="Q32" i="10" s="1"/>
  <c r="H5" i="10"/>
  <c r="Q12" i="10" s="1"/>
  <c r="Q6" i="10"/>
  <c r="H10" i="10"/>
  <c r="J17" i="10"/>
  <c r="R22" i="10" s="1"/>
  <c r="H7" i="10"/>
  <c r="Q20" i="10" s="1"/>
  <c r="H9" i="10"/>
  <c r="J19" i="10"/>
  <c r="S27" i="10" s="1"/>
  <c r="H8" i="10"/>
  <c r="Q24" i="10" s="1"/>
  <c r="J23" i="10"/>
  <c r="R42" i="10" s="1"/>
  <c r="H12" i="10"/>
  <c r="Q40" i="10" s="1"/>
  <c r="J13" i="10"/>
  <c r="R14" i="10" s="1"/>
  <c r="J21" i="10"/>
  <c r="R34" i="10" s="1"/>
  <c r="U38" i="10" s="1"/>
  <c r="J15" i="10"/>
  <c r="R18" i="10" s="1"/>
  <c r="AB3" i="10"/>
  <c r="AB4" i="10" l="1"/>
  <c r="AC4" i="10" s="1"/>
  <c r="I11" i="10"/>
  <c r="S33" i="10" s="1"/>
  <c r="R32" i="10" s="1"/>
  <c r="T35" i="10" s="1"/>
  <c r="S5" i="10"/>
  <c r="S7" i="10"/>
  <c r="R6" i="10" s="1"/>
  <c r="R26" i="10"/>
  <c r="I10" i="10"/>
  <c r="R30" i="10" s="1"/>
  <c r="Z11" i="10" s="1"/>
  <c r="Q30" i="10"/>
  <c r="Q31" i="10" s="1"/>
  <c r="I9" i="10"/>
  <c r="R28" i="10" s="1"/>
  <c r="S29" i="10" s="1"/>
  <c r="Q28" i="10"/>
  <c r="I6" i="10"/>
  <c r="R16" i="10" s="1"/>
  <c r="Q17" i="10"/>
  <c r="I7" i="10"/>
  <c r="R20" i="10" s="1"/>
  <c r="S43" i="10"/>
  <c r="Q25" i="10"/>
  <c r="Q41" i="10"/>
  <c r="S19" i="10"/>
  <c r="I8" i="10"/>
  <c r="R24" i="10" s="1"/>
  <c r="Q33" i="10"/>
  <c r="Q21" i="10"/>
  <c r="S15" i="10"/>
  <c r="S23" i="10"/>
  <c r="S35" i="10"/>
  <c r="I5" i="10"/>
  <c r="R12" i="10" s="1"/>
  <c r="I12" i="10"/>
  <c r="R40" i="10" s="1"/>
  <c r="AC3" i="10"/>
  <c r="S31" i="10" l="1"/>
  <c r="T19" i="10"/>
  <c r="Z7" i="10" s="1"/>
  <c r="Z10" i="10"/>
  <c r="S17" i="10"/>
  <c r="Z12" i="10"/>
  <c r="Q29" i="10"/>
  <c r="S21" i="10"/>
  <c r="T23" i="10"/>
  <c r="Z8" i="10" s="1"/>
  <c r="T43" i="10"/>
  <c r="Z13" i="10" s="1"/>
  <c r="Z5" i="10"/>
  <c r="S13" i="10"/>
  <c r="Q7" i="10"/>
  <c r="S25" i="10"/>
  <c r="T27" i="10"/>
  <c r="Z9" i="10" s="1"/>
  <c r="Q13" i="10"/>
  <c r="T15" i="10"/>
  <c r="Z6" i="10" s="1"/>
  <c r="S41" i="10"/>
  <c r="AB5" i="10" l="1"/>
  <c r="Z34" i="10"/>
  <c r="AC5" i="10"/>
  <c r="AB6" i="10"/>
  <c r="AB34" i="10" l="1"/>
  <c r="AB35" i="10"/>
  <c r="AB7" i="10"/>
  <c r="AC6" i="10"/>
  <c r="AC7" i="10" l="1"/>
  <c r="AB8" i="10"/>
  <c r="AB9" i="10" l="1"/>
  <c r="AC8" i="10"/>
  <c r="AB10" i="10" l="1"/>
  <c r="AC9" i="10"/>
  <c r="AC10" i="10" l="1"/>
  <c r="AB11" i="10"/>
  <c r="AB12" i="10" l="1"/>
  <c r="AC11" i="10"/>
  <c r="AC12" i="10" l="1"/>
  <c r="AB13" i="10"/>
  <c r="AB14" i="10" l="1"/>
  <c r="AC13" i="10"/>
  <c r="AB15" i="10" l="1"/>
  <c r="AC14" i="10"/>
  <c r="AB16" i="10" l="1"/>
  <c r="AC15" i="10"/>
  <c r="AB17" i="10" l="1"/>
  <c r="AC16" i="10"/>
  <c r="AC17" i="10" l="1"/>
  <c r="AB18" i="10"/>
  <c r="AB19" i="10" l="1"/>
  <c r="AC18" i="10"/>
  <c r="AB20" i="10" l="1"/>
  <c r="AC19" i="10"/>
  <c r="AB21" i="10" l="1"/>
  <c r="AC20" i="10"/>
  <c r="AB22" i="10" l="1"/>
  <c r="AC21" i="10"/>
  <c r="AB23" i="10" l="1"/>
  <c r="AC22" i="10"/>
  <c r="AB24" i="10" l="1"/>
  <c r="AC23" i="10"/>
  <c r="AB25" i="10" l="1"/>
  <c r="AC24" i="10"/>
  <c r="AB26" i="10" l="1"/>
  <c r="AC25" i="10"/>
  <c r="AB27" i="10" l="1"/>
  <c r="AC26" i="10"/>
  <c r="AB28" i="10" l="1"/>
  <c r="AC27" i="10"/>
  <c r="AB29" i="10" l="1"/>
  <c r="AC28" i="10"/>
  <c r="AB30" i="10" l="1"/>
  <c r="AC29" i="10"/>
  <c r="AB31" i="10" l="1"/>
  <c r="AC30" i="10"/>
  <c r="AB32" i="10" l="1"/>
  <c r="AC31" i="10"/>
  <c r="AB33" i="10" l="1"/>
  <c r="AC33" i="10" s="1"/>
  <c r="AC32" i="10"/>
</calcChain>
</file>

<file path=xl/sharedStrings.xml><?xml version="1.0" encoding="utf-8"?>
<sst xmlns="http://schemas.openxmlformats.org/spreadsheetml/2006/main" count="4466" uniqueCount="230">
  <si>
    <t>Fecha</t>
  </si>
  <si>
    <t>T/C</t>
  </si>
  <si>
    <t>Partner D-LOCAL LLP PEN</t>
  </si>
  <si>
    <t>S.Final CLP</t>
  </si>
  <si>
    <t>S.Diario CLP</t>
  </si>
  <si>
    <t>D</t>
  </si>
  <si>
    <t>H</t>
  </si>
  <si>
    <t>Comprobante</t>
  </si>
  <si>
    <t>Glosa</t>
  </si>
  <si>
    <t>Documento</t>
  </si>
  <si>
    <t>Debe</t>
  </si>
  <si>
    <t>Haber</t>
  </si>
  <si>
    <t>Saldo</t>
  </si>
  <si>
    <t>Cuenta</t>
  </si>
  <si>
    <t>Saldo Inicial al 01/01/2023</t>
  </si>
  <si>
    <t>Subtotal</t>
  </si>
  <si>
    <t>Saldo del periodo</t>
  </si>
  <si>
    <t>Saldo Final al 01/01/2023</t>
  </si>
  <si>
    <t>Operaciones Transitorias</t>
  </si>
  <si>
    <t>S. Inicial USD</t>
  </si>
  <si>
    <t>S.Final USD</t>
  </si>
  <si>
    <t>S.Diario USD</t>
  </si>
  <si>
    <t>Partner PayCash</t>
  </si>
  <si>
    <t>S. Inicial MXN</t>
  </si>
  <si>
    <t>S.Final MXN</t>
  </si>
  <si>
    <t>Ajuste por Tipo de Cambio</t>
  </si>
  <si>
    <t>Transbank x Cobrar</t>
  </si>
  <si>
    <t xml:space="preserve">S.Diario </t>
  </si>
  <si>
    <t>Rescate USD</t>
  </si>
  <si>
    <t>S.Diario Sin rescate MXN</t>
  </si>
  <si>
    <t>Rescate MXN</t>
  </si>
  <si>
    <t>Mov en Tránsito Otros Partner</t>
  </si>
  <si>
    <t>Rescate</t>
  </si>
  <si>
    <t>me faltaro este ajuste T/C</t>
  </si>
  <si>
    <t>Partner FacilitaPay</t>
  </si>
  <si>
    <t>Mov en Tránsito Facilita Pay</t>
  </si>
  <si>
    <t>RESCATE USD</t>
  </si>
  <si>
    <t>RESCATE CLP</t>
  </si>
  <si>
    <t>CLP</t>
  </si>
  <si>
    <t>Partner</t>
  </si>
  <si>
    <t>libro mayor</t>
  </si>
  <si>
    <t>31-01 OK</t>
  </si>
  <si>
    <t>29-02-2023</t>
  </si>
  <si>
    <t>30-02-2023</t>
  </si>
  <si>
    <t>31-02-2023</t>
  </si>
  <si>
    <t>Banco Estado</t>
  </si>
  <si>
    <t>Banco BCI CLP 10701648</t>
  </si>
  <si>
    <t xml:space="preserve">Recaudacion por Clientes Banco BCI </t>
  </si>
  <si>
    <t>Recaudacion por Operaciones Rechazadas</t>
  </si>
  <si>
    <t>Recaudacion por Otros Banco BCI Adm</t>
  </si>
  <si>
    <t>Fondeo BICE  CLP</t>
  </si>
  <si>
    <t>Banco Bice CLP 1359827</t>
  </si>
  <si>
    <t xml:space="preserve">Pago de Operaciones Locales CLP </t>
  </si>
  <si>
    <t>TBK</t>
  </si>
  <si>
    <t>KHIPU</t>
  </si>
  <si>
    <t>Banco BCI CLP 10701656</t>
  </si>
  <si>
    <t>GLOSA ENCABEZADO</t>
  </si>
  <si>
    <t>Banco BCI CLP 10708553</t>
  </si>
  <si>
    <t xml:space="preserve">Pago Otros Bancos Global66 </t>
  </si>
  <si>
    <t>Banco Bice USD</t>
  </si>
  <si>
    <t>TC</t>
  </si>
  <si>
    <t>Banco Community Federal Savings Bank 1126</t>
  </si>
  <si>
    <t>Liquidación de Corresponsal</t>
  </si>
  <si>
    <t>Banco JP Morgan USD</t>
  </si>
  <si>
    <t>VECTOR USD</t>
  </si>
  <si>
    <t>-</t>
  </si>
  <si>
    <t>Banco Internacional (Cuenta de Orden)</t>
  </si>
  <si>
    <t>FECHA</t>
  </si>
  <si>
    <t>SALDOS</t>
  </si>
  <si>
    <t>Banco Estado recaudacion cliente</t>
  </si>
  <si>
    <t>Banco Estado pago otros bancos g66</t>
  </si>
  <si>
    <t>Pago Otros Bancos Global66 bco. bci 656</t>
  </si>
  <si>
    <t>*Fondeo a bco bci 656</t>
  </si>
  <si>
    <t>Recaudación por Transbank</t>
  </si>
  <si>
    <t>Recaudación por Khipu</t>
  </si>
  <si>
    <t>BICE COMPRA DOLARES</t>
  </si>
  <si>
    <t>TC BICE COMPRA DOLARES</t>
  </si>
  <si>
    <t>DOLARES</t>
  </si>
  <si>
    <t>BICE FONDEO DOLARES NIUM</t>
  </si>
  <si>
    <t>FONDEO NIUM</t>
  </si>
  <si>
    <t>TC BICE FONDEO DOLARES nium</t>
  </si>
  <si>
    <t>BICE FONDEO DOLARES NIUM PESOS</t>
  </si>
  <si>
    <t>Mov. En Transito NIUM</t>
  </si>
  <si>
    <t>FONDEO FACILITA</t>
  </si>
  <si>
    <t xml:space="preserve">Mov en Tránsito Facilita Pay	</t>
  </si>
  <si>
    <t>TC BICE FONDEO DOLARES facilita</t>
  </si>
  <si>
    <t>BICE FONDEO DOLARES facilita PESOS</t>
  </si>
  <si>
    <t>BICE FONDEO DOLARESFacilita</t>
  </si>
  <si>
    <t>FONDEO COLOMBIA</t>
  </si>
  <si>
    <t>BICE FONDEO DOLARES Colombia</t>
  </si>
  <si>
    <t>TC BICE FONDEO DOLARES Colombia</t>
  </si>
  <si>
    <t>BICE FONDEO DOLARES Colombia PESOS</t>
  </si>
  <si>
    <t>Cuentas por Cobrar G81 Colombia SEDPE (Operativa Chile)</t>
  </si>
  <si>
    <t>BICE rescate dlocal</t>
  </si>
  <si>
    <t>TC BICE rescate dlocal</t>
  </si>
  <si>
    <t>BICE rescate dlocal PESOS</t>
  </si>
  <si>
    <t>RESCATE DLOCAL</t>
  </si>
  <si>
    <t>Mov en Tránsito Dlocal</t>
  </si>
  <si>
    <t>BICE USD</t>
  </si>
  <si>
    <t>CSFB 2475</t>
  </si>
  <si>
    <t>Mov en Tránsito NIUM</t>
  </si>
  <si>
    <t>Banco Community Federal Savings Bank 2475</t>
  </si>
  <si>
    <t>CFSB 1557</t>
  </si>
  <si>
    <t>Fondeo NIUM</t>
  </si>
  <si>
    <t>AJUSTE TC BANCO BICE</t>
  </si>
  <si>
    <t>Recaudación 553</t>
  </si>
  <si>
    <t>Banco Estado pago bice</t>
  </si>
  <si>
    <t>Banco BICE</t>
  </si>
  <si>
    <t>CARGA WALLET</t>
  </si>
  <si>
    <t>Carga wallets</t>
  </si>
  <si>
    <t>Wallet Tesoreria CLP</t>
  </si>
  <si>
    <t>Compra USD INTER. CTA ORDEN</t>
  </si>
  <si>
    <t>FONDEO CFSB CTA ORDEN</t>
  </si>
  <si>
    <t xml:space="preserve">Cuentas por Cobrar G81 Colombia SEDPE (Operativa Chile)	</t>
  </si>
  <si>
    <t>Banco BICE Cta. Liquidacion GC</t>
  </si>
  <si>
    <t>Fondeo Compra USD MBI</t>
  </si>
  <si>
    <t>TC COMPRA USD MBI</t>
  </si>
  <si>
    <t xml:space="preserve">Recaudacion por Compra USD MBI  </t>
  </si>
  <si>
    <t>Recaudacion por Compra USD MBI   CLP</t>
  </si>
  <si>
    <t>MBI FONDEO DOLARES NIUM</t>
  </si>
  <si>
    <t>TC MBI FONDEO DOLARES NIUM</t>
  </si>
  <si>
    <t>MBI FONDEO DOLARES NIUM CLP</t>
  </si>
  <si>
    <t>MBI CLP</t>
  </si>
  <si>
    <t>MBI USD</t>
  </si>
  <si>
    <t>MBI FONDEO DOLARES Colombia</t>
  </si>
  <si>
    <t>TC MBI FONDEO DOLARES Colombia</t>
  </si>
  <si>
    <t>MBI FONDEO DOLARES Colombia CLP</t>
  </si>
  <si>
    <t>Banco BCI CLP 10702656</t>
  </si>
  <si>
    <t>Banco BCI CLP 10702648</t>
  </si>
  <si>
    <t>MBI FONDEO DOLARES Multibank</t>
  </si>
  <si>
    <t>TC MBI FONDEO DOLARES Multibank</t>
  </si>
  <si>
    <t>MBI FONDEO DOLARES Multibank CLP</t>
  </si>
  <si>
    <t>MBI FONDEO DOLARES bice</t>
  </si>
  <si>
    <t>TC MBI FONDEO DOLARES bice</t>
  </si>
  <si>
    <t>MBI FONDEO DOLARES bice CLP</t>
  </si>
  <si>
    <t>MBI FONDEO DOLARES Facilita</t>
  </si>
  <si>
    <t>TC MBI FONDEO DOLARES Facilita</t>
  </si>
  <si>
    <t>MBI FONDEO DOLARES Facilita CLP</t>
  </si>
  <si>
    <t>BICE FONDEO DOLARES OZ Cambio</t>
  </si>
  <si>
    <t>TC BICE FONDEO DOLARES OZ Cambio</t>
  </si>
  <si>
    <t>BICE FONDEO DOLARES MBI</t>
  </si>
  <si>
    <t>TC BICE FONDEO DOLARES MBI</t>
  </si>
  <si>
    <t>MOV. EN TRÁNSITO OZ CAMBIOS</t>
  </si>
  <si>
    <t>31/06/2024</t>
  </si>
  <si>
    <t>31-06-2024</t>
  </si>
  <si>
    <t xml:space="preserve">Recaudacion por Cuenta Liquidacion GC </t>
  </si>
  <si>
    <t>LIQUIDACIÓN DE CORRESPONSAL</t>
  </si>
  <si>
    <t xml:space="preserve">Abono Recaudacion por Cuenta Liquidacion GC </t>
  </si>
  <si>
    <t xml:space="preserve">Egreso Recaudacion por Cuenta Liquidacion GC </t>
  </si>
  <si>
    <t>MBI FONDEO OZ CAMBIOS</t>
  </si>
  <si>
    <t>TC MBI FONDEO DOLARES OZ CAMBIOS</t>
  </si>
  <si>
    <t>MBI FONDEO DOLARES OZ CAMBIOS CLP</t>
  </si>
  <si>
    <t>OZ CAMBIOS</t>
  </si>
  <si>
    <t>MOVIMIENTOS EN TRÁNSITO OZ CAMBIOS</t>
  </si>
  <si>
    <t>BANCO BICE USD</t>
  </si>
  <si>
    <t>TC BICE rescate LocalPayment</t>
  </si>
  <si>
    <t>BICE rescate LocalPayment PESOS</t>
  </si>
  <si>
    <t>BICE rescate LocalPayment Origen</t>
  </si>
  <si>
    <t>BICE rescate LocalPayment Destino</t>
  </si>
  <si>
    <t>BICE rescate LocalPayment Origen Dif</t>
  </si>
  <si>
    <t>BICE rescate LocalPayment PESOS DIF</t>
  </si>
  <si>
    <t>CUENTA</t>
  </si>
  <si>
    <t>USD SET</t>
  </si>
  <si>
    <t>Fondeo LocalPayment USD</t>
  </si>
  <si>
    <t>Comisiones Bancarias</t>
  </si>
  <si>
    <t>Movimientos en Tránsito LocalPayment</t>
  </si>
  <si>
    <t>Fondeo Compra USD Renta4</t>
  </si>
  <si>
    <t>TC COMPRA USD Renta4</t>
  </si>
  <si>
    <t>Renta4 FONDEO DOLARES NIUM</t>
  </si>
  <si>
    <t>Renta4 FONDEO DOLARES NIUM CLP</t>
  </si>
  <si>
    <t>Renta4 FONDEO DOLARES Multibank</t>
  </si>
  <si>
    <t>Renta4 FONDEO DOLARES Multibank CLP</t>
  </si>
  <si>
    <t>Renta4 FONDEO DOLARES Facilita</t>
  </si>
  <si>
    <t>Renta4 FONDEO DOLARES Facilita CLP</t>
  </si>
  <si>
    <t>Renta4 FONDEO DOLARES bice</t>
  </si>
  <si>
    <t>Renta4 FONDEO DOLARES bice CLP</t>
  </si>
  <si>
    <t>Recaudacion por Compra USD Renta4</t>
  </si>
  <si>
    <t>Recaudacion por Compra USD Renta4 CLP</t>
  </si>
  <si>
    <t>RENTA4 CLP</t>
  </si>
  <si>
    <t>RENTA4 USD</t>
  </si>
  <si>
    <t>Renta4 FONDEO DOLARES Colombia</t>
  </si>
  <si>
    <t>Renta4 FONDEO DOLARES Colombia CLP</t>
  </si>
  <si>
    <t>Renta4 FONDEO DOLARES OZ</t>
  </si>
  <si>
    <t>Dlocal LLP</t>
  </si>
  <si>
    <t>Partner D-LOCAL LLP</t>
  </si>
  <si>
    <t>Partner D-LOCAL LLP ARG</t>
  </si>
  <si>
    <t>Renta4 USD</t>
  </si>
  <si>
    <t>650K</t>
  </si>
  <si>
    <t>2 M</t>
  </si>
  <si>
    <t>815K</t>
  </si>
  <si>
    <t>1.62 M</t>
  </si>
  <si>
    <t>1.3 M</t>
  </si>
  <si>
    <t>770K</t>
  </si>
  <si>
    <t>845K</t>
  </si>
  <si>
    <t>1.735 M</t>
  </si>
  <si>
    <t>1.28 M</t>
  </si>
  <si>
    <t>550K</t>
  </si>
  <si>
    <t>1.160 M</t>
  </si>
  <si>
    <t>740K</t>
  </si>
  <si>
    <t>450K</t>
  </si>
  <si>
    <t>715K</t>
  </si>
  <si>
    <t>600K</t>
  </si>
  <si>
    <t>950K</t>
  </si>
  <si>
    <t>205K</t>
  </si>
  <si>
    <t>1 M</t>
  </si>
  <si>
    <t>1.105 M</t>
  </si>
  <si>
    <t>1.555 M</t>
  </si>
  <si>
    <t>150K</t>
  </si>
  <si>
    <t>100K</t>
  </si>
  <si>
    <t>1.05 M</t>
  </si>
  <si>
    <t>800K</t>
  </si>
  <si>
    <t>900K</t>
  </si>
  <si>
    <t>750K</t>
  </si>
  <si>
    <t>700K</t>
  </si>
  <si>
    <t>500K</t>
  </si>
  <si>
    <t>300K</t>
  </si>
  <si>
    <t>350K</t>
  </si>
  <si>
    <t>200K</t>
  </si>
  <si>
    <t>400K</t>
  </si>
  <si>
    <t>250K</t>
  </si>
  <si>
    <t xml:space="preserve">Corredora de Bolsa MBI CLP	</t>
  </si>
  <si>
    <t>1.35 M</t>
  </si>
  <si>
    <t>850K</t>
  </si>
  <si>
    <t>1.7 M</t>
  </si>
  <si>
    <t>1.2 M</t>
  </si>
  <si>
    <t>2.5 M</t>
  </si>
  <si>
    <t>1.1 M</t>
  </si>
  <si>
    <t>1.75 M</t>
  </si>
  <si>
    <t>600k</t>
  </si>
  <si>
    <t>650k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</si>
</sst>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_ * #,##0_ ;_ * \-#,##0_ ;_ * &quot;-&quot;_ ;_ @_ "/>
    <numFmt numFmtId="165" formatCode="_ * #,##0.00_ ;_ * \-#,##0.00_ ;_ * &quot;-&quot;??_ ;_ @_ "/>
    <numFmt numFmtId="166" formatCode="_ * #,##0.00_ ;_ * \-#,##0.00_ ;_ * &quot;-&quot;_ ;_ @_ "/>
    <numFmt numFmtId="167" formatCode="_ * #,##0.0_ ;_ * \-#,##0.0_ ;_ * &quot;-&quot;_ ;_ @_ "/>
    <numFmt numFmtId="168" formatCode="_-* #,##0.00\ _€_-;\-* #,##0.00\ _€_-;_-* &quot;-&quot;??\ _€_-;_-@_-"/>
    <numFmt numFmtId="169" formatCode="_-* #,##0_-;\-* #,##0_-;_-* &quot;-&quot;??_-;_-@_-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indexed="8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1C9FF"/>
        <bgColor indexed="64"/>
      </patternFill>
    </fill>
    <fill>
      <patternFill patternType="solid">
        <fgColor rgb="FFE6D4F8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7" tint="0.7999816888943144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55">
    <xf numFmtId="0" fontId="0" fillId="0" borderId="0" xfId="0"/>
    <xf numFmtId="14" fontId="0" fillId="0" borderId="0" xfId="0" applyNumberFormat="1"/>
    <xf numFmtId="164" fontId="0" fillId="0" borderId="0" xfId="1" applyFont="1"/>
    <xf numFmtId="164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/>
    <xf numFmtId="0" fontId="3" fillId="0" borderId="0" xfId="0" applyFont="1"/>
    <xf numFmtId="164" fontId="3" fillId="0" borderId="0" xfId="1" applyFont="1"/>
    <xf numFmtId="0" fontId="0" fillId="0" borderId="3" xfId="0" applyBorder="1"/>
    <xf numFmtId="14" fontId="0" fillId="0" borderId="5" xfId="0" applyNumberFormat="1" applyBorder="1"/>
    <xf numFmtId="164" fontId="0" fillId="0" borderId="6" xfId="0" applyNumberFormat="1" applyBorder="1"/>
    <xf numFmtId="0" fontId="0" fillId="0" borderId="7" xfId="0" applyBorder="1"/>
    <xf numFmtId="0" fontId="0" fillId="0" borderId="1" xfId="0" applyBorder="1"/>
    <xf numFmtId="164" fontId="0" fillId="0" borderId="1" xfId="0" applyNumberFormat="1" applyBorder="1"/>
    <xf numFmtId="0" fontId="0" fillId="0" borderId="8" xfId="0" applyBorder="1"/>
    <xf numFmtId="14" fontId="0" fillId="0" borderId="2" xfId="0" applyNumberFormat="1" applyBorder="1"/>
    <xf numFmtId="164" fontId="0" fillId="0" borderId="3" xfId="0" applyNumberFormat="1" applyBorder="1"/>
    <xf numFmtId="164" fontId="0" fillId="0" borderId="4" xfId="0" applyNumberFormat="1" applyBorder="1"/>
    <xf numFmtId="164" fontId="0" fillId="0" borderId="8" xfId="0" applyNumberFormat="1" applyBorder="1"/>
    <xf numFmtId="0" fontId="0" fillId="0" borderId="6" xfId="0" applyBorder="1"/>
    <xf numFmtId="0" fontId="0" fillId="0" borderId="5" xfId="0" applyBorder="1"/>
    <xf numFmtId="2" fontId="0" fillId="0" borderId="0" xfId="0" applyNumberFormat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14" fontId="3" fillId="0" borderId="0" xfId="0" applyNumberFormat="1" applyFont="1"/>
    <xf numFmtId="164" fontId="4" fillId="0" borderId="0" xfId="0" applyNumberFormat="1" applyFont="1"/>
    <xf numFmtId="0" fontId="5" fillId="0" borderId="0" xfId="0" applyFont="1"/>
    <xf numFmtId="164" fontId="5" fillId="0" borderId="0" xfId="0" applyNumberFormat="1" applyFont="1"/>
    <xf numFmtId="164" fontId="5" fillId="0" borderId="0" xfId="1" applyFont="1"/>
    <xf numFmtId="165" fontId="0" fillId="0" borderId="0" xfId="0" applyNumberFormat="1"/>
    <xf numFmtId="164" fontId="0" fillId="0" borderId="2" xfId="1" applyFont="1" applyBorder="1"/>
    <xf numFmtId="14" fontId="0" fillId="0" borderId="4" xfId="1" applyNumberFormat="1" applyFont="1" applyBorder="1"/>
    <xf numFmtId="2" fontId="0" fillId="0" borderId="8" xfId="0" applyNumberFormat="1" applyBorder="1"/>
    <xf numFmtId="2" fontId="0" fillId="0" borderId="7" xfId="0" applyNumberFormat="1" applyBorder="1"/>
    <xf numFmtId="164" fontId="0" fillId="0" borderId="2" xfId="0" applyNumberFormat="1" applyBorder="1"/>
    <xf numFmtId="14" fontId="0" fillId="0" borderId="4" xfId="0" applyNumberFormat="1" applyBorder="1"/>
    <xf numFmtId="14" fontId="0" fillId="0" borderId="6" xfId="1" applyNumberFormat="1" applyFont="1" applyBorder="1"/>
    <xf numFmtId="14" fontId="0" fillId="0" borderId="4" xfId="1" applyNumberFormat="1" applyFont="1" applyFill="1" applyBorder="1"/>
    <xf numFmtId="14" fontId="0" fillId="0" borderId="0" xfId="1" applyNumberFormat="1" applyFont="1" applyBorder="1"/>
    <xf numFmtId="14" fontId="0" fillId="0" borderId="0" xfId="1" applyNumberFormat="1" applyFont="1" applyFill="1" applyBorder="1"/>
    <xf numFmtId="14" fontId="0" fillId="0" borderId="7" xfId="0" applyNumberFormat="1" applyBorder="1"/>
    <xf numFmtId="3" fontId="0" fillId="0" borderId="0" xfId="0" applyNumberFormat="1"/>
    <xf numFmtId="0" fontId="0" fillId="0" borderId="0" xfId="0" applyAlignment="1">
      <alignment horizontal="right"/>
    </xf>
    <xf numFmtId="14" fontId="0" fillId="2" borderId="2" xfId="0" applyNumberFormat="1" applyFill="1" applyBorder="1"/>
    <xf numFmtId="0" fontId="0" fillId="2" borderId="3" xfId="0" applyFill="1" applyBorder="1"/>
    <xf numFmtId="164" fontId="0" fillId="2" borderId="3" xfId="0" applyNumberFormat="1" applyFill="1" applyBorder="1"/>
    <xf numFmtId="164" fontId="0" fillId="2" borderId="4" xfId="0" applyNumberFormat="1" applyFill="1" applyBorder="1"/>
    <xf numFmtId="0" fontId="0" fillId="2" borderId="5" xfId="0" applyFill="1" applyBorder="1"/>
    <xf numFmtId="0" fontId="0" fillId="2" borderId="0" xfId="0" applyFill="1"/>
    <xf numFmtId="164" fontId="0" fillId="2" borderId="0" xfId="0" applyNumberFormat="1" applyFill="1"/>
    <xf numFmtId="164" fontId="0" fillId="2" borderId="6" xfId="0" applyNumberFormat="1" applyFill="1" applyBorder="1"/>
    <xf numFmtId="0" fontId="6" fillId="0" borderId="0" xfId="0" applyFont="1"/>
    <xf numFmtId="0" fontId="7" fillId="0" borderId="0" xfId="0" applyFont="1"/>
    <xf numFmtId="0" fontId="8" fillId="0" borderId="0" xfId="0" applyFont="1"/>
    <xf numFmtId="164" fontId="8" fillId="0" borderId="0" xfId="1" applyFont="1"/>
    <xf numFmtId="14" fontId="8" fillId="0" borderId="0" xfId="0" applyNumberFormat="1" applyFont="1"/>
    <xf numFmtId="164" fontId="7" fillId="0" borderId="0" xfId="0" applyNumberFormat="1" applyFont="1"/>
    <xf numFmtId="164" fontId="7" fillId="0" borderId="0" xfId="1" applyFont="1"/>
    <xf numFmtId="166" fontId="0" fillId="0" borderId="0" xfId="1" applyNumberFormat="1" applyFont="1"/>
    <xf numFmtId="166" fontId="0" fillId="0" borderId="0" xfId="0" applyNumberFormat="1"/>
    <xf numFmtId="166" fontId="0" fillId="0" borderId="2" xfId="1" applyNumberFormat="1" applyFont="1" applyBorder="1"/>
    <xf numFmtId="166" fontId="0" fillId="0" borderId="2" xfId="0" applyNumberFormat="1" applyBorder="1"/>
    <xf numFmtId="166" fontId="3" fillId="0" borderId="0" xfId="1" applyNumberFormat="1" applyFont="1"/>
    <xf numFmtId="166" fontId="5" fillId="0" borderId="0" xfId="1" applyNumberFormat="1" applyFont="1"/>
    <xf numFmtId="166" fontId="5" fillId="0" borderId="0" xfId="0" applyNumberFormat="1" applyFont="1"/>
    <xf numFmtId="0" fontId="4" fillId="3" borderId="0" xfId="0" applyFont="1" applyFill="1"/>
    <xf numFmtId="164" fontId="4" fillId="3" borderId="0" xfId="1" applyFont="1" applyFill="1"/>
    <xf numFmtId="164" fontId="4" fillId="3" borderId="0" xfId="0" applyNumberFormat="1" applyFont="1" applyFill="1"/>
    <xf numFmtId="2" fontId="4" fillId="3" borderId="0" xfId="0" applyNumberFormat="1" applyFont="1" applyFill="1"/>
    <xf numFmtId="0" fontId="4" fillId="4" borderId="0" xfId="0" applyFont="1" applyFill="1" applyAlignment="1">
      <alignment horizontal="center"/>
    </xf>
    <xf numFmtId="0" fontId="0" fillId="2" borderId="7" xfId="0" applyFill="1" applyBorder="1"/>
    <xf numFmtId="0" fontId="0" fillId="2" borderId="1" xfId="0" applyFill="1" applyBorder="1"/>
    <xf numFmtId="164" fontId="0" fillId="2" borderId="1" xfId="0" applyNumberFormat="1" applyFill="1" applyBorder="1"/>
    <xf numFmtId="164" fontId="0" fillId="2" borderId="8" xfId="0" applyNumberFormat="1" applyFill="1" applyBorder="1"/>
    <xf numFmtId="0" fontId="0" fillId="0" borderId="0" xfId="0" applyAlignment="1">
      <alignment horizontal="left"/>
    </xf>
    <xf numFmtId="4" fontId="0" fillId="0" borderId="0" xfId="0" applyNumberFormat="1"/>
    <xf numFmtId="166" fontId="4" fillId="0" borderId="0" xfId="0" applyNumberFormat="1" applyFont="1"/>
    <xf numFmtId="0" fontId="0" fillId="0" borderId="3" xfId="0" applyBorder="1" applyAlignment="1">
      <alignment horizontal="center"/>
    </xf>
    <xf numFmtId="164" fontId="4" fillId="0" borderId="0" xfId="1" applyFont="1"/>
    <xf numFmtId="164" fontId="4" fillId="0" borderId="0" xfId="1" applyFont="1" applyFill="1"/>
    <xf numFmtId="167" fontId="4" fillId="0" borderId="0" xfId="0" applyNumberFormat="1" applyFont="1"/>
    <xf numFmtId="0" fontId="9" fillId="0" borderId="0" xfId="0" applyFont="1"/>
    <xf numFmtId="0" fontId="10" fillId="0" borderId="0" xfId="0" applyFont="1"/>
    <xf numFmtId="166" fontId="10" fillId="0" borderId="0" xfId="0" applyNumberFormat="1" applyFont="1"/>
    <xf numFmtId="164" fontId="9" fillId="0" borderId="2" xfId="1" applyFont="1" applyBorder="1"/>
    <xf numFmtId="14" fontId="9" fillId="0" borderId="4" xfId="1" applyNumberFormat="1" applyFont="1" applyBorder="1"/>
    <xf numFmtId="2" fontId="10" fillId="0" borderId="0" xfId="0" applyNumberFormat="1" applyFont="1"/>
    <xf numFmtId="14" fontId="10" fillId="0" borderId="0" xfId="0" applyNumberFormat="1" applyFont="1"/>
    <xf numFmtId="164" fontId="9" fillId="0" borderId="13" xfId="0" applyNumberFormat="1" applyFont="1" applyBorder="1"/>
    <xf numFmtId="164" fontId="10" fillId="0" borderId="0" xfId="0" applyNumberFormat="1" applyFont="1"/>
    <xf numFmtId="14" fontId="9" fillId="3" borderId="12" xfId="0" applyNumberFormat="1" applyFont="1" applyFill="1" applyBorder="1"/>
    <xf numFmtId="2" fontId="9" fillId="0" borderId="7" xfId="0" applyNumberFormat="1" applyFont="1" applyBorder="1"/>
    <xf numFmtId="2" fontId="9" fillId="0" borderId="8" xfId="0" applyNumberFormat="1" applyFont="1" applyBorder="1"/>
    <xf numFmtId="2" fontId="9" fillId="0" borderId="14" xfId="0" applyNumberFormat="1" applyFont="1" applyBorder="1"/>
    <xf numFmtId="4" fontId="10" fillId="0" borderId="0" xfId="0" applyNumberFormat="1" applyFont="1"/>
    <xf numFmtId="164" fontId="10" fillId="0" borderId="12" xfId="0" applyNumberFormat="1" applyFont="1" applyBorder="1"/>
    <xf numFmtId="164" fontId="9" fillId="0" borderId="0" xfId="0" applyNumberFormat="1" applyFont="1"/>
    <xf numFmtId="0" fontId="10" fillId="0" borderId="0" xfId="0" applyFont="1" applyAlignment="1">
      <alignment horizontal="left"/>
    </xf>
    <xf numFmtId="3" fontId="10" fillId="0" borderId="12" xfId="0" applyNumberFormat="1" applyFont="1" applyBorder="1"/>
    <xf numFmtId="0" fontId="10" fillId="0" borderId="12" xfId="0" applyFont="1" applyBorder="1"/>
    <xf numFmtId="164" fontId="9" fillId="0" borderId="2" xfId="0" applyNumberFormat="1" applyFont="1" applyBorder="1"/>
    <xf numFmtId="3" fontId="10" fillId="0" borderId="0" xfId="0" applyNumberFormat="1" applyFont="1"/>
    <xf numFmtId="164" fontId="10" fillId="0" borderId="15" xfId="0" applyNumberFormat="1" applyFont="1" applyBorder="1"/>
    <xf numFmtId="3" fontId="10" fillId="0" borderId="15" xfId="0" applyNumberFormat="1" applyFont="1" applyBorder="1"/>
    <xf numFmtId="0" fontId="10" fillId="0" borderId="15" xfId="0" applyFont="1" applyBorder="1"/>
    <xf numFmtId="3" fontId="10" fillId="0" borderId="14" xfId="0" applyNumberFormat="1" applyFont="1" applyBorder="1"/>
    <xf numFmtId="0" fontId="10" fillId="0" borderId="17" xfId="0" applyFont="1" applyBorder="1"/>
    <xf numFmtId="0" fontId="9" fillId="0" borderId="8" xfId="0" applyFont="1" applyBorder="1"/>
    <xf numFmtId="164" fontId="10" fillId="0" borderId="14" xfId="0" applyNumberFormat="1" applyFont="1" applyBorder="1"/>
    <xf numFmtId="3" fontId="10" fillId="5" borderId="14" xfId="0" applyNumberFormat="1" applyFont="1" applyFill="1" applyBorder="1"/>
    <xf numFmtId="166" fontId="10" fillId="0" borderId="12" xfId="0" applyNumberFormat="1" applyFont="1" applyBorder="1"/>
    <xf numFmtId="166" fontId="10" fillId="5" borderId="12" xfId="0" applyNumberFormat="1" applyFont="1" applyFill="1" applyBorder="1"/>
    <xf numFmtId="166" fontId="10" fillId="0" borderId="15" xfId="0" applyNumberFormat="1" applyFont="1" applyBorder="1"/>
    <xf numFmtId="166" fontId="10" fillId="5" borderId="15" xfId="0" applyNumberFormat="1" applyFont="1" applyFill="1" applyBorder="1"/>
    <xf numFmtId="166" fontId="10" fillId="0" borderId="20" xfId="0" applyNumberFormat="1" applyFont="1" applyBorder="1"/>
    <xf numFmtId="164" fontId="10" fillId="5" borderId="15" xfId="0" applyNumberFormat="1" applyFont="1" applyFill="1" applyBorder="1"/>
    <xf numFmtId="164" fontId="10" fillId="5" borderId="14" xfId="0" applyNumberFormat="1" applyFont="1" applyFill="1" applyBorder="1"/>
    <xf numFmtId="0" fontId="9" fillId="0" borderId="14" xfId="0" applyFont="1" applyBorder="1"/>
    <xf numFmtId="0" fontId="10" fillId="0" borderId="16" xfId="0" applyFont="1" applyBorder="1"/>
    <xf numFmtId="166" fontId="10" fillId="0" borderId="14" xfId="0" applyNumberFormat="1" applyFont="1" applyBorder="1"/>
    <xf numFmtId="0" fontId="10" fillId="0" borderId="18" xfId="0" applyFont="1" applyBorder="1"/>
    <xf numFmtId="166" fontId="10" fillId="0" borderId="19" xfId="0" applyNumberFormat="1" applyFont="1" applyBorder="1"/>
    <xf numFmtId="166" fontId="10" fillId="5" borderId="19" xfId="0" applyNumberFormat="1" applyFont="1" applyFill="1" applyBorder="1"/>
    <xf numFmtId="14" fontId="9" fillId="0" borderId="4" xfId="0" applyNumberFormat="1" applyFont="1" applyBorder="1"/>
    <xf numFmtId="0" fontId="9" fillId="0" borderId="7" xfId="0" applyFont="1" applyBorder="1"/>
    <xf numFmtId="164" fontId="10" fillId="0" borderId="19" xfId="0" applyNumberFormat="1" applyFont="1" applyBorder="1"/>
    <xf numFmtId="3" fontId="10" fillId="0" borderId="19" xfId="0" applyNumberFormat="1" applyFont="1" applyBorder="1"/>
    <xf numFmtId="0" fontId="10" fillId="0" borderId="19" xfId="0" applyFont="1" applyBorder="1"/>
    <xf numFmtId="3" fontId="10" fillId="5" borderId="19" xfId="0" applyNumberFormat="1" applyFont="1" applyFill="1" applyBorder="1"/>
    <xf numFmtId="166" fontId="10" fillId="5" borderId="14" xfId="0" applyNumberFormat="1" applyFont="1" applyFill="1" applyBorder="1"/>
    <xf numFmtId="166" fontId="10" fillId="7" borderId="12" xfId="0" applyNumberFormat="1" applyFont="1" applyFill="1" applyBorder="1"/>
    <xf numFmtId="166" fontId="10" fillId="7" borderId="20" xfId="0" applyNumberFormat="1" applyFont="1" applyFill="1" applyBorder="1"/>
    <xf numFmtId="164" fontId="9" fillId="0" borderId="13" xfId="0" quotePrefix="1" applyNumberFormat="1" applyFont="1" applyBorder="1"/>
    <xf numFmtId="2" fontId="9" fillId="0" borderId="14" xfId="0" quotePrefix="1" applyNumberFormat="1" applyFont="1" applyBorder="1"/>
    <xf numFmtId="164" fontId="10" fillId="0" borderId="0" xfId="1" applyFont="1"/>
    <xf numFmtId="4" fontId="11" fillId="6" borderId="21" xfId="0" applyNumberFormat="1" applyFont="1" applyFill="1" applyBorder="1" applyAlignment="1">
      <alignment horizontal="right" vertical="center" wrapText="1"/>
    </xf>
    <xf numFmtId="0" fontId="10" fillId="0" borderId="0" xfId="0" applyFont="1" applyAlignment="1">
      <alignment horizontal="center"/>
    </xf>
    <xf numFmtId="0" fontId="10" fillId="0" borderId="9" xfId="0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0" fontId="10" fillId="0" borderId="11" xfId="0" applyFont="1" applyBorder="1" applyAlignment="1">
      <alignment horizontal="center"/>
    </xf>
    <xf numFmtId="14" fontId="10" fillId="0" borderId="5" xfId="0" applyNumberFormat="1" applyFont="1" applyBorder="1"/>
    <xf numFmtId="164" fontId="10" fillId="0" borderId="6" xfId="0" applyNumberFormat="1" applyFont="1" applyBorder="1"/>
    <xf numFmtId="0" fontId="10" fillId="0" borderId="7" xfId="0" applyFont="1" applyBorder="1"/>
    <xf numFmtId="0" fontId="10" fillId="0" borderId="1" xfId="0" applyFont="1" applyBorder="1"/>
    <xf numFmtId="164" fontId="10" fillId="0" borderId="1" xfId="0" applyNumberFormat="1" applyFont="1" applyBorder="1"/>
    <xf numFmtId="164" fontId="10" fillId="0" borderId="8" xfId="0" applyNumberFormat="1" applyFont="1" applyBorder="1"/>
    <xf numFmtId="14" fontId="10" fillId="0" borderId="2" xfId="0" applyNumberFormat="1" applyFont="1" applyBorder="1"/>
    <xf numFmtId="164" fontId="10" fillId="0" borderId="4" xfId="0" applyNumberFormat="1" applyFont="1" applyBorder="1"/>
    <xf numFmtId="164" fontId="10" fillId="0" borderId="3" xfId="0" applyNumberFormat="1" applyFont="1" applyBorder="1"/>
    <xf numFmtId="0" fontId="10" fillId="0" borderId="5" xfId="0" applyFont="1" applyBorder="1"/>
    <xf numFmtId="14" fontId="10" fillId="0" borderId="0" xfId="1" applyNumberFormat="1" applyFont="1" applyBorder="1"/>
    <xf numFmtId="14" fontId="10" fillId="0" borderId="0" xfId="1" applyNumberFormat="1" applyFont="1" applyFill="1" applyBorder="1"/>
    <xf numFmtId="168" fontId="10" fillId="0" borderId="12" xfId="0" applyNumberFormat="1" applyFont="1" applyBorder="1"/>
    <xf numFmtId="169" fontId="10" fillId="0" borderId="0" xfId="2" applyNumberFormat="1" applyFont="1"/>
  </cellXfs>
  <cellStyles count="3">
    <cellStyle name="Millares" xfId="2" builtinId="3"/>
    <cellStyle name="Millares [0]" xfId="1" builtinId="6"/>
    <cellStyle name="Normal" xfId="0" builtinId="0"/>
  </cellStyles>
  <dxfs count="0"/>
  <tableStyles count="0" defaultTableStyle="TableStyleMedium2" defaultPivotStyle="PivotStyleLight16"/>
  <colors>
    <mruColors>
      <color rgb="FFE6D4F8"/>
      <color rgb="FFF1C9FF"/>
      <color rgb="FFE9AB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681C4-0B72-4AAB-BA83-726CA4D03EFB}">
  <dimension ref="A1:S52"/>
  <sheetViews>
    <sheetView showGridLines="0" workbookViewId="0">
      <selection activeCell="J1" sqref="J1"/>
    </sheetView>
  </sheetViews>
  <sheetFormatPr baseColWidth="10" defaultRowHeight="15" x14ac:dyDescent="0.25"/>
  <cols>
    <col min="1" max="4" width="11.5703125" bestFit="1" customWidth="1"/>
    <col min="5" max="5" width="13.5703125" bestFit="1" customWidth="1"/>
    <col min="7" max="7" width="13" bestFit="1" customWidth="1"/>
    <col min="8" max="8" width="12" bestFit="1" customWidth="1"/>
    <col min="12" max="12" width="11.5703125" bestFit="1" customWidth="1"/>
    <col min="16" max="16" width="12.42578125" bestFit="1" customWidth="1"/>
    <col min="17" max="17" width="13.140625" bestFit="1" customWidth="1"/>
    <col min="18" max="18" width="13.5703125" bestFit="1" customWidth="1"/>
  </cols>
  <sheetData>
    <row r="1" spans="1:19" x14ac:dyDescent="0.25">
      <c r="A1" s="4" t="s">
        <v>0</v>
      </c>
      <c r="B1" s="4" t="s">
        <v>19</v>
      </c>
      <c r="C1" s="4" t="s">
        <v>20</v>
      </c>
      <c r="D1" s="4" t="s">
        <v>1</v>
      </c>
      <c r="E1" s="4" t="s">
        <v>3</v>
      </c>
      <c r="F1" s="4" t="s">
        <v>21</v>
      </c>
      <c r="G1" s="4" t="s">
        <v>4</v>
      </c>
      <c r="H1" s="4"/>
      <c r="L1" s="6" t="s">
        <v>13</v>
      </c>
      <c r="M1" s="6">
        <v>110272</v>
      </c>
      <c r="N1" s="6" t="s">
        <v>2</v>
      </c>
      <c r="O1" s="6" t="s">
        <v>14</v>
      </c>
      <c r="P1" s="7"/>
      <c r="Q1" s="7"/>
      <c r="R1" s="63">
        <v>2.95</v>
      </c>
      <c r="S1" s="30">
        <f>+R1-E2</f>
        <v>3.7000000000002586E-3</v>
      </c>
    </row>
    <row r="2" spans="1:19" x14ac:dyDescent="0.25">
      <c r="A2" s="1">
        <v>44927</v>
      </c>
      <c r="B2" s="59">
        <v>0.61</v>
      </c>
      <c r="C2" s="59">
        <v>0.61</v>
      </c>
      <c r="D2">
        <v>4.83</v>
      </c>
      <c r="E2" s="60">
        <f>C2*D2</f>
        <v>2.9462999999999999</v>
      </c>
      <c r="F2" s="26">
        <f>C2-B2</f>
        <v>0</v>
      </c>
      <c r="G2" s="26">
        <f>F2*D2</f>
        <v>0</v>
      </c>
      <c r="L2" s="25">
        <v>44927</v>
      </c>
      <c r="M2" s="27"/>
      <c r="N2" s="27"/>
      <c r="O2" s="27"/>
      <c r="P2" s="65"/>
      <c r="Q2" s="64"/>
      <c r="R2" s="64">
        <f>+R1+P2-Q2</f>
        <v>2.95</v>
      </c>
      <c r="S2" s="30">
        <f>+R2-E2</f>
        <v>3.7000000000002586E-3</v>
      </c>
    </row>
    <row r="3" spans="1:19" x14ac:dyDescent="0.25">
      <c r="A3" s="1">
        <v>44928</v>
      </c>
      <c r="B3" s="60">
        <v>0.61</v>
      </c>
      <c r="C3" s="59">
        <v>0.61</v>
      </c>
      <c r="D3">
        <v>4.83</v>
      </c>
      <c r="E3" s="60">
        <f t="shared" ref="E3:E32" si="0">C3*D3</f>
        <v>2.9462999999999999</v>
      </c>
      <c r="F3" s="26">
        <f t="shared" ref="F3:F32" si="1">C3-B3</f>
        <v>0</v>
      </c>
      <c r="G3" s="26">
        <f t="shared" ref="G3:G32" si="2">F3*D3</f>
        <v>0</v>
      </c>
      <c r="L3" s="25">
        <v>44928</v>
      </c>
      <c r="M3" s="27"/>
      <c r="N3" s="27"/>
      <c r="O3" s="27"/>
      <c r="P3" s="65"/>
      <c r="Q3" s="64"/>
      <c r="R3" s="64">
        <f t="shared" ref="R3:R32" si="3">+R2+P3-Q3</f>
        <v>2.95</v>
      </c>
      <c r="S3" s="30">
        <f t="shared" ref="S3:S32" si="4">+R3-E3</f>
        <v>3.7000000000002586E-3</v>
      </c>
    </row>
    <row r="4" spans="1:19" x14ac:dyDescent="0.25">
      <c r="A4" s="1">
        <v>44929</v>
      </c>
      <c r="B4" s="60">
        <v>0.61</v>
      </c>
      <c r="C4" s="59">
        <v>0.61</v>
      </c>
      <c r="D4">
        <v>4.83</v>
      </c>
      <c r="E4" s="60">
        <f t="shared" si="0"/>
        <v>2.9462999999999999</v>
      </c>
      <c r="F4" s="26">
        <f t="shared" si="1"/>
        <v>0</v>
      </c>
      <c r="G4" s="26">
        <f t="shared" si="2"/>
        <v>0</v>
      </c>
      <c r="L4" s="25">
        <v>44929</v>
      </c>
      <c r="M4" s="27"/>
      <c r="N4" s="27"/>
      <c r="O4" s="27"/>
      <c r="P4" s="65"/>
      <c r="R4" s="64">
        <f t="shared" si="3"/>
        <v>2.95</v>
      </c>
      <c r="S4" s="30">
        <f>+R4-E4</f>
        <v>3.7000000000002586E-3</v>
      </c>
    </row>
    <row r="5" spans="1:19" x14ac:dyDescent="0.25">
      <c r="A5" s="1">
        <v>44930</v>
      </c>
      <c r="B5" s="60">
        <v>0.61</v>
      </c>
      <c r="C5" s="59">
        <v>0.61</v>
      </c>
      <c r="D5">
        <v>4.78</v>
      </c>
      <c r="E5" s="60">
        <f t="shared" si="0"/>
        <v>2.9157999999999999</v>
      </c>
      <c r="F5" s="26">
        <f t="shared" si="1"/>
        <v>0</v>
      </c>
      <c r="G5" s="26">
        <f t="shared" si="2"/>
        <v>0</v>
      </c>
      <c r="L5" s="25">
        <v>44930</v>
      </c>
      <c r="M5" s="27"/>
      <c r="N5" s="27"/>
      <c r="O5" s="27"/>
      <c r="P5" s="64"/>
      <c r="Q5" s="64">
        <f>+H13*-1</f>
        <v>3.0499999999999892E-2</v>
      </c>
      <c r="R5" s="64">
        <f t="shared" si="3"/>
        <v>2.9195000000000002</v>
      </c>
      <c r="S5" s="30">
        <f t="shared" si="4"/>
        <v>3.7000000000002586E-3</v>
      </c>
    </row>
    <row r="6" spans="1:19" x14ac:dyDescent="0.25">
      <c r="A6" s="1">
        <v>44931</v>
      </c>
      <c r="B6" s="60">
        <v>0.61</v>
      </c>
      <c r="C6" s="59">
        <v>0.61</v>
      </c>
      <c r="D6">
        <v>4.79</v>
      </c>
      <c r="E6" s="60">
        <f t="shared" si="0"/>
        <v>2.9218999999999999</v>
      </c>
      <c r="F6" s="26">
        <f t="shared" si="1"/>
        <v>0</v>
      </c>
      <c r="G6" s="26">
        <f t="shared" si="2"/>
        <v>0</v>
      </c>
      <c r="L6" s="25">
        <v>44931</v>
      </c>
      <c r="M6" s="27"/>
      <c r="N6" s="27"/>
      <c r="O6" s="27"/>
      <c r="P6" s="65"/>
      <c r="Q6" s="64"/>
      <c r="R6" s="64">
        <f t="shared" si="3"/>
        <v>2.9195000000000002</v>
      </c>
      <c r="S6" s="30">
        <f t="shared" si="4"/>
        <v>-2.3999999999997357E-3</v>
      </c>
    </row>
    <row r="7" spans="1:19" x14ac:dyDescent="0.25">
      <c r="A7" s="1">
        <v>44932</v>
      </c>
      <c r="B7" s="60">
        <v>0.61</v>
      </c>
      <c r="C7" s="59">
        <v>0.61</v>
      </c>
      <c r="D7">
        <v>4.79</v>
      </c>
      <c r="E7" s="60">
        <f t="shared" si="0"/>
        <v>2.9218999999999999</v>
      </c>
      <c r="F7" s="26">
        <f t="shared" si="1"/>
        <v>0</v>
      </c>
      <c r="G7" s="26">
        <f t="shared" si="2"/>
        <v>0</v>
      </c>
      <c r="L7" s="25">
        <v>44932</v>
      </c>
      <c r="M7" s="27"/>
      <c r="N7" s="27"/>
      <c r="O7" s="27"/>
      <c r="P7" s="65"/>
      <c r="Q7" s="65"/>
      <c r="R7" s="64">
        <f t="shared" si="3"/>
        <v>2.9195000000000002</v>
      </c>
      <c r="S7" s="30">
        <f t="shared" si="4"/>
        <v>-2.3999999999997357E-3</v>
      </c>
    </row>
    <row r="8" spans="1:19" x14ac:dyDescent="0.25">
      <c r="A8" s="1">
        <v>44933</v>
      </c>
      <c r="B8" s="60">
        <v>0.61</v>
      </c>
      <c r="C8" s="59">
        <v>0.61</v>
      </c>
      <c r="D8">
        <v>4.72</v>
      </c>
      <c r="E8" s="60">
        <f t="shared" si="0"/>
        <v>2.8792</v>
      </c>
      <c r="F8" s="26">
        <f t="shared" si="1"/>
        <v>0</v>
      </c>
      <c r="G8" s="26">
        <f t="shared" si="2"/>
        <v>0</v>
      </c>
      <c r="L8" s="25">
        <v>44933</v>
      </c>
      <c r="M8" s="27"/>
      <c r="N8" s="27"/>
      <c r="O8" s="27"/>
      <c r="P8" s="65"/>
      <c r="Q8" s="65">
        <f>+H19*-1</f>
        <v>4.2700000000000175E-2</v>
      </c>
      <c r="R8" s="64">
        <f t="shared" si="3"/>
        <v>2.8768000000000002</v>
      </c>
      <c r="S8" s="30">
        <f t="shared" si="4"/>
        <v>-2.3999999999997357E-3</v>
      </c>
    </row>
    <row r="9" spans="1:19" x14ac:dyDescent="0.25">
      <c r="A9" s="1">
        <v>44934</v>
      </c>
      <c r="B9" s="60">
        <v>0.61</v>
      </c>
      <c r="C9" s="59">
        <v>0.61</v>
      </c>
      <c r="D9">
        <v>4.72</v>
      </c>
      <c r="E9" s="60">
        <f t="shared" si="0"/>
        <v>2.8792</v>
      </c>
      <c r="F9" s="26">
        <f t="shared" si="1"/>
        <v>0</v>
      </c>
      <c r="G9" s="26">
        <f t="shared" si="2"/>
        <v>0</v>
      </c>
      <c r="L9" s="25">
        <v>44934</v>
      </c>
      <c r="M9" s="27"/>
      <c r="N9" s="27"/>
      <c r="O9" s="27"/>
      <c r="P9" s="65"/>
      <c r="Q9" s="65"/>
      <c r="R9" s="64">
        <f t="shared" si="3"/>
        <v>2.8768000000000002</v>
      </c>
      <c r="S9" s="30">
        <f t="shared" si="4"/>
        <v>-2.3999999999997357E-3</v>
      </c>
    </row>
    <row r="10" spans="1:19" x14ac:dyDescent="0.25">
      <c r="A10" s="1">
        <v>44935</v>
      </c>
      <c r="B10" s="60">
        <v>0.61</v>
      </c>
      <c r="C10" s="59">
        <v>0.61</v>
      </c>
      <c r="D10">
        <v>4.72</v>
      </c>
      <c r="E10" s="60">
        <f t="shared" si="0"/>
        <v>2.8792</v>
      </c>
      <c r="F10" s="26">
        <f t="shared" si="1"/>
        <v>0</v>
      </c>
      <c r="G10" s="26">
        <f t="shared" si="2"/>
        <v>0</v>
      </c>
      <c r="L10" s="25">
        <v>44935</v>
      </c>
      <c r="M10" s="27"/>
      <c r="N10" s="27"/>
      <c r="O10" s="27"/>
      <c r="P10" s="65"/>
      <c r="Q10" s="65"/>
      <c r="R10" s="64">
        <f t="shared" si="3"/>
        <v>2.8768000000000002</v>
      </c>
      <c r="S10" s="30">
        <f t="shared" si="4"/>
        <v>-2.3999999999997357E-3</v>
      </c>
    </row>
    <row r="11" spans="1:19" x14ac:dyDescent="0.25">
      <c r="A11" s="1">
        <v>44936</v>
      </c>
      <c r="B11" s="60">
        <v>0.61</v>
      </c>
      <c r="C11" s="59">
        <v>0.61</v>
      </c>
      <c r="D11">
        <v>4.6500000000000004</v>
      </c>
      <c r="E11" s="60">
        <f t="shared" si="0"/>
        <v>2.8365</v>
      </c>
      <c r="F11" s="26">
        <f t="shared" si="1"/>
        <v>0</v>
      </c>
      <c r="G11" s="26">
        <f t="shared" si="2"/>
        <v>0</v>
      </c>
      <c r="L11" s="25">
        <v>44936</v>
      </c>
      <c r="M11" s="27"/>
      <c r="N11" s="27"/>
      <c r="O11" s="27"/>
      <c r="P11" s="65"/>
      <c r="Q11" s="65">
        <f>H21*-1</f>
        <v>4.2699999999999634E-2</v>
      </c>
      <c r="R11" s="64">
        <f t="shared" si="3"/>
        <v>2.8341000000000007</v>
      </c>
      <c r="S11" s="30">
        <f t="shared" si="4"/>
        <v>-2.3999999999992916E-3</v>
      </c>
    </row>
    <row r="12" spans="1:19" x14ac:dyDescent="0.25">
      <c r="A12" s="1">
        <v>44937</v>
      </c>
      <c r="B12" s="60">
        <v>0.61</v>
      </c>
      <c r="C12" s="59">
        <v>0.61</v>
      </c>
      <c r="D12">
        <v>4.62</v>
      </c>
      <c r="E12" s="60">
        <f t="shared" si="0"/>
        <v>2.8182</v>
      </c>
      <c r="F12" s="26">
        <f t="shared" si="1"/>
        <v>0</v>
      </c>
      <c r="G12" s="26">
        <f t="shared" si="2"/>
        <v>0</v>
      </c>
      <c r="L12" s="25">
        <v>44937</v>
      </c>
      <c r="P12" s="60"/>
      <c r="Q12" s="65">
        <f>H23*-1</f>
        <v>1.8300000000000153E-2</v>
      </c>
      <c r="R12" s="64">
        <f t="shared" si="3"/>
        <v>2.8158000000000007</v>
      </c>
      <c r="S12" s="30">
        <f t="shared" si="4"/>
        <v>-2.3999999999992916E-3</v>
      </c>
    </row>
    <row r="13" spans="1:19" x14ac:dyDescent="0.25">
      <c r="A13" s="1">
        <v>44938</v>
      </c>
      <c r="B13" s="60">
        <v>0.61</v>
      </c>
      <c r="C13" s="59">
        <v>0.61</v>
      </c>
      <c r="D13">
        <v>4.57</v>
      </c>
      <c r="E13" s="60">
        <f t="shared" si="0"/>
        <v>2.7877000000000001</v>
      </c>
      <c r="F13" s="26">
        <f t="shared" si="1"/>
        <v>0</v>
      </c>
      <c r="G13" s="26">
        <f t="shared" si="2"/>
        <v>0</v>
      </c>
      <c r="H13" s="61">
        <f>B5*H14</f>
        <v>-3.0499999999999892E-2</v>
      </c>
      <c r="I13" s="32">
        <v>44930</v>
      </c>
      <c r="L13" s="25">
        <v>44938</v>
      </c>
      <c r="P13" s="60"/>
      <c r="Q13" s="60">
        <f>H25*-1</f>
        <v>3.0499999999999892E-2</v>
      </c>
      <c r="R13" s="64">
        <f t="shared" si="3"/>
        <v>2.7853000000000008</v>
      </c>
      <c r="S13" s="30">
        <f t="shared" si="4"/>
        <v>-2.3999999999992916E-3</v>
      </c>
    </row>
    <row r="14" spans="1:19" x14ac:dyDescent="0.25">
      <c r="A14" s="1">
        <v>44939</v>
      </c>
      <c r="B14" s="60">
        <v>0.61</v>
      </c>
      <c r="C14" s="59">
        <v>0.61</v>
      </c>
      <c r="D14">
        <v>4.54</v>
      </c>
      <c r="E14" s="60">
        <f t="shared" si="0"/>
        <v>2.7694000000000001</v>
      </c>
      <c r="F14" s="26">
        <f t="shared" si="1"/>
        <v>0</v>
      </c>
      <c r="G14" s="26">
        <f t="shared" si="2"/>
        <v>0</v>
      </c>
      <c r="H14" s="34">
        <f>+D5-D4</f>
        <v>-4.9999999999999822E-2</v>
      </c>
      <c r="I14" s="33"/>
      <c r="L14" s="25">
        <v>44939</v>
      </c>
      <c r="P14" s="60"/>
      <c r="Q14" s="60">
        <f>H27*-1</f>
        <v>1.8300000000000153E-2</v>
      </c>
      <c r="R14" s="64">
        <f t="shared" si="3"/>
        <v>2.7670000000000008</v>
      </c>
      <c r="S14" s="30">
        <f t="shared" si="4"/>
        <v>-2.3999999999992916E-3</v>
      </c>
    </row>
    <row r="15" spans="1:19" x14ac:dyDescent="0.25">
      <c r="A15" s="1">
        <v>44940</v>
      </c>
      <c r="B15" s="60">
        <v>0.61</v>
      </c>
      <c r="C15" s="59">
        <v>0.61</v>
      </c>
      <c r="D15">
        <v>4.55</v>
      </c>
      <c r="E15" s="60">
        <f t="shared" si="0"/>
        <v>2.7754999999999996</v>
      </c>
      <c r="F15" s="26">
        <f t="shared" si="1"/>
        <v>0</v>
      </c>
      <c r="G15" s="26">
        <f t="shared" si="2"/>
        <v>0</v>
      </c>
      <c r="H15" s="62">
        <f>B6*H16</f>
        <v>6.0999999999998694E-3</v>
      </c>
      <c r="I15" s="32">
        <v>44931</v>
      </c>
      <c r="L15" s="25">
        <v>44940</v>
      </c>
      <c r="P15" s="60">
        <f>H29</f>
        <v>6.0999999999998694E-3</v>
      </c>
      <c r="Q15" s="60"/>
      <c r="R15" s="64">
        <f t="shared" si="3"/>
        <v>2.7731000000000008</v>
      </c>
      <c r="S15" s="30">
        <f t="shared" si="4"/>
        <v>-2.3999999999988475E-3</v>
      </c>
    </row>
    <row r="16" spans="1:19" x14ac:dyDescent="0.25">
      <c r="A16" s="1">
        <v>44941</v>
      </c>
      <c r="B16" s="60">
        <v>0.61</v>
      </c>
      <c r="C16" s="59">
        <v>0.61</v>
      </c>
      <c r="D16">
        <v>4.55</v>
      </c>
      <c r="E16" s="60">
        <f t="shared" si="0"/>
        <v>2.7754999999999996</v>
      </c>
      <c r="F16" s="26">
        <f t="shared" si="1"/>
        <v>0</v>
      </c>
      <c r="G16" s="26">
        <f t="shared" si="2"/>
        <v>0</v>
      </c>
      <c r="H16" s="34">
        <f>+D6-D5</f>
        <v>9.9999999999997868E-3</v>
      </c>
      <c r="I16" s="33"/>
      <c r="L16" s="25">
        <v>44941</v>
      </c>
      <c r="P16" s="60"/>
      <c r="Q16" s="60"/>
      <c r="R16" s="64">
        <f t="shared" si="3"/>
        <v>2.7731000000000008</v>
      </c>
      <c r="S16" s="30">
        <f t="shared" si="4"/>
        <v>-2.3999999999988475E-3</v>
      </c>
    </row>
    <row r="17" spans="1:19" x14ac:dyDescent="0.25">
      <c r="A17" s="1">
        <v>44942</v>
      </c>
      <c r="B17" s="60">
        <v>0.61</v>
      </c>
      <c r="C17" s="59">
        <v>0.61</v>
      </c>
      <c r="D17">
        <v>4.55</v>
      </c>
      <c r="E17" s="60">
        <f t="shared" si="0"/>
        <v>2.7754999999999996</v>
      </c>
      <c r="F17" s="26">
        <f t="shared" si="1"/>
        <v>0</v>
      </c>
      <c r="G17" s="26">
        <f t="shared" si="2"/>
        <v>0</v>
      </c>
      <c r="H17" s="62">
        <f>B7*H18</f>
        <v>0</v>
      </c>
      <c r="I17" s="32">
        <v>44932</v>
      </c>
      <c r="L17" s="25">
        <v>44942</v>
      </c>
      <c r="P17" s="60"/>
      <c r="Q17" s="60"/>
      <c r="R17" s="64">
        <f t="shared" si="3"/>
        <v>2.7731000000000008</v>
      </c>
      <c r="S17" s="30">
        <f t="shared" si="4"/>
        <v>-2.3999999999988475E-3</v>
      </c>
    </row>
    <row r="18" spans="1:19" x14ac:dyDescent="0.25">
      <c r="A18" s="1">
        <v>44943</v>
      </c>
      <c r="B18" s="60">
        <v>0.61</v>
      </c>
      <c r="C18" s="59">
        <v>0.61</v>
      </c>
      <c r="D18">
        <v>4.51</v>
      </c>
      <c r="E18" s="60">
        <f t="shared" si="0"/>
        <v>2.7510999999999997</v>
      </c>
      <c r="F18" s="26">
        <f t="shared" si="1"/>
        <v>0</v>
      </c>
      <c r="G18" s="26">
        <f t="shared" si="2"/>
        <v>0</v>
      </c>
      <c r="H18" s="34">
        <f>+D7-D6</f>
        <v>0</v>
      </c>
      <c r="I18" s="33"/>
      <c r="L18" s="25">
        <v>44943</v>
      </c>
      <c r="P18" s="60"/>
      <c r="Q18" s="60">
        <f>H31*-1</f>
        <v>2.4400000000000022E-2</v>
      </c>
      <c r="R18" s="64">
        <f t="shared" si="3"/>
        <v>2.7487000000000008</v>
      </c>
      <c r="S18" s="30">
        <f t="shared" si="4"/>
        <v>-2.3999999999988475E-3</v>
      </c>
    </row>
    <row r="19" spans="1:19" x14ac:dyDescent="0.25">
      <c r="A19" s="1">
        <v>44944</v>
      </c>
      <c r="B19" s="60">
        <v>0.61</v>
      </c>
      <c r="C19" s="59">
        <v>0.61</v>
      </c>
      <c r="D19">
        <v>4.5</v>
      </c>
      <c r="E19" s="60">
        <f t="shared" si="0"/>
        <v>2.7450000000000001</v>
      </c>
      <c r="F19" s="26">
        <f t="shared" si="1"/>
        <v>0</v>
      </c>
      <c r="G19" s="26">
        <f t="shared" si="2"/>
        <v>0</v>
      </c>
      <c r="H19" s="62">
        <f>H20*B8</f>
        <v>-4.2700000000000175E-2</v>
      </c>
      <c r="I19" s="32">
        <v>44933</v>
      </c>
      <c r="L19" s="25">
        <v>44944</v>
      </c>
      <c r="P19" s="60"/>
      <c r="Q19" s="60"/>
      <c r="R19" s="64">
        <f t="shared" si="3"/>
        <v>2.7487000000000008</v>
      </c>
      <c r="S19" s="30">
        <f t="shared" si="4"/>
        <v>3.7000000000007027E-3</v>
      </c>
    </row>
    <row r="20" spans="1:19" x14ac:dyDescent="0.25">
      <c r="A20" s="1">
        <v>44945</v>
      </c>
      <c r="B20" s="60">
        <v>0.61</v>
      </c>
      <c r="C20" s="59">
        <v>0.61</v>
      </c>
      <c r="D20">
        <v>4.4400000000000004</v>
      </c>
      <c r="E20" s="60">
        <f t="shared" si="0"/>
        <v>2.7084000000000001</v>
      </c>
      <c r="F20" s="26">
        <f t="shared" si="1"/>
        <v>0</v>
      </c>
      <c r="G20" s="26">
        <f t="shared" si="2"/>
        <v>0</v>
      </c>
      <c r="H20" s="11">
        <f>+D8-D7</f>
        <v>-7.0000000000000284E-2</v>
      </c>
      <c r="I20" s="14"/>
      <c r="L20" s="25">
        <v>44945</v>
      </c>
      <c r="P20" s="60"/>
      <c r="Q20" s="60">
        <f>H35*-1</f>
        <v>3.6599999999999758E-2</v>
      </c>
      <c r="R20" s="64">
        <f t="shared" si="3"/>
        <v>2.7121000000000008</v>
      </c>
      <c r="S20" s="30">
        <f t="shared" si="4"/>
        <v>3.7000000000007027E-3</v>
      </c>
    </row>
    <row r="21" spans="1:19" x14ac:dyDescent="0.25">
      <c r="A21" s="1">
        <v>44946</v>
      </c>
      <c r="B21" s="60">
        <v>0.61</v>
      </c>
      <c r="C21" s="59">
        <v>0.61</v>
      </c>
      <c r="D21">
        <v>4.53</v>
      </c>
      <c r="E21" s="60">
        <f t="shared" si="0"/>
        <v>2.7633000000000001</v>
      </c>
      <c r="F21" s="26">
        <f t="shared" si="1"/>
        <v>0</v>
      </c>
      <c r="G21" s="26">
        <f t="shared" si="2"/>
        <v>0</v>
      </c>
      <c r="H21" s="62">
        <f>B11*H22</f>
        <v>-4.2699999999999634E-2</v>
      </c>
      <c r="I21" s="38">
        <v>44936</v>
      </c>
      <c r="L21" s="25">
        <v>44946</v>
      </c>
      <c r="P21" s="60">
        <f>H37</f>
        <v>5.4899999999999914E-2</v>
      </c>
      <c r="Q21" s="60"/>
      <c r="R21" s="64">
        <f t="shared" si="3"/>
        <v>2.7670000000000008</v>
      </c>
      <c r="S21" s="30">
        <f t="shared" si="4"/>
        <v>3.7000000000007027E-3</v>
      </c>
    </row>
    <row r="22" spans="1:19" x14ac:dyDescent="0.25">
      <c r="A22" s="1">
        <v>44947</v>
      </c>
      <c r="B22" s="60">
        <v>0.61</v>
      </c>
      <c r="C22" s="59">
        <v>0.61</v>
      </c>
      <c r="D22">
        <v>4.4800000000000004</v>
      </c>
      <c r="E22" s="60">
        <f t="shared" si="0"/>
        <v>2.7328000000000001</v>
      </c>
      <c r="F22" s="26">
        <f t="shared" si="1"/>
        <v>0</v>
      </c>
      <c r="G22" s="26">
        <f t="shared" si="2"/>
        <v>0</v>
      </c>
      <c r="H22" s="11">
        <f>+D11-D10</f>
        <v>-6.9999999999999396E-2</v>
      </c>
      <c r="I22" s="14"/>
      <c r="L22" s="25">
        <v>44947</v>
      </c>
      <c r="P22" s="60"/>
      <c r="Q22" s="60">
        <f>H39*-1</f>
        <v>3.0499999999999892E-2</v>
      </c>
      <c r="R22" s="64">
        <f t="shared" si="3"/>
        <v>2.7365000000000008</v>
      </c>
      <c r="S22" s="30">
        <f t="shared" si="4"/>
        <v>3.7000000000007027E-3</v>
      </c>
    </row>
    <row r="23" spans="1:19" x14ac:dyDescent="0.25">
      <c r="A23" s="1">
        <v>44948</v>
      </c>
      <c r="B23" s="60">
        <v>0.61</v>
      </c>
      <c r="C23" s="59">
        <v>0.61</v>
      </c>
      <c r="D23">
        <v>4.4800000000000004</v>
      </c>
      <c r="E23" s="60">
        <f t="shared" si="0"/>
        <v>2.7328000000000001</v>
      </c>
      <c r="F23" s="26">
        <f t="shared" si="1"/>
        <v>0</v>
      </c>
      <c r="G23" s="26">
        <f t="shared" si="2"/>
        <v>0</v>
      </c>
      <c r="H23" s="62">
        <f>H24*B12</f>
        <v>-1.8300000000000153E-2</v>
      </c>
      <c r="I23" s="32">
        <v>44937</v>
      </c>
      <c r="L23" s="25">
        <v>44948</v>
      </c>
      <c r="P23" s="60"/>
      <c r="Q23" s="60"/>
      <c r="R23" s="64">
        <f t="shared" si="3"/>
        <v>2.7365000000000008</v>
      </c>
      <c r="S23" s="30">
        <f t="shared" si="4"/>
        <v>3.7000000000007027E-3</v>
      </c>
    </row>
    <row r="24" spans="1:19" x14ac:dyDescent="0.25">
      <c r="A24" s="1">
        <v>44949</v>
      </c>
      <c r="B24" s="60">
        <v>0.61</v>
      </c>
      <c r="C24" s="59">
        <v>0.61</v>
      </c>
      <c r="D24">
        <v>4.4800000000000004</v>
      </c>
      <c r="E24" s="60">
        <f t="shared" si="0"/>
        <v>2.7328000000000001</v>
      </c>
      <c r="F24" s="26">
        <f t="shared" si="1"/>
        <v>0</v>
      </c>
      <c r="G24" s="26">
        <f t="shared" si="2"/>
        <v>0</v>
      </c>
      <c r="H24" s="11">
        <f>+D12-D11</f>
        <v>-3.0000000000000249E-2</v>
      </c>
      <c r="I24" s="14"/>
      <c r="L24" s="25">
        <v>44949</v>
      </c>
      <c r="P24" s="60"/>
      <c r="Q24" s="60"/>
      <c r="R24" s="64">
        <f t="shared" si="3"/>
        <v>2.7365000000000008</v>
      </c>
      <c r="S24" s="30">
        <f t="shared" si="4"/>
        <v>3.7000000000007027E-3</v>
      </c>
    </row>
    <row r="25" spans="1:19" x14ac:dyDescent="0.25">
      <c r="A25" s="1">
        <v>44950</v>
      </c>
      <c r="B25" s="60">
        <v>0.61</v>
      </c>
      <c r="C25" s="59">
        <v>0.61</v>
      </c>
      <c r="D25">
        <v>4.42</v>
      </c>
      <c r="E25" s="60">
        <f t="shared" si="0"/>
        <v>2.6961999999999997</v>
      </c>
      <c r="F25" s="26">
        <f t="shared" si="1"/>
        <v>0</v>
      </c>
      <c r="G25" s="26">
        <f t="shared" si="2"/>
        <v>0</v>
      </c>
      <c r="H25" s="62">
        <f>B13*H26</f>
        <v>-3.0499999999999892E-2</v>
      </c>
      <c r="I25" s="32">
        <v>44938</v>
      </c>
      <c r="L25" s="25">
        <v>44950</v>
      </c>
      <c r="P25" s="60"/>
      <c r="Q25" s="60">
        <f>H41*-1</f>
        <v>3.6600000000000306E-2</v>
      </c>
      <c r="R25" s="64">
        <f t="shared" si="3"/>
        <v>2.6999000000000004</v>
      </c>
      <c r="S25" s="30">
        <f t="shared" si="4"/>
        <v>3.7000000000007027E-3</v>
      </c>
    </row>
    <row r="26" spans="1:19" x14ac:dyDescent="0.25">
      <c r="A26" s="1">
        <v>44951</v>
      </c>
      <c r="B26" s="60">
        <v>0.61</v>
      </c>
      <c r="C26" s="59">
        <v>0.61</v>
      </c>
      <c r="D26">
        <v>4.3600000000000003</v>
      </c>
      <c r="E26" s="60">
        <f t="shared" si="0"/>
        <v>2.6596000000000002</v>
      </c>
      <c r="F26" s="26">
        <f t="shared" si="1"/>
        <v>0</v>
      </c>
      <c r="G26" s="26">
        <f t="shared" si="2"/>
        <v>0</v>
      </c>
      <c r="H26" s="11">
        <f>+D13-D12</f>
        <v>-4.9999999999999822E-2</v>
      </c>
      <c r="I26" s="14"/>
      <c r="L26" s="25">
        <v>44951</v>
      </c>
      <c r="P26" s="60"/>
      <c r="Q26" s="60">
        <f>H43*-1</f>
        <v>3.6599999999999758E-2</v>
      </c>
      <c r="R26" s="64">
        <f t="shared" si="3"/>
        <v>2.6633000000000004</v>
      </c>
      <c r="S26" s="30">
        <f t="shared" si="4"/>
        <v>3.7000000000002586E-3</v>
      </c>
    </row>
    <row r="27" spans="1:19" x14ac:dyDescent="0.25">
      <c r="A27" s="1">
        <v>44952</v>
      </c>
      <c r="B27" s="60">
        <v>0.61</v>
      </c>
      <c r="C27" s="59">
        <v>0.61</v>
      </c>
      <c r="D27">
        <v>4.34</v>
      </c>
      <c r="E27" s="60">
        <f t="shared" si="0"/>
        <v>2.6473999999999998</v>
      </c>
      <c r="F27" s="26">
        <f t="shared" si="1"/>
        <v>0</v>
      </c>
      <c r="G27" s="26">
        <f t="shared" si="2"/>
        <v>0</v>
      </c>
      <c r="H27" s="62">
        <f>B14*H28</f>
        <v>-1.8300000000000153E-2</v>
      </c>
      <c r="I27" s="32">
        <v>44939</v>
      </c>
      <c r="L27" s="25">
        <v>44952</v>
      </c>
      <c r="P27" s="60"/>
      <c r="Q27" s="60">
        <f>H45*-1</f>
        <v>1.2200000000000282E-2</v>
      </c>
      <c r="R27" s="64">
        <f t="shared" si="3"/>
        <v>2.6511</v>
      </c>
      <c r="S27" s="30">
        <f t="shared" si="4"/>
        <v>3.7000000000002586E-3</v>
      </c>
    </row>
    <row r="28" spans="1:19" x14ac:dyDescent="0.25">
      <c r="A28" s="1">
        <v>44953</v>
      </c>
      <c r="B28" s="60">
        <v>0.61</v>
      </c>
      <c r="C28" s="59">
        <v>0.61</v>
      </c>
      <c r="D28">
        <v>4.33</v>
      </c>
      <c r="E28" s="60">
        <f t="shared" si="0"/>
        <v>2.6413000000000002</v>
      </c>
      <c r="F28" s="26">
        <f t="shared" si="1"/>
        <v>0</v>
      </c>
      <c r="G28" s="26">
        <f t="shared" si="2"/>
        <v>0</v>
      </c>
      <c r="H28" s="11">
        <f>+D14-D13</f>
        <v>-3.0000000000000249E-2</v>
      </c>
      <c r="I28" s="14"/>
      <c r="L28" s="25">
        <v>44953</v>
      </c>
      <c r="P28" s="60"/>
      <c r="Q28" s="60">
        <f>H47*-1</f>
        <v>6.0999999999998694E-3</v>
      </c>
      <c r="R28" s="64">
        <f t="shared" si="3"/>
        <v>2.645</v>
      </c>
      <c r="S28" s="30">
        <f t="shared" si="4"/>
        <v>3.6999999999998145E-3</v>
      </c>
    </row>
    <row r="29" spans="1:19" x14ac:dyDescent="0.25">
      <c r="A29" s="1">
        <v>44954</v>
      </c>
      <c r="B29" s="60">
        <v>0.61</v>
      </c>
      <c r="C29" s="59">
        <v>0.61</v>
      </c>
      <c r="D29">
        <v>4.33</v>
      </c>
      <c r="E29" s="60">
        <f t="shared" si="0"/>
        <v>2.6413000000000002</v>
      </c>
      <c r="F29" s="26">
        <f t="shared" si="1"/>
        <v>0</v>
      </c>
      <c r="G29" s="26">
        <f t="shared" si="2"/>
        <v>0</v>
      </c>
      <c r="H29" s="62">
        <f>B15*H30</f>
        <v>6.0999999999998694E-3</v>
      </c>
      <c r="I29" s="32">
        <v>44940</v>
      </c>
      <c r="L29" s="25">
        <v>44954</v>
      </c>
      <c r="P29" s="60"/>
      <c r="Q29" s="60"/>
      <c r="R29" s="64">
        <f t="shared" si="3"/>
        <v>2.645</v>
      </c>
      <c r="S29" s="30">
        <f t="shared" si="4"/>
        <v>3.6999999999998145E-3</v>
      </c>
    </row>
    <row r="30" spans="1:19" x14ac:dyDescent="0.25">
      <c r="A30" s="1">
        <v>44955</v>
      </c>
      <c r="B30" s="60">
        <v>0.61</v>
      </c>
      <c r="C30" s="59">
        <v>0.61</v>
      </c>
      <c r="D30">
        <v>4.33</v>
      </c>
      <c r="E30" s="60">
        <f t="shared" si="0"/>
        <v>2.6413000000000002</v>
      </c>
      <c r="F30" s="26">
        <f t="shared" si="1"/>
        <v>0</v>
      </c>
      <c r="G30" s="26">
        <f t="shared" si="2"/>
        <v>0</v>
      </c>
      <c r="H30" s="11">
        <f>+D15-D14</f>
        <v>9.9999999999997868E-3</v>
      </c>
      <c r="I30" s="14"/>
      <c r="L30" s="25">
        <v>44955</v>
      </c>
      <c r="P30" s="60"/>
      <c r="Q30" s="60"/>
      <c r="R30" s="64">
        <f t="shared" si="3"/>
        <v>2.645</v>
      </c>
      <c r="S30" s="30">
        <f t="shared" si="4"/>
        <v>3.6999999999998145E-3</v>
      </c>
    </row>
    <row r="31" spans="1:19" x14ac:dyDescent="0.25">
      <c r="A31" s="1">
        <v>44956</v>
      </c>
      <c r="B31" s="60">
        <v>0.61</v>
      </c>
      <c r="C31" s="60">
        <v>0.61</v>
      </c>
      <c r="D31">
        <v>4.33</v>
      </c>
      <c r="E31" s="60">
        <f t="shared" si="0"/>
        <v>2.6413000000000002</v>
      </c>
      <c r="F31" s="26">
        <f t="shared" si="1"/>
        <v>0</v>
      </c>
      <c r="G31" s="26">
        <f t="shared" si="2"/>
        <v>0</v>
      </c>
      <c r="H31" s="62">
        <f>B18*H32</f>
        <v>-2.4400000000000022E-2</v>
      </c>
      <c r="I31" s="36">
        <v>44943</v>
      </c>
      <c r="L31" s="25">
        <v>44956</v>
      </c>
      <c r="P31" s="60"/>
      <c r="Q31" s="60"/>
      <c r="R31" s="64">
        <f t="shared" si="3"/>
        <v>2.645</v>
      </c>
      <c r="S31" s="30">
        <f t="shared" si="4"/>
        <v>3.6999999999998145E-3</v>
      </c>
    </row>
    <row r="32" spans="1:19" x14ac:dyDescent="0.25">
      <c r="A32" s="1">
        <v>44957</v>
      </c>
      <c r="B32" s="60">
        <v>0.61</v>
      </c>
      <c r="C32" s="60">
        <v>0.61</v>
      </c>
      <c r="D32">
        <v>4.34</v>
      </c>
      <c r="E32" s="60">
        <f t="shared" si="0"/>
        <v>2.6473999999999998</v>
      </c>
      <c r="F32" s="26">
        <f t="shared" si="1"/>
        <v>0</v>
      </c>
      <c r="G32" s="26">
        <f t="shared" si="2"/>
        <v>0</v>
      </c>
      <c r="H32" s="11">
        <f>+D18-D17</f>
        <v>-4.0000000000000036E-2</v>
      </c>
      <c r="I32" s="14"/>
      <c r="L32" s="25">
        <v>44957</v>
      </c>
      <c r="P32" s="60"/>
      <c r="Q32" s="60"/>
      <c r="R32" s="64">
        <f t="shared" si="3"/>
        <v>2.645</v>
      </c>
      <c r="S32" s="30">
        <f t="shared" si="4"/>
        <v>-2.3999999999997357E-3</v>
      </c>
    </row>
    <row r="33" spans="8:19" x14ac:dyDescent="0.25">
      <c r="H33" s="62">
        <f>B19*H34</f>
        <v>-6.0999999999998694E-3</v>
      </c>
      <c r="I33" s="36">
        <v>44944</v>
      </c>
      <c r="L33" s="6" t="s">
        <v>15</v>
      </c>
      <c r="M33" s="6">
        <v>110272</v>
      </c>
      <c r="N33" s="6" t="s">
        <v>2</v>
      </c>
      <c r="O33" s="6" t="s">
        <v>16</v>
      </c>
      <c r="P33" s="63">
        <f>SUM(P2:P32)</f>
        <v>6.0999999999999784E-2</v>
      </c>
      <c r="Q33" s="63">
        <f>SUM(Q2:Q32)</f>
        <v>0.36599999999999977</v>
      </c>
      <c r="R33" s="63">
        <f>R1+P33-Q33</f>
        <v>2.6450000000000005</v>
      </c>
      <c r="S33" s="60"/>
    </row>
    <row r="34" spans="8:19" x14ac:dyDescent="0.25">
      <c r="H34" s="11">
        <f>+D19-D18</f>
        <v>-9.9999999999997868E-3</v>
      </c>
      <c r="I34" s="14"/>
      <c r="L34" s="6"/>
      <c r="M34" s="6"/>
      <c r="N34" s="6"/>
      <c r="O34" s="6" t="s">
        <v>17</v>
      </c>
      <c r="P34" s="63"/>
      <c r="Q34" s="63"/>
      <c r="R34" s="63">
        <f>+R1+P33-Q33</f>
        <v>2.6450000000000005</v>
      </c>
      <c r="S34" s="60"/>
    </row>
    <row r="35" spans="8:19" x14ac:dyDescent="0.25">
      <c r="H35" s="62">
        <f>B20*H36</f>
        <v>-3.6599999999999758E-2</v>
      </c>
      <c r="I35" s="36">
        <v>44945</v>
      </c>
      <c r="P35" s="60"/>
      <c r="Q35" s="60"/>
      <c r="R35" s="60"/>
      <c r="S35" s="60"/>
    </row>
    <row r="36" spans="8:19" x14ac:dyDescent="0.25">
      <c r="H36" s="11">
        <f>+D20-D19</f>
        <v>-5.9999999999999609E-2</v>
      </c>
      <c r="I36" s="14"/>
    </row>
    <row r="37" spans="8:19" x14ac:dyDescent="0.25">
      <c r="H37" s="62">
        <f>B21*H38</f>
        <v>5.4899999999999914E-2</v>
      </c>
      <c r="I37" s="36">
        <v>44946</v>
      </c>
    </row>
    <row r="38" spans="8:19" x14ac:dyDescent="0.25">
      <c r="H38" s="34">
        <f>+D21-D20</f>
        <v>8.9999999999999858E-2</v>
      </c>
      <c r="I38" s="14"/>
    </row>
    <row r="39" spans="8:19" x14ac:dyDescent="0.25">
      <c r="H39" s="62">
        <f>B22*H40</f>
        <v>-3.0499999999999892E-2</v>
      </c>
      <c r="I39" s="36">
        <v>44947</v>
      </c>
    </row>
    <row r="40" spans="8:19" x14ac:dyDescent="0.25">
      <c r="H40" s="11">
        <f>+D22-D21</f>
        <v>-4.9999999999999822E-2</v>
      </c>
      <c r="I40" s="14"/>
    </row>
    <row r="41" spans="8:19" x14ac:dyDescent="0.25">
      <c r="H41" s="62">
        <f>B25*H42</f>
        <v>-3.6600000000000306E-2</v>
      </c>
      <c r="I41" s="36">
        <v>44950</v>
      </c>
    </row>
    <row r="42" spans="8:19" x14ac:dyDescent="0.25">
      <c r="H42" s="11">
        <f>+D25-D24</f>
        <v>-6.0000000000000497E-2</v>
      </c>
      <c r="I42" s="14"/>
    </row>
    <row r="43" spans="8:19" x14ac:dyDescent="0.25">
      <c r="H43" s="62">
        <f>B26*H44</f>
        <v>-3.6599999999999758E-2</v>
      </c>
      <c r="I43" s="36">
        <v>44951</v>
      </c>
    </row>
    <row r="44" spans="8:19" x14ac:dyDescent="0.25">
      <c r="H44" s="34">
        <f>+D26-D25</f>
        <v>-5.9999999999999609E-2</v>
      </c>
      <c r="I44" s="14"/>
    </row>
    <row r="45" spans="8:19" x14ac:dyDescent="0.25">
      <c r="H45" s="62">
        <f>B27*H46</f>
        <v>-1.2200000000000282E-2</v>
      </c>
      <c r="I45" s="36">
        <v>44952</v>
      </c>
    </row>
    <row r="46" spans="8:19" x14ac:dyDescent="0.25">
      <c r="H46" s="34">
        <f>+D27-D26</f>
        <v>-2.0000000000000462E-2</v>
      </c>
      <c r="I46" s="14"/>
    </row>
    <row r="47" spans="8:19" x14ac:dyDescent="0.25">
      <c r="H47" s="62">
        <f>B28*H48</f>
        <v>-6.0999999999998694E-3</v>
      </c>
      <c r="I47" s="36">
        <v>44953</v>
      </c>
    </row>
    <row r="48" spans="8:19" x14ac:dyDescent="0.25">
      <c r="H48" s="34">
        <f>+D28-D27</f>
        <v>-9.9999999999997868E-3</v>
      </c>
      <c r="I48" s="14"/>
    </row>
    <row r="49" spans="8:9" x14ac:dyDescent="0.25">
      <c r="H49" s="62">
        <f>B29*H50</f>
        <v>0</v>
      </c>
      <c r="I49" s="36">
        <v>44954</v>
      </c>
    </row>
    <row r="50" spans="8:9" x14ac:dyDescent="0.25">
      <c r="H50" s="34">
        <f>+D29-D28</f>
        <v>0</v>
      </c>
      <c r="I50" s="14"/>
    </row>
    <row r="51" spans="8:9" x14ac:dyDescent="0.25">
      <c r="H51" s="62">
        <f>B32*H52</f>
        <v>6.0999999999998694E-3</v>
      </c>
      <c r="I51" s="36">
        <v>44957</v>
      </c>
    </row>
    <row r="52" spans="8:9" x14ac:dyDescent="0.25">
      <c r="H52" s="34">
        <f>+D32-D31</f>
        <v>9.9999999999997868E-3</v>
      </c>
      <c r="I52" s="14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24D2F-2F5F-4971-AFD4-A923072AF59D}">
  <dimension ref="A1:CI63"/>
  <sheetViews>
    <sheetView showGridLines="0" workbookViewId="0">
      <selection activeCell="M23" sqref="M23"/>
    </sheetView>
  </sheetViews>
  <sheetFormatPr baseColWidth="10" defaultRowHeight="15" outlineLevelCol="1" x14ac:dyDescent="0.25"/>
  <cols>
    <col min="1" max="1" width="11.5703125" customWidth="1" outlineLevel="1"/>
    <col min="2" max="2" width="14.5703125" customWidth="1" outlineLevel="1"/>
    <col min="3" max="3" width="12" customWidth="1" outlineLevel="1"/>
    <col min="4" max="5" width="11.42578125" customWidth="1" outlineLevel="1"/>
    <col min="6" max="6" width="7" customWidth="1" outlineLevel="1"/>
    <col min="7" max="7" width="23.140625" customWidth="1" outlineLevel="1"/>
    <col min="8" max="8" width="39.5703125" customWidth="1" outlineLevel="1"/>
    <col min="9" max="10" width="13.5703125" customWidth="1" outlineLevel="1"/>
    <col min="14" max="14" width="11.140625" bestFit="1" customWidth="1"/>
    <col min="15" max="15" width="14.5703125" bestFit="1" customWidth="1" outlineLevel="1"/>
    <col min="16" max="17" width="12" customWidth="1" outlineLevel="1"/>
    <col min="18" max="18" width="13.5703125" bestFit="1" customWidth="1" outlineLevel="1"/>
    <col min="19" max="21" width="11.42578125" outlineLevel="1"/>
    <col min="22" max="22" width="8.42578125" bestFit="1" customWidth="1" outlineLevel="1"/>
    <col min="23" max="23" width="36.85546875" bestFit="1" customWidth="1" outlineLevel="1"/>
    <col min="24" max="25" width="13.5703125" customWidth="1" outlineLevel="1"/>
    <col min="30" max="30" width="11.5703125" customWidth="1" outlineLevel="1"/>
    <col min="31" max="31" width="13.5703125" customWidth="1" outlineLevel="1"/>
    <col min="32" max="33" width="12" customWidth="1" outlineLevel="1"/>
    <col min="34" max="34" width="14.5703125" bestFit="1" customWidth="1" outlineLevel="1"/>
    <col min="35" max="36" width="11.42578125" outlineLevel="1"/>
    <col min="37" max="37" width="7" bestFit="1" customWidth="1" outlineLevel="1"/>
    <col min="38" max="38" width="23.140625" customWidth="1" outlineLevel="1"/>
    <col min="39" max="39" width="61.42578125" customWidth="1" outlineLevel="1"/>
    <col min="40" max="41" width="13.5703125" customWidth="1" outlineLevel="1"/>
    <col min="46" max="46" width="11.5703125" customWidth="1" outlineLevel="1"/>
    <col min="47" max="47" width="13.5703125" customWidth="1" outlineLevel="1"/>
    <col min="48" max="49" width="12" customWidth="1" outlineLevel="1"/>
    <col min="50" max="50" width="16.85546875" bestFit="1" customWidth="1" outlineLevel="1"/>
    <col min="51" max="53" width="11.42578125" outlineLevel="1"/>
    <col min="54" max="54" width="25.5703125" bestFit="1" customWidth="1" outlineLevel="1"/>
    <col min="55" max="55" width="61.42578125" bestFit="1" customWidth="1" outlineLevel="1"/>
    <col min="56" max="57" width="13.5703125" customWidth="1" outlineLevel="1"/>
    <col min="61" max="61" width="11.5703125" customWidth="1" outlineLevel="1"/>
    <col min="62" max="62" width="13.5703125" customWidth="1" outlineLevel="1"/>
    <col min="63" max="64" width="12" customWidth="1" outlineLevel="1"/>
    <col min="65" max="65" width="16.85546875" bestFit="1" customWidth="1" outlineLevel="1"/>
    <col min="66" max="68" width="11.42578125" outlineLevel="1"/>
    <col min="69" max="69" width="25.5703125" bestFit="1" customWidth="1" outlineLevel="1"/>
    <col min="70" max="70" width="61.42578125" bestFit="1" customWidth="1" outlineLevel="1"/>
    <col min="71" max="72" width="13.5703125" customWidth="1" outlineLevel="1"/>
    <col min="76" max="76" width="11.5703125" customWidth="1" outlineLevel="1"/>
    <col min="77" max="77" width="13.5703125" customWidth="1" outlineLevel="1"/>
    <col min="78" max="79" width="12" customWidth="1" outlineLevel="1"/>
    <col min="80" max="80" width="16.85546875" bestFit="1" customWidth="1" outlineLevel="1"/>
    <col min="81" max="83" width="11.42578125" outlineLevel="1"/>
    <col min="84" max="84" width="15.7109375" bestFit="1" customWidth="1" outlineLevel="1"/>
    <col min="85" max="85" width="61.42578125" bestFit="1" customWidth="1" outlineLevel="1"/>
    <col min="86" max="87" width="13.5703125" customWidth="1" outlineLevel="1"/>
  </cols>
  <sheetData>
    <row r="1" spans="1:87" x14ac:dyDescent="0.25">
      <c r="A1" s="4" t="s">
        <v>0</v>
      </c>
      <c r="B1" s="4" t="s">
        <v>27</v>
      </c>
      <c r="C1" s="75" t="s">
        <v>50</v>
      </c>
      <c r="E1" s="22" t="s">
        <v>0</v>
      </c>
      <c r="F1" s="23"/>
      <c r="G1" s="23"/>
      <c r="H1" s="23"/>
      <c r="I1" s="23" t="s">
        <v>5</v>
      </c>
      <c r="J1" s="24" t="s">
        <v>6</v>
      </c>
      <c r="N1" s="4" t="s">
        <v>0</v>
      </c>
      <c r="O1" s="4"/>
      <c r="P1" s="75"/>
      <c r="T1" s="22" t="s">
        <v>0</v>
      </c>
      <c r="U1" s="23"/>
      <c r="V1" s="23"/>
      <c r="W1" s="23" t="s">
        <v>56</v>
      </c>
      <c r="X1" s="23" t="s">
        <v>5</v>
      </c>
      <c r="Y1" s="24" t="s">
        <v>6</v>
      </c>
      <c r="AD1" s="4" t="s">
        <v>0</v>
      </c>
      <c r="AE1" s="4"/>
      <c r="AF1" s="75"/>
      <c r="AH1" t="s">
        <v>79</v>
      </c>
      <c r="AJ1" s="22" t="s">
        <v>0</v>
      </c>
      <c r="AK1" s="23"/>
      <c r="AL1" s="23"/>
      <c r="AM1" s="23" t="s">
        <v>56</v>
      </c>
      <c r="AN1" s="23" t="s">
        <v>5</v>
      </c>
      <c r="AO1" s="24" t="s">
        <v>6</v>
      </c>
      <c r="AT1" s="4" t="s">
        <v>0</v>
      </c>
      <c r="AU1" s="4"/>
      <c r="AV1" s="75"/>
      <c r="AX1" t="s">
        <v>88</v>
      </c>
      <c r="AZ1" s="22" t="s">
        <v>0</v>
      </c>
      <c r="BA1" s="23"/>
      <c r="BB1" s="23"/>
      <c r="BC1" s="23" t="s">
        <v>56</v>
      </c>
      <c r="BD1" s="23" t="s">
        <v>5</v>
      </c>
      <c r="BE1" s="24" t="s">
        <v>6</v>
      </c>
      <c r="BI1" s="4" t="s">
        <v>0</v>
      </c>
      <c r="BJ1" s="4"/>
      <c r="BK1" s="75"/>
      <c r="BM1" t="s">
        <v>152</v>
      </c>
      <c r="BO1" s="22" t="s">
        <v>0</v>
      </c>
      <c r="BP1" s="23"/>
      <c r="BQ1" s="23"/>
      <c r="BR1" s="23" t="s">
        <v>56</v>
      </c>
      <c r="BS1" s="23" t="s">
        <v>5</v>
      </c>
      <c r="BT1" s="24" t="s">
        <v>6</v>
      </c>
      <c r="BX1" s="4" t="s">
        <v>0</v>
      </c>
      <c r="BY1" s="4"/>
      <c r="BZ1" s="75"/>
      <c r="CB1" t="s">
        <v>98</v>
      </c>
      <c r="CD1" s="22" t="s">
        <v>0</v>
      </c>
      <c r="CE1" s="23"/>
      <c r="CF1" s="23"/>
      <c r="CG1" s="23" t="s">
        <v>56</v>
      </c>
      <c r="CH1" s="23" t="s">
        <v>5</v>
      </c>
      <c r="CI1" s="24" t="s">
        <v>6</v>
      </c>
    </row>
    <row r="2" spans="1:87" x14ac:dyDescent="0.25">
      <c r="A2" s="1">
        <v>45566</v>
      </c>
      <c r="B2" s="26">
        <f>HLOOKUP(A2,Hoja2!$R$2:$AV$61,60,FALSE)</f>
        <v>1739565000</v>
      </c>
      <c r="C2" s="3"/>
      <c r="E2" s="9">
        <v>45444</v>
      </c>
      <c r="F2">
        <v>110295</v>
      </c>
      <c r="G2" t="s">
        <v>122</v>
      </c>
      <c r="H2" t="str">
        <f>"CPA Traspaso de Fondos Bco. BCI 648 a MBI "</f>
        <v xml:space="preserve">CPA Traspaso de Fondos Bco. BCI 648 a MBI </v>
      </c>
      <c r="I2" s="3">
        <f>+B2</f>
        <v>1739565000</v>
      </c>
      <c r="J2" s="10"/>
      <c r="N2" s="1">
        <v>45566</v>
      </c>
      <c r="O2" s="26">
        <f>HLOOKUP(N2,Hoja2!$R$2:$AV$65,64,FALSE)</f>
        <v>0</v>
      </c>
      <c r="P2" s="77">
        <f>HLOOKUP(N2,Hoja2!$R$2:$AV$63,62,FALSE)</f>
        <v>0</v>
      </c>
      <c r="Q2" s="26">
        <f>HLOOKUP(N2,Hoja2!$R$2:$AV$64,63,FALSE)</f>
        <v>0</v>
      </c>
      <c r="R2" s="26"/>
      <c r="T2" s="9">
        <v>45444</v>
      </c>
      <c r="U2">
        <v>110296</v>
      </c>
      <c r="V2" t="s">
        <v>123</v>
      </c>
      <c r="W2" t="str">
        <f>"CPA Compra Divisas "&amp;Q2&amp;" T/C "&amp;P2</f>
        <v>CPA Compra Divisas 0 T/C 0</v>
      </c>
      <c r="X2" s="3">
        <f>+O2</f>
        <v>0</v>
      </c>
      <c r="Y2" s="10"/>
      <c r="AD2" s="1">
        <v>45566</v>
      </c>
      <c r="AE2" s="26">
        <f>HLOOKUP(AD2,Hoja2!$R$2:$AV$66,65,FALSE)</f>
        <v>2000000</v>
      </c>
      <c r="AF2" s="77">
        <f>HLOOKUP(AD2,Hoja2!$R$2:$AV$67,66,FALSE)</f>
        <v>897.68</v>
      </c>
      <c r="AG2" s="26" t="str">
        <f>HLOOKUP(AD2,Hoja2!$R$2:$AV$68,67,FALSE)</f>
        <v>2 M</v>
      </c>
      <c r="AH2" s="79">
        <f>HLOOKUP(AD2,Hoja2!$R$2:$AV$69,68,FALSE)</f>
        <v>1795360000</v>
      </c>
      <c r="AJ2" s="9">
        <v>45444</v>
      </c>
      <c r="AK2">
        <v>110275</v>
      </c>
      <c r="AL2" t="s">
        <v>82</v>
      </c>
      <c r="AM2" t="str">
        <f>"CPA Fondeo MBI USD a NIUM " &amp;AG2&amp;" USD T/C "&amp;AF2</f>
        <v>CPA Fondeo MBI USD a NIUM 2 M USD T/C 897,68</v>
      </c>
      <c r="AN2" s="3">
        <f>+AH2</f>
        <v>1795360000</v>
      </c>
      <c r="AO2" s="10"/>
      <c r="AT2" s="1">
        <v>45566</v>
      </c>
      <c r="AU2" s="26">
        <f>HLOOKUP(AT2,Hoja2!$R$2:$AV$70,69,FALSE)</f>
        <v>0</v>
      </c>
      <c r="AV2" s="77">
        <f>HLOOKUP(AT2,Hoja2!$R$2:$AV$71,70,FALSE)</f>
        <v>897.68</v>
      </c>
      <c r="AW2" s="26">
        <f>HLOOKUP(AT2,Hoja2!$R$2:$AV$72,71,FALSE)</f>
        <v>0</v>
      </c>
      <c r="AX2" s="79">
        <f>HLOOKUP(AT2,Hoja2!$R$2:$AV$73,72,FALSE)</f>
        <v>0</v>
      </c>
      <c r="AZ2" s="9">
        <v>45444</v>
      </c>
      <c r="BA2">
        <v>110820</v>
      </c>
      <c r="BB2" t="s">
        <v>92</v>
      </c>
      <c r="BC2" t="str">
        <f>"CPA Fondeo MBI USD a JPM COL "&amp;AW2&amp;" USD T/C "&amp;AV2&amp;""</f>
        <v>CPA Fondeo MBI USD a JPM COL 0 USD T/C 897,68</v>
      </c>
      <c r="BD2" s="3">
        <f>+AX2</f>
        <v>0</v>
      </c>
      <c r="BE2" s="10"/>
      <c r="BI2" s="1">
        <v>45566</v>
      </c>
      <c r="BJ2" s="26">
        <f>HLOOKUP(BI2,Hoja2!$R$2:$AV$88,87,FALSE)</f>
        <v>0</v>
      </c>
      <c r="BK2" s="77">
        <f>HLOOKUP(BI2,Hoja2!$R$2:$AV$89,88,FALSE)</f>
        <v>897.68</v>
      </c>
      <c r="BL2" s="26">
        <f>HLOOKUP(BI2,Hoja2!$R$2:$AV$90,89,FALSE)</f>
        <v>0</v>
      </c>
      <c r="BM2" s="79">
        <f>HLOOKUP(BI2,Hoja2!$R$2:$AV$91,90,FALSE)</f>
        <v>0</v>
      </c>
      <c r="BO2" s="9">
        <v>45444</v>
      </c>
      <c r="BP2">
        <v>110292</v>
      </c>
      <c r="BQ2" t="s">
        <v>153</v>
      </c>
      <c r="BR2" t="str">
        <f>"CPA Fondeo MBI USD a OZ CAMBIO "&amp;BL2&amp;" USD T/C "&amp;BK2&amp;""</f>
        <v>CPA Fondeo MBI USD a OZ CAMBIO 0 USD T/C 897,68</v>
      </c>
      <c r="BS2" s="3">
        <f>+BM2</f>
        <v>0</v>
      </c>
      <c r="BT2" s="10"/>
      <c r="BX2" s="1">
        <v>45566</v>
      </c>
      <c r="BY2" s="26">
        <f>HLOOKUP(BX2,Hoja2!$R$2:$AV$82,81,FALSE)</f>
        <v>0</v>
      </c>
      <c r="BZ2" s="77">
        <f>HLOOKUP(BX2,Hoja2!$R$2:$AV$83,82,FALSE)</f>
        <v>0</v>
      </c>
      <c r="CA2" s="26">
        <f>HLOOKUP(BX2,Hoja2!$R$2:$AV$84,83,FALSE)</f>
        <v>0</v>
      </c>
      <c r="CB2" s="79">
        <f>HLOOKUP(BX2,Hoja2!$R$2:$AV$85,84,FALSE)</f>
        <v>0</v>
      </c>
      <c r="CD2" s="9">
        <v>45444</v>
      </c>
      <c r="CE2">
        <v>110205</v>
      </c>
      <c r="CF2" t="s">
        <v>154</v>
      </c>
      <c r="CG2" t="str">
        <f>"CPA Fondeo MBI USD a BICE USD "&amp;CA2&amp;" USD T/C "&amp;BZ2&amp;""</f>
        <v>CPA Fondeo MBI USD a BICE USD 0 USD T/C 0</v>
      </c>
      <c r="CH2" s="3">
        <f>+CB2</f>
        <v>0</v>
      </c>
      <c r="CI2" s="10"/>
    </row>
    <row r="3" spans="1:87" x14ac:dyDescent="0.25">
      <c r="A3" s="1">
        <v>45567</v>
      </c>
      <c r="B3" s="26">
        <f>HLOOKUP(A3,Hoja2!$R$2:$AV$61,60,FALSE)</f>
        <v>1023900000</v>
      </c>
      <c r="E3" s="11"/>
      <c r="F3" s="12">
        <v>110208</v>
      </c>
      <c r="G3" s="12" t="s">
        <v>46</v>
      </c>
      <c r="H3" s="12" t="str">
        <f>H2</f>
        <v xml:space="preserve">CPA Traspaso de Fondos Bco. BCI 648 a MBI </v>
      </c>
      <c r="I3" s="13"/>
      <c r="J3" s="18">
        <f>I2</f>
        <v>1739565000</v>
      </c>
      <c r="N3" s="1">
        <v>45567</v>
      </c>
      <c r="O3" s="26">
        <f>HLOOKUP(N3,Hoja2!$R$2:$AV$65,64,FALSE)</f>
        <v>0</v>
      </c>
      <c r="P3" s="77">
        <f>HLOOKUP(N3,Hoja2!$R$2:$AV$63,62,FALSE)</f>
        <v>0</v>
      </c>
      <c r="Q3" s="26">
        <f>HLOOKUP(N3,Hoja2!$R$2:$AV$64,63,FALSE)</f>
        <v>0</v>
      </c>
      <c r="R3" s="26"/>
      <c r="T3" s="11"/>
      <c r="U3" s="12">
        <v>110295</v>
      </c>
      <c r="V3" s="12" t="s">
        <v>122</v>
      </c>
      <c r="W3" s="12" t="str">
        <f>+W2</f>
        <v>CPA Compra Divisas 0 T/C 0</v>
      </c>
      <c r="X3" s="13"/>
      <c r="Y3" s="18">
        <f>+X2</f>
        <v>0</v>
      </c>
      <c r="AD3" s="1">
        <v>45567</v>
      </c>
      <c r="AE3" s="26">
        <f>HLOOKUP(AD3,Hoja2!$R$2:$AV$66,65,FALSE)</f>
        <v>1350000</v>
      </c>
      <c r="AF3" s="77">
        <f>HLOOKUP(AD3,Hoja2!$R$2:$AV$67,66,FALSE)</f>
        <v>901.13</v>
      </c>
      <c r="AG3" s="26" t="str">
        <f>HLOOKUP(AD3,Hoja2!$R$2:$AV$68,67,FALSE)</f>
        <v>1.35 M</v>
      </c>
      <c r="AH3" s="79">
        <f>HLOOKUP(AD3,Hoja2!$R$2:$AV$69,68,FALSE)</f>
        <v>1216525500</v>
      </c>
      <c r="AJ3" s="11"/>
      <c r="AK3" s="12">
        <v>110296</v>
      </c>
      <c r="AL3" s="12" t="s">
        <v>123</v>
      </c>
      <c r="AM3" s="12" t="str">
        <f>+AM2</f>
        <v>CPA Fondeo MBI USD a NIUM 2 M USD T/C 897,68</v>
      </c>
      <c r="AN3" s="13"/>
      <c r="AO3" s="18">
        <f>+AN2</f>
        <v>1795360000</v>
      </c>
      <c r="AT3" s="1">
        <v>45567</v>
      </c>
      <c r="AU3" s="26">
        <f>HLOOKUP(AT3,Hoja2!$R$2:$AV$70,69,FALSE)</f>
        <v>650000</v>
      </c>
      <c r="AV3" s="77">
        <f>HLOOKUP(AT3,Hoja2!$R$2:$AV$71,70,FALSE)</f>
        <v>901.13</v>
      </c>
      <c r="AW3" s="26" t="str">
        <f>HLOOKUP(AT3,Hoja2!$R$2:$AV$72,71,FALSE)</f>
        <v>650K</v>
      </c>
      <c r="AX3" s="79">
        <f>HLOOKUP(AT3,Hoja2!$R$2:$AV$73,72,FALSE)</f>
        <v>585734500</v>
      </c>
      <c r="AZ3" s="11"/>
      <c r="BA3" s="12">
        <v>110296</v>
      </c>
      <c r="BB3" s="12" t="s">
        <v>123</v>
      </c>
      <c r="BC3" s="12" t="str">
        <f>+BC2</f>
        <v>CPA Fondeo MBI USD a JPM COL 0 USD T/C 897,68</v>
      </c>
      <c r="BD3" s="13"/>
      <c r="BE3" s="18">
        <f>+BD2</f>
        <v>0</v>
      </c>
      <c r="BI3" s="1">
        <v>45567</v>
      </c>
      <c r="BJ3" s="26">
        <f>HLOOKUP(BI3,Hoja2!$R$2:$AV$88,87,FALSE)</f>
        <v>0</v>
      </c>
      <c r="BK3" s="77">
        <f>HLOOKUP(BI3,Hoja2!$R$2:$AV$89,88,FALSE)</f>
        <v>901.13</v>
      </c>
      <c r="BL3" s="26">
        <f>HLOOKUP(BI3,Hoja2!$R$2:$AV$90,89,FALSE)</f>
        <v>0</v>
      </c>
      <c r="BM3" s="79">
        <f>HLOOKUP(BI3,Hoja2!$R$2:$AV$91,90,FALSE)</f>
        <v>0</v>
      </c>
      <c r="BO3" s="11"/>
      <c r="BP3" s="12">
        <v>110296</v>
      </c>
      <c r="BQ3" s="12" t="s">
        <v>123</v>
      </c>
      <c r="BR3" s="12" t="str">
        <f>+BR2</f>
        <v>CPA Fondeo MBI USD a OZ CAMBIO 0 USD T/C 897,68</v>
      </c>
      <c r="BS3" s="13"/>
      <c r="BT3" s="18">
        <f>+BS2</f>
        <v>0</v>
      </c>
      <c r="BX3" s="1">
        <v>45567</v>
      </c>
      <c r="BY3" s="26">
        <f>HLOOKUP(BX3,Hoja2!$R$2:$AV$82,81,FALSE)</f>
        <v>0</v>
      </c>
      <c r="BZ3" s="77">
        <f>HLOOKUP(BX3,Hoja2!$R$2:$AV$83,82,FALSE)</f>
        <v>0</v>
      </c>
      <c r="CA3" s="26">
        <f>HLOOKUP(BX3,Hoja2!$R$2:$AV$84,83,FALSE)</f>
        <v>0</v>
      </c>
      <c r="CB3" s="79">
        <f>HLOOKUP(BX3,Hoja2!$R$2:$AV$85,84,FALSE)</f>
        <v>0</v>
      </c>
      <c r="CD3" s="11"/>
      <c r="CE3" s="12">
        <v>110296</v>
      </c>
      <c r="CF3" s="12" t="s">
        <v>123</v>
      </c>
      <c r="CG3" s="12" t="str">
        <f>+CG2</f>
        <v>CPA Fondeo MBI USD a BICE USD 0 USD T/C 0</v>
      </c>
      <c r="CH3" s="13"/>
      <c r="CI3" s="18">
        <f>+CH2</f>
        <v>0</v>
      </c>
    </row>
    <row r="4" spans="1:87" x14ac:dyDescent="0.25">
      <c r="A4" s="1">
        <v>45568</v>
      </c>
      <c r="B4" s="26">
        <f>HLOOKUP(A4,Hoja2!$R$2:$AV$61,60,FALSE)</f>
        <v>679800000</v>
      </c>
      <c r="E4" s="15">
        <v>45445</v>
      </c>
      <c r="F4" s="8">
        <v>110295</v>
      </c>
      <c r="G4" s="8" t="s">
        <v>122</v>
      </c>
      <c r="H4" s="8" t="str">
        <f t="shared" ref="H4" si="0">"CPA Traspaso de Fondos Bco. BCI 648 a MBI "</f>
        <v xml:space="preserve">CPA Traspaso de Fondos Bco. BCI 648 a MBI </v>
      </c>
      <c r="I4" s="16">
        <f>+B3</f>
        <v>1023900000</v>
      </c>
      <c r="J4" s="17"/>
      <c r="N4" s="1">
        <v>45568</v>
      </c>
      <c r="O4" s="26">
        <f>HLOOKUP(N4,Hoja2!$R$2:$AV$65,64,FALSE)</f>
        <v>0</v>
      </c>
      <c r="P4" s="77">
        <f>HLOOKUP(N4,Hoja2!$R$2:$AV$63,62,FALSE)</f>
        <v>0</v>
      </c>
      <c r="Q4" s="26">
        <f>HLOOKUP(N4,Hoja2!$R$2:$AV$64,63,FALSE)</f>
        <v>0</v>
      </c>
      <c r="R4" s="26"/>
      <c r="T4" s="15">
        <v>45445</v>
      </c>
      <c r="U4">
        <v>110296</v>
      </c>
      <c r="V4" t="s">
        <v>123</v>
      </c>
      <c r="W4" t="str">
        <f>"CPA Compra Divisas " &amp;Q3&amp;" T/C "&amp;P3</f>
        <v>CPA Compra Divisas 0 T/C 0</v>
      </c>
      <c r="X4" s="3">
        <f>+O3</f>
        <v>0</v>
      </c>
      <c r="Y4" s="10"/>
      <c r="AD4" s="1">
        <v>45568</v>
      </c>
      <c r="AE4" s="26">
        <f>HLOOKUP(AD4,Hoja2!$R$2:$AV$66,65,FALSE)</f>
        <v>850000</v>
      </c>
      <c r="AF4" s="77">
        <f>HLOOKUP(AD4,Hoja2!$R$2:$AV$67,66,FALSE)</f>
        <v>908.23</v>
      </c>
      <c r="AG4" s="26" t="str">
        <f>HLOOKUP(AD4,Hoja2!$R$2:$AV$68,67,FALSE)</f>
        <v>850K</v>
      </c>
      <c r="AH4" s="79">
        <f>HLOOKUP(AD4,Hoja2!$R$2:$AV$69,68,FALSE)</f>
        <v>771995500</v>
      </c>
      <c r="AJ4" s="15">
        <v>45445</v>
      </c>
      <c r="AK4" s="8">
        <v>110275</v>
      </c>
      <c r="AL4" t="s">
        <v>82</v>
      </c>
      <c r="AM4" t="str">
        <f>"CPA Fondeo MBI USD a NIUM " &amp;AG3&amp;" USD T/C "&amp;AF3</f>
        <v>CPA Fondeo MBI USD a NIUM 1.35 M USD T/C 901,13</v>
      </c>
      <c r="AN4" s="3">
        <f>+AH3</f>
        <v>1216525500</v>
      </c>
      <c r="AO4" s="10"/>
      <c r="AT4" s="1">
        <v>45568</v>
      </c>
      <c r="AU4" s="26">
        <f>HLOOKUP(AT4,Hoja2!$R$2:$AV$70,69,FALSE)</f>
        <v>400000</v>
      </c>
      <c r="AV4" s="77">
        <f>HLOOKUP(AT4,Hoja2!$R$2:$AV$71,70,FALSE)</f>
        <v>908.23</v>
      </c>
      <c r="AW4" s="26" t="str">
        <f>HLOOKUP(AT4,Hoja2!$R$2:$AV$72,71,FALSE)</f>
        <v>400K</v>
      </c>
      <c r="AX4" s="79">
        <f>HLOOKUP(AT4,Hoja2!$R$2:$AV$73,72,FALSE)</f>
        <v>363292000</v>
      </c>
      <c r="AZ4" s="15">
        <v>45445</v>
      </c>
      <c r="BA4">
        <v>110820</v>
      </c>
      <c r="BB4" t="s">
        <v>92</v>
      </c>
      <c r="BC4" t="str">
        <f>"CPA Fondeo MBI USD a JPM COL "&amp;AW3&amp;" USD T/C "&amp;AV3&amp;""</f>
        <v>CPA Fondeo MBI USD a JPM COL 650K USD T/C 901,13</v>
      </c>
      <c r="BD4" s="3">
        <f>+AX3</f>
        <v>585734500</v>
      </c>
      <c r="BE4" s="10"/>
      <c r="BI4" s="1">
        <v>45568</v>
      </c>
      <c r="BJ4" s="26">
        <f>HLOOKUP(BI4,Hoja2!$R$2:$AV$88,87,FALSE)</f>
        <v>0</v>
      </c>
      <c r="BK4" s="77">
        <f>HLOOKUP(BI4,Hoja2!$R$2:$AV$89,88,FALSE)</f>
        <v>908.23</v>
      </c>
      <c r="BL4" s="26">
        <f>HLOOKUP(BI4,Hoja2!$R$2:$AV$90,89,FALSE)</f>
        <v>0</v>
      </c>
      <c r="BM4" s="79">
        <f>HLOOKUP(BI4,Hoja2!$R$2:$AV$91,90,FALSE)</f>
        <v>0</v>
      </c>
      <c r="BO4" s="15">
        <v>45445</v>
      </c>
      <c r="BP4">
        <v>110292</v>
      </c>
      <c r="BQ4" t="s">
        <v>153</v>
      </c>
      <c r="BR4" t="str">
        <f>"CPA Fondeo MBI USD a OZ CAMBIO "&amp;BL3&amp;" USD T/C "&amp;BK3&amp;""</f>
        <v>CPA Fondeo MBI USD a OZ CAMBIO 0 USD T/C 901,13</v>
      </c>
      <c r="BS4" s="3">
        <f>+BM3</f>
        <v>0</v>
      </c>
      <c r="BT4" s="10"/>
      <c r="BX4" s="1">
        <v>45568</v>
      </c>
      <c r="BY4" s="26">
        <f>HLOOKUP(BX4,Hoja2!$R$2:$AV$82,81,FALSE)</f>
        <v>0</v>
      </c>
      <c r="BZ4" s="77">
        <f>HLOOKUP(BX4,Hoja2!$R$2:$AV$83,82,FALSE)</f>
        <v>0</v>
      </c>
      <c r="CA4" s="26">
        <f>HLOOKUP(BX4,Hoja2!$R$2:$AV$84,83,FALSE)</f>
        <v>0</v>
      </c>
      <c r="CB4" s="79">
        <f>HLOOKUP(BX4,Hoja2!$R$2:$AV$85,84,FALSE)</f>
        <v>0</v>
      </c>
      <c r="CD4" s="15">
        <v>45445</v>
      </c>
      <c r="CE4">
        <v>110205</v>
      </c>
      <c r="CF4" t="s">
        <v>154</v>
      </c>
      <c r="CG4" t="str">
        <f>"CPA Fondeo MBI USD a BICE USD "&amp;CA3&amp;" USD T/C "&amp;BZ3&amp;""</f>
        <v>CPA Fondeo MBI USD a BICE USD 0 USD T/C 0</v>
      </c>
      <c r="CH4" s="3">
        <f>+CB3</f>
        <v>0</v>
      </c>
      <c r="CI4" s="10"/>
    </row>
    <row r="5" spans="1:87" x14ac:dyDescent="0.25">
      <c r="A5" s="1">
        <v>45569</v>
      </c>
      <c r="B5" s="26">
        <f>HLOOKUP(A5,Hoja2!$R$2:$AV$61,60,FALSE)</f>
        <v>477970000</v>
      </c>
      <c r="E5" s="11"/>
      <c r="F5" s="12">
        <v>110208</v>
      </c>
      <c r="G5" s="12" t="s">
        <v>46</v>
      </c>
      <c r="H5" s="12" t="str">
        <f t="shared" ref="H5" si="1">H4</f>
        <v xml:space="preserve">CPA Traspaso de Fondos Bco. BCI 648 a MBI </v>
      </c>
      <c r="I5" s="13"/>
      <c r="J5" s="18">
        <f>I4</f>
        <v>1023900000</v>
      </c>
      <c r="N5" s="1">
        <v>45569</v>
      </c>
      <c r="O5" s="26">
        <f>HLOOKUP(N5,Hoja2!$R$2:$AV$65,64,FALSE)</f>
        <v>0</v>
      </c>
      <c r="P5" s="77">
        <f>HLOOKUP(N5,Hoja2!$R$2:$AV$63,62,FALSE)</f>
        <v>0</v>
      </c>
      <c r="Q5" s="26">
        <f>HLOOKUP(N5,Hoja2!$R$2:$AV$64,63,FALSE)</f>
        <v>0</v>
      </c>
      <c r="R5" s="26"/>
      <c r="T5" s="11"/>
      <c r="U5" s="12">
        <v>110295</v>
      </c>
      <c r="V5" s="12" t="s">
        <v>122</v>
      </c>
      <c r="W5" s="12" t="str">
        <f>+W4</f>
        <v>CPA Compra Divisas 0 T/C 0</v>
      </c>
      <c r="X5" s="13"/>
      <c r="Y5" s="18">
        <f t="shared" ref="Y5" si="2">+X4</f>
        <v>0</v>
      </c>
      <c r="AD5" s="1">
        <v>45569</v>
      </c>
      <c r="AE5" s="26">
        <f>HLOOKUP(AD5,Hoja2!$R$2:$AV$66,65,FALSE)</f>
        <v>550000</v>
      </c>
      <c r="AF5" s="77">
        <f>HLOOKUP(AD5,Hoja2!$R$2:$AV$67,66,FALSE)</f>
        <v>919.49</v>
      </c>
      <c r="AG5" s="26" t="str">
        <f>HLOOKUP(AD5,Hoja2!$R$2:$AV$68,67,FALSE)</f>
        <v>550K</v>
      </c>
      <c r="AH5" s="79">
        <f>HLOOKUP(AD5,Hoja2!$R$2:$AV$69,68,FALSE)</f>
        <v>505719500</v>
      </c>
      <c r="AJ5" s="11"/>
      <c r="AK5" s="12">
        <v>110296</v>
      </c>
      <c r="AL5" s="12" t="s">
        <v>123</v>
      </c>
      <c r="AM5" s="12" t="str">
        <f>+AM4</f>
        <v>CPA Fondeo MBI USD a NIUM 1.35 M USD T/C 901,13</v>
      </c>
      <c r="AN5" s="13"/>
      <c r="AO5" s="18">
        <f t="shared" ref="AO5" si="3">+AN4</f>
        <v>1216525500</v>
      </c>
      <c r="AT5" s="1">
        <v>45569</v>
      </c>
      <c r="AU5" s="26">
        <f>HLOOKUP(AT5,Hoja2!$R$2:$AV$70,69,FALSE)</f>
        <v>600000</v>
      </c>
      <c r="AV5" s="77">
        <f>HLOOKUP(AT5,Hoja2!$R$2:$AV$71,70,FALSE)</f>
        <v>919.49</v>
      </c>
      <c r="AW5" s="26" t="str">
        <f>HLOOKUP(AT5,Hoja2!$R$2:$AV$72,71,FALSE)</f>
        <v>600K</v>
      </c>
      <c r="AX5" s="79">
        <f>HLOOKUP(AT5,Hoja2!$R$2:$AV$73,72,FALSE)</f>
        <v>551694000</v>
      </c>
      <c r="AZ5" s="11"/>
      <c r="BA5" s="12">
        <v>110296</v>
      </c>
      <c r="BB5" s="12" t="s">
        <v>123</v>
      </c>
      <c r="BC5" s="12" t="str">
        <f>+BC4</f>
        <v>CPA Fondeo MBI USD a JPM COL 650K USD T/C 901,13</v>
      </c>
      <c r="BD5" s="13"/>
      <c r="BE5" s="18">
        <f t="shared" ref="BE5" si="4">+BD4</f>
        <v>585734500</v>
      </c>
      <c r="BI5" s="1">
        <v>45569</v>
      </c>
      <c r="BJ5" s="26">
        <f>HLOOKUP(BI5,Hoja2!$R$2:$AV$88,87,FALSE)</f>
        <v>0</v>
      </c>
      <c r="BK5" s="77">
        <f>HLOOKUP(BI5,Hoja2!$R$2:$AV$89,88,FALSE)</f>
        <v>919.49</v>
      </c>
      <c r="BL5" s="26">
        <f>HLOOKUP(BI5,Hoja2!$R$2:$AV$90,89,FALSE)</f>
        <v>0</v>
      </c>
      <c r="BM5" s="79">
        <f>HLOOKUP(BI5,Hoja2!$R$2:$AV$91,90,FALSE)</f>
        <v>0</v>
      </c>
      <c r="BO5" s="11"/>
      <c r="BP5" s="12">
        <v>110296</v>
      </c>
      <c r="BQ5" s="12" t="s">
        <v>123</v>
      </c>
      <c r="BR5" s="12" t="str">
        <f>+BR4</f>
        <v>CPA Fondeo MBI USD a OZ CAMBIO 0 USD T/C 901,13</v>
      </c>
      <c r="BS5" s="13"/>
      <c r="BT5" s="18">
        <f t="shared" ref="BT5" si="5">+BS4</f>
        <v>0</v>
      </c>
      <c r="BX5" s="1">
        <v>45569</v>
      </c>
      <c r="BY5" s="26">
        <f>HLOOKUP(BX5,Hoja2!$R$2:$AV$82,81,FALSE)</f>
        <v>0</v>
      </c>
      <c r="BZ5" s="77">
        <f>HLOOKUP(BX5,Hoja2!$R$2:$AV$83,82,FALSE)</f>
        <v>0</v>
      </c>
      <c r="CA5" s="26">
        <f>HLOOKUP(BX5,Hoja2!$R$2:$AV$84,83,FALSE)</f>
        <v>0</v>
      </c>
      <c r="CB5" s="79">
        <f>HLOOKUP(BX5,Hoja2!$R$2:$AV$85,84,FALSE)</f>
        <v>0</v>
      </c>
      <c r="CD5" s="11"/>
      <c r="CE5" s="12">
        <v>110296</v>
      </c>
      <c r="CF5" s="12" t="s">
        <v>123</v>
      </c>
      <c r="CG5" s="12" t="str">
        <f>+CG4</f>
        <v>CPA Fondeo MBI USD a BICE USD 0 USD T/C 0</v>
      </c>
      <c r="CH5" s="13"/>
      <c r="CI5" s="18">
        <f t="shared" ref="CI5" si="6">+CH4</f>
        <v>0</v>
      </c>
    </row>
    <row r="6" spans="1:87" x14ac:dyDescent="0.25">
      <c r="A6" s="1">
        <v>45570</v>
      </c>
      <c r="B6" s="26" t="str">
        <f>HLOOKUP(A6,Hoja2!$R$2:$AV$61,60,FALSE)</f>
        <v>-</v>
      </c>
      <c r="E6" s="15">
        <v>45446</v>
      </c>
      <c r="F6" s="8">
        <v>110295</v>
      </c>
      <c r="G6" s="8" t="s">
        <v>122</v>
      </c>
      <c r="H6" s="8" t="str">
        <f t="shared" ref="H6" si="7">"CPA Traspaso de Fondos Bco. BCI 648 a MBI "</f>
        <v xml:space="preserve">CPA Traspaso de Fondos Bco. BCI 648 a MBI </v>
      </c>
      <c r="I6" s="16">
        <f>+B4</f>
        <v>679800000</v>
      </c>
      <c r="J6" s="17"/>
      <c r="N6" s="1">
        <v>45570</v>
      </c>
      <c r="O6" s="26">
        <f>HLOOKUP(N6,Hoja2!$R$2:$AV$65,64,FALSE)</f>
        <v>0</v>
      </c>
      <c r="P6" s="77">
        <f>HLOOKUP(N6,Hoja2!$R$2:$AV$63,62,FALSE)</f>
        <v>0</v>
      </c>
      <c r="Q6" s="26">
        <f>HLOOKUP(N6,Hoja2!$R$2:$AV$64,63,FALSE)</f>
        <v>0</v>
      </c>
      <c r="R6" s="26"/>
      <c r="T6" s="15">
        <v>45446</v>
      </c>
      <c r="U6">
        <v>110296</v>
      </c>
      <c r="V6" t="s">
        <v>123</v>
      </c>
      <c r="W6" t="str">
        <f>"CPA Compra Divisas " &amp;Q4&amp;" T/C "&amp;P4</f>
        <v>CPA Compra Divisas 0 T/C 0</v>
      </c>
      <c r="X6" s="3">
        <f>+O4</f>
        <v>0</v>
      </c>
      <c r="Y6" s="10"/>
      <c r="AD6" s="1">
        <v>45570</v>
      </c>
      <c r="AE6" s="26">
        <f>HLOOKUP(AD6,Hoja2!$R$2:$AV$66,65,FALSE)</f>
        <v>0</v>
      </c>
      <c r="AF6" s="77">
        <f>HLOOKUP(AD6,Hoja2!$R$2:$AV$67,66,FALSE)</f>
        <v>919.49</v>
      </c>
      <c r="AG6" s="26">
        <f>HLOOKUP(AD6,Hoja2!$R$2:$AV$68,67,FALSE)</f>
        <v>0</v>
      </c>
      <c r="AH6" s="79">
        <f>HLOOKUP(AD6,Hoja2!$R$2:$AV$69,68,FALSE)</f>
        <v>0</v>
      </c>
      <c r="AJ6" s="15">
        <v>45446</v>
      </c>
      <c r="AK6" s="8">
        <v>110275</v>
      </c>
      <c r="AL6" t="s">
        <v>82</v>
      </c>
      <c r="AM6" t="str">
        <f>"CPA Fondeo MBI USD a NIUM " &amp;AG4&amp;" USD T/C "&amp;AF4</f>
        <v>CPA Fondeo MBI USD a NIUM 850K USD T/C 908,23</v>
      </c>
      <c r="AN6" s="3">
        <f>+AH4</f>
        <v>771995500</v>
      </c>
      <c r="AO6" s="10"/>
      <c r="AT6" s="1">
        <v>45570</v>
      </c>
      <c r="AU6" s="26">
        <f>HLOOKUP(AT6,Hoja2!$R$2:$AV$70,69,FALSE)</f>
        <v>0</v>
      </c>
      <c r="AV6" s="77">
        <f>HLOOKUP(AT6,Hoja2!$R$2:$AV$71,70,FALSE)</f>
        <v>919.49</v>
      </c>
      <c r="AW6" s="26">
        <f>HLOOKUP(AT6,Hoja2!$R$2:$AV$72,71,FALSE)</f>
        <v>0</v>
      </c>
      <c r="AX6" s="79">
        <f>HLOOKUP(AT6,Hoja2!$R$2:$AV$73,72,FALSE)</f>
        <v>0</v>
      </c>
      <c r="AZ6" s="15">
        <v>45446</v>
      </c>
      <c r="BA6">
        <v>110820</v>
      </c>
      <c r="BB6" t="s">
        <v>92</v>
      </c>
      <c r="BC6" t="str">
        <f>"CPA Fondeo MBI USD a JPM COL "&amp;AW4&amp;" USD T/C "&amp;AV4&amp;""</f>
        <v>CPA Fondeo MBI USD a JPM COL 400K USD T/C 908,23</v>
      </c>
      <c r="BD6" s="3">
        <f>+AX4</f>
        <v>363292000</v>
      </c>
      <c r="BE6" s="10"/>
      <c r="BI6" s="1">
        <v>45570</v>
      </c>
      <c r="BJ6" s="26">
        <f>HLOOKUP(BI6,Hoja2!$R$2:$AV$88,87,FALSE)</f>
        <v>0</v>
      </c>
      <c r="BK6" s="77">
        <f>HLOOKUP(BI6,Hoja2!$R$2:$AV$89,88,FALSE)</f>
        <v>919.49</v>
      </c>
      <c r="BL6" s="26">
        <f>HLOOKUP(BI6,Hoja2!$R$2:$AV$90,89,FALSE)</f>
        <v>0</v>
      </c>
      <c r="BM6" s="79">
        <f>HLOOKUP(BI6,Hoja2!$R$2:$AV$91,90,FALSE)</f>
        <v>0</v>
      </c>
      <c r="BO6" s="15">
        <v>45446</v>
      </c>
      <c r="BP6">
        <v>110292</v>
      </c>
      <c r="BQ6" t="s">
        <v>153</v>
      </c>
      <c r="BR6" t="str">
        <f>"CPA Fondeo MBI USD a OZ CAMBIO "&amp;BL4&amp;" USD T/C "&amp;BK4&amp;""</f>
        <v>CPA Fondeo MBI USD a OZ CAMBIO 0 USD T/C 908,23</v>
      </c>
      <c r="BS6" s="3">
        <f>+BM4</f>
        <v>0</v>
      </c>
      <c r="BT6" s="10"/>
      <c r="BX6" s="1">
        <v>45570</v>
      </c>
      <c r="BY6" s="26">
        <f>HLOOKUP(BX6,Hoja2!$R$2:$AV$82,81,FALSE)</f>
        <v>0</v>
      </c>
      <c r="BZ6" s="77">
        <f>HLOOKUP(BX6,Hoja2!$R$2:$AV$83,82,FALSE)</f>
        <v>0</v>
      </c>
      <c r="CA6" s="26">
        <f>HLOOKUP(BX6,Hoja2!$R$2:$AV$84,83,FALSE)</f>
        <v>0</v>
      </c>
      <c r="CB6" s="79">
        <f>HLOOKUP(BX6,Hoja2!$R$2:$AV$85,84,FALSE)</f>
        <v>0</v>
      </c>
      <c r="CD6" s="15">
        <v>45446</v>
      </c>
      <c r="CE6">
        <v>110205</v>
      </c>
      <c r="CF6" t="s">
        <v>154</v>
      </c>
      <c r="CG6" t="str">
        <f>"CPA Fondeo MBI USD a BICE USD "&amp;CA4&amp;" USD T/C "&amp;BZ4&amp;""</f>
        <v>CPA Fondeo MBI USD a BICE USD 0 USD T/C 0</v>
      </c>
      <c r="CH6" s="3">
        <f>+CB4</f>
        <v>0</v>
      </c>
      <c r="CI6" s="10"/>
    </row>
    <row r="7" spans="1:87" x14ac:dyDescent="0.25">
      <c r="A7" s="1">
        <v>45571</v>
      </c>
      <c r="B7" s="26" t="str">
        <f>HLOOKUP(A7,Hoja2!$R$2:$AV$61,60,FALSE)</f>
        <v>-</v>
      </c>
      <c r="E7" s="11"/>
      <c r="F7" s="12">
        <v>110208</v>
      </c>
      <c r="G7" s="12" t="s">
        <v>46</v>
      </c>
      <c r="H7" s="12" t="str">
        <f t="shared" ref="H7" si="8">H6</f>
        <v xml:space="preserve">CPA Traspaso de Fondos Bco. BCI 648 a MBI </v>
      </c>
      <c r="I7" s="13"/>
      <c r="J7" s="18">
        <f>I6</f>
        <v>679800000</v>
      </c>
      <c r="N7" s="1">
        <v>45571</v>
      </c>
      <c r="O7" s="26">
        <f>HLOOKUP(N7,Hoja2!$R$2:$AV$65,64,FALSE)</f>
        <v>0</v>
      </c>
      <c r="P7" s="77">
        <f>HLOOKUP(N7,Hoja2!$R$2:$AV$63,62,FALSE)</f>
        <v>0</v>
      </c>
      <c r="Q7" s="26">
        <f>HLOOKUP(N7,Hoja2!$R$2:$AV$64,63,FALSE)</f>
        <v>0</v>
      </c>
      <c r="R7" s="26"/>
      <c r="T7" s="11"/>
      <c r="U7" s="12">
        <v>110295</v>
      </c>
      <c r="V7" s="12" t="s">
        <v>122</v>
      </c>
      <c r="W7" s="12" t="str">
        <f>+W6</f>
        <v>CPA Compra Divisas 0 T/C 0</v>
      </c>
      <c r="X7" s="13"/>
      <c r="Y7" s="18">
        <f t="shared" ref="Y7" si="9">+X6</f>
        <v>0</v>
      </c>
      <c r="AD7" s="1">
        <v>45571</v>
      </c>
      <c r="AE7" s="26">
        <f>HLOOKUP(AD7,Hoja2!$R$2:$AV$66,65,FALSE)</f>
        <v>0</v>
      </c>
      <c r="AF7" s="77">
        <f>HLOOKUP(AD7,Hoja2!$R$2:$AV$67,66,FALSE)</f>
        <v>919.49</v>
      </c>
      <c r="AG7" s="26">
        <f>HLOOKUP(AD7,Hoja2!$R$2:$AV$68,67,FALSE)</f>
        <v>0</v>
      </c>
      <c r="AH7" s="79">
        <f>HLOOKUP(AD7,Hoja2!$R$2:$AV$69,68,FALSE)</f>
        <v>0</v>
      </c>
      <c r="AJ7" s="11"/>
      <c r="AK7" s="12">
        <v>110296</v>
      </c>
      <c r="AL7" s="12" t="s">
        <v>123</v>
      </c>
      <c r="AM7" s="12" t="str">
        <f>+AM6</f>
        <v>CPA Fondeo MBI USD a NIUM 850K USD T/C 908,23</v>
      </c>
      <c r="AN7" s="13"/>
      <c r="AO7" s="18">
        <f t="shared" ref="AO7:AO63" si="10">+AN6</f>
        <v>771995500</v>
      </c>
      <c r="AT7" s="1">
        <v>45571</v>
      </c>
      <c r="AU7" s="26">
        <f>HLOOKUP(AT7,Hoja2!$R$2:$AV$70,69,FALSE)</f>
        <v>0</v>
      </c>
      <c r="AV7" s="77">
        <f>HLOOKUP(AT7,Hoja2!$R$2:$AV$71,70,FALSE)</f>
        <v>919.49</v>
      </c>
      <c r="AW7" s="26">
        <f>HLOOKUP(AT7,Hoja2!$R$2:$AV$72,71,FALSE)</f>
        <v>0</v>
      </c>
      <c r="AX7" s="79">
        <f>HLOOKUP(AT7,Hoja2!$R$2:$AV$73,72,FALSE)</f>
        <v>0</v>
      </c>
      <c r="AZ7" s="11"/>
      <c r="BA7" s="12">
        <v>110296</v>
      </c>
      <c r="BB7" s="12" t="s">
        <v>123</v>
      </c>
      <c r="BC7" s="12" t="str">
        <f>+BC6</f>
        <v>CPA Fondeo MBI USD a JPM COL 400K USD T/C 908,23</v>
      </c>
      <c r="BD7" s="13"/>
      <c r="BE7" s="18">
        <f t="shared" ref="BE7:BE63" si="11">+BD6</f>
        <v>363292000</v>
      </c>
      <c r="BI7" s="1">
        <v>45571</v>
      </c>
      <c r="BJ7" s="26">
        <f>HLOOKUP(BI7,Hoja2!$R$2:$AV$88,87,FALSE)</f>
        <v>0</v>
      </c>
      <c r="BK7" s="77">
        <f>HLOOKUP(BI7,Hoja2!$R$2:$AV$89,88,FALSE)</f>
        <v>919.49</v>
      </c>
      <c r="BL7" s="26">
        <f>HLOOKUP(BI7,Hoja2!$R$2:$AV$90,89,FALSE)</f>
        <v>0</v>
      </c>
      <c r="BM7" s="79">
        <f>HLOOKUP(BI7,Hoja2!$R$2:$AV$91,90,FALSE)</f>
        <v>0</v>
      </c>
      <c r="BO7" s="11"/>
      <c r="BP7" s="12">
        <v>110296</v>
      </c>
      <c r="BQ7" s="12" t="s">
        <v>123</v>
      </c>
      <c r="BR7" s="12" t="str">
        <f>+BR6</f>
        <v>CPA Fondeo MBI USD a OZ CAMBIO 0 USD T/C 908,23</v>
      </c>
      <c r="BS7" s="13"/>
      <c r="BT7" s="18">
        <f t="shared" ref="BT7" si="12">+BS6</f>
        <v>0</v>
      </c>
      <c r="BX7" s="1">
        <v>45571</v>
      </c>
      <c r="BY7" s="26">
        <f>HLOOKUP(BX7,Hoja2!$R$2:$AV$82,81,FALSE)</f>
        <v>0</v>
      </c>
      <c r="BZ7" s="77">
        <f>HLOOKUP(BX7,Hoja2!$R$2:$AV$83,82,FALSE)</f>
        <v>0</v>
      </c>
      <c r="CA7" s="26">
        <f>HLOOKUP(BX7,Hoja2!$R$2:$AV$84,83,FALSE)</f>
        <v>0</v>
      </c>
      <c r="CB7" s="79">
        <f>HLOOKUP(BX7,Hoja2!$R$2:$AV$85,84,FALSE)</f>
        <v>0</v>
      </c>
      <c r="CD7" s="11"/>
      <c r="CE7" s="12">
        <v>110296</v>
      </c>
      <c r="CF7" s="12" t="s">
        <v>123</v>
      </c>
      <c r="CG7" s="12" t="str">
        <f>+CG6</f>
        <v>CPA Fondeo MBI USD a BICE USD 0 USD T/C 0</v>
      </c>
      <c r="CH7" s="13"/>
      <c r="CI7" s="18">
        <f t="shared" ref="CI7" si="13">+CH6</f>
        <v>0</v>
      </c>
    </row>
    <row r="8" spans="1:87" x14ac:dyDescent="0.25">
      <c r="A8" s="1">
        <v>45572</v>
      </c>
      <c r="B8" s="26">
        <f>HLOOKUP(A8,Hoja2!$R$2:$AV$61,60,FALSE)</f>
        <v>567950000</v>
      </c>
      <c r="E8" s="15">
        <v>45447</v>
      </c>
      <c r="F8" s="8">
        <v>110295</v>
      </c>
      <c r="G8" s="8" t="s">
        <v>122</v>
      </c>
      <c r="H8" s="8" t="str">
        <f t="shared" ref="H8" si="14">"CPA Traspaso de Fondos Bco. BCI 648 a MBI "</f>
        <v xml:space="preserve">CPA Traspaso de Fondos Bco. BCI 648 a MBI </v>
      </c>
      <c r="I8" s="16">
        <f>+B5</f>
        <v>477970000</v>
      </c>
      <c r="J8" s="17"/>
      <c r="N8" s="1">
        <v>45572</v>
      </c>
      <c r="O8" s="26">
        <f>HLOOKUP(N8,Hoja2!$R$2:$AV$65,64,FALSE)</f>
        <v>0</v>
      </c>
      <c r="P8" s="77">
        <f>HLOOKUP(N8,Hoja2!$R$2:$AV$63,62,FALSE)</f>
        <v>0</v>
      </c>
      <c r="Q8" s="26">
        <f>HLOOKUP(N8,Hoja2!$R$2:$AV$64,63,FALSE)</f>
        <v>0</v>
      </c>
      <c r="R8" s="26"/>
      <c r="T8" s="15">
        <v>45447</v>
      </c>
      <c r="U8">
        <v>110296</v>
      </c>
      <c r="V8" t="s">
        <v>123</v>
      </c>
      <c r="W8" t="str">
        <f>"CPA Compra Divisas " &amp;Q5&amp;" T/C "&amp;P5</f>
        <v>CPA Compra Divisas 0 T/C 0</v>
      </c>
      <c r="X8" s="3">
        <f>+O5</f>
        <v>0</v>
      </c>
      <c r="Y8" s="10"/>
      <c r="AD8" s="1">
        <v>45572</v>
      </c>
      <c r="AE8" s="26">
        <f>HLOOKUP(AD8,Hoja2!$R$2:$AV$66,65,FALSE)</f>
        <v>250000</v>
      </c>
      <c r="AF8" s="77">
        <f>HLOOKUP(AD8,Hoja2!$R$2:$AV$67,66,FALSE)</f>
        <v>923.74</v>
      </c>
      <c r="AG8" s="26" t="str">
        <f>HLOOKUP(AD8,Hoja2!$R$2:$AV$68,67,FALSE)</f>
        <v>250K</v>
      </c>
      <c r="AH8" s="79">
        <f>HLOOKUP(AD8,Hoja2!$R$2:$AV$69,68,FALSE)</f>
        <v>230935000</v>
      </c>
      <c r="AJ8" s="15">
        <v>45447</v>
      </c>
      <c r="AK8" s="8">
        <v>110275</v>
      </c>
      <c r="AL8" t="s">
        <v>82</v>
      </c>
      <c r="AM8" t="str">
        <f>"CPA Fondeo MBI USD a NIUM " &amp;AG5&amp;" USD T/C "&amp;AF5</f>
        <v>CPA Fondeo MBI USD a NIUM 550K USD T/C 919,49</v>
      </c>
      <c r="AN8" s="3">
        <f>+AH5</f>
        <v>505719500</v>
      </c>
      <c r="AO8" s="10"/>
      <c r="AT8" s="1">
        <v>45572</v>
      </c>
      <c r="AU8" s="26">
        <f>HLOOKUP(AT8,Hoja2!$R$2:$AV$70,69,FALSE)</f>
        <v>750000</v>
      </c>
      <c r="AV8" s="77">
        <f>HLOOKUP(AT8,Hoja2!$R$2:$AV$71,70,FALSE)</f>
        <v>923.74</v>
      </c>
      <c r="AW8" s="26" t="str">
        <f>HLOOKUP(AT8,Hoja2!$R$2:$AV$72,71,FALSE)</f>
        <v>750K</v>
      </c>
      <c r="AX8" s="79">
        <f>HLOOKUP(AT8,Hoja2!$R$2:$AV$73,72,FALSE)</f>
        <v>692805000</v>
      </c>
      <c r="AZ8" s="15">
        <v>45447</v>
      </c>
      <c r="BA8">
        <v>110820</v>
      </c>
      <c r="BB8" t="s">
        <v>92</v>
      </c>
      <c r="BC8" t="str">
        <f>"CPA Fondeo MBI USD a JPM COL "&amp;AW5&amp;" USD T/C "&amp;AV5&amp;""</f>
        <v>CPA Fondeo MBI USD a JPM COL 600K USD T/C 919,49</v>
      </c>
      <c r="BD8" s="3">
        <f>+AX5</f>
        <v>551694000</v>
      </c>
      <c r="BE8" s="10"/>
      <c r="BI8" s="1">
        <v>45572</v>
      </c>
      <c r="BJ8" s="26">
        <f>HLOOKUP(BI8,Hoja2!$R$2:$AV$88,87,FALSE)</f>
        <v>0</v>
      </c>
      <c r="BK8" s="77">
        <f>HLOOKUP(BI8,Hoja2!$R$2:$AV$89,88,FALSE)</f>
        <v>923.74</v>
      </c>
      <c r="BL8" s="26">
        <f>HLOOKUP(BI8,Hoja2!$R$2:$AV$90,89,FALSE)</f>
        <v>0</v>
      </c>
      <c r="BM8" s="79">
        <f>HLOOKUP(BI8,Hoja2!$R$2:$AV$91,90,FALSE)</f>
        <v>0</v>
      </c>
      <c r="BO8" s="15">
        <v>45447</v>
      </c>
      <c r="BP8">
        <v>110292</v>
      </c>
      <c r="BQ8" t="s">
        <v>153</v>
      </c>
      <c r="BR8" t="str">
        <f>"CPA Fondeo MBI USD a OZ CAMBIO "&amp;BL5&amp;" USD T/C "&amp;BK5&amp;""</f>
        <v>CPA Fondeo MBI USD a OZ CAMBIO 0 USD T/C 919,49</v>
      </c>
      <c r="BS8" s="3">
        <f>+BM5</f>
        <v>0</v>
      </c>
      <c r="BT8" s="10"/>
      <c r="BX8" s="1">
        <v>45572</v>
      </c>
      <c r="BY8" s="26">
        <f>HLOOKUP(BX8,Hoja2!$R$2:$AV$82,81,FALSE)</f>
        <v>0</v>
      </c>
      <c r="BZ8" s="77">
        <f>HLOOKUP(BX8,Hoja2!$R$2:$AV$83,82,FALSE)</f>
        <v>0</v>
      </c>
      <c r="CA8" s="26">
        <f>HLOOKUP(BX8,Hoja2!$R$2:$AV$84,83,FALSE)</f>
        <v>0</v>
      </c>
      <c r="CB8" s="79">
        <f>HLOOKUP(BX8,Hoja2!$R$2:$AV$85,84,FALSE)</f>
        <v>0</v>
      </c>
      <c r="CD8" s="15">
        <v>45447</v>
      </c>
      <c r="CE8">
        <v>110205</v>
      </c>
      <c r="CF8" t="s">
        <v>154</v>
      </c>
      <c r="CG8" t="str">
        <f>"CPA Fondeo MBI USD a BICE USD "&amp;CA5&amp;" USD T/C "&amp;BZ5&amp;""</f>
        <v>CPA Fondeo MBI USD a BICE USD 0 USD T/C 0</v>
      </c>
      <c r="CH8" s="3">
        <f>+CB5</f>
        <v>0</v>
      </c>
      <c r="CI8" s="10"/>
    </row>
    <row r="9" spans="1:87" x14ac:dyDescent="0.25">
      <c r="A9" s="1">
        <v>45573</v>
      </c>
      <c r="B9" s="26">
        <f>HLOOKUP(A9,Hoja2!$R$2:$AV$61,60,FALSE)</f>
        <v>1399950000</v>
      </c>
      <c r="E9" s="20"/>
      <c r="F9">
        <v>110208</v>
      </c>
      <c r="G9" t="s">
        <v>46</v>
      </c>
      <c r="H9" t="str">
        <f t="shared" ref="H9" si="15">H8</f>
        <v xml:space="preserve">CPA Traspaso de Fondos Bco. BCI 648 a MBI </v>
      </c>
      <c r="J9" s="10">
        <f>I8</f>
        <v>477970000</v>
      </c>
      <c r="N9" s="1">
        <v>45573</v>
      </c>
      <c r="O9" s="26">
        <f>HLOOKUP(N9,Hoja2!$R$2:$AV$65,64,FALSE)</f>
        <v>0</v>
      </c>
      <c r="P9" s="77">
        <f>HLOOKUP(N9,Hoja2!$R$2:$AV$63,62,FALSE)</f>
        <v>0</v>
      </c>
      <c r="Q9" s="26">
        <f>HLOOKUP(N9,Hoja2!$R$2:$AV$64,63,FALSE)</f>
        <v>0</v>
      </c>
      <c r="R9" s="26"/>
      <c r="T9" s="20"/>
      <c r="U9" s="12">
        <v>110295</v>
      </c>
      <c r="V9" s="12" t="s">
        <v>122</v>
      </c>
      <c r="W9" s="12" t="str">
        <f>+W8</f>
        <v>CPA Compra Divisas 0 T/C 0</v>
      </c>
      <c r="X9" s="13"/>
      <c r="Y9" s="18">
        <f t="shared" ref="Y9" si="16">+X8</f>
        <v>0</v>
      </c>
      <c r="AD9" s="1">
        <v>45573</v>
      </c>
      <c r="AE9" s="26">
        <f>HLOOKUP(AD9,Hoja2!$R$2:$AV$66,65,FALSE)</f>
        <v>600000</v>
      </c>
      <c r="AF9" s="77">
        <f>HLOOKUP(AD9,Hoja2!$R$2:$AV$67,66,FALSE)</f>
        <v>925.86</v>
      </c>
      <c r="AG9" s="26" t="str">
        <f>HLOOKUP(AD9,Hoja2!$R$2:$AV$68,67,FALSE)</f>
        <v>600K</v>
      </c>
      <c r="AH9" s="79">
        <f>HLOOKUP(AD9,Hoja2!$R$2:$AV$69,68,FALSE)</f>
        <v>555516000</v>
      </c>
      <c r="AJ9" s="20"/>
      <c r="AK9">
        <v>110296</v>
      </c>
      <c r="AL9" s="12" t="s">
        <v>123</v>
      </c>
      <c r="AM9" s="12" t="str">
        <f>+AM8</f>
        <v>CPA Fondeo MBI USD a NIUM 550K USD T/C 919,49</v>
      </c>
      <c r="AN9" s="13"/>
      <c r="AO9" s="18">
        <f t="shared" si="10"/>
        <v>505719500</v>
      </c>
      <c r="AT9" s="1">
        <v>45573</v>
      </c>
      <c r="AU9" s="26">
        <f>HLOOKUP(AT9,Hoja2!$R$2:$AV$70,69,FALSE)</f>
        <v>900000</v>
      </c>
      <c r="AV9" s="77">
        <f>HLOOKUP(AT9,Hoja2!$R$2:$AV$71,70,FALSE)</f>
        <v>925.86</v>
      </c>
      <c r="AW9" s="26" t="str">
        <f>HLOOKUP(AT9,Hoja2!$R$2:$AV$72,71,FALSE)</f>
        <v>900K</v>
      </c>
      <c r="AX9" s="79">
        <f>HLOOKUP(AT9,Hoja2!$R$2:$AV$73,72,FALSE)</f>
        <v>833274000</v>
      </c>
      <c r="AZ9" s="20"/>
      <c r="BA9" s="12">
        <v>110296</v>
      </c>
      <c r="BB9" s="12" t="s">
        <v>123</v>
      </c>
      <c r="BC9" s="12" t="str">
        <f>+BC8</f>
        <v>CPA Fondeo MBI USD a JPM COL 600K USD T/C 919,49</v>
      </c>
      <c r="BD9" s="13"/>
      <c r="BE9" s="18">
        <f t="shared" si="11"/>
        <v>551694000</v>
      </c>
      <c r="BI9" s="1">
        <v>45573</v>
      </c>
      <c r="BJ9" s="26">
        <f>HLOOKUP(BI9,Hoja2!$R$2:$AV$88,87,FALSE)</f>
        <v>0</v>
      </c>
      <c r="BK9" s="77">
        <f>HLOOKUP(BI9,Hoja2!$R$2:$AV$89,88,FALSE)</f>
        <v>925.86</v>
      </c>
      <c r="BL9" s="26">
        <f>HLOOKUP(BI9,Hoja2!$R$2:$AV$90,89,FALSE)</f>
        <v>0</v>
      </c>
      <c r="BM9" s="79">
        <f>HLOOKUP(BI9,Hoja2!$R$2:$AV$91,90,FALSE)</f>
        <v>0</v>
      </c>
      <c r="BO9" s="20"/>
      <c r="BP9" s="12">
        <v>110296</v>
      </c>
      <c r="BQ9" s="12" t="s">
        <v>123</v>
      </c>
      <c r="BR9" s="12" t="str">
        <f>+BR8</f>
        <v>CPA Fondeo MBI USD a OZ CAMBIO 0 USD T/C 919,49</v>
      </c>
      <c r="BS9" s="13"/>
      <c r="BT9" s="18">
        <f t="shared" ref="BT9" si="17">+BS8</f>
        <v>0</v>
      </c>
      <c r="BX9" s="1">
        <v>45573</v>
      </c>
      <c r="BY9" s="26">
        <f>HLOOKUP(BX9,Hoja2!$R$2:$AV$82,81,FALSE)</f>
        <v>0</v>
      </c>
      <c r="BZ9" s="77">
        <f>HLOOKUP(BX9,Hoja2!$R$2:$AV$83,82,FALSE)</f>
        <v>0</v>
      </c>
      <c r="CA9" s="26">
        <f>HLOOKUP(BX9,Hoja2!$R$2:$AV$84,83,FALSE)</f>
        <v>0</v>
      </c>
      <c r="CB9" s="79">
        <f>HLOOKUP(BX9,Hoja2!$R$2:$AV$85,84,FALSE)</f>
        <v>0</v>
      </c>
      <c r="CD9" s="20"/>
      <c r="CE9" s="12">
        <v>110296</v>
      </c>
      <c r="CF9" s="12" t="s">
        <v>123</v>
      </c>
      <c r="CG9" s="12" t="str">
        <f>+CG8</f>
        <v>CPA Fondeo MBI USD a BICE USD 0 USD T/C 0</v>
      </c>
      <c r="CH9" s="13"/>
      <c r="CI9" s="18">
        <f t="shared" ref="CI9" si="18">+CH8</f>
        <v>0</v>
      </c>
    </row>
    <row r="10" spans="1:87" x14ac:dyDescent="0.25">
      <c r="A10" s="1">
        <v>45574</v>
      </c>
      <c r="B10" s="26">
        <f>HLOOKUP(A10,Hoja2!$R$2:$AV$61,60,FALSE)</f>
        <v>1636900000</v>
      </c>
      <c r="E10" s="15">
        <v>45448</v>
      </c>
      <c r="F10" s="8">
        <v>110295</v>
      </c>
      <c r="G10" s="8" t="s">
        <v>122</v>
      </c>
      <c r="H10" s="8" t="str">
        <f t="shared" ref="H10" si="19">"CPA Traspaso de Fondos Bco. BCI 648 a MBI "</f>
        <v xml:space="preserve">CPA Traspaso de Fondos Bco. BCI 648 a MBI </v>
      </c>
      <c r="I10" s="16" t="str">
        <f>+B6</f>
        <v>-</v>
      </c>
      <c r="J10" s="17"/>
      <c r="N10" s="1">
        <v>45574</v>
      </c>
      <c r="O10" s="26">
        <f>HLOOKUP(N10,Hoja2!$R$2:$AV$65,64,FALSE)</f>
        <v>0</v>
      </c>
      <c r="P10" s="77">
        <f>HLOOKUP(N10,Hoja2!$R$2:$AV$63,62,FALSE)</f>
        <v>0</v>
      </c>
      <c r="Q10" s="26">
        <f>HLOOKUP(N10,Hoja2!$R$2:$AV$64,63,FALSE)</f>
        <v>0</v>
      </c>
      <c r="R10" s="26"/>
      <c r="T10" s="15">
        <v>45448</v>
      </c>
      <c r="U10">
        <v>110296</v>
      </c>
      <c r="V10" t="s">
        <v>123</v>
      </c>
      <c r="W10" t="str">
        <f>"CPA Compra Divisas " &amp;Q6&amp;" T/C "&amp;P6</f>
        <v>CPA Compra Divisas 0 T/C 0</v>
      </c>
      <c r="X10" s="3">
        <f>+O6</f>
        <v>0</v>
      </c>
      <c r="Y10" s="10"/>
      <c r="AD10" s="1">
        <v>45574</v>
      </c>
      <c r="AE10" s="26">
        <f>HLOOKUP(AD10,Hoja2!$R$2:$AV$66,65,FALSE)</f>
        <v>0</v>
      </c>
      <c r="AF10" s="77">
        <f>HLOOKUP(AD10,Hoja2!$R$2:$AV$67,66,FALSE)</f>
        <v>933.62</v>
      </c>
      <c r="AG10" s="26">
        <f>HLOOKUP(AD10,Hoja2!$R$2:$AV$68,67,FALSE)</f>
        <v>0</v>
      </c>
      <c r="AH10" s="79">
        <f>HLOOKUP(AD10,Hoja2!$R$2:$AV$69,68,FALSE)</f>
        <v>0</v>
      </c>
      <c r="AJ10" s="15">
        <v>45448</v>
      </c>
      <c r="AK10" s="8">
        <v>110275</v>
      </c>
      <c r="AL10" t="s">
        <v>82</v>
      </c>
      <c r="AM10" t="str">
        <f>"CPA Fondeo MBI USD a NIUM " &amp;AG6&amp;" USD T/C "&amp;AF6</f>
        <v>CPA Fondeo MBI USD a NIUM 0 USD T/C 919,49</v>
      </c>
      <c r="AN10" s="3">
        <f>+AH6</f>
        <v>0</v>
      </c>
      <c r="AO10" s="10"/>
      <c r="AT10" s="1">
        <v>45574</v>
      </c>
      <c r="AU10" s="26">
        <f>HLOOKUP(AT10,Hoja2!$R$2:$AV$70,69,FALSE)</f>
        <v>0</v>
      </c>
      <c r="AV10" s="77">
        <f>HLOOKUP(AT10,Hoja2!$R$2:$AV$71,70,FALSE)</f>
        <v>933.62</v>
      </c>
      <c r="AW10" s="26">
        <f>HLOOKUP(AT10,Hoja2!$R$2:$AV$72,71,FALSE)</f>
        <v>0</v>
      </c>
      <c r="AX10" s="79">
        <f>HLOOKUP(AT10,Hoja2!$R$2:$AV$73,72,FALSE)</f>
        <v>0</v>
      </c>
      <c r="AZ10" s="15">
        <v>45448</v>
      </c>
      <c r="BA10">
        <v>110820</v>
      </c>
      <c r="BB10" t="s">
        <v>92</v>
      </c>
      <c r="BC10" t="str">
        <f>"CPA Fondeo MBI USD a JPM COL "&amp;AW6&amp;" USD T/C "&amp;AV6&amp;""</f>
        <v>CPA Fondeo MBI USD a JPM COL 0 USD T/C 919,49</v>
      </c>
      <c r="BD10" s="3">
        <f>+AX6</f>
        <v>0</v>
      </c>
      <c r="BE10" s="10"/>
      <c r="BI10" s="1">
        <v>45574</v>
      </c>
      <c r="BJ10" s="26">
        <f>HLOOKUP(BI10,Hoja2!$R$2:$AV$88,87,FALSE)</f>
        <v>0</v>
      </c>
      <c r="BK10" s="77">
        <f>HLOOKUP(BI10,Hoja2!$R$2:$AV$89,88,FALSE)</f>
        <v>933.62</v>
      </c>
      <c r="BL10" s="26">
        <f>HLOOKUP(BI10,Hoja2!$R$2:$AV$90,89,FALSE)</f>
        <v>0</v>
      </c>
      <c r="BM10" s="79">
        <f>HLOOKUP(BI10,Hoja2!$R$2:$AV$91,90,FALSE)</f>
        <v>0</v>
      </c>
      <c r="BO10" s="15">
        <v>45448</v>
      </c>
      <c r="BP10">
        <v>110292</v>
      </c>
      <c r="BQ10" t="s">
        <v>153</v>
      </c>
      <c r="BR10" t="str">
        <f>"CPA Fondeo MBI USD a OZ CAMBIO "&amp;BL6&amp;" USD T/C "&amp;BK6&amp;""</f>
        <v>CPA Fondeo MBI USD a OZ CAMBIO 0 USD T/C 919,49</v>
      </c>
      <c r="BS10" s="3">
        <f>+BM6</f>
        <v>0</v>
      </c>
      <c r="BT10" s="10"/>
      <c r="BX10" s="1">
        <v>45574</v>
      </c>
      <c r="BY10" s="26">
        <f>HLOOKUP(BX10,Hoja2!$R$2:$AV$82,81,FALSE)</f>
        <v>0</v>
      </c>
      <c r="BZ10" s="77">
        <f>HLOOKUP(BX10,Hoja2!$R$2:$AV$83,82,FALSE)</f>
        <v>0</v>
      </c>
      <c r="CA10" s="26">
        <f>HLOOKUP(BX10,Hoja2!$R$2:$AV$84,83,FALSE)</f>
        <v>0</v>
      </c>
      <c r="CB10" s="79">
        <f>HLOOKUP(BX10,Hoja2!$R$2:$AV$85,84,FALSE)</f>
        <v>0</v>
      </c>
      <c r="CD10" s="15">
        <v>45448</v>
      </c>
      <c r="CE10">
        <v>110205</v>
      </c>
      <c r="CF10" t="s">
        <v>154</v>
      </c>
      <c r="CG10" t="str">
        <f>"CPA Fondeo MBI USD a BICE USD "&amp;CA6&amp;" USD T/C "&amp;BZ6&amp;""</f>
        <v>CPA Fondeo MBI USD a BICE USD 0 USD T/C 0</v>
      </c>
      <c r="CH10" s="3">
        <f>+CB6</f>
        <v>0</v>
      </c>
      <c r="CI10" s="10"/>
    </row>
    <row r="11" spans="1:87" x14ac:dyDescent="0.25">
      <c r="A11" s="1">
        <v>45575</v>
      </c>
      <c r="B11" s="26">
        <f>HLOOKUP(A11,Hoja2!$R$2:$AV$61,60,FALSE)</f>
        <v>1487865000</v>
      </c>
      <c r="E11" s="20"/>
      <c r="F11">
        <v>110208</v>
      </c>
      <c r="G11" t="s">
        <v>46</v>
      </c>
      <c r="H11" t="str">
        <f t="shared" ref="H11" si="20">H10</f>
        <v xml:space="preserve">CPA Traspaso de Fondos Bco. BCI 648 a MBI </v>
      </c>
      <c r="J11" s="10" t="str">
        <f>I10</f>
        <v>-</v>
      </c>
      <c r="N11" s="1">
        <v>45575</v>
      </c>
      <c r="O11" s="26">
        <f>HLOOKUP(N11,Hoja2!$R$2:$AV$65,64,FALSE)</f>
        <v>0</v>
      </c>
      <c r="P11" s="77">
        <f>HLOOKUP(N11,Hoja2!$R$2:$AV$63,62,FALSE)</f>
        <v>0</v>
      </c>
      <c r="Q11" s="26">
        <f>HLOOKUP(N11,Hoja2!$R$2:$AV$64,63,FALSE)</f>
        <v>0</v>
      </c>
      <c r="R11" s="26"/>
      <c r="T11" s="20"/>
      <c r="U11" s="12">
        <v>110295</v>
      </c>
      <c r="V11" s="12" t="s">
        <v>122</v>
      </c>
      <c r="W11" s="12" t="str">
        <f>+W10</f>
        <v>CPA Compra Divisas 0 T/C 0</v>
      </c>
      <c r="X11" s="13"/>
      <c r="Y11" s="18">
        <f t="shared" ref="Y11" si="21">+X10</f>
        <v>0</v>
      </c>
      <c r="AD11" s="1">
        <v>45575</v>
      </c>
      <c r="AE11" s="26">
        <f>HLOOKUP(AD11,Hoja2!$R$2:$AV$66,65,FALSE)</f>
        <v>400000</v>
      </c>
      <c r="AF11" s="77">
        <f>HLOOKUP(AD11,Hoja2!$R$2:$AV$67,66,FALSE)</f>
        <v>934.84</v>
      </c>
      <c r="AG11" s="26" t="str">
        <f>HLOOKUP(AD11,Hoja2!$R$2:$AV$68,67,FALSE)</f>
        <v>400K</v>
      </c>
      <c r="AH11" s="79">
        <f>HLOOKUP(AD11,Hoja2!$R$2:$AV$69,68,FALSE)</f>
        <v>373936000</v>
      </c>
      <c r="AJ11" s="20"/>
      <c r="AK11">
        <v>110296</v>
      </c>
      <c r="AL11" s="12" t="s">
        <v>123</v>
      </c>
      <c r="AM11" s="12" t="str">
        <f>+AM10</f>
        <v>CPA Fondeo MBI USD a NIUM 0 USD T/C 919,49</v>
      </c>
      <c r="AN11" s="13"/>
      <c r="AO11" s="18">
        <f t="shared" si="10"/>
        <v>0</v>
      </c>
      <c r="AT11" s="1">
        <v>45575</v>
      </c>
      <c r="AU11" s="26">
        <f>HLOOKUP(AT11,Hoja2!$R$2:$AV$70,69,FALSE)</f>
        <v>0</v>
      </c>
      <c r="AV11" s="77">
        <f>HLOOKUP(AT11,Hoja2!$R$2:$AV$71,70,FALSE)</f>
        <v>934.84</v>
      </c>
      <c r="AW11" s="26">
        <f>HLOOKUP(AT11,Hoja2!$R$2:$AV$72,71,FALSE)</f>
        <v>0</v>
      </c>
      <c r="AX11" s="79">
        <f>HLOOKUP(AT11,Hoja2!$R$2:$AV$73,72,FALSE)</f>
        <v>0</v>
      </c>
      <c r="AZ11" s="20"/>
      <c r="BA11" s="12">
        <v>110296</v>
      </c>
      <c r="BB11" s="12" t="s">
        <v>123</v>
      </c>
      <c r="BC11" s="12" t="str">
        <f>+BC10</f>
        <v>CPA Fondeo MBI USD a JPM COL 0 USD T/C 919,49</v>
      </c>
      <c r="BD11" s="13"/>
      <c r="BE11" s="18">
        <f t="shared" si="11"/>
        <v>0</v>
      </c>
      <c r="BI11" s="1">
        <v>45575</v>
      </c>
      <c r="BJ11" s="26">
        <f>HLOOKUP(BI11,Hoja2!$R$2:$AV$88,87,FALSE)</f>
        <v>0</v>
      </c>
      <c r="BK11" s="77">
        <f>HLOOKUP(BI11,Hoja2!$R$2:$AV$89,88,FALSE)</f>
        <v>934.84</v>
      </c>
      <c r="BL11" s="26">
        <f>HLOOKUP(BI11,Hoja2!$R$2:$AV$90,89,FALSE)</f>
        <v>0</v>
      </c>
      <c r="BM11" s="79">
        <f>HLOOKUP(BI11,Hoja2!$R$2:$AV$91,90,FALSE)</f>
        <v>0</v>
      </c>
      <c r="BO11" s="20"/>
      <c r="BP11" s="12">
        <v>110296</v>
      </c>
      <c r="BQ11" s="12" t="s">
        <v>123</v>
      </c>
      <c r="BR11" s="12" t="str">
        <f>+BR10</f>
        <v>CPA Fondeo MBI USD a OZ CAMBIO 0 USD T/C 919,49</v>
      </c>
      <c r="BS11" s="13"/>
      <c r="BT11" s="18">
        <f t="shared" ref="BT11" si="22">+BS10</f>
        <v>0</v>
      </c>
      <c r="BX11" s="1">
        <v>45575</v>
      </c>
      <c r="BY11" s="26">
        <f>HLOOKUP(BX11,Hoja2!$R$2:$AV$82,81,FALSE)</f>
        <v>0</v>
      </c>
      <c r="BZ11" s="77">
        <f>HLOOKUP(BX11,Hoja2!$R$2:$AV$83,82,FALSE)</f>
        <v>0</v>
      </c>
      <c r="CA11" s="26">
        <f>HLOOKUP(BX11,Hoja2!$R$2:$AV$84,83,FALSE)</f>
        <v>0</v>
      </c>
      <c r="CB11" s="79">
        <f>HLOOKUP(BX11,Hoja2!$R$2:$AV$85,84,FALSE)</f>
        <v>0</v>
      </c>
      <c r="CD11" s="20"/>
      <c r="CE11" s="12">
        <v>110296</v>
      </c>
      <c r="CF11" s="12" t="s">
        <v>123</v>
      </c>
      <c r="CG11" s="12" t="str">
        <f>+CG10</f>
        <v>CPA Fondeo MBI USD a BICE USD 0 USD T/C 0</v>
      </c>
      <c r="CH11" s="13"/>
      <c r="CI11" s="18">
        <f t="shared" ref="CI11" si="23">+CH10</f>
        <v>0</v>
      </c>
    </row>
    <row r="12" spans="1:87" x14ac:dyDescent="0.25">
      <c r="A12" s="1">
        <v>45576</v>
      </c>
      <c r="B12" s="26">
        <f>HLOOKUP(A12,Hoja2!$R$2:$AV$61,60,FALSE)</f>
        <v>508310000</v>
      </c>
      <c r="D12" s="19"/>
      <c r="E12" s="15">
        <v>45449</v>
      </c>
      <c r="F12" s="8">
        <v>110295</v>
      </c>
      <c r="G12" s="8" t="s">
        <v>122</v>
      </c>
      <c r="H12" s="8" t="str">
        <f t="shared" ref="H12" si="24">"CPA Traspaso de Fondos Bco. BCI 648 a MBI "</f>
        <v xml:space="preserve">CPA Traspaso de Fondos Bco. BCI 648 a MBI </v>
      </c>
      <c r="I12" s="16" t="str">
        <f>+B7</f>
        <v>-</v>
      </c>
      <c r="J12" s="17"/>
      <c r="N12" s="1">
        <v>45576</v>
      </c>
      <c r="O12" s="26">
        <f>HLOOKUP(N12,Hoja2!$R$2:$AV$65,64,FALSE)</f>
        <v>0</v>
      </c>
      <c r="P12" s="77">
        <f>HLOOKUP(N12,Hoja2!$R$2:$AV$63,62,FALSE)</f>
        <v>0</v>
      </c>
      <c r="Q12" s="26">
        <f>HLOOKUP(N12,Hoja2!$R$2:$AV$64,63,FALSE)</f>
        <v>0</v>
      </c>
      <c r="R12" s="26"/>
      <c r="T12" s="15">
        <v>45449</v>
      </c>
      <c r="U12">
        <v>110296</v>
      </c>
      <c r="V12" t="s">
        <v>123</v>
      </c>
      <c r="W12" t="str">
        <f>"CPA Compra Divisas " &amp;Q7&amp;" T/C "&amp;P7</f>
        <v>CPA Compra Divisas 0 T/C 0</v>
      </c>
      <c r="X12" s="3">
        <f>+O7</f>
        <v>0</v>
      </c>
      <c r="Y12" s="10"/>
      <c r="AD12" s="1">
        <v>45576</v>
      </c>
      <c r="AE12" s="26">
        <f>HLOOKUP(AD12,Hoja2!$R$2:$AV$66,65,FALSE)</f>
        <v>550000</v>
      </c>
      <c r="AF12" s="77">
        <f>HLOOKUP(AD12,Hoja2!$R$2:$AV$67,66,FALSE)</f>
        <v>931.26</v>
      </c>
      <c r="AG12" s="26" t="str">
        <f>HLOOKUP(AD12,Hoja2!$R$2:$AV$68,67,FALSE)</f>
        <v>550K</v>
      </c>
      <c r="AH12" s="79">
        <f>HLOOKUP(AD12,Hoja2!$R$2:$AV$69,68,FALSE)</f>
        <v>512193000</v>
      </c>
      <c r="AJ12" s="15">
        <v>45449</v>
      </c>
      <c r="AK12" s="8">
        <v>110275</v>
      </c>
      <c r="AL12" t="s">
        <v>82</v>
      </c>
      <c r="AM12" t="str">
        <f>"CPA Fondeo MBI USD a NIUM " &amp;AG7&amp;" USD T/C "&amp;AF7</f>
        <v>CPA Fondeo MBI USD a NIUM 0 USD T/C 919,49</v>
      </c>
      <c r="AN12" s="3">
        <f>+AH7</f>
        <v>0</v>
      </c>
      <c r="AO12" s="10"/>
      <c r="AT12" s="1">
        <v>45576</v>
      </c>
      <c r="AU12" s="26">
        <f>HLOOKUP(AT12,Hoja2!$R$2:$AV$70,69,FALSE)</f>
        <v>0</v>
      </c>
      <c r="AV12" s="77">
        <f>HLOOKUP(AT12,Hoja2!$R$2:$AV$71,70,FALSE)</f>
        <v>931.26</v>
      </c>
      <c r="AW12" s="26">
        <f>HLOOKUP(AT12,Hoja2!$R$2:$AV$72,71,FALSE)</f>
        <v>0</v>
      </c>
      <c r="AX12" s="79">
        <f>HLOOKUP(AT12,Hoja2!$R$2:$AV$73,72,FALSE)</f>
        <v>0</v>
      </c>
      <c r="AZ12" s="15">
        <v>45449</v>
      </c>
      <c r="BA12">
        <v>110820</v>
      </c>
      <c r="BB12" t="s">
        <v>92</v>
      </c>
      <c r="BC12" t="str">
        <f>"CPA Fondeo MBI USD a JPM COL "&amp;AW7&amp;" USD T/C "&amp;AV7&amp;""</f>
        <v>CPA Fondeo MBI USD a JPM COL 0 USD T/C 919,49</v>
      </c>
      <c r="BD12" s="3">
        <f>+AX7</f>
        <v>0</v>
      </c>
      <c r="BE12" s="10"/>
      <c r="BI12" s="1">
        <v>45576</v>
      </c>
      <c r="BJ12" s="26">
        <f>HLOOKUP(BI12,Hoja2!$R$2:$AV$88,87,FALSE)</f>
        <v>0</v>
      </c>
      <c r="BK12" s="77">
        <f>HLOOKUP(BI12,Hoja2!$R$2:$AV$89,88,FALSE)</f>
        <v>931.26</v>
      </c>
      <c r="BL12" s="26">
        <f>HLOOKUP(BI12,Hoja2!$R$2:$AV$90,89,FALSE)</f>
        <v>0</v>
      </c>
      <c r="BM12" s="79">
        <f>HLOOKUP(BI12,Hoja2!$R$2:$AV$91,90,FALSE)</f>
        <v>0</v>
      </c>
      <c r="BO12" s="15">
        <v>45449</v>
      </c>
      <c r="BP12">
        <v>110292</v>
      </c>
      <c r="BQ12" t="s">
        <v>153</v>
      </c>
      <c r="BR12" t="str">
        <f>"CPA Fondeo MBI USD a OZ CAMBIO "&amp;BL7&amp;" USD T/C "&amp;BK7&amp;""</f>
        <v>CPA Fondeo MBI USD a OZ CAMBIO 0 USD T/C 919,49</v>
      </c>
      <c r="BS12" s="3">
        <f>+BM7</f>
        <v>0</v>
      </c>
      <c r="BT12" s="10"/>
      <c r="BX12" s="1">
        <v>45576</v>
      </c>
      <c r="BY12" s="26">
        <f>HLOOKUP(BX12,Hoja2!$R$2:$AV$82,81,FALSE)</f>
        <v>0</v>
      </c>
      <c r="BZ12" s="77">
        <f>HLOOKUP(BX12,Hoja2!$R$2:$AV$83,82,FALSE)</f>
        <v>0</v>
      </c>
      <c r="CA12" s="26">
        <f>HLOOKUP(BX12,Hoja2!$R$2:$AV$84,83,FALSE)</f>
        <v>0</v>
      </c>
      <c r="CB12" s="79">
        <f>HLOOKUP(BX12,Hoja2!$R$2:$AV$85,84,FALSE)</f>
        <v>0</v>
      </c>
      <c r="CD12" s="15">
        <v>45449</v>
      </c>
      <c r="CE12">
        <v>110205</v>
      </c>
      <c r="CF12" t="s">
        <v>154</v>
      </c>
      <c r="CG12" t="str">
        <f>"CPA Fondeo MBI USD a BICE USD "&amp;CA7&amp;" USD T/C "&amp;BZ7&amp;""</f>
        <v>CPA Fondeo MBI USD a BICE USD 0 USD T/C 0</v>
      </c>
      <c r="CH12" s="3">
        <f>+CB7</f>
        <v>0</v>
      </c>
      <c r="CI12" s="10"/>
    </row>
    <row r="13" spans="1:87" x14ac:dyDescent="0.25">
      <c r="A13" s="1">
        <v>45577</v>
      </c>
      <c r="B13" s="26" t="str">
        <f>HLOOKUP(A13,Hoja2!$R$2:$AV$61,60,FALSE)</f>
        <v>-</v>
      </c>
      <c r="D13" s="39"/>
      <c r="E13" s="20"/>
      <c r="F13">
        <v>110208</v>
      </c>
      <c r="G13" t="s">
        <v>46</v>
      </c>
      <c r="H13" t="str">
        <f t="shared" ref="H13" si="25">H12</f>
        <v xml:space="preserve">CPA Traspaso de Fondos Bco. BCI 648 a MBI </v>
      </c>
      <c r="I13" s="3"/>
      <c r="J13" s="10" t="str">
        <f>I12</f>
        <v>-</v>
      </c>
      <c r="N13" s="1">
        <v>45577</v>
      </c>
      <c r="O13" s="26">
        <f>HLOOKUP(N13,Hoja2!$R$2:$AV$65,64,FALSE)</f>
        <v>0</v>
      </c>
      <c r="P13" s="77">
        <f>HLOOKUP(N13,Hoja2!$R$2:$AV$63,62,FALSE)</f>
        <v>0</v>
      </c>
      <c r="Q13" s="26">
        <f>HLOOKUP(N13,Hoja2!$R$2:$AV$64,63,FALSE)</f>
        <v>0</v>
      </c>
      <c r="R13" s="26"/>
      <c r="S13" s="39"/>
      <c r="T13" s="20"/>
      <c r="U13" s="12">
        <v>110295</v>
      </c>
      <c r="V13" s="12" t="s">
        <v>122</v>
      </c>
      <c r="W13" s="12" t="str">
        <f>+W12</f>
        <v>CPA Compra Divisas 0 T/C 0</v>
      </c>
      <c r="X13" s="13"/>
      <c r="Y13" s="18">
        <f t="shared" ref="Y13" si="26">+X12</f>
        <v>0</v>
      </c>
      <c r="AD13" s="1">
        <v>45577</v>
      </c>
      <c r="AE13" s="26">
        <f>HLOOKUP(AD13,Hoja2!$R$2:$AV$66,65,FALSE)</f>
        <v>0</v>
      </c>
      <c r="AF13" s="77">
        <f>HLOOKUP(AD13,Hoja2!$R$2:$AV$67,66,FALSE)</f>
        <v>931.26</v>
      </c>
      <c r="AG13" s="26">
        <f>HLOOKUP(AD13,Hoja2!$R$2:$AV$68,67,FALSE)</f>
        <v>0</v>
      </c>
      <c r="AH13" s="79">
        <f>HLOOKUP(AD13,Hoja2!$R$2:$AV$69,68,FALSE)</f>
        <v>0</v>
      </c>
      <c r="AI13" s="39"/>
      <c r="AJ13" s="20"/>
      <c r="AK13">
        <v>110296</v>
      </c>
      <c r="AL13" s="12" t="s">
        <v>123</v>
      </c>
      <c r="AM13" s="12" t="str">
        <f>+AM12</f>
        <v>CPA Fondeo MBI USD a NIUM 0 USD T/C 919,49</v>
      </c>
      <c r="AN13" s="13"/>
      <c r="AO13" s="18">
        <f t="shared" si="10"/>
        <v>0</v>
      </c>
      <c r="AT13" s="1">
        <v>45577</v>
      </c>
      <c r="AU13" s="26">
        <f>HLOOKUP(AT13,Hoja2!$R$2:$AV$70,69,FALSE)</f>
        <v>0</v>
      </c>
      <c r="AV13" s="77">
        <f>HLOOKUP(AT13,Hoja2!$R$2:$AV$71,70,FALSE)</f>
        <v>931.26</v>
      </c>
      <c r="AW13" s="26">
        <f>HLOOKUP(AT13,Hoja2!$R$2:$AV$72,71,FALSE)</f>
        <v>0</v>
      </c>
      <c r="AX13" s="79">
        <f>HLOOKUP(AT13,Hoja2!$R$2:$AV$73,72,FALSE)</f>
        <v>0</v>
      </c>
      <c r="AY13" s="39"/>
      <c r="AZ13" s="20"/>
      <c r="BA13" s="12">
        <v>110296</v>
      </c>
      <c r="BB13" s="12" t="s">
        <v>123</v>
      </c>
      <c r="BC13" s="12" t="str">
        <f>+BC12</f>
        <v>CPA Fondeo MBI USD a JPM COL 0 USD T/C 919,49</v>
      </c>
      <c r="BD13" s="13"/>
      <c r="BE13" s="18">
        <f t="shared" si="11"/>
        <v>0</v>
      </c>
      <c r="BI13" s="1">
        <v>45577</v>
      </c>
      <c r="BJ13" s="26">
        <f>HLOOKUP(BI13,Hoja2!$R$2:$AV$88,87,FALSE)</f>
        <v>0</v>
      </c>
      <c r="BK13" s="77">
        <f>HLOOKUP(BI13,Hoja2!$R$2:$AV$89,88,FALSE)</f>
        <v>931.26</v>
      </c>
      <c r="BL13" s="26">
        <f>HLOOKUP(BI13,Hoja2!$R$2:$AV$90,89,FALSE)</f>
        <v>0</v>
      </c>
      <c r="BM13" s="79">
        <f>HLOOKUP(BI13,Hoja2!$R$2:$AV$91,90,FALSE)</f>
        <v>0</v>
      </c>
      <c r="BN13" s="39"/>
      <c r="BO13" s="20"/>
      <c r="BP13" s="12">
        <v>110296</v>
      </c>
      <c r="BQ13" s="12" t="s">
        <v>123</v>
      </c>
      <c r="BR13" s="12" t="str">
        <f>+BR12</f>
        <v>CPA Fondeo MBI USD a OZ CAMBIO 0 USD T/C 919,49</v>
      </c>
      <c r="BS13" s="13"/>
      <c r="BT13" s="18">
        <f t="shared" ref="BT13" si="27">+BS12</f>
        <v>0</v>
      </c>
      <c r="BX13" s="1">
        <v>45577</v>
      </c>
      <c r="BY13" s="26">
        <f>HLOOKUP(BX13,Hoja2!$R$2:$AV$82,81,FALSE)</f>
        <v>0</v>
      </c>
      <c r="BZ13" s="77">
        <f>HLOOKUP(BX13,Hoja2!$R$2:$AV$83,82,FALSE)</f>
        <v>0</v>
      </c>
      <c r="CA13" s="26">
        <f>HLOOKUP(BX13,Hoja2!$R$2:$AV$84,83,FALSE)</f>
        <v>0</v>
      </c>
      <c r="CB13" s="79">
        <f>HLOOKUP(BX13,Hoja2!$R$2:$AV$85,84,FALSE)</f>
        <v>0</v>
      </c>
      <c r="CC13" s="39"/>
      <c r="CD13" s="20"/>
      <c r="CE13" s="12">
        <v>110296</v>
      </c>
      <c r="CF13" s="12" t="s">
        <v>123</v>
      </c>
      <c r="CG13" s="12" t="str">
        <f>+CG12</f>
        <v>CPA Fondeo MBI USD a BICE USD 0 USD T/C 0</v>
      </c>
      <c r="CH13" s="13"/>
      <c r="CI13" s="18">
        <f t="shared" ref="CI13" si="28">+CH12</f>
        <v>0</v>
      </c>
    </row>
    <row r="14" spans="1:87" x14ac:dyDescent="0.25">
      <c r="A14" s="1">
        <v>45578</v>
      </c>
      <c r="B14" s="26" t="str">
        <f>HLOOKUP(A14,Hoja2!$R$2:$AV$61,60,FALSE)</f>
        <v>-</v>
      </c>
      <c r="D14" s="21"/>
      <c r="E14" s="15">
        <v>45450</v>
      </c>
      <c r="F14" s="8">
        <v>110295</v>
      </c>
      <c r="G14" s="8" t="s">
        <v>122</v>
      </c>
      <c r="H14" s="8" t="str">
        <f t="shared" ref="H14" si="29">"CPA Traspaso de Fondos Bco. BCI 648 a MBI "</f>
        <v xml:space="preserve">CPA Traspaso de Fondos Bco. BCI 648 a MBI </v>
      </c>
      <c r="I14" s="16">
        <f>+B8</f>
        <v>567950000</v>
      </c>
      <c r="J14" s="17"/>
      <c r="N14" s="1">
        <v>45578</v>
      </c>
      <c r="O14" s="26">
        <f>HLOOKUP(N14,Hoja2!$R$2:$AV$65,64,FALSE)</f>
        <v>0</v>
      </c>
      <c r="P14" s="77">
        <f>HLOOKUP(N14,Hoja2!$R$2:$AV$63,62,FALSE)</f>
        <v>0</v>
      </c>
      <c r="Q14" s="26">
        <f>HLOOKUP(N14,Hoja2!$R$2:$AV$64,63,FALSE)</f>
        <v>0</v>
      </c>
      <c r="R14" s="26"/>
      <c r="S14" s="21"/>
      <c r="T14" s="15">
        <v>45450</v>
      </c>
      <c r="U14">
        <v>110296</v>
      </c>
      <c r="V14" t="s">
        <v>123</v>
      </c>
      <c r="W14" t="str">
        <f>"CPA Compra Divisas " &amp;Q8&amp;" T/C "&amp;P8</f>
        <v>CPA Compra Divisas 0 T/C 0</v>
      </c>
      <c r="X14" s="3">
        <f>+O8</f>
        <v>0</v>
      </c>
      <c r="Y14" s="10"/>
      <c r="AD14" s="1">
        <v>45578</v>
      </c>
      <c r="AE14" s="26">
        <f>HLOOKUP(AD14,Hoja2!$R$2:$AV$66,65,FALSE)</f>
        <v>0</v>
      </c>
      <c r="AF14" s="77">
        <f>HLOOKUP(AD14,Hoja2!$R$2:$AV$67,66,FALSE)</f>
        <v>931.26</v>
      </c>
      <c r="AG14" s="26">
        <f>HLOOKUP(AD14,Hoja2!$R$2:$AV$68,67,FALSE)</f>
        <v>0</v>
      </c>
      <c r="AH14" s="79">
        <f>HLOOKUP(AD14,Hoja2!$R$2:$AV$69,68,FALSE)</f>
        <v>0</v>
      </c>
      <c r="AI14" s="21"/>
      <c r="AJ14" s="15">
        <v>45450</v>
      </c>
      <c r="AK14" s="8">
        <v>110275</v>
      </c>
      <c r="AL14" t="s">
        <v>82</v>
      </c>
      <c r="AM14" t="str">
        <f>"CPA Fondeo MBI USD a NIUM " &amp;AG8&amp;" USD T/C "&amp;AF8</f>
        <v>CPA Fondeo MBI USD a NIUM 250K USD T/C 923,74</v>
      </c>
      <c r="AN14" s="3">
        <f>+AH8</f>
        <v>230935000</v>
      </c>
      <c r="AO14" s="10"/>
      <c r="AT14" s="1">
        <v>45578</v>
      </c>
      <c r="AU14" s="26">
        <f>HLOOKUP(AT14,Hoja2!$R$2:$AV$70,69,FALSE)</f>
        <v>0</v>
      </c>
      <c r="AV14" s="77">
        <f>HLOOKUP(AT14,Hoja2!$R$2:$AV$71,70,FALSE)</f>
        <v>931.26</v>
      </c>
      <c r="AW14" s="26">
        <f>HLOOKUP(AT14,Hoja2!$R$2:$AV$72,71,FALSE)</f>
        <v>0</v>
      </c>
      <c r="AX14" s="79">
        <f>HLOOKUP(AT14,Hoja2!$R$2:$AV$73,72,FALSE)</f>
        <v>0</v>
      </c>
      <c r="AY14" s="21"/>
      <c r="AZ14" s="15">
        <v>45450</v>
      </c>
      <c r="BA14">
        <v>110820</v>
      </c>
      <c r="BB14" t="s">
        <v>92</v>
      </c>
      <c r="BC14" t="str">
        <f>"CPA Fondeo MBI USD a JPM COL "&amp;AW8&amp;" USD T/C "&amp;AV8&amp;""</f>
        <v>CPA Fondeo MBI USD a JPM COL 750K USD T/C 923,74</v>
      </c>
      <c r="BD14" s="3">
        <f>+AX8</f>
        <v>692805000</v>
      </c>
      <c r="BE14" s="10"/>
      <c r="BI14" s="1">
        <v>45578</v>
      </c>
      <c r="BJ14" s="26">
        <f>HLOOKUP(BI14,Hoja2!$R$2:$AV$88,87,FALSE)</f>
        <v>0</v>
      </c>
      <c r="BK14" s="77">
        <f>HLOOKUP(BI14,Hoja2!$R$2:$AV$89,88,FALSE)</f>
        <v>931.26</v>
      </c>
      <c r="BL14" s="26">
        <f>HLOOKUP(BI14,Hoja2!$R$2:$AV$90,89,FALSE)</f>
        <v>0</v>
      </c>
      <c r="BM14" s="79">
        <f>HLOOKUP(BI14,Hoja2!$R$2:$AV$91,90,FALSE)</f>
        <v>0</v>
      </c>
      <c r="BN14" s="21"/>
      <c r="BO14" s="15">
        <v>45450</v>
      </c>
      <c r="BP14">
        <v>110292</v>
      </c>
      <c r="BQ14" t="s">
        <v>153</v>
      </c>
      <c r="BR14" t="str">
        <f>"CPA Fondeo MBI USD a OZ CAMBIO "&amp;BL8&amp;" USD T/C "&amp;BK8&amp;""</f>
        <v>CPA Fondeo MBI USD a OZ CAMBIO 0 USD T/C 923,74</v>
      </c>
      <c r="BS14" s="3">
        <f>+BM8</f>
        <v>0</v>
      </c>
      <c r="BT14" s="10"/>
      <c r="BX14" s="1">
        <v>45578</v>
      </c>
      <c r="BY14" s="26">
        <f>HLOOKUP(BX14,Hoja2!$R$2:$AV$82,81,FALSE)</f>
        <v>0</v>
      </c>
      <c r="BZ14" s="77">
        <f>HLOOKUP(BX14,Hoja2!$R$2:$AV$83,82,FALSE)</f>
        <v>0</v>
      </c>
      <c r="CA14" s="26">
        <f>HLOOKUP(BX14,Hoja2!$R$2:$AV$84,83,FALSE)</f>
        <v>0</v>
      </c>
      <c r="CB14" s="79">
        <f>HLOOKUP(BX14,Hoja2!$R$2:$AV$85,84,FALSE)</f>
        <v>0</v>
      </c>
      <c r="CC14" s="21"/>
      <c r="CD14" s="15">
        <v>45450</v>
      </c>
      <c r="CE14">
        <v>110205</v>
      </c>
      <c r="CF14" t="s">
        <v>154</v>
      </c>
      <c r="CG14" t="str">
        <f>"CPA Fondeo MBI USD a BICE USD "&amp;CA8&amp;" USD T/C "&amp;BZ8&amp;""</f>
        <v>CPA Fondeo MBI USD a BICE USD 0 USD T/C 0</v>
      </c>
      <c r="CH14" s="3">
        <f>+CB8</f>
        <v>0</v>
      </c>
      <c r="CI14" s="10"/>
    </row>
    <row r="15" spans="1:87" x14ac:dyDescent="0.25">
      <c r="A15" s="1">
        <v>45579</v>
      </c>
      <c r="B15" s="26">
        <f>HLOOKUP(A15,Hoja2!$R$2:$AV$61,60,FALSE)</f>
        <v>974720000</v>
      </c>
      <c r="D15" s="40"/>
      <c r="E15" s="20"/>
      <c r="F15">
        <v>110208</v>
      </c>
      <c r="G15" t="s">
        <v>46</v>
      </c>
      <c r="H15" t="str">
        <f t="shared" ref="H15" si="30">H14</f>
        <v xml:space="preserve">CPA Traspaso de Fondos Bco. BCI 648 a MBI </v>
      </c>
      <c r="I15" s="3"/>
      <c r="J15" s="10">
        <f>I14</f>
        <v>567950000</v>
      </c>
      <c r="N15" s="1">
        <v>45579</v>
      </c>
      <c r="O15" s="26">
        <f>HLOOKUP(N15,Hoja2!$R$2:$AV$65,64,FALSE)</f>
        <v>0</v>
      </c>
      <c r="P15" s="77">
        <f>HLOOKUP(N15,Hoja2!$R$2:$AV$63,62,FALSE)</f>
        <v>0</v>
      </c>
      <c r="Q15" s="26">
        <f>HLOOKUP(N15,Hoja2!$R$2:$AV$64,63,FALSE)</f>
        <v>0</v>
      </c>
      <c r="R15" s="26"/>
      <c r="S15" s="40"/>
      <c r="T15" s="20"/>
      <c r="U15" s="12">
        <v>110295</v>
      </c>
      <c r="V15" s="12" t="s">
        <v>122</v>
      </c>
      <c r="W15" s="12" t="str">
        <f>+W14</f>
        <v>CPA Compra Divisas 0 T/C 0</v>
      </c>
      <c r="X15" s="13"/>
      <c r="Y15" s="18">
        <f t="shared" ref="Y15" si="31">+X14</f>
        <v>0</v>
      </c>
      <c r="AD15" s="1">
        <v>45579</v>
      </c>
      <c r="AE15" s="26">
        <f>HLOOKUP(AD15,Hoja2!$R$2:$AV$66,65,FALSE)</f>
        <v>1050000</v>
      </c>
      <c r="AF15" s="77">
        <f>HLOOKUP(AD15,Hoja2!$R$2:$AV$67,66,FALSE)</f>
        <v>926.07</v>
      </c>
      <c r="AG15" s="26" t="str">
        <f>HLOOKUP(AD15,Hoja2!$R$2:$AV$68,67,FALSE)</f>
        <v>1.05 M</v>
      </c>
      <c r="AH15" s="79">
        <f>HLOOKUP(AD15,Hoja2!$R$2:$AV$69,68,FALSE)</f>
        <v>972373500</v>
      </c>
      <c r="AI15" s="40"/>
      <c r="AJ15" s="20"/>
      <c r="AK15">
        <v>110296</v>
      </c>
      <c r="AL15" s="12" t="s">
        <v>123</v>
      </c>
      <c r="AM15" s="12" t="str">
        <f>+AM14</f>
        <v>CPA Fondeo MBI USD a NIUM 250K USD T/C 923,74</v>
      </c>
      <c r="AN15" s="13"/>
      <c r="AO15" s="18">
        <f t="shared" si="10"/>
        <v>230935000</v>
      </c>
      <c r="AT15" s="1">
        <v>45579</v>
      </c>
      <c r="AU15" s="26">
        <f>HLOOKUP(AT15,Hoja2!$R$2:$AV$70,69,FALSE)</f>
        <v>0</v>
      </c>
      <c r="AV15" s="77">
        <f>HLOOKUP(AT15,Hoja2!$R$2:$AV$71,70,FALSE)</f>
        <v>926.07</v>
      </c>
      <c r="AW15" s="26">
        <f>HLOOKUP(AT15,Hoja2!$R$2:$AV$72,71,FALSE)</f>
        <v>0</v>
      </c>
      <c r="AX15" s="79">
        <f>HLOOKUP(AT15,Hoja2!$R$2:$AV$73,72,FALSE)</f>
        <v>0</v>
      </c>
      <c r="AY15" s="40"/>
      <c r="AZ15" s="20"/>
      <c r="BA15" s="12">
        <v>110296</v>
      </c>
      <c r="BB15" s="12" t="s">
        <v>123</v>
      </c>
      <c r="BC15" s="12" t="str">
        <f>+BC14</f>
        <v>CPA Fondeo MBI USD a JPM COL 750K USD T/C 923,74</v>
      </c>
      <c r="BD15" s="13"/>
      <c r="BE15" s="18">
        <f t="shared" si="11"/>
        <v>692805000</v>
      </c>
      <c r="BI15" s="1">
        <v>45579</v>
      </c>
      <c r="BJ15" s="26">
        <f>HLOOKUP(BI15,Hoja2!$R$2:$AV$88,87,FALSE)</f>
        <v>0</v>
      </c>
      <c r="BK15" s="77">
        <f>HLOOKUP(BI15,Hoja2!$R$2:$AV$89,88,FALSE)</f>
        <v>926.07</v>
      </c>
      <c r="BL15" s="26">
        <f>HLOOKUP(BI15,Hoja2!$R$2:$AV$90,89,FALSE)</f>
        <v>0</v>
      </c>
      <c r="BM15" s="79">
        <f>HLOOKUP(BI15,Hoja2!$R$2:$AV$91,90,FALSE)</f>
        <v>0</v>
      </c>
      <c r="BN15" s="40"/>
      <c r="BO15" s="20"/>
      <c r="BP15" s="12">
        <v>110296</v>
      </c>
      <c r="BQ15" s="12" t="s">
        <v>123</v>
      </c>
      <c r="BR15" s="12" t="str">
        <f>+BR14</f>
        <v>CPA Fondeo MBI USD a OZ CAMBIO 0 USD T/C 923,74</v>
      </c>
      <c r="BS15" s="13"/>
      <c r="BT15" s="18">
        <f t="shared" ref="BT15" si="32">+BS14</f>
        <v>0</v>
      </c>
      <c r="BX15" s="1">
        <v>45579</v>
      </c>
      <c r="BY15" s="26">
        <f>HLOOKUP(BX15,Hoja2!$R$2:$AV$82,81,FALSE)</f>
        <v>0</v>
      </c>
      <c r="BZ15" s="77">
        <f>HLOOKUP(BX15,Hoja2!$R$2:$AV$83,82,FALSE)</f>
        <v>0</v>
      </c>
      <c r="CA15" s="26">
        <f>HLOOKUP(BX15,Hoja2!$R$2:$AV$84,83,FALSE)</f>
        <v>0</v>
      </c>
      <c r="CB15" s="79">
        <f>HLOOKUP(BX15,Hoja2!$R$2:$AV$85,84,FALSE)</f>
        <v>0</v>
      </c>
      <c r="CC15" s="40"/>
      <c r="CD15" s="20"/>
      <c r="CE15" s="12">
        <v>110296</v>
      </c>
      <c r="CF15" s="12" t="s">
        <v>123</v>
      </c>
      <c r="CG15" s="12" t="str">
        <f>+CG14</f>
        <v>CPA Fondeo MBI USD a BICE USD 0 USD T/C 0</v>
      </c>
      <c r="CH15" s="13"/>
      <c r="CI15" s="18">
        <f t="shared" ref="CI15" si="33">+CH14</f>
        <v>0</v>
      </c>
    </row>
    <row r="16" spans="1:87" x14ac:dyDescent="0.25">
      <c r="A16" s="1">
        <v>45580</v>
      </c>
      <c r="B16" s="26">
        <f>HLOOKUP(A16,Hoja2!$R$2:$AV$61,60,FALSE)</f>
        <v>1411320000</v>
      </c>
      <c r="D16" s="21"/>
      <c r="E16" s="15">
        <v>45451</v>
      </c>
      <c r="F16" s="8">
        <v>110295</v>
      </c>
      <c r="G16" s="8" t="s">
        <v>122</v>
      </c>
      <c r="H16" s="8" t="str">
        <f t="shared" ref="H16" si="34">"CPA Traspaso de Fondos Bco. BCI 648 a MBI "</f>
        <v xml:space="preserve">CPA Traspaso de Fondos Bco. BCI 648 a MBI </v>
      </c>
      <c r="I16" s="16">
        <f>+B9</f>
        <v>1399950000</v>
      </c>
      <c r="J16" s="17"/>
      <c r="N16" s="1">
        <v>45580</v>
      </c>
      <c r="O16" s="26">
        <f>HLOOKUP(N16,Hoja2!$R$2:$AV$65,64,FALSE)</f>
        <v>0</v>
      </c>
      <c r="P16" s="77">
        <f>HLOOKUP(N16,Hoja2!$R$2:$AV$63,62,FALSE)</f>
        <v>0</v>
      </c>
      <c r="Q16" s="26">
        <f>HLOOKUP(N16,Hoja2!$R$2:$AV$64,63,FALSE)</f>
        <v>0</v>
      </c>
      <c r="R16" s="26"/>
      <c r="S16" s="21"/>
      <c r="T16" s="15">
        <v>45451</v>
      </c>
      <c r="U16">
        <v>110296</v>
      </c>
      <c r="V16" t="s">
        <v>123</v>
      </c>
      <c r="W16" t="str">
        <f>"CPA Compra Divisas " &amp;Q9&amp;" T/C "&amp;P9</f>
        <v>CPA Compra Divisas 0 T/C 0</v>
      </c>
      <c r="X16" s="3">
        <f>+O9</f>
        <v>0</v>
      </c>
      <c r="Y16" s="10"/>
      <c r="AD16" s="1">
        <v>45580</v>
      </c>
      <c r="AE16" s="26">
        <f>HLOOKUP(AD16,Hoja2!$R$2:$AV$66,65,FALSE)</f>
        <v>1050000</v>
      </c>
      <c r="AF16" s="77">
        <f>HLOOKUP(AD16,Hoja2!$R$2:$AV$67,66,FALSE)</f>
        <v>928.37</v>
      </c>
      <c r="AG16" s="26" t="str">
        <f>HLOOKUP(AD16,Hoja2!$R$2:$AV$68,67,FALSE)</f>
        <v>1.05 M</v>
      </c>
      <c r="AH16" s="79">
        <f>HLOOKUP(AD16,Hoja2!$R$2:$AV$69,68,FALSE)</f>
        <v>974788500</v>
      </c>
      <c r="AI16" s="21"/>
      <c r="AJ16" s="15">
        <v>45451</v>
      </c>
      <c r="AK16" s="8">
        <v>110275</v>
      </c>
      <c r="AL16" t="s">
        <v>82</v>
      </c>
      <c r="AM16" t="str">
        <f>"CPA Fondeo MBI USD a NIUM " &amp;AG9&amp;" USD T/C "&amp;AF9</f>
        <v>CPA Fondeo MBI USD a NIUM 600K USD T/C 925,86</v>
      </c>
      <c r="AN16" s="3">
        <f>+AH9</f>
        <v>555516000</v>
      </c>
      <c r="AO16" s="10"/>
      <c r="AT16" s="1">
        <v>45580</v>
      </c>
      <c r="AU16" s="26">
        <f>HLOOKUP(AT16,Hoja2!$R$2:$AV$70,69,FALSE)</f>
        <v>450000</v>
      </c>
      <c r="AV16" s="77">
        <f>HLOOKUP(AT16,Hoja2!$R$2:$AV$71,70,FALSE)</f>
        <v>928.37</v>
      </c>
      <c r="AW16" s="26" t="str">
        <f>HLOOKUP(AT16,Hoja2!$R$2:$AV$72,71,FALSE)</f>
        <v>450K</v>
      </c>
      <c r="AX16" s="79">
        <f>HLOOKUP(AT16,Hoja2!$R$2:$AV$73,72,FALSE)</f>
        <v>417766500</v>
      </c>
      <c r="AY16" s="21"/>
      <c r="AZ16" s="15">
        <v>45451</v>
      </c>
      <c r="BA16">
        <v>110820</v>
      </c>
      <c r="BB16" t="s">
        <v>92</v>
      </c>
      <c r="BC16" t="str">
        <f>"CPA Fondeo MBI USD a JPM COL "&amp;AW9&amp;" USD T/C "&amp;AV9&amp;""</f>
        <v>CPA Fondeo MBI USD a JPM COL 900K USD T/C 925,86</v>
      </c>
      <c r="BD16" s="3">
        <f>+AX9</f>
        <v>833274000</v>
      </c>
      <c r="BE16" s="10"/>
      <c r="BI16" s="1">
        <v>45580</v>
      </c>
      <c r="BJ16" s="26">
        <f>HLOOKUP(BI16,Hoja2!$R$2:$AV$88,87,FALSE)</f>
        <v>0</v>
      </c>
      <c r="BK16" s="77">
        <f>HLOOKUP(BI16,Hoja2!$R$2:$AV$89,88,FALSE)</f>
        <v>928.37</v>
      </c>
      <c r="BL16" s="26">
        <f>HLOOKUP(BI16,Hoja2!$R$2:$AV$90,89,FALSE)</f>
        <v>0</v>
      </c>
      <c r="BM16" s="79">
        <f>HLOOKUP(BI16,Hoja2!$R$2:$AV$91,90,FALSE)</f>
        <v>0</v>
      </c>
      <c r="BN16" s="21"/>
      <c r="BO16" s="15">
        <v>45451</v>
      </c>
      <c r="BP16">
        <v>110292</v>
      </c>
      <c r="BQ16" t="s">
        <v>153</v>
      </c>
      <c r="BR16" t="str">
        <f>"CPA Fondeo MBI USD a OZ CAMBIO "&amp;BL9&amp;" USD T/C "&amp;BK9&amp;""</f>
        <v>CPA Fondeo MBI USD a OZ CAMBIO 0 USD T/C 925,86</v>
      </c>
      <c r="BS16" s="3">
        <f>+BM9</f>
        <v>0</v>
      </c>
      <c r="BT16" s="10"/>
      <c r="BX16" s="1">
        <v>45580</v>
      </c>
      <c r="BY16" s="26">
        <f>HLOOKUP(BX16,Hoja2!$R$2:$AV$82,81,FALSE)</f>
        <v>0</v>
      </c>
      <c r="BZ16" s="77">
        <f>HLOOKUP(BX16,Hoja2!$R$2:$AV$83,82,FALSE)</f>
        <v>0</v>
      </c>
      <c r="CA16" s="26">
        <f>HLOOKUP(BX16,Hoja2!$R$2:$AV$84,83,FALSE)</f>
        <v>0</v>
      </c>
      <c r="CB16" s="79">
        <f>HLOOKUP(BX16,Hoja2!$R$2:$AV$85,84,FALSE)</f>
        <v>0</v>
      </c>
      <c r="CC16" s="21"/>
      <c r="CD16" s="15">
        <v>45451</v>
      </c>
      <c r="CE16">
        <v>110205</v>
      </c>
      <c r="CF16" t="s">
        <v>154</v>
      </c>
      <c r="CG16" t="str">
        <f>"CPA Fondeo MBI USD a BICE USD "&amp;CA9&amp;" USD T/C "&amp;BZ9&amp;""</f>
        <v>CPA Fondeo MBI USD a BICE USD 0 USD T/C 0</v>
      </c>
      <c r="CH16" s="3">
        <f>+CB9</f>
        <v>0</v>
      </c>
      <c r="CI16" s="10"/>
    </row>
    <row r="17" spans="1:87" x14ac:dyDescent="0.25">
      <c r="A17" s="1">
        <v>45581</v>
      </c>
      <c r="B17" s="26">
        <f>HLOOKUP(A17,Hoja2!$R$2:$AV$61,60,FALSE)</f>
        <v>1122690000</v>
      </c>
      <c r="D17" s="21"/>
      <c r="E17" s="11"/>
      <c r="F17" s="12">
        <v>110208</v>
      </c>
      <c r="G17" s="12" t="s">
        <v>46</v>
      </c>
      <c r="H17" s="12" t="str">
        <f t="shared" ref="H17" si="35">H16</f>
        <v xml:space="preserve">CPA Traspaso de Fondos Bco. BCI 648 a MBI </v>
      </c>
      <c r="I17" s="13"/>
      <c r="J17" s="18">
        <f>I16</f>
        <v>1399950000</v>
      </c>
      <c r="N17" s="1">
        <v>45581</v>
      </c>
      <c r="O17" s="26">
        <f>HLOOKUP(N17,Hoja2!$R$2:$AV$65,64,FALSE)</f>
        <v>0</v>
      </c>
      <c r="P17" s="77">
        <f>HLOOKUP(N17,Hoja2!$R$2:$AV$63,62,FALSE)</f>
        <v>0</v>
      </c>
      <c r="Q17" s="26">
        <f>HLOOKUP(N17,Hoja2!$R$2:$AV$64,63,FALSE)</f>
        <v>0</v>
      </c>
      <c r="R17" s="26"/>
      <c r="S17" s="21"/>
      <c r="T17" s="11"/>
      <c r="U17" s="12">
        <v>110295</v>
      </c>
      <c r="V17" s="12" t="s">
        <v>122</v>
      </c>
      <c r="W17" s="12" t="str">
        <f>+W16</f>
        <v>CPA Compra Divisas 0 T/C 0</v>
      </c>
      <c r="X17" s="13"/>
      <c r="Y17" s="18">
        <f t="shared" ref="Y17" si="36">+X16</f>
        <v>0</v>
      </c>
      <c r="AD17" s="1">
        <v>45581</v>
      </c>
      <c r="AE17" s="26">
        <f>HLOOKUP(AD17,Hoja2!$R$2:$AV$66,65,FALSE)</f>
        <v>1700000</v>
      </c>
      <c r="AF17" s="77">
        <f>HLOOKUP(AD17,Hoja2!$R$2:$AV$67,66,FALSE)</f>
        <v>937.29</v>
      </c>
      <c r="AG17" s="26" t="str">
        <f>HLOOKUP(AD17,Hoja2!$R$2:$AV$68,67,FALSE)</f>
        <v>1.7 M</v>
      </c>
      <c r="AH17" s="79">
        <f>HLOOKUP(AD17,Hoja2!$R$2:$AV$69,68,FALSE)</f>
        <v>1593393000</v>
      </c>
      <c r="AI17" s="21"/>
      <c r="AJ17" s="11"/>
      <c r="AK17" s="12">
        <v>110296</v>
      </c>
      <c r="AL17" s="12" t="s">
        <v>123</v>
      </c>
      <c r="AM17" s="12" t="str">
        <f>+AM16</f>
        <v>CPA Fondeo MBI USD a NIUM 600K USD T/C 925,86</v>
      </c>
      <c r="AN17" s="13"/>
      <c r="AO17" s="18">
        <f t="shared" si="10"/>
        <v>555516000</v>
      </c>
      <c r="AT17" s="1">
        <v>45581</v>
      </c>
      <c r="AU17" s="26">
        <f>HLOOKUP(AT17,Hoja2!$R$2:$AV$70,69,FALSE)</f>
        <v>0</v>
      </c>
      <c r="AV17" s="77">
        <f>HLOOKUP(AT17,Hoja2!$R$2:$AV$71,70,FALSE)</f>
        <v>937.29</v>
      </c>
      <c r="AW17" s="26">
        <f>HLOOKUP(AT17,Hoja2!$R$2:$AV$72,71,FALSE)</f>
        <v>0</v>
      </c>
      <c r="AX17" s="79">
        <f>HLOOKUP(AT17,Hoja2!$R$2:$AV$73,72,FALSE)</f>
        <v>0</v>
      </c>
      <c r="AY17" s="21"/>
      <c r="AZ17" s="11"/>
      <c r="BA17" s="12">
        <v>110296</v>
      </c>
      <c r="BB17" s="12" t="s">
        <v>123</v>
      </c>
      <c r="BC17" s="12" t="str">
        <f>+BC16</f>
        <v>CPA Fondeo MBI USD a JPM COL 900K USD T/C 925,86</v>
      </c>
      <c r="BD17" s="13"/>
      <c r="BE17" s="18">
        <f t="shared" si="11"/>
        <v>833274000</v>
      </c>
      <c r="BI17" s="1">
        <v>45581</v>
      </c>
      <c r="BJ17" s="26">
        <f>HLOOKUP(BI17,Hoja2!$R$2:$AV$88,87,FALSE)</f>
        <v>0</v>
      </c>
      <c r="BK17" s="77">
        <f>HLOOKUP(BI17,Hoja2!$R$2:$AV$89,88,FALSE)</f>
        <v>937.29</v>
      </c>
      <c r="BL17" s="26">
        <f>HLOOKUP(BI17,Hoja2!$R$2:$AV$90,89,FALSE)</f>
        <v>0</v>
      </c>
      <c r="BM17" s="79">
        <f>HLOOKUP(BI17,Hoja2!$R$2:$AV$91,90,FALSE)</f>
        <v>0</v>
      </c>
      <c r="BN17" s="21"/>
      <c r="BO17" s="11"/>
      <c r="BP17" s="12">
        <v>110296</v>
      </c>
      <c r="BQ17" s="12" t="s">
        <v>123</v>
      </c>
      <c r="BR17" s="12" t="str">
        <f>+BR16</f>
        <v>CPA Fondeo MBI USD a OZ CAMBIO 0 USD T/C 925,86</v>
      </c>
      <c r="BS17" s="13"/>
      <c r="BT17" s="18">
        <f t="shared" ref="BT17" si="37">+BS16</f>
        <v>0</v>
      </c>
      <c r="BX17" s="1">
        <v>45581</v>
      </c>
      <c r="BY17" s="26">
        <f>HLOOKUP(BX17,Hoja2!$R$2:$AV$82,81,FALSE)</f>
        <v>0</v>
      </c>
      <c r="BZ17" s="77">
        <f>HLOOKUP(BX17,Hoja2!$R$2:$AV$83,82,FALSE)</f>
        <v>0</v>
      </c>
      <c r="CA17" s="26">
        <f>HLOOKUP(BX17,Hoja2!$R$2:$AV$84,83,FALSE)</f>
        <v>0</v>
      </c>
      <c r="CB17" s="79">
        <f>HLOOKUP(BX17,Hoja2!$R$2:$AV$85,84,FALSE)</f>
        <v>0</v>
      </c>
      <c r="CC17" s="21"/>
      <c r="CD17" s="11"/>
      <c r="CE17" s="12">
        <v>110296</v>
      </c>
      <c r="CF17" s="12" t="s">
        <v>123</v>
      </c>
      <c r="CG17" s="12" t="str">
        <f>+CG16</f>
        <v>CPA Fondeo MBI USD a BICE USD 0 USD T/C 0</v>
      </c>
      <c r="CH17" s="13"/>
      <c r="CI17" s="18">
        <f t="shared" ref="CI17" si="38">+CH16</f>
        <v>0</v>
      </c>
    </row>
    <row r="18" spans="1:87" x14ac:dyDescent="0.25">
      <c r="A18" s="1">
        <v>45582</v>
      </c>
      <c r="B18" s="26">
        <f>HLOOKUP(A18,Hoja2!$R$2:$AV$61,60,FALSE)</f>
        <v>1183325000</v>
      </c>
      <c r="D18" s="21"/>
      <c r="E18" s="15">
        <v>45452</v>
      </c>
      <c r="F18" s="8">
        <v>110295</v>
      </c>
      <c r="G18" s="8" t="s">
        <v>122</v>
      </c>
      <c r="H18" s="8" t="str">
        <f t="shared" ref="H18" si="39">"CPA Traspaso de Fondos Bco. BCI 648 a MBI "</f>
        <v xml:space="preserve">CPA Traspaso de Fondos Bco. BCI 648 a MBI </v>
      </c>
      <c r="I18" s="16">
        <f>+B10</f>
        <v>1636900000</v>
      </c>
      <c r="J18" s="17"/>
      <c r="N18" s="1">
        <v>45582</v>
      </c>
      <c r="O18" s="26">
        <f>HLOOKUP(N18,Hoja2!$R$2:$AV$65,64,FALSE)</f>
        <v>0</v>
      </c>
      <c r="P18" s="77">
        <f>HLOOKUP(N18,Hoja2!$R$2:$AV$63,62,FALSE)</f>
        <v>0</v>
      </c>
      <c r="Q18" s="26">
        <f>HLOOKUP(N18,Hoja2!$R$2:$AV$64,63,FALSE)</f>
        <v>0</v>
      </c>
      <c r="R18" s="26"/>
      <c r="S18" s="21"/>
      <c r="T18" s="15">
        <v>45452</v>
      </c>
      <c r="U18">
        <v>110296</v>
      </c>
      <c r="V18" t="s">
        <v>123</v>
      </c>
      <c r="W18" t="str">
        <f>"CPA Compra Divisas " &amp;Q10&amp;" T/C "&amp;P10</f>
        <v>CPA Compra Divisas 0 T/C 0</v>
      </c>
      <c r="X18" s="3">
        <f>+O10</f>
        <v>0</v>
      </c>
      <c r="Y18" s="10"/>
      <c r="AD18" s="1">
        <v>45582</v>
      </c>
      <c r="AE18" s="26">
        <f>HLOOKUP(AD18,Hoja2!$R$2:$AV$66,65,FALSE)</f>
        <v>0</v>
      </c>
      <c r="AF18" s="77">
        <f>HLOOKUP(AD18,Hoja2!$R$2:$AV$67,66,FALSE)</f>
        <v>941.3</v>
      </c>
      <c r="AG18" s="26">
        <f>HLOOKUP(AD18,Hoja2!$R$2:$AV$68,67,FALSE)</f>
        <v>0</v>
      </c>
      <c r="AH18" s="79">
        <f>HLOOKUP(AD18,Hoja2!$R$2:$AV$69,68,FALSE)</f>
        <v>0</v>
      </c>
      <c r="AI18" s="21"/>
      <c r="AJ18" s="15">
        <v>45452</v>
      </c>
      <c r="AK18" s="8">
        <v>110275</v>
      </c>
      <c r="AL18" t="s">
        <v>82</v>
      </c>
      <c r="AM18" t="str">
        <f>"CPA Fondeo MBI USD a NIUM " &amp;AG10&amp;" USD T/C "&amp;AF10</f>
        <v>CPA Fondeo MBI USD a NIUM 0 USD T/C 933,62</v>
      </c>
      <c r="AN18" s="3">
        <f>+AH10</f>
        <v>0</v>
      </c>
      <c r="AO18" s="10"/>
      <c r="AT18" s="1">
        <v>45582</v>
      </c>
      <c r="AU18" s="26">
        <f>HLOOKUP(AT18,Hoja2!$R$2:$AV$70,69,FALSE)</f>
        <v>950000</v>
      </c>
      <c r="AV18" s="77">
        <f>HLOOKUP(AT18,Hoja2!$R$2:$AV$71,70,FALSE)</f>
        <v>941.3</v>
      </c>
      <c r="AW18" s="26" t="str">
        <f>HLOOKUP(AT18,Hoja2!$R$2:$AV$72,71,FALSE)</f>
        <v>950K</v>
      </c>
      <c r="AX18" s="79">
        <f>HLOOKUP(AT18,Hoja2!$R$2:$AV$73,72,FALSE)</f>
        <v>894235000</v>
      </c>
      <c r="AY18" s="21"/>
      <c r="AZ18" s="15">
        <v>45452</v>
      </c>
      <c r="BA18">
        <v>110820</v>
      </c>
      <c r="BB18" t="s">
        <v>92</v>
      </c>
      <c r="BC18" t="str">
        <f>"CPA Fondeo MBI USD a JPM COL "&amp;AW10&amp;" USD T/C "&amp;AV10&amp;""</f>
        <v>CPA Fondeo MBI USD a JPM COL 0 USD T/C 933,62</v>
      </c>
      <c r="BD18" s="3">
        <f>+AX10</f>
        <v>0</v>
      </c>
      <c r="BE18" s="10"/>
      <c r="BI18" s="1">
        <v>45582</v>
      </c>
      <c r="BJ18" s="26">
        <f>HLOOKUP(BI18,Hoja2!$R$2:$AV$88,87,FALSE)</f>
        <v>300000</v>
      </c>
      <c r="BK18" s="77">
        <f>HLOOKUP(BI18,Hoja2!$R$2:$AV$89,88,FALSE)</f>
        <v>941.3</v>
      </c>
      <c r="BL18" s="26" t="str">
        <f>HLOOKUP(BI18,Hoja2!$R$2:$AV$90,89,FALSE)</f>
        <v>300K</v>
      </c>
      <c r="BM18" s="79">
        <f>HLOOKUP(BI18,Hoja2!$R$2:$AV$91,90,FALSE)</f>
        <v>282390000</v>
      </c>
      <c r="BN18" s="21"/>
      <c r="BO18" s="15">
        <v>45452</v>
      </c>
      <c r="BP18">
        <v>110292</v>
      </c>
      <c r="BQ18" t="s">
        <v>153</v>
      </c>
      <c r="BR18" t="str">
        <f>"CPA Fondeo MBI USD a OZ CAMBIO "&amp;BL10&amp;" USD T/C "&amp;BK10&amp;""</f>
        <v>CPA Fondeo MBI USD a OZ CAMBIO 0 USD T/C 933,62</v>
      </c>
      <c r="BS18" s="3">
        <f>+BM10</f>
        <v>0</v>
      </c>
      <c r="BT18" s="10"/>
      <c r="BX18" s="1">
        <v>45582</v>
      </c>
      <c r="BY18" s="26">
        <f>HLOOKUP(BX18,Hoja2!$R$2:$AV$82,81,FALSE)</f>
        <v>0</v>
      </c>
      <c r="BZ18" s="77">
        <f>HLOOKUP(BX18,Hoja2!$R$2:$AV$83,82,FALSE)</f>
        <v>0</v>
      </c>
      <c r="CA18" s="26">
        <f>HLOOKUP(BX18,Hoja2!$R$2:$AV$84,83,FALSE)</f>
        <v>0</v>
      </c>
      <c r="CB18" s="79">
        <f>HLOOKUP(BX18,Hoja2!$R$2:$AV$85,84,FALSE)</f>
        <v>0</v>
      </c>
      <c r="CC18" s="21"/>
      <c r="CD18" s="15">
        <v>45452</v>
      </c>
      <c r="CE18">
        <v>110205</v>
      </c>
      <c r="CF18" t="s">
        <v>154</v>
      </c>
      <c r="CG18" t="str">
        <f>"CPA Fondeo MBI USD a BICE USD "&amp;CA10&amp;" USD T/C "&amp;BZ10&amp;""</f>
        <v>CPA Fondeo MBI USD a BICE USD 0 USD T/C 0</v>
      </c>
      <c r="CH18" s="3">
        <f>+CB10</f>
        <v>0</v>
      </c>
      <c r="CI18" s="10"/>
    </row>
    <row r="19" spans="1:87" x14ac:dyDescent="0.25">
      <c r="A19" s="1">
        <v>45583</v>
      </c>
      <c r="B19" s="26" t="str">
        <f>HLOOKUP(A19,Hoja2!$R$2:$AV$61,60,FALSE)</f>
        <v>-</v>
      </c>
      <c r="D19" s="21"/>
      <c r="E19" s="11"/>
      <c r="F19" s="12">
        <v>110208</v>
      </c>
      <c r="G19" s="12" t="s">
        <v>46</v>
      </c>
      <c r="H19" s="12" t="str">
        <f t="shared" ref="H19" si="40">H18</f>
        <v xml:space="preserve">CPA Traspaso de Fondos Bco. BCI 648 a MBI </v>
      </c>
      <c r="I19" s="13"/>
      <c r="J19" s="18">
        <f>I18</f>
        <v>1636900000</v>
      </c>
      <c r="N19" s="1">
        <v>45583</v>
      </c>
      <c r="O19" s="26">
        <f>HLOOKUP(N19,Hoja2!$R$2:$AV$65,64,FALSE)</f>
        <v>0</v>
      </c>
      <c r="P19" s="77">
        <f>HLOOKUP(N19,Hoja2!$R$2:$AV$63,62,FALSE)</f>
        <v>0</v>
      </c>
      <c r="Q19" s="26">
        <f>HLOOKUP(N19,Hoja2!$R$2:$AV$64,63,FALSE)</f>
        <v>0</v>
      </c>
      <c r="R19" s="26"/>
      <c r="S19" s="21"/>
      <c r="T19" s="11"/>
      <c r="U19" s="12">
        <v>110295</v>
      </c>
      <c r="V19" s="12" t="s">
        <v>122</v>
      </c>
      <c r="W19" s="12" t="str">
        <f>+W18</f>
        <v>CPA Compra Divisas 0 T/C 0</v>
      </c>
      <c r="X19" s="13"/>
      <c r="Y19" s="18">
        <f t="shared" ref="Y19" si="41">+X18</f>
        <v>0</v>
      </c>
      <c r="AD19" s="1">
        <v>45583</v>
      </c>
      <c r="AE19" s="26">
        <f>HLOOKUP(AD19,Hoja2!$R$2:$AV$66,65,FALSE)</f>
        <v>0</v>
      </c>
      <c r="AF19" s="77">
        <f>HLOOKUP(AD19,Hoja2!$R$2:$AV$67,66,FALSE)</f>
        <v>945.01</v>
      </c>
      <c r="AG19" s="26">
        <f>HLOOKUP(AD19,Hoja2!$R$2:$AV$68,67,FALSE)</f>
        <v>0</v>
      </c>
      <c r="AH19" s="79">
        <f>HLOOKUP(AD19,Hoja2!$R$2:$AV$69,68,FALSE)</f>
        <v>0</v>
      </c>
      <c r="AI19" s="21"/>
      <c r="AJ19" s="11"/>
      <c r="AK19" s="12">
        <v>110296</v>
      </c>
      <c r="AL19" s="12" t="s">
        <v>123</v>
      </c>
      <c r="AM19" s="12" t="str">
        <f>+AM18</f>
        <v>CPA Fondeo MBI USD a NIUM 0 USD T/C 933,62</v>
      </c>
      <c r="AN19" s="13"/>
      <c r="AO19" s="18">
        <f t="shared" si="10"/>
        <v>0</v>
      </c>
      <c r="AT19" s="1">
        <v>45583</v>
      </c>
      <c r="AU19" s="26">
        <f>HLOOKUP(AT19,Hoja2!$R$2:$AV$70,69,FALSE)</f>
        <v>0</v>
      </c>
      <c r="AV19" s="77">
        <f>HLOOKUP(AT19,Hoja2!$R$2:$AV$71,70,FALSE)</f>
        <v>945.01</v>
      </c>
      <c r="AW19" s="26">
        <f>HLOOKUP(AT19,Hoja2!$R$2:$AV$72,71,FALSE)</f>
        <v>0</v>
      </c>
      <c r="AX19" s="79">
        <f>HLOOKUP(AT19,Hoja2!$R$2:$AV$73,72,FALSE)</f>
        <v>0</v>
      </c>
      <c r="AY19" s="21"/>
      <c r="AZ19" s="11"/>
      <c r="BA19" s="12">
        <v>110296</v>
      </c>
      <c r="BB19" s="12" t="s">
        <v>123</v>
      </c>
      <c r="BC19" s="12" t="str">
        <f>+BC18</f>
        <v>CPA Fondeo MBI USD a JPM COL 0 USD T/C 933,62</v>
      </c>
      <c r="BD19" s="13"/>
      <c r="BE19" s="18">
        <f t="shared" si="11"/>
        <v>0</v>
      </c>
      <c r="BI19" s="1">
        <v>45583</v>
      </c>
      <c r="BJ19" s="26">
        <f>HLOOKUP(BI19,Hoja2!$R$2:$AV$88,87,FALSE)</f>
        <v>0</v>
      </c>
      <c r="BK19" s="77">
        <f>HLOOKUP(BI19,Hoja2!$R$2:$AV$89,88,FALSE)</f>
        <v>945.01</v>
      </c>
      <c r="BL19" s="26">
        <f>HLOOKUP(BI19,Hoja2!$R$2:$AV$90,89,FALSE)</f>
        <v>0</v>
      </c>
      <c r="BM19" s="79">
        <f>HLOOKUP(BI19,Hoja2!$R$2:$AV$91,90,FALSE)</f>
        <v>0</v>
      </c>
      <c r="BN19" s="21"/>
      <c r="BO19" s="11"/>
      <c r="BP19" s="12">
        <v>110296</v>
      </c>
      <c r="BQ19" s="12" t="s">
        <v>123</v>
      </c>
      <c r="BR19" s="12" t="str">
        <f>+BR18</f>
        <v>CPA Fondeo MBI USD a OZ CAMBIO 0 USD T/C 933,62</v>
      </c>
      <c r="BS19" s="13"/>
      <c r="BT19" s="18">
        <f t="shared" ref="BT19" si="42">+BS18</f>
        <v>0</v>
      </c>
      <c r="BX19" s="1">
        <v>45583</v>
      </c>
      <c r="BY19" s="26">
        <f>HLOOKUP(BX19,Hoja2!$R$2:$AV$82,81,FALSE)</f>
        <v>0</v>
      </c>
      <c r="BZ19" s="77">
        <f>HLOOKUP(BX19,Hoja2!$R$2:$AV$83,82,FALSE)</f>
        <v>0</v>
      </c>
      <c r="CA19" s="26">
        <f>HLOOKUP(BX19,Hoja2!$R$2:$AV$84,83,FALSE)</f>
        <v>0</v>
      </c>
      <c r="CB19" s="79">
        <f>HLOOKUP(BX19,Hoja2!$R$2:$AV$85,84,FALSE)</f>
        <v>0</v>
      </c>
      <c r="CC19" s="21"/>
      <c r="CD19" s="11"/>
      <c r="CE19" s="12">
        <v>110296</v>
      </c>
      <c r="CF19" s="12" t="s">
        <v>123</v>
      </c>
      <c r="CG19" s="12" t="str">
        <f>+CG18</f>
        <v>CPA Fondeo MBI USD a BICE USD 0 USD T/C 0</v>
      </c>
      <c r="CH19" s="13"/>
      <c r="CI19" s="18">
        <f t="shared" ref="CI19" si="43">+CH18</f>
        <v>0</v>
      </c>
    </row>
    <row r="20" spans="1:87" x14ac:dyDescent="0.25">
      <c r="A20" s="1">
        <v>45584</v>
      </c>
      <c r="B20" s="26" t="str">
        <f>HLOOKUP(A20,Hoja2!$R$2:$AV$61,60,FALSE)</f>
        <v>-</v>
      </c>
      <c r="D20" s="21"/>
      <c r="E20" s="15">
        <v>45453</v>
      </c>
      <c r="F20" s="8">
        <v>110295</v>
      </c>
      <c r="G20" s="8" t="s">
        <v>122</v>
      </c>
      <c r="H20" s="8" t="str">
        <f t="shared" ref="H20" si="44">"CPA Traspaso de Fondos Bco. BCI 648 a MBI "</f>
        <v xml:space="preserve">CPA Traspaso de Fondos Bco. BCI 648 a MBI </v>
      </c>
      <c r="I20" s="16">
        <f>+B11</f>
        <v>1487865000</v>
      </c>
      <c r="J20" s="17"/>
      <c r="N20" s="1">
        <v>45584</v>
      </c>
      <c r="O20" s="26">
        <f>HLOOKUP(N20,Hoja2!$R$2:$AV$65,64,FALSE)</f>
        <v>0</v>
      </c>
      <c r="P20" s="77">
        <f>HLOOKUP(N20,Hoja2!$R$2:$AV$63,62,FALSE)</f>
        <v>0</v>
      </c>
      <c r="Q20" s="26">
        <f>HLOOKUP(N20,Hoja2!$R$2:$AV$64,63,FALSE)</f>
        <v>0</v>
      </c>
      <c r="R20" s="26"/>
      <c r="S20" s="21"/>
      <c r="T20" s="15">
        <v>45453</v>
      </c>
      <c r="U20">
        <v>110296</v>
      </c>
      <c r="V20" t="s">
        <v>123</v>
      </c>
      <c r="W20" t="str">
        <f>"CPA Compra Divisas " &amp;Q11&amp;" T/C "&amp;P11</f>
        <v>CPA Compra Divisas 0 T/C 0</v>
      </c>
      <c r="X20" s="3">
        <f>+O11</f>
        <v>0</v>
      </c>
      <c r="Y20" s="10"/>
      <c r="AD20" s="1">
        <v>45584</v>
      </c>
      <c r="AE20" s="26">
        <f>HLOOKUP(AD20,Hoja2!$R$2:$AV$66,65,FALSE)</f>
        <v>0</v>
      </c>
      <c r="AF20" s="77">
        <f>HLOOKUP(AD20,Hoja2!$R$2:$AV$67,66,FALSE)</f>
        <v>945.01</v>
      </c>
      <c r="AG20" s="26">
        <f>HLOOKUP(AD20,Hoja2!$R$2:$AV$68,67,FALSE)</f>
        <v>0</v>
      </c>
      <c r="AH20" s="79">
        <f>HLOOKUP(AD20,Hoja2!$R$2:$AV$69,68,FALSE)</f>
        <v>0</v>
      </c>
      <c r="AI20" s="21"/>
      <c r="AJ20" s="15">
        <v>45453</v>
      </c>
      <c r="AK20" s="8">
        <v>110275</v>
      </c>
      <c r="AL20" t="s">
        <v>82</v>
      </c>
      <c r="AM20" t="str">
        <f>"CPA Fondeo MBI USD a NIUM " &amp;AG11&amp;" USD T/C "&amp;AF11</f>
        <v>CPA Fondeo MBI USD a NIUM 400K USD T/C 934,84</v>
      </c>
      <c r="AN20" s="3">
        <f>+AH11</f>
        <v>373936000</v>
      </c>
      <c r="AO20" s="10"/>
      <c r="AT20" s="1">
        <v>45584</v>
      </c>
      <c r="AU20" s="26">
        <f>HLOOKUP(AT20,Hoja2!$R$2:$AV$70,69,FALSE)</f>
        <v>0</v>
      </c>
      <c r="AV20" s="77">
        <f>HLOOKUP(AT20,Hoja2!$R$2:$AV$71,70,FALSE)</f>
        <v>945.01</v>
      </c>
      <c r="AW20" s="26">
        <f>HLOOKUP(AT20,Hoja2!$R$2:$AV$72,71,FALSE)</f>
        <v>0</v>
      </c>
      <c r="AX20" s="79">
        <f>HLOOKUP(AT20,Hoja2!$R$2:$AV$73,72,FALSE)</f>
        <v>0</v>
      </c>
      <c r="AY20" s="21"/>
      <c r="AZ20" s="15">
        <v>45453</v>
      </c>
      <c r="BA20">
        <v>110820</v>
      </c>
      <c r="BB20" t="s">
        <v>92</v>
      </c>
      <c r="BC20" t="str">
        <f>"CPA Fondeo MBI USD a JPM COL "&amp;AW11&amp;" USD T/C "&amp;AV11&amp;""</f>
        <v>CPA Fondeo MBI USD a JPM COL 0 USD T/C 934,84</v>
      </c>
      <c r="BD20" s="3">
        <f>+AX11</f>
        <v>0</v>
      </c>
      <c r="BE20" s="10"/>
      <c r="BI20" s="1">
        <v>45584</v>
      </c>
      <c r="BJ20" s="26">
        <f>HLOOKUP(BI20,Hoja2!$R$2:$AV$88,87,FALSE)</f>
        <v>0</v>
      </c>
      <c r="BK20" s="77">
        <f>HLOOKUP(BI20,Hoja2!$R$2:$AV$89,88,FALSE)</f>
        <v>945.01</v>
      </c>
      <c r="BL20" s="26">
        <f>HLOOKUP(BI20,Hoja2!$R$2:$AV$90,89,FALSE)</f>
        <v>0</v>
      </c>
      <c r="BM20" s="79">
        <f>HLOOKUP(BI20,Hoja2!$R$2:$AV$91,90,FALSE)</f>
        <v>0</v>
      </c>
      <c r="BN20" s="21"/>
      <c r="BO20" s="15">
        <v>45453</v>
      </c>
      <c r="BP20">
        <v>110292</v>
      </c>
      <c r="BQ20" t="s">
        <v>153</v>
      </c>
      <c r="BR20" t="str">
        <f>"CPA Fondeo MBI USD a OZ CAMBIO "&amp;BL11&amp;" USD T/C "&amp;BK11&amp;""</f>
        <v>CPA Fondeo MBI USD a OZ CAMBIO 0 USD T/C 934,84</v>
      </c>
      <c r="BS20" s="3">
        <f>+BM11</f>
        <v>0</v>
      </c>
      <c r="BT20" s="10"/>
      <c r="BX20" s="1">
        <v>45584</v>
      </c>
      <c r="BY20" s="26">
        <f>HLOOKUP(BX20,Hoja2!$R$2:$AV$82,81,FALSE)</f>
        <v>0</v>
      </c>
      <c r="BZ20" s="77">
        <f>HLOOKUP(BX20,Hoja2!$R$2:$AV$83,82,FALSE)</f>
        <v>0</v>
      </c>
      <c r="CA20" s="26">
        <f>HLOOKUP(BX20,Hoja2!$R$2:$AV$84,83,FALSE)</f>
        <v>0</v>
      </c>
      <c r="CB20" s="79">
        <f>HLOOKUP(BX20,Hoja2!$R$2:$AV$85,84,FALSE)</f>
        <v>0</v>
      </c>
      <c r="CC20" s="21"/>
      <c r="CD20" s="15">
        <v>45453</v>
      </c>
      <c r="CE20">
        <v>110205</v>
      </c>
      <c r="CF20" t="s">
        <v>154</v>
      </c>
      <c r="CG20" t="str">
        <f>"CPA Fondeo MBI USD a BICE USD "&amp;CA11&amp;" USD T/C "&amp;BZ11&amp;""</f>
        <v>CPA Fondeo MBI USD a BICE USD 0 USD T/C 0</v>
      </c>
      <c r="CH20" s="3">
        <f>+CB11</f>
        <v>0</v>
      </c>
      <c r="CI20" s="10"/>
    </row>
    <row r="21" spans="1:87" x14ac:dyDescent="0.25">
      <c r="A21" s="1">
        <v>45585</v>
      </c>
      <c r="B21" s="26" t="str">
        <f>HLOOKUP(A21,Hoja2!$R$2:$AV$61,60,FALSE)</f>
        <v>-</v>
      </c>
      <c r="D21" s="21"/>
      <c r="E21" s="9"/>
      <c r="F21">
        <v>110208</v>
      </c>
      <c r="G21" t="s">
        <v>46</v>
      </c>
      <c r="H21" t="str">
        <f t="shared" ref="H21" si="45">H20</f>
        <v xml:space="preserve">CPA Traspaso de Fondos Bco. BCI 648 a MBI </v>
      </c>
      <c r="I21" s="3"/>
      <c r="J21" s="10">
        <f>I20</f>
        <v>1487865000</v>
      </c>
      <c r="N21" s="1">
        <v>45585</v>
      </c>
      <c r="O21" s="26">
        <f>HLOOKUP(N21,Hoja2!$R$2:$AV$65,64,FALSE)</f>
        <v>0</v>
      </c>
      <c r="P21" s="77">
        <f>HLOOKUP(N21,Hoja2!$R$2:$AV$63,62,FALSE)</f>
        <v>0</v>
      </c>
      <c r="Q21" s="26">
        <f>HLOOKUP(N21,Hoja2!$R$2:$AV$64,63,FALSE)</f>
        <v>0</v>
      </c>
      <c r="R21" s="26"/>
      <c r="S21" s="21"/>
      <c r="T21" s="9"/>
      <c r="U21" s="12">
        <v>110295</v>
      </c>
      <c r="V21" s="12" t="s">
        <v>122</v>
      </c>
      <c r="W21" s="12" t="str">
        <f>+W20</f>
        <v>CPA Compra Divisas 0 T/C 0</v>
      </c>
      <c r="X21" s="13"/>
      <c r="Y21" s="18">
        <f t="shared" ref="Y21" si="46">+X20</f>
        <v>0</v>
      </c>
      <c r="AD21" s="1">
        <v>45585</v>
      </c>
      <c r="AE21" s="26">
        <f>HLOOKUP(AD21,Hoja2!$R$2:$AV$66,65,FALSE)</f>
        <v>0</v>
      </c>
      <c r="AF21" s="77">
        <f>HLOOKUP(AD21,Hoja2!$R$2:$AV$67,66,FALSE)</f>
        <v>945.01</v>
      </c>
      <c r="AG21" s="26">
        <f>HLOOKUP(AD21,Hoja2!$R$2:$AV$68,67,FALSE)</f>
        <v>0</v>
      </c>
      <c r="AH21" s="79">
        <f>HLOOKUP(AD21,Hoja2!$R$2:$AV$69,68,FALSE)</f>
        <v>0</v>
      </c>
      <c r="AI21" s="21"/>
      <c r="AJ21" s="9"/>
      <c r="AK21">
        <v>110296</v>
      </c>
      <c r="AL21" s="12" t="s">
        <v>123</v>
      </c>
      <c r="AM21" s="12" t="str">
        <f>+AM20</f>
        <v>CPA Fondeo MBI USD a NIUM 400K USD T/C 934,84</v>
      </c>
      <c r="AN21" s="13"/>
      <c r="AO21" s="18">
        <f t="shared" si="10"/>
        <v>373936000</v>
      </c>
      <c r="AT21" s="1">
        <v>45585</v>
      </c>
      <c r="AU21" s="26">
        <f>HLOOKUP(AT21,Hoja2!$R$2:$AV$70,69,FALSE)</f>
        <v>0</v>
      </c>
      <c r="AV21" s="77">
        <f>HLOOKUP(AT21,Hoja2!$R$2:$AV$71,70,FALSE)</f>
        <v>945.01</v>
      </c>
      <c r="AW21" s="26">
        <f>HLOOKUP(AT21,Hoja2!$R$2:$AV$72,71,FALSE)</f>
        <v>0</v>
      </c>
      <c r="AX21" s="79">
        <f>HLOOKUP(AT21,Hoja2!$R$2:$AV$73,72,FALSE)</f>
        <v>0</v>
      </c>
      <c r="AY21" s="21"/>
      <c r="AZ21" s="9"/>
      <c r="BA21" s="12">
        <v>110296</v>
      </c>
      <c r="BB21" s="12" t="s">
        <v>123</v>
      </c>
      <c r="BC21" s="12" t="str">
        <f>+BC20</f>
        <v>CPA Fondeo MBI USD a JPM COL 0 USD T/C 934,84</v>
      </c>
      <c r="BD21" s="13"/>
      <c r="BE21" s="18">
        <f t="shared" si="11"/>
        <v>0</v>
      </c>
      <c r="BI21" s="1">
        <v>45585</v>
      </c>
      <c r="BJ21" s="26">
        <f>HLOOKUP(BI21,Hoja2!$R$2:$AV$88,87,FALSE)</f>
        <v>0</v>
      </c>
      <c r="BK21" s="77">
        <f>HLOOKUP(BI21,Hoja2!$R$2:$AV$89,88,FALSE)</f>
        <v>945.01</v>
      </c>
      <c r="BL21" s="26">
        <f>HLOOKUP(BI21,Hoja2!$R$2:$AV$90,89,FALSE)</f>
        <v>0</v>
      </c>
      <c r="BM21" s="79">
        <f>HLOOKUP(BI21,Hoja2!$R$2:$AV$91,90,FALSE)</f>
        <v>0</v>
      </c>
      <c r="BN21" s="21"/>
      <c r="BO21" s="9"/>
      <c r="BP21" s="12">
        <v>110296</v>
      </c>
      <c r="BQ21" s="12" t="s">
        <v>123</v>
      </c>
      <c r="BR21" s="12" t="str">
        <f>+BR20</f>
        <v>CPA Fondeo MBI USD a OZ CAMBIO 0 USD T/C 934,84</v>
      </c>
      <c r="BS21" s="13"/>
      <c r="BT21" s="18">
        <f t="shared" ref="BT21" si="47">+BS20</f>
        <v>0</v>
      </c>
      <c r="BX21" s="1">
        <v>45585</v>
      </c>
      <c r="BY21" s="26">
        <f>HLOOKUP(BX21,Hoja2!$R$2:$AV$82,81,FALSE)</f>
        <v>0</v>
      </c>
      <c r="BZ21" s="77">
        <f>HLOOKUP(BX21,Hoja2!$R$2:$AV$83,82,FALSE)</f>
        <v>0</v>
      </c>
      <c r="CA21" s="26">
        <f>HLOOKUP(BX21,Hoja2!$R$2:$AV$84,83,FALSE)</f>
        <v>0</v>
      </c>
      <c r="CB21" s="79">
        <f>HLOOKUP(BX21,Hoja2!$R$2:$AV$85,84,FALSE)</f>
        <v>0</v>
      </c>
      <c r="CC21" s="21"/>
      <c r="CD21" s="9"/>
      <c r="CE21" s="12">
        <v>110296</v>
      </c>
      <c r="CF21" s="12" t="s">
        <v>123</v>
      </c>
      <c r="CG21" s="12" t="str">
        <f>+CG20</f>
        <v>CPA Fondeo MBI USD a BICE USD 0 USD T/C 0</v>
      </c>
      <c r="CH21" s="13"/>
      <c r="CI21" s="18">
        <f t="shared" ref="CI21" si="48">+CH20</f>
        <v>0</v>
      </c>
    </row>
    <row r="22" spans="1:87" x14ac:dyDescent="0.25">
      <c r="A22" s="1">
        <v>45586</v>
      </c>
      <c r="B22" s="26">
        <f>HLOOKUP(A22,Hoja2!$R$2:$AV$61,60,FALSE)</f>
        <v>1669225000</v>
      </c>
      <c r="D22" s="21"/>
      <c r="E22" s="15">
        <v>45454</v>
      </c>
      <c r="F22" s="8">
        <v>110295</v>
      </c>
      <c r="G22" s="8" t="s">
        <v>122</v>
      </c>
      <c r="H22" s="8" t="str">
        <f t="shared" ref="H22" si="49">"CPA Traspaso de Fondos Bco. BCI 648 a MBI "</f>
        <v xml:space="preserve">CPA Traspaso de Fondos Bco. BCI 648 a MBI </v>
      </c>
      <c r="I22" s="16">
        <f>+B12</f>
        <v>508310000</v>
      </c>
      <c r="J22" s="17"/>
      <c r="N22" s="1">
        <v>45586</v>
      </c>
      <c r="O22" s="26">
        <f>HLOOKUP(N22,Hoja2!$R$2:$AV$65,64,FALSE)</f>
        <v>0</v>
      </c>
      <c r="P22" s="77">
        <f>HLOOKUP(N22,Hoja2!$R$2:$AV$63,62,FALSE)</f>
        <v>0</v>
      </c>
      <c r="Q22" s="26">
        <f>HLOOKUP(N22,Hoja2!$R$2:$AV$64,63,FALSE)</f>
        <v>0</v>
      </c>
      <c r="R22" s="26"/>
      <c r="S22" s="21"/>
      <c r="T22" s="15">
        <v>45454</v>
      </c>
      <c r="U22">
        <v>110296</v>
      </c>
      <c r="V22" t="s">
        <v>123</v>
      </c>
      <c r="W22" t="str">
        <f>"CPA Compra Divisas " &amp;Q12&amp;" T/C "&amp;P12</f>
        <v>CPA Compra Divisas 0 T/C 0</v>
      </c>
      <c r="X22" s="3">
        <f>+O12</f>
        <v>0</v>
      </c>
      <c r="Y22" s="10"/>
      <c r="AD22" s="1">
        <v>45586</v>
      </c>
      <c r="AE22" s="26">
        <f>HLOOKUP(AD22,Hoja2!$R$2:$AV$66,65,FALSE)</f>
        <v>0</v>
      </c>
      <c r="AF22" s="77">
        <f>HLOOKUP(AD22,Hoja2!$R$2:$AV$67,66,FALSE)</f>
        <v>946.99</v>
      </c>
      <c r="AG22" s="26">
        <f>HLOOKUP(AD22,Hoja2!$R$2:$AV$68,67,FALSE)</f>
        <v>0</v>
      </c>
      <c r="AH22" s="79">
        <f>HLOOKUP(AD22,Hoja2!$R$2:$AV$69,68,FALSE)</f>
        <v>0</v>
      </c>
      <c r="AI22" s="21"/>
      <c r="AJ22" s="15">
        <v>45454</v>
      </c>
      <c r="AK22" s="8">
        <v>110275</v>
      </c>
      <c r="AL22" t="s">
        <v>82</v>
      </c>
      <c r="AM22" t="str">
        <f>"CPA Fondeo MBI USD a NIUM " &amp;AG12&amp;" USD T/C "&amp;AF12</f>
        <v>CPA Fondeo MBI USD a NIUM 550K USD T/C 931,26</v>
      </c>
      <c r="AN22" s="3">
        <f>+AH12</f>
        <v>512193000</v>
      </c>
      <c r="AO22" s="10"/>
      <c r="AT22" s="1">
        <v>45586</v>
      </c>
      <c r="AU22" s="26">
        <f>HLOOKUP(AT22,Hoja2!$R$2:$AV$70,69,FALSE)</f>
        <v>1100000</v>
      </c>
      <c r="AV22" s="77">
        <f>HLOOKUP(AT22,Hoja2!$R$2:$AV$71,70,FALSE)</f>
        <v>946.99</v>
      </c>
      <c r="AW22" s="26" t="str">
        <f>HLOOKUP(AT22,Hoja2!$R$2:$AV$72,71,FALSE)</f>
        <v>1.1 M</v>
      </c>
      <c r="AX22" s="79">
        <f>HLOOKUP(AT22,Hoja2!$R$2:$AV$73,72,FALSE)</f>
        <v>1041689000</v>
      </c>
      <c r="AY22" s="21"/>
      <c r="AZ22" s="15">
        <v>45454</v>
      </c>
      <c r="BA22">
        <v>110820</v>
      </c>
      <c r="BB22" t="s">
        <v>92</v>
      </c>
      <c r="BC22" t="str">
        <f>"CPA Fondeo MBI USD a JPM COL "&amp;AW12&amp;" USD T/C "&amp;AV12&amp;""</f>
        <v>CPA Fondeo MBI USD a JPM COL 0 USD T/C 931,26</v>
      </c>
      <c r="BD22" s="3">
        <f>+AX12</f>
        <v>0</v>
      </c>
      <c r="BE22" s="10"/>
      <c r="BI22" s="1">
        <v>45586</v>
      </c>
      <c r="BJ22" s="26">
        <f>HLOOKUP(BI22,Hoja2!$R$2:$AV$88,87,FALSE)</f>
        <v>650000</v>
      </c>
      <c r="BK22" s="77">
        <f>HLOOKUP(BI22,Hoja2!$R$2:$AV$89,88,FALSE)</f>
        <v>946.99</v>
      </c>
      <c r="BL22" s="26" t="str">
        <f>HLOOKUP(BI22,Hoja2!$R$2:$AV$90,89,FALSE)</f>
        <v>650K</v>
      </c>
      <c r="BM22" s="79">
        <f>HLOOKUP(BI22,Hoja2!$R$2:$AV$91,90,FALSE)</f>
        <v>615543500</v>
      </c>
      <c r="BN22" s="21"/>
      <c r="BO22" s="15">
        <v>45454</v>
      </c>
      <c r="BP22">
        <v>110292</v>
      </c>
      <c r="BQ22" t="s">
        <v>153</v>
      </c>
      <c r="BR22" t="str">
        <f>"CPA Fondeo MBI USD a OZ CAMBIO "&amp;BL12&amp;" USD T/C "&amp;BK12&amp;""</f>
        <v>CPA Fondeo MBI USD a OZ CAMBIO 0 USD T/C 931,26</v>
      </c>
      <c r="BS22" s="3">
        <f>+BM12</f>
        <v>0</v>
      </c>
      <c r="BT22" s="10"/>
      <c r="BX22" s="1">
        <v>45586</v>
      </c>
      <c r="BY22" s="26">
        <f>HLOOKUP(BX22,Hoja2!$R$2:$AV$82,81,FALSE)</f>
        <v>0</v>
      </c>
      <c r="BZ22" s="77">
        <f>HLOOKUP(BX22,Hoja2!$R$2:$AV$83,82,FALSE)</f>
        <v>0</v>
      </c>
      <c r="CA22" s="26">
        <f>HLOOKUP(BX22,Hoja2!$R$2:$AV$84,83,FALSE)</f>
        <v>0</v>
      </c>
      <c r="CB22" s="79">
        <f>HLOOKUP(BX22,Hoja2!$R$2:$AV$85,84,FALSE)</f>
        <v>0</v>
      </c>
      <c r="CC22" s="21"/>
      <c r="CD22" s="15">
        <v>45454</v>
      </c>
      <c r="CE22">
        <v>110205</v>
      </c>
      <c r="CF22" t="s">
        <v>154</v>
      </c>
      <c r="CG22" t="str">
        <f>"CPA Fondeo MBI USD a BICE USD "&amp;CA12&amp;" USD T/C "&amp;BZ12&amp;""</f>
        <v>CPA Fondeo MBI USD a BICE USD 0 USD T/C 0</v>
      </c>
      <c r="CH22" s="3">
        <f>+CB12</f>
        <v>0</v>
      </c>
      <c r="CI22" s="10"/>
    </row>
    <row r="23" spans="1:87" x14ac:dyDescent="0.25">
      <c r="A23" s="1">
        <v>45587</v>
      </c>
      <c r="B23" s="26">
        <f>HLOOKUP(A23,Hoja2!$R$2:$AV$61,60,FALSE)</f>
        <v>947450000</v>
      </c>
      <c r="D23" s="21"/>
      <c r="E23" s="9"/>
      <c r="F23">
        <v>110208</v>
      </c>
      <c r="G23" t="s">
        <v>46</v>
      </c>
      <c r="H23" t="str">
        <f t="shared" ref="H23" si="50">H22</f>
        <v xml:space="preserve">CPA Traspaso de Fondos Bco. BCI 648 a MBI </v>
      </c>
      <c r="I23" s="3"/>
      <c r="J23" s="10">
        <f>I22</f>
        <v>508310000</v>
      </c>
      <c r="N23" s="1">
        <v>45587</v>
      </c>
      <c r="O23" s="26">
        <f>HLOOKUP(N23,Hoja2!$R$2:$AV$65,64,FALSE)</f>
        <v>0</v>
      </c>
      <c r="P23" s="77">
        <f>HLOOKUP(N23,Hoja2!$R$2:$AV$63,62,FALSE)</f>
        <v>0</v>
      </c>
      <c r="Q23" s="26">
        <f>HLOOKUP(N23,Hoja2!$R$2:$AV$64,63,FALSE)</f>
        <v>0</v>
      </c>
      <c r="R23" s="26"/>
      <c r="S23" s="21"/>
      <c r="T23" s="9"/>
      <c r="U23" s="12">
        <v>110295</v>
      </c>
      <c r="V23" s="12" t="s">
        <v>122</v>
      </c>
      <c r="W23" s="12" t="str">
        <f>+W22</f>
        <v>CPA Compra Divisas 0 T/C 0</v>
      </c>
      <c r="X23" s="13"/>
      <c r="Y23" s="18">
        <f t="shared" ref="Y23" si="51">+X22</f>
        <v>0</v>
      </c>
      <c r="AD23" s="1">
        <v>45587</v>
      </c>
      <c r="AE23" s="26">
        <f>HLOOKUP(AD23,Hoja2!$R$2:$AV$66,65,FALSE)</f>
        <v>700000</v>
      </c>
      <c r="AF23" s="77">
        <f>HLOOKUP(AD23,Hoja2!$R$2:$AV$67,66,FALSE)</f>
        <v>954.39</v>
      </c>
      <c r="AG23" s="26" t="str">
        <f>HLOOKUP(AD23,Hoja2!$R$2:$AV$68,67,FALSE)</f>
        <v>700K</v>
      </c>
      <c r="AH23" s="79">
        <f>HLOOKUP(AD23,Hoja2!$R$2:$AV$69,68,FALSE)</f>
        <v>668073000</v>
      </c>
      <c r="AI23" s="21"/>
      <c r="AJ23" s="9"/>
      <c r="AK23">
        <v>110296</v>
      </c>
      <c r="AL23" s="12" t="s">
        <v>123</v>
      </c>
      <c r="AM23" s="12" t="str">
        <f>+AM22</f>
        <v>CPA Fondeo MBI USD a NIUM 550K USD T/C 931,26</v>
      </c>
      <c r="AN23" s="13"/>
      <c r="AO23" s="18">
        <f t="shared" si="10"/>
        <v>512193000</v>
      </c>
      <c r="AT23" s="1">
        <v>45587</v>
      </c>
      <c r="AU23" s="26">
        <f>HLOOKUP(AT23,Hoja2!$R$2:$AV$70,69,FALSE)</f>
        <v>300000</v>
      </c>
      <c r="AV23" s="77">
        <f>HLOOKUP(AT23,Hoja2!$R$2:$AV$71,70,FALSE)</f>
        <v>954.39</v>
      </c>
      <c r="AW23" s="26" t="str">
        <f>HLOOKUP(AT23,Hoja2!$R$2:$AV$72,71,FALSE)</f>
        <v>300K</v>
      </c>
      <c r="AX23" s="79">
        <f>HLOOKUP(AT23,Hoja2!$R$2:$AV$73,72,FALSE)</f>
        <v>286317000</v>
      </c>
      <c r="AY23" s="21"/>
      <c r="AZ23" s="9"/>
      <c r="BA23" s="12">
        <v>110296</v>
      </c>
      <c r="BB23" s="12" t="s">
        <v>123</v>
      </c>
      <c r="BC23" s="12" t="str">
        <f>+BC22</f>
        <v>CPA Fondeo MBI USD a JPM COL 0 USD T/C 931,26</v>
      </c>
      <c r="BD23" s="13"/>
      <c r="BE23" s="18">
        <f t="shared" si="11"/>
        <v>0</v>
      </c>
      <c r="BI23" s="1">
        <v>45587</v>
      </c>
      <c r="BJ23" s="26">
        <f>HLOOKUP(BI23,Hoja2!$R$2:$AV$88,87,FALSE)</f>
        <v>0</v>
      </c>
      <c r="BK23" s="77">
        <f>HLOOKUP(BI23,Hoja2!$R$2:$AV$89,88,FALSE)</f>
        <v>954.39</v>
      </c>
      <c r="BL23" s="26">
        <f>HLOOKUP(BI23,Hoja2!$R$2:$AV$90,89,FALSE)</f>
        <v>0</v>
      </c>
      <c r="BM23" s="79">
        <f>HLOOKUP(BI23,Hoja2!$R$2:$AV$91,90,FALSE)</f>
        <v>0</v>
      </c>
      <c r="BN23" s="21"/>
      <c r="BO23" s="9"/>
      <c r="BP23" s="12">
        <v>110296</v>
      </c>
      <c r="BQ23" s="12" t="s">
        <v>123</v>
      </c>
      <c r="BR23" s="12" t="str">
        <f>+BR22</f>
        <v>CPA Fondeo MBI USD a OZ CAMBIO 0 USD T/C 931,26</v>
      </c>
      <c r="BS23" s="13"/>
      <c r="BT23" s="18">
        <f t="shared" ref="BT23" si="52">+BS22</f>
        <v>0</v>
      </c>
      <c r="BX23" s="1">
        <v>45587</v>
      </c>
      <c r="BY23" s="26">
        <f>HLOOKUP(BX23,Hoja2!$R$2:$AV$82,81,FALSE)</f>
        <v>0</v>
      </c>
      <c r="BZ23" s="77">
        <f>HLOOKUP(BX23,Hoja2!$R$2:$AV$83,82,FALSE)</f>
        <v>0</v>
      </c>
      <c r="CA23" s="26">
        <f>HLOOKUP(BX23,Hoja2!$R$2:$AV$84,83,FALSE)</f>
        <v>0</v>
      </c>
      <c r="CB23" s="79">
        <f>HLOOKUP(BX23,Hoja2!$R$2:$AV$85,84,FALSE)</f>
        <v>0</v>
      </c>
      <c r="CC23" s="21"/>
      <c r="CD23" s="9"/>
      <c r="CE23" s="12">
        <v>110296</v>
      </c>
      <c r="CF23" s="12" t="s">
        <v>123</v>
      </c>
      <c r="CG23" s="12" t="str">
        <f>+CG22</f>
        <v>CPA Fondeo MBI USD a BICE USD 0 USD T/C 0</v>
      </c>
      <c r="CH23" s="13"/>
      <c r="CI23" s="18">
        <f t="shared" ref="CI23" si="53">+CH22</f>
        <v>0</v>
      </c>
    </row>
    <row r="24" spans="1:87" x14ac:dyDescent="0.25">
      <c r="A24" s="1">
        <v>45588</v>
      </c>
      <c r="B24" s="26">
        <f>HLOOKUP(A24,Hoja2!$R$2:$AV$61,60,FALSE)</f>
        <v>1137040000</v>
      </c>
      <c r="D24" s="21"/>
      <c r="E24" s="15">
        <v>45455</v>
      </c>
      <c r="F24" s="8">
        <v>110295</v>
      </c>
      <c r="G24" s="8" t="s">
        <v>122</v>
      </c>
      <c r="H24" s="8" t="str">
        <f t="shared" ref="H24" si="54">"CPA Traspaso de Fondos Bco. BCI 648 a MBI "</f>
        <v xml:space="preserve">CPA Traspaso de Fondos Bco. BCI 648 a MBI </v>
      </c>
      <c r="I24" s="16" t="str">
        <f>+B13</f>
        <v>-</v>
      </c>
      <c r="J24" s="17"/>
      <c r="N24" s="1">
        <v>45588</v>
      </c>
      <c r="O24" s="26">
        <f>HLOOKUP(N24,Hoja2!$R$2:$AV$65,64,FALSE)</f>
        <v>0</v>
      </c>
      <c r="P24" s="77">
        <f>HLOOKUP(N24,Hoja2!$R$2:$AV$63,62,FALSE)</f>
        <v>0</v>
      </c>
      <c r="Q24" s="26">
        <f>HLOOKUP(N24,Hoja2!$R$2:$AV$64,63,FALSE)</f>
        <v>0</v>
      </c>
      <c r="R24" s="26"/>
      <c r="S24" s="21"/>
      <c r="T24" s="15">
        <v>45455</v>
      </c>
      <c r="U24">
        <v>110296</v>
      </c>
      <c r="V24" t="s">
        <v>123</v>
      </c>
      <c r="W24" t="str">
        <f>"CPA Compra Divisas " &amp;Q13&amp;" T/C "&amp;P13</f>
        <v>CPA Compra Divisas 0 T/C 0</v>
      </c>
      <c r="X24" s="3">
        <f>+O13</f>
        <v>0</v>
      </c>
      <c r="Y24" s="10"/>
      <c r="AD24" s="1">
        <v>45588</v>
      </c>
      <c r="AE24" s="26">
        <f>HLOOKUP(AD24,Hoja2!$R$2:$AV$66,65,FALSE)</f>
        <v>1200000</v>
      </c>
      <c r="AF24" s="77">
        <f>HLOOKUP(AD24,Hoja2!$R$2:$AV$67,66,FALSE)</f>
        <v>949</v>
      </c>
      <c r="AG24" s="26" t="str">
        <f>HLOOKUP(AD24,Hoja2!$R$2:$AV$68,67,FALSE)</f>
        <v>1.2 M</v>
      </c>
      <c r="AH24" s="79">
        <f>HLOOKUP(AD24,Hoja2!$R$2:$AV$69,68,FALSE)</f>
        <v>1138800000</v>
      </c>
      <c r="AI24" s="21"/>
      <c r="AJ24" s="15">
        <v>45455</v>
      </c>
      <c r="AK24" s="8">
        <v>110275</v>
      </c>
      <c r="AL24" t="s">
        <v>82</v>
      </c>
      <c r="AM24" t="str">
        <f>"CPA Fondeo MBI USD a NIUM " &amp;AG13&amp;" USD T/C "&amp;AF13</f>
        <v>CPA Fondeo MBI USD a NIUM 0 USD T/C 931,26</v>
      </c>
      <c r="AN24" s="3">
        <f>+AH13</f>
        <v>0</v>
      </c>
      <c r="AO24" s="10"/>
      <c r="AT24" s="1">
        <v>45588</v>
      </c>
      <c r="AU24" s="26">
        <f>HLOOKUP(AT24,Hoja2!$R$2:$AV$70,69,FALSE)</f>
        <v>0</v>
      </c>
      <c r="AV24" s="77">
        <f>HLOOKUP(AT24,Hoja2!$R$2:$AV$71,70,FALSE)</f>
        <v>949</v>
      </c>
      <c r="AW24" s="26">
        <f>HLOOKUP(AT24,Hoja2!$R$2:$AV$72,71,FALSE)</f>
        <v>0</v>
      </c>
      <c r="AX24" s="79">
        <f>HLOOKUP(AT24,Hoja2!$R$2:$AV$73,72,FALSE)</f>
        <v>0</v>
      </c>
      <c r="AY24" s="21"/>
      <c r="AZ24" s="15">
        <v>45455</v>
      </c>
      <c r="BA24">
        <v>110820</v>
      </c>
      <c r="BB24" t="s">
        <v>92</v>
      </c>
      <c r="BC24" t="str">
        <f>"CPA Fondeo MBI USD a JPM COL "&amp;AW13&amp;" USD T/C "&amp;AV13&amp;""</f>
        <v>CPA Fondeo MBI USD a JPM COL 0 USD T/C 931,26</v>
      </c>
      <c r="BD24" s="3">
        <f>+AX13</f>
        <v>0</v>
      </c>
      <c r="BE24" s="10"/>
      <c r="BI24" s="1">
        <v>45588</v>
      </c>
      <c r="BJ24" s="26">
        <f>HLOOKUP(BI24,Hoja2!$R$2:$AV$88,87,FALSE)</f>
        <v>0</v>
      </c>
      <c r="BK24" s="77">
        <f>HLOOKUP(BI24,Hoja2!$R$2:$AV$89,88,FALSE)</f>
        <v>949</v>
      </c>
      <c r="BL24" s="26">
        <f>HLOOKUP(BI24,Hoja2!$R$2:$AV$90,89,FALSE)</f>
        <v>0</v>
      </c>
      <c r="BM24" s="79">
        <f>HLOOKUP(BI24,Hoja2!$R$2:$AV$91,90,FALSE)</f>
        <v>0</v>
      </c>
      <c r="BN24" s="21"/>
      <c r="BO24" s="15">
        <v>45455</v>
      </c>
      <c r="BP24">
        <v>110292</v>
      </c>
      <c r="BQ24" t="s">
        <v>153</v>
      </c>
      <c r="BR24" t="str">
        <f>"CPA Fondeo MBI USD a OZ CAMBIO "&amp;BL13&amp;" USD T/C "&amp;BK13&amp;""</f>
        <v>CPA Fondeo MBI USD a OZ CAMBIO 0 USD T/C 931,26</v>
      </c>
      <c r="BS24" s="3">
        <f>+BM13</f>
        <v>0</v>
      </c>
      <c r="BT24" s="10"/>
      <c r="BX24" s="1">
        <v>45588</v>
      </c>
      <c r="BY24" s="26">
        <f>HLOOKUP(BX24,Hoja2!$R$2:$AV$82,81,FALSE)</f>
        <v>0</v>
      </c>
      <c r="BZ24" s="77">
        <f>HLOOKUP(BX24,Hoja2!$R$2:$AV$83,82,FALSE)</f>
        <v>0</v>
      </c>
      <c r="CA24" s="26">
        <f>HLOOKUP(BX24,Hoja2!$R$2:$AV$84,83,FALSE)</f>
        <v>0</v>
      </c>
      <c r="CB24" s="79">
        <f>HLOOKUP(BX24,Hoja2!$R$2:$AV$85,84,FALSE)</f>
        <v>0</v>
      </c>
      <c r="CC24" s="21"/>
      <c r="CD24" s="15">
        <v>45455</v>
      </c>
      <c r="CE24">
        <v>110205</v>
      </c>
      <c r="CF24" t="s">
        <v>154</v>
      </c>
      <c r="CG24" t="str">
        <f>"CPA Fondeo MBI USD a BICE USD "&amp;CA13&amp;" USD T/C "&amp;BZ13&amp;""</f>
        <v>CPA Fondeo MBI USD a BICE USD 0 USD T/C 0</v>
      </c>
      <c r="CH24" s="3">
        <f>+CB13</f>
        <v>0</v>
      </c>
      <c r="CI24" s="10"/>
    </row>
    <row r="25" spans="1:87" x14ac:dyDescent="0.25">
      <c r="A25" s="1">
        <v>45589</v>
      </c>
      <c r="B25" s="26">
        <f>HLOOKUP(A25,Hoja2!$R$2:$AV$61,60,FALSE)</f>
        <v>1183500000</v>
      </c>
      <c r="D25" s="21"/>
      <c r="E25" s="9"/>
      <c r="F25">
        <v>110208</v>
      </c>
      <c r="G25" t="s">
        <v>46</v>
      </c>
      <c r="H25" t="str">
        <f t="shared" ref="H25" si="55">H24</f>
        <v xml:space="preserve">CPA Traspaso de Fondos Bco. BCI 648 a MBI </v>
      </c>
      <c r="I25" s="3"/>
      <c r="J25" s="10" t="str">
        <f>I24</f>
        <v>-</v>
      </c>
      <c r="N25" s="1">
        <v>45589</v>
      </c>
      <c r="O25" s="26">
        <f>HLOOKUP(N25,Hoja2!$R$2:$AV$65,64,FALSE)</f>
        <v>0</v>
      </c>
      <c r="P25" s="77">
        <f>HLOOKUP(N25,Hoja2!$R$2:$AV$63,62,FALSE)</f>
        <v>0</v>
      </c>
      <c r="Q25" s="26">
        <f>HLOOKUP(N25,Hoja2!$R$2:$AV$64,63,FALSE)</f>
        <v>0</v>
      </c>
      <c r="R25" s="26"/>
      <c r="S25" s="21"/>
      <c r="T25" s="9"/>
      <c r="U25" s="12">
        <v>110295</v>
      </c>
      <c r="V25" s="12" t="s">
        <v>122</v>
      </c>
      <c r="W25" s="12" t="str">
        <f>+W24</f>
        <v>CPA Compra Divisas 0 T/C 0</v>
      </c>
      <c r="X25" s="13"/>
      <c r="Y25" s="18">
        <f t="shared" ref="Y25" si="56">+X24</f>
        <v>0</v>
      </c>
      <c r="AD25" s="1">
        <v>45589</v>
      </c>
      <c r="AE25" s="26">
        <f>HLOOKUP(AD25,Hoja2!$R$2:$AV$66,65,FALSE)</f>
        <v>350000</v>
      </c>
      <c r="AF25" s="77">
        <f>HLOOKUP(AD25,Hoja2!$R$2:$AV$67,66,FALSE)</f>
        <v>948.2</v>
      </c>
      <c r="AG25" s="26" t="str">
        <f>HLOOKUP(AD25,Hoja2!$R$2:$AV$68,67,FALSE)</f>
        <v>350K</v>
      </c>
      <c r="AH25" s="79">
        <f>HLOOKUP(AD25,Hoja2!$R$2:$AV$69,68,FALSE)</f>
        <v>331870000</v>
      </c>
      <c r="AI25" s="21"/>
      <c r="AJ25" s="9"/>
      <c r="AK25">
        <v>110296</v>
      </c>
      <c r="AL25" s="12" t="s">
        <v>123</v>
      </c>
      <c r="AM25" s="12" t="str">
        <f>+AM24</f>
        <v>CPA Fondeo MBI USD a NIUM 0 USD T/C 931,26</v>
      </c>
      <c r="AN25" s="13"/>
      <c r="AO25" s="18">
        <f t="shared" si="10"/>
        <v>0</v>
      </c>
      <c r="AT25" s="1">
        <v>45589</v>
      </c>
      <c r="AU25" s="26">
        <f>HLOOKUP(AT25,Hoja2!$R$2:$AV$70,69,FALSE)</f>
        <v>900000</v>
      </c>
      <c r="AV25" s="77">
        <f>HLOOKUP(AT25,Hoja2!$R$2:$AV$71,70,FALSE)</f>
        <v>948.2</v>
      </c>
      <c r="AW25" s="26" t="str">
        <f>HLOOKUP(AT25,Hoja2!$R$2:$AV$72,71,FALSE)</f>
        <v>900K</v>
      </c>
      <c r="AX25" s="79">
        <f>HLOOKUP(AT25,Hoja2!$R$2:$AV$73,72,FALSE)</f>
        <v>853380000</v>
      </c>
      <c r="AY25" s="21"/>
      <c r="AZ25" s="9"/>
      <c r="BA25" s="12">
        <v>110296</v>
      </c>
      <c r="BB25" s="12" t="s">
        <v>123</v>
      </c>
      <c r="BC25" s="12" t="str">
        <f>+BC24</f>
        <v>CPA Fondeo MBI USD a JPM COL 0 USD T/C 931,26</v>
      </c>
      <c r="BD25" s="13"/>
      <c r="BE25" s="18">
        <f t="shared" si="11"/>
        <v>0</v>
      </c>
      <c r="BI25" s="1">
        <v>45589</v>
      </c>
      <c r="BJ25" s="26">
        <f>HLOOKUP(BI25,Hoja2!$R$2:$AV$88,87,FALSE)</f>
        <v>0</v>
      </c>
      <c r="BK25" s="77">
        <f>HLOOKUP(BI25,Hoja2!$R$2:$AV$89,88,FALSE)</f>
        <v>948.2</v>
      </c>
      <c r="BL25" s="26">
        <f>HLOOKUP(BI25,Hoja2!$R$2:$AV$90,89,FALSE)</f>
        <v>0</v>
      </c>
      <c r="BM25" s="79">
        <f>HLOOKUP(BI25,Hoja2!$R$2:$AV$91,90,FALSE)</f>
        <v>0</v>
      </c>
      <c r="BN25" s="21"/>
      <c r="BO25" s="9"/>
      <c r="BP25" s="12">
        <v>110296</v>
      </c>
      <c r="BQ25" s="12" t="s">
        <v>123</v>
      </c>
      <c r="BR25" s="12" t="str">
        <f>+BR24</f>
        <v>CPA Fondeo MBI USD a OZ CAMBIO 0 USD T/C 931,26</v>
      </c>
      <c r="BS25" s="13"/>
      <c r="BT25" s="18">
        <f t="shared" ref="BT25" si="57">+BS24</f>
        <v>0</v>
      </c>
      <c r="BX25" s="1">
        <v>45589</v>
      </c>
      <c r="BY25" s="26">
        <f>HLOOKUP(BX25,Hoja2!$R$2:$AV$82,81,FALSE)</f>
        <v>0</v>
      </c>
      <c r="BZ25" s="77">
        <f>HLOOKUP(BX25,Hoja2!$R$2:$AV$83,82,FALSE)</f>
        <v>0</v>
      </c>
      <c r="CA25" s="26">
        <f>HLOOKUP(BX25,Hoja2!$R$2:$AV$84,83,FALSE)</f>
        <v>0</v>
      </c>
      <c r="CB25" s="79">
        <f>HLOOKUP(BX25,Hoja2!$R$2:$AV$85,84,FALSE)</f>
        <v>0</v>
      </c>
      <c r="CC25" s="21"/>
      <c r="CD25" s="9"/>
      <c r="CE25" s="12">
        <v>110296</v>
      </c>
      <c r="CF25" s="12" t="s">
        <v>123</v>
      </c>
      <c r="CG25" s="12" t="str">
        <f>+CG24</f>
        <v>CPA Fondeo MBI USD a BICE USD 0 USD T/C 0</v>
      </c>
      <c r="CH25" s="13"/>
      <c r="CI25" s="18">
        <f t="shared" ref="CI25" si="58">+CH24</f>
        <v>0</v>
      </c>
    </row>
    <row r="26" spans="1:87" x14ac:dyDescent="0.25">
      <c r="A26" s="1">
        <v>45590</v>
      </c>
      <c r="B26" s="26">
        <f>HLOOKUP(A26,Hoja2!$R$2:$AV$61,60,FALSE)</f>
        <v>1425150000</v>
      </c>
      <c r="D26" s="21"/>
      <c r="E26" s="15">
        <v>45456</v>
      </c>
      <c r="F26" s="8">
        <v>110295</v>
      </c>
      <c r="G26" s="8" t="s">
        <v>122</v>
      </c>
      <c r="H26" s="8" t="str">
        <f t="shared" ref="H26" si="59">"CPA Traspaso de Fondos Bco. BCI 648 a MBI "</f>
        <v xml:space="preserve">CPA Traspaso de Fondos Bco. BCI 648 a MBI </v>
      </c>
      <c r="I26" s="16" t="str">
        <f>+B14</f>
        <v>-</v>
      </c>
      <c r="J26" s="17"/>
      <c r="N26" s="1">
        <v>45590</v>
      </c>
      <c r="O26" s="26">
        <f>HLOOKUP(N26,Hoja2!$R$2:$AV$65,64,FALSE)</f>
        <v>0</v>
      </c>
      <c r="P26" s="77">
        <f>HLOOKUP(N26,Hoja2!$R$2:$AV$63,62,FALSE)</f>
        <v>0</v>
      </c>
      <c r="Q26" s="26">
        <f>HLOOKUP(N26,Hoja2!$R$2:$AV$64,63,FALSE)</f>
        <v>0</v>
      </c>
      <c r="R26" s="26"/>
      <c r="S26" s="21"/>
      <c r="T26" s="15">
        <v>45456</v>
      </c>
      <c r="U26">
        <v>110296</v>
      </c>
      <c r="V26" t="s">
        <v>123</v>
      </c>
      <c r="W26" t="str">
        <f>"CPA Compra Divisas " &amp;Q14&amp;" T/C "&amp;P14</f>
        <v>CPA Compra Divisas 0 T/C 0</v>
      </c>
      <c r="X26" s="3">
        <f>+O14</f>
        <v>0</v>
      </c>
      <c r="Y26" s="10"/>
      <c r="AD26" s="1">
        <v>45590</v>
      </c>
      <c r="AE26" s="26">
        <f>HLOOKUP(AD26,Hoja2!$R$2:$AV$66,65,FALSE)</f>
        <v>950000</v>
      </c>
      <c r="AF26" s="77">
        <f>HLOOKUP(AD26,Hoja2!$R$2:$AV$67,66,FALSE)</f>
        <v>945.29</v>
      </c>
      <c r="AG26" s="26" t="str">
        <f>HLOOKUP(AD26,Hoja2!$R$2:$AV$68,67,FALSE)</f>
        <v>950K</v>
      </c>
      <c r="AH26" s="79">
        <f>HLOOKUP(AD26,Hoja2!$R$2:$AV$69,68,FALSE)</f>
        <v>898025500</v>
      </c>
      <c r="AI26" s="21"/>
      <c r="AJ26" s="15">
        <v>45456</v>
      </c>
      <c r="AK26" s="8">
        <v>110275</v>
      </c>
      <c r="AL26" t="s">
        <v>82</v>
      </c>
      <c r="AM26" t="str">
        <f>"CPA Fondeo MBI USD a NIUM " &amp;AG14&amp;" USD T/C "&amp;AF14</f>
        <v>CPA Fondeo MBI USD a NIUM 0 USD T/C 931,26</v>
      </c>
      <c r="AN26" s="3">
        <f>+AH14</f>
        <v>0</v>
      </c>
      <c r="AO26" s="10"/>
      <c r="AT26" s="1">
        <v>45590</v>
      </c>
      <c r="AU26" s="26">
        <f>HLOOKUP(AT26,Hoja2!$R$2:$AV$70,69,FALSE)</f>
        <v>550000</v>
      </c>
      <c r="AV26" s="77">
        <f>HLOOKUP(AT26,Hoja2!$R$2:$AV$71,70,FALSE)</f>
        <v>945.29</v>
      </c>
      <c r="AW26" s="26" t="str">
        <f>HLOOKUP(AT26,Hoja2!$R$2:$AV$72,71,FALSE)</f>
        <v>550K</v>
      </c>
      <c r="AX26" s="79">
        <f>HLOOKUP(AT26,Hoja2!$R$2:$AV$73,72,FALSE)</f>
        <v>519909500</v>
      </c>
      <c r="AY26" s="21"/>
      <c r="AZ26" s="15">
        <v>45456</v>
      </c>
      <c r="BA26">
        <v>110820</v>
      </c>
      <c r="BB26" t="s">
        <v>92</v>
      </c>
      <c r="BC26" t="str">
        <f>"CPA Fondeo MBI USD a JPM COL "&amp;AW14&amp;" USD T/C "&amp;AV14&amp;""</f>
        <v>CPA Fondeo MBI USD a JPM COL 0 USD T/C 931,26</v>
      </c>
      <c r="BD26" s="3">
        <f>+AX14</f>
        <v>0</v>
      </c>
      <c r="BE26" s="10"/>
      <c r="BI26" s="1">
        <v>45590</v>
      </c>
      <c r="BJ26" s="26">
        <f>HLOOKUP(BI26,Hoja2!$R$2:$AV$88,87,FALSE)</f>
        <v>0</v>
      </c>
      <c r="BK26" s="77">
        <f>HLOOKUP(BI26,Hoja2!$R$2:$AV$89,88,FALSE)</f>
        <v>945.29</v>
      </c>
      <c r="BL26" s="26">
        <f>HLOOKUP(BI26,Hoja2!$R$2:$AV$90,89,FALSE)</f>
        <v>0</v>
      </c>
      <c r="BM26" s="79">
        <f>HLOOKUP(BI26,Hoja2!$R$2:$AV$91,90,FALSE)</f>
        <v>0</v>
      </c>
      <c r="BN26" s="21"/>
      <c r="BO26" s="15">
        <v>45456</v>
      </c>
      <c r="BP26">
        <v>110292</v>
      </c>
      <c r="BQ26" t="s">
        <v>153</v>
      </c>
      <c r="BR26" t="str">
        <f>"CPA Fondeo MBI USD a OZ CAMBIO "&amp;BL14&amp;" USD T/C "&amp;BK14&amp;""</f>
        <v>CPA Fondeo MBI USD a OZ CAMBIO 0 USD T/C 931,26</v>
      </c>
      <c r="BS26" s="3">
        <f>+BM14</f>
        <v>0</v>
      </c>
      <c r="BT26" s="10"/>
      <c r="BX26" s="1">
        <v>45590</v>
      </c>
      <c r="BY26" s="26">
        <f>HLOOKUP(BX26,Hoja2!$R$2:$AV$82,81,FALSE)</f>
        <v>0</v>
      </c>
      <c r="BZ26" s="77">
        <f>HLOOKUP(BX26,Hoja2!$R$2:$AV$83,82,FALSE)</f>
        <v>0</v>
      </c>
      <c r="CA26" s="26">
        <f>HLOOKUP(BX26,Hoja2!$R$2:$AV$84,83,FALSE)</f>
        <v>0</v>
      </c>
      <c r="CB26" s="79">
        <f>HLOOKUP(BX26,Hoja2!$R$2:$AV$85,84,FALSE)</f>
        <v>0</v>
      </c>
      <c r="CC26" s="21"/>
      <c r="CD26" s="15">
        <v>45456</v>
      </c>
      <c r="CE26">
        <v>110205</v>
      </c>
      <c r="CF26" t="s">
        <v>154</v>
      </c>
      <c r="CG26" t="str">
        <f>"CPA Fondeo MBI USD a BICE USD "&amp;CA14&amp;" USD T/C "&amp;BZ14&amp;""</f>
        <v>CPA Fondeo MBI USD a BICE USD 0 USD T/C 0</v>
      </c>
      <c r="CH26" s="3">
        <f>+CB14</f>
        <v>0</v>
      </c>
      <c r="CI26" s="10"/>
    </row>
    <row r="27" spans="1:87" x14ac:dyDescent="0.25">
      <c r="A27" s="1">
        <v>45591</v>
      </c>
      <c r="B27" s="26" t="str">
        <f>HLOOKUP(A27,Hoja2!$R$2:$AV$61,60,FALSE)</f>
        <v>-</v>
      </c>
      <c r="D27" s="21"/>
      <c r="E27" s="9"/>
      <c r="F27">
        <v>110208</v>
      </c>
      <c r="G27" t="s">
        <v>46</v>
      </c>
      <c r="H27" t="str">
        <f t="shared" ref="H27" si="60">H26</f>
        <v xml:space="preserve">CPA Traspaso de Fondos Bco. BCI 648 a MBI </v>
      </c>
      <c r="I27" s="3"/>
      <c r="J27" s="10" t="str">
        <f>I26</f>
        <v>-</v>
      </c>
      <c r="N27" s="1">
        <v>45591</v>
      </c>
      <c r="O27" s="26">
        <f>HLOOKUP(N27,Hoja2!$R$2:$AV$65,64,FALSE)</f>
        <v>0</v>
      </c>
      <c r="P27" s="77">
        <f>HLOOKUP(N27,Hoja2!$R$2:$AV$63,62,FALSE)</f>
        <v>0</v>
      </c>
      <c r="Q27" s="26">
        <f>HLOOKUP(N27,Hoja2!$R$2:$AV$64,63,FALSE)</f>
        <v>0</v>
      </c>
      <c r="R27" s="26"/>
      <c r="S27" s="21"/>
      <c r="T27" s="9"/>
      <c r="U27" s="12">
        <v>110295</v>
      </c>
      <c r="V27" s="12" t="s">
        <v>122</v>
      </c>
      <c r="W27" s="12" t="str">
        <f>+W26</f>
        <v>CPA Compra Divisas 0 T/C 0</v>
      </c>
      <c r="X27" s="13"/>
      <c r="Y27" s="18">
        <f t="shared" ref="Y27" si="61">+X26</f>
        <v>0</v>
      </c>
      <c r="AD27" s="1">
        <v>45591</v>
      </c>
      <c r="AE27" s="26">
        <f>HLOOKUP(AD27,Hoja2!$R$2:$AV$66,65,FALSE)</f>
        <v>0</v>
      </c>
      <c r="AF27" s="77">
        <f>HLOOKUP(AD27,Hoja2!$R$2:$AV$67,66,FALSE)</f>
        <v>945.29</v>
      </c>
      <c r="AG27" s="26">
        <f>HLOOKUP(AD27,Hoja2!$R$2:$AV$68,67,FALSE)</f>
        <v>0</v>
      </c>
      <c r="AH27" s="79">
        <f>HLOOKUP(AD27,Hoja2!$R$2:$AV$69,68,FALSE)</f>
        <v>0</v>
      </c>
      <c r="AI27" s="21"/>
      <c r="AJ27" s="9"/>
      <c r="AK27">
        <v>110296</v>
      </c>
      <c r="AL27" s="12" t="s">
        <v>123</v>
      </c>
      <c r="AM27" s="12" t="str">
        <f>+AM26</f>
        <v>CPA Fondeo MBI USD a NIUM 0 USD T/C 931,26</v>
      </c>
      <c r="AN27" s="13"/>
      <c r="AO27" s="18">
        <f t="shared" si="10"/>
        <v>0</v>
      </c>
      <c r="AT27" s="1">
        <v>45591</v>
      </c>
      <c r="AU27" s="26">
        <f>HLOOKUP(AT27,Hoja2!$R$2:$AV$70,69,FALSE)</f>
        <v>0</v>
      </c>
      <c r="AV27" s="77">
        <f>HLOOKUP(AT27,Hoja2!$R$2:$AV$71,70,FALSE)</f>
        <v>945.29</v>
      </c>
      <c r="AW27" s="26">
        <f>HLOOKUP(AT27,Hoja2!$R$2:$AV$72,71,FALSE)</f>
        <v>0</v>
      </c>
      <c r="AX27" s="79">
        <f>HLOOKUP(AT27,Hoja2!$R$2:$AV$73,72,FALSE)</f>
        <v>0</v>
      </c>
      <c r="AY27" s="21"/>
      <c r="AZ27" s="9"/>
      <c r="BA27" s="12">
        <v>110296</v>
      </c>
      <c r="BB27" s="12" t="s">
        <v>123</v>
      </c>
      <c r="BC27" s="12" t="str">
        <f>+BC26</f>
        <v>CPA Fondeo MBI USD a JPM COL 0 USD T/C 931,26</v>
      </c>
      <c r="BD27" s="13"/>
      <c r="BE27" s="18">
        <f t="shared" si="11"/>
        <v>0</v>
      </c>
      <c r="BI27" s="1">
        <v>45591</v>
      </c>
      <c r="BJ27" s="26">
        <f>HLOOKUP(BI27,Hoja2!$R$2:$AV$88,87,FALSE)</f>
        <v>0</v>
      </c>
      <c r="BK27" s="77">
        <f>HLOOKUP(BI27,Hoja2!$R$2:$AV$89,88,FALSE)</f>
        <v>945.29</v>
      </c>
      <c r="BL27" s="26">
        <f>HLOOKUP(BI27,Hoja2!$R$2:$AV$90,89,FALSE)</f>
        <v>0</v>
      </c>
      <c r="BM27" s="79">
        <f>HLOOKUP(BI27,Hoja2!$R$2:$AV$91,90,FALSE)</f>
        <v>0</v>
      </c>
      <c r="BN27" s="21"/>
      <c r="BO27" s="9"/>
      <c r="BP27" s="12">
        <v>110296</v>
      </c>
      <c r="BQ27" s="12" t="s">
        <v>123</v>
      </c>
      <c r="BR27" s="12" t="str">
        <f>+BR26</f>
        <v>CPA Fondeo MBI USD a OZ CAMBIO 0 USD T/C 931,26</v>
      </c>
      <c r="BS27" s="13"/>
      <c r="BT27" s="18">
        <f t="shared" ref="BT27" si="62">+BS26</f>
        <v>0</v>
      </c>
      <c r="BX27" s="1">
        <v>45591</v>
      </c>
      <c r="BY27" s="26">
        <f>HLOOKUP(BX27,Hoja2!$R$2:$AV$82,81,FALSE)</f>
        <v>0</v>
      </c>
      <c r="BZ27" s="77">
        <f>HLOOKUP(BX27,Hoja2!$R$2:$AV$83,82,FALSE)</f>
        <v>0</v>
      </c>
      <c r="CA27" s="26">
        <f>HLOOKUP(BX27,Hoja2!$R$2:$AV$84,83,FALSE)</f>
        <v>0</v>
      </c>
      <c r="CB27" s="79">
        <f>HLOOKUP(BX27,Hoja2!$R$2:$AV$85,84,FALSE)</f>
        <v>0</v>
      </c>
      <c r="CC27" s="21"/>
      <c r="CD27" s="9"/>
      <c r="CE27" s="12">
        <v>110296</v>
      </c>
      <c r="CF27" s="12" t="s">
        <v>123</v>
      </c>
      <c r="CG27" s="12" t="str">
        <f>+CG26</f>
        <v>CPA Fondeo MBI USD a BICE USD 0 USD T/C 0</v>
      </c>
      <c r="CH27" s="13"/>
      <c r="CI27" s="18">
        <f t="shared" ref="CI27" si="63">+CH26</f>
        <v>0</v>
      </c>
    </row>
    <row r="28" spans="1:87" x14ac:dyDescent="0.25">
      <c r="A28" s="1">
        <v>45592</v>
      </c>
      <c r="B28" s="26" t="str">
        <f>HLOOKUP(A28,Hoja2!$R$2:$AV$61,60,FALSE)</f>
        <v>-</v>
      </c>
      <c r="E28" s="15">
        <v>45457</v>
      </c>
      <c r="F28" s="8">
        <v>110295</v>
      </c>
      <c r="G28" s="8" t="s">
        <v>122</v>
      </c>
      <c r="H28" s="8" t="str">
        <f t="shared" ref="H28" si="64">"CPA Traspaso de Fondos Bco. BCI 648 a MBI "</f>
        <v xml:space="preserve">CPA Traspaso de Fondos Bco. BCI 648 a MBI </v>
      </c>
      <c r="I28" s="16">
        <f>+B15</f>
        <v>974720000</v>
      </c>
      <c r="J28" s="17"/>
      <c r="N28" s="1">
        <v>45592</v>
      </c>
      <c r="O28" s="26">
        <f>HLOOKUP(N28,Hoja2!$R$2:$AV$65,64,FALSE)</f>
        <v>0</v>
      </c>
      <c r="P28" s="77">
        <f>HLOOKUP(N28,Hoja2!$R$2:$AV$63,62,FALSE)</f>
        <v>0</v>
      </c>
      <c r="Q28" s="26">
        <f>HLOOKUP(N28,Hoja2!$R$2:$AV$64,63,FALSE)</f>
        <v>0</v>
      </c>
      <c r="R28" s="26"/>
      <c r="T28" s="15">
        <v>45457</v>
      </c>
      <c r="U28">
        <v>110296</v>
      </c>
      <c r="V28" t="s">
        <v>123</v>
      </c>
      <c r="W28" t="str">
        <f>"CPA Compra Divisas " &amp;Q15&amp;" T/C "&amp;P15</f>
        <v>CPA Compra Divisas 0 T/C 0</v>
      </c>
      <c r="X28" s="3">
        <f>+O15</f>
        <v>0</v>
      </c>
      <c r="Y28" s="10"/>
      <c r="AD28" s="1">
        <v>45592</v>
      </c>
      <c r="AE28" s="26">
        <f>HLOOKUP(AD28,Hoja2!$R$2:$AV$66,65,FALSE)</f>
        <v>0</v>
      </c>
      <c r="AF28" s="77">
        <f>HLOOKUP(AD28,Hoja2!$R$2:$AV$67,66,FALSE)</f>
        <v>945.29</v>
      </c>
      <c r="AG28" s="26">
        <f>HLOOKUP(AD28,Hoja2!$R$2:$AV$68,67,FALSE)</f>
        <v>0</v>
      </c>
      <c r="AH28" s="79">
        <f>HLOOKUP(AD28,Hoja2!$R$2:$AV$69,68,FALSE)</f>
        <v>0</v>
      </c>
      <c r="AJ28" s="15">
        <v>45457</v>
      </c>
      <c r="AK28" s="8">
        <v>110275</v>
      </c>
      <c r="AL28" t="s">
        <v>82</v>
      </c>
      <c r="AM28" t="str">
        <f>"CPA Fondeo MBI USD a NIUM " &amp;AG15&amp;" USD T/C "&amp;AF15</f>
        <v>CPA Fondeo MBI USD a NIUM 1.05 M USD T/C 926,07</v>
      </c>
      <c r="AN28" s="3">
        <f>+AH15</f>
        <v>972373500</v>
      </c>
      <c r="AO28" s="10"/>
      <c r="AT28" s="1">
        <v>45592</v>
      </c>
      <c r="AU28" s="26">
        <f>HLOOKUP(AT28,Hoja2!$R$2:$AV$70,69,FALSE)</f>
        <v>0</v>
      </c>
      <c r="AV28" s="77">
        <f>HLOOKUP(AT28,Hoja2!$R$2:$AV$71,70,FALSE)</f>
        <v>945.29</v>
      </c>
      <c r="AW28" s="26">
        <f>HLOOKUP(AT28,Hoja2!$R$2:$AV$72,71,FALSE)</f>
        <v>0</v>
      </c>
      <c r="AX28" s="79">
        <f>HLOOKUP(AT28,Hoja2!$R$2:$AV$73,72,FALSE)</f>
        <v>0</v>
      </c>
      <c r="AZ28" s="15">
        <v>45457</v>
      </c>
      <c r="BA28">
        <v>110820</v>
      </c>
      <c r="BB28" t="s">
        <v>92</v>
      </c>
      <c r="BC28" t="str">
        <f>"CPA Fondeo MBI USD a JPM COL "&amp;AW15&amp;" USD T/C "&amp;AV15&amp;""</f>
        <v>CPA Fondeo MBI USD a JPM COL 0 USD T/C 926,07</v>
      </c>
      <c r="BD28" s="3">
        <f>+AX15</f>
        <v>0</v>
      </c>
      <c r="BE28" s="10"/>
      <c r="BI28" s="1">
        <v>45592</v>
      </c>
      <c r="BJ28" s="26">
        <f>HLOOKUP(BI28,Hoja2!$R$2:$AV$88,87,FALSE)</f>
        <v>0</v>
      </c>
      <c r="BK28" s="77">
        <f>HLOOKUP(BI28,Hoja2!$R$2:$AV$89,88,FALSE)</f>
        <v>945.29</v>
      </c>
      <c r="BL28" s="26">
        <f>HLOOKUP(BI28,Hoja2!$R$2:$AV$90,89,FALSE)</f>
        <v>0</v>
      </c>
      <c r="BM28" s="79">
        <f>HLOOKUP(BI28,Hoja2!$R$2:$AV$91,90,FALSE)</f>
        <v>0</v>
      </c>
      <c r="BO28" s="15">
        <v>45457</v>
      </c>
      <c r="BP28">
        <v>110292</v>
      </c>
      <c r="BQ28" t="s">
        <v>153</v>
      </c>
      <c r="BR28" t="str">
        <f>"CPA Fondeo MBI USD a OZ CAMBIO "&amp;BL15&amp;" USD T/C "&amp;BK15&amp;""</f>
        <v>CPA Fondeo MBI USD a OZ CAMBIO 0 USD T/C 926,07</v>
      </c>
      <c r="BS28" s="3">
        <f>+BM15</f>
        <v>0</v>
      </c>
      <c r="BT28" s="10"/>
      <c r="BX28" s="1">
        <v>45592</v>
      </c>
      <c r="BY28" s="26">
        <f>HLOOKUP(BX28,Hoja2!$R$2:$AV$82,81,FALSE)</f>
        <v>0</v>
      </c>
      <c r="BZ28" s="77">
        <f>HLOOKUP(BX28,Hoja2!$R$2:$AV$83,82,FALSE)</f>
        <v>0</v>
      </c>
      <c r="CA28" s="26">
        <f>HLOOKUP(BX28,Hoja2!$R$2:$AV$84,83,FALSE)</f>
        <v>0</v>
      </c>
      <c r="CB28" s="79">
        <f>HLOOKUP(BX28,Hoja2!$R$2:$AV$85,84,FALSE)</f>
        <v>0</v>
      </c>
      <c r="CD28" s="15">
        <v>45457</v>
      </c>
      <c r="CE28">
        <v>110205</v>
      </c>
      <c r="CF28" t="s">
        <v>154</v>
      </c>
      <c r="CG28" t="str">
        <f>"CPA Fondeo MBI USD a BICE USD "&amp;CA15&amp;" USD T/C "&amp;BZ15&amp;""</f>
        <v>CPA Fondeo MBI USD a BICE USD 0 USD T/C 0</v>
      </c>
      <c r="CH28" s="3">
        <f>+CB15</f>
        <v>0</v>
      </c>
      <c r="CI28" s="10"/>
    </row>
    <row r="29" spans="1:87" x14ac:dyDescent="0.25">
      <c r="A29" s="1">
        <v>45593</v>
      </c>
      <c r="B29" s="26">
        <f>HLOOKUP(A29,Hoja2!$R$2:$AV$61,60,FALSE)</f>
        <v>1833870000</v>
      </c>
      <c r="D29" s="39"/>
      <c r="E29" s="9"/>
      <c r="F29">
        <v>110208</v>
      </c>
      <c r="G29" t="s">
        <v>46</v>
      </c>
      <c r="H29" t="str">
        <f t="shared" ref="H29" si="65">H28</f>
        <v xml:space="preserve">CPA Traspaso de Fondos Bco. BCI 648 a MBI </v>
      </c>
      <c r="I29" s="3"/>
      <c r="J29" s="10">
        <f>I28</f>
        <v>974720000</v>
      </c>
      <c r="N29" s="1">
        <v>45593</v>
      </c>
      <c r="O29" s="26">
        <f>HLOOKUP(N29,Hoja2!$R$2:$AV$65,64,FALSE)</f>
        <v>0</v>
      </c>
      <c r="P29" s="77">
        <f>HLOOKUP(N29,Hoja2!$R$2:$AV$63,62,FALSE)</f>
        <v>0</v>
      </c>
      <c r="Q29" s="26">
        <f>HLOOKUP(N29,Hoja2!$R$2:$AV$64,63,FALSE)</f>
        <v>0</v>
      </c>
      <c r="R29" s="26"/>
      <c r="S29" s="39"/>
      <c r="T29" s="9"/>
      <c r="U29" s="12">
        <v>110295</v>
      </c>
      <c r="V29" s="12" t="s">
        <v>122</v>
      </c>
      <c r="W29" s="12" t="str">
        <f>+W28</f>
        <v>CPA Compra Divisas 0 T/C 0</v>
      </c>
      <c r="X29" s="13"/>
      <c r="Y29" s="18">
        <f t="shared" ref="Y29" si="66">+X28</f>
        <v>0</v>
      </c>
      <c r="AD29" s="1">
        <v>45593</v>
      </c>
      <c r="AE29" s="26">
        <f>HLOOKUP(AD29,Hoja2!$R$2:$AV$66,65,FALSE)</f>
        <v>2500000</v>
      </c>
      <c r="AF29" s="77">
        <f>HLOOKUP(AD29,Hoja2!$R$2:$AV$67,66,FALSE)</f>
        <v>949.34</v>
      </c>
      <c r="AG29" s="26" t="str">
        <f>HLOOKUP(AD29,Hoja2!$R$2:$AV$68,67,FALSE)</f>
        <v>2.5 M</v>
      </c>
      <c r="AH29" s="79">
        <f>HLOOKUP(AD29,Hoja2!$R$2:$AV$69,68,FALSE)</f>
        <v>2373350000</v>
      </c>
      <c r="AI29" s="39"/>
      <c r="AJ29" s="9"/>
      <c r="AK29">
        <v>110296</v>
      </c>
      <c r="AL29" s="12" t="s">
        <v>123</v>
      </c>
      <c r="AM29" s="12" t="str">
        <f>+AM28</f>
        <v>CPA Fondeo MBI USD a NIUM 1.05 M USD T/C 926,07</v>
      </c>
      <c r="AN29" s="13"/>
      <c r="AO29" s="18">
        <f t="shared" si="10"/>
        <v>972373500</v>
      </c>
      <c r="AT29" s="1">
        <v>45593</v>
      </c>
      <c r="AU29" s="26">
        <f>HLOOKUP(AT29,Hoja2!$R$2:$AV$70,69,FALSE)</f>
        <v>400000</v>
      </c>
      <c r="AV29" s="77">
        <f>HLOOKUP(AT29,Hoja2!$R$2:$AV$71,70,FALSE)</f>
        <v>949.34</v>
      </c>
      <c r="AW29" s="26" t="str">
        <f>HLOOKUP(AT29,Hoja2!$R$2:$AV$72,71,FALSE)</f>
        <v>400K</v>
      </c>
      <c r="AX29" s="79">
        <f>HLOOKUP(AT29,Hoja2!$R$2:$AV$73,72,FALSE)</f>
        <v>379736000</v>
      </c>
      <c r="AY29" s="39"/>
      <c r="AZ29" s="9"/>
      <c r="BA29" s="12">
        <v>110296</v>
      </c>
      <c r="BB29" s="12" t="s">
        <v>123</v>
      </c>
      <c r="BC29" s="12" t="str">
        <f>+BC28</f>
        <v>CPA Fondeo MBI USD a JPM COL 0 USD T/C 926,07</v>
      </c>
      <c r="BD29" s="13"/>
      <c r="BE29" s="18">
        <f t="shared" si="11"/>
        <v>0</v>
      </c>
      <c r="BI29" s="1">
        <v>45593</v>
      </c>
      <c r="BJ29" s="26">
        <f>HLOOKUP(BI29,Hoja2!$R$2:$AV$88,87,FALSE)</f>
        <v>0</v>
      </c>
      <c r="BK29" s="77">
        <f>HLOOKUP(BI29,Hoja2!$R$2:$AV$89,88,FALSE)</f>
        <v>949.34</v>
      </c>
      <c r="BL29" s="26">
        <f>HLOOKUP(BI29,Hoja2!$R$2:$AV$90,89,FALSE)</f>
        <v>0</v>
      </c>
      <c r="BM29" s="79">
        <f>HLOOKUP(BI29,Hoja2!$R$2:$AV$91,90,FALSE)</f>
        <v>0</v>
      </c>
      <c r="BN29" s="39"/>
      <c r="BO29" s="9"/>
      <c r="BP29" s="12">
        <v>110296</v>
      </c>
      <c r="BQ29" s="12" t="s">
        <v>123</v>
      </c>
      <c r="BR29" s="12" t="str">
        <f>+BR28</f>
        <v>CPA Fondeo MBI USD a OZ CAMBIO 0 USD T/C 926,07</v>
      </c>
      <c r="BS29" s="13"/>
      <c r="BT29" s="18">
        <f t="shared" ref="BT29" si="67">+BS28</f>
        <v>0</v>
      </c>
      <c r="BX29" s="1">
        <v>45593</v>
      </c>
      <c r="BY29" s="26">
        <f>HLOOKUP(BX29,Hoja2!$R$2:$AV$82,81,FALSE)</f>
        <v>0</v>
      </c>
      <c r="BZ29" s="77">
        <f>HLOOKUP(BX29,Hoja2!$R$2:$AV$83,82,FALSE)</f>
        <v>0</v>
      </c>
      <c r="CA29" s="26">
        <f>HLOOKUP(BX29,Hoja2!$R$2:$AV$84,83,FALSE)</f>
        <v>0</v>
      </c>
      <c r="CB29" s="79">
        <f>HLOOKUP(BX29,Hoja2!$R$2:$AV$85,84,FALSE)</f>
        <v>0</v>
      </c>
      <c r="CC29" s="39"/>
      <c r="CD29" s="9"/>
      <c r="CE29" s="12">
        <v>110296</v>
      </c>
      <c r="CF29" s="12" t="s">
        <v>123</v>
      </c>
      <c r="CG29" s="12" t="str">
        <f>+CG28</f>
        <v>CPA Fondeo MBI USD a BICE USD 0 USD T/C 0</v>
      </c>
      <c r="CH29" s="13"/>
      <c r="CI29" s="18">
        <f t="shared" ref="CI29" si="68">+CH28</f>
        <v>0</v>
      </c>
    </row>
    <row r="30" spans="1:87" x14ac:dyDescent="0.25">
      <c r="A30" s="1">
        <v>45594</v>
      </c>
      <c r="B30" s="26">
        <f>HLOOKUP(A30,Hoja2!$R$2:$AV$61,60,FALSE)</f>
        <v>1246050000</v>
      </c>
      <c r="E30" s="15">
        <v>45458</v>
      </c>
      <c r="F30" s="8">
        <v>110295</v>
      </c>
      <c r="G30" s="8" t="s">
        <v>122</v>
      </c>
      <c r="H30" s="8" t="str">
        <f t="shared" ref="H30" si="69">"CPA Traspaso de Fondos Bco. BCI 648 a MBI "</f>
        <v xml:space="preserve">CPA Traspaso de Fondos Bco. BCI 648 a MBI </v>
      </c>
      <c r="I30" s="16">
        <f>+B16</f>
        <v>1411320000</v>
      </c>
      <c r="J30" s="17"/>
      <c r="N30" s="1">
        <v>45594</v>
      </c>
      <c r="O30" s="26">
        <f>HLOOKUP(N30,Hoja2!$R$2:$AV$65,64,FALSE)</f>
        <v>0</v>
      </c>
      <c r="P30" s="77">
        <f>HLOOKUP(N30,Hoja2!$R$2:$AV$63,62,FALSE)</f>
        <v>0</v>
      </c>
      <c r="Q30" s="26">
        <f>HLOOKUP(N30,Hoja2!$R$2:$AV$64,63,FALSE)</f>
        <v>0</v>
      </c>
      <c r="R30" s="26"/>
      <c r="T30" s="15">
        <v>45458</v>
      </c>
      <c r="U30">
        <v>110296</v>
      </c>
      <c r="V30" t="s">
        <v>123</v>
      </c>
      <c r="W30" t="str">
        <f>"CPA Compra Divisas " &amp;Q16&amp;" T/C "&amp;P16</f>
        <v>CPA Compra Divisas 0 T/C 0</v>
      </c>
      <c r="X30" s="3">
        <f>+O16</f>
        <v>0</v>
      </c>
      <c r="Y30" s="10"/>
      <c r="AD30" s="1">
        <v>45594</v>
      </c>
      <c r="AE30" s="26">
        <f>HLOOKUP(AD30,Hoja2!$R$2:$AV$66,65,FALSE)</f>
        <v>600000</v>
      </c>
      <c r="AF30" s="77">
        <f>HLOOKUP(AD30,Hoja2!$R$2:$AV$67,66,FALSE)</f>
        <v>945.88</v>
      </c>
      <c r="AG30" s="26" t="str">
        <f>HLOOKUP(AD30,Hoja2!$R$2:$AV$68,67,FALSE)</f>
        <v>600K</v>
      </c>
      <c r="AH30" s="79">
        <f>HLOOKUP(AD30,Hoja2!$R$2:$AV$69,68,FALSE)</f>
        <v>567528000</v>
      </c>
      <c r="AJ30" s="15">
        <v>45458</v>
      </c>
      <c r="AK30" s="8">
        <v>110275</v>
      </c>
      <c r="AL30" t="s">
        <v>82</v>
      </c>
      <c r="AM30" t="str">
        <f>"CPA Fondeo MBI USD a NIUM " &amp;AG16&amp;" USD T/C "&amp;AF16</f>
        <v>CPA Fondeo MBI USD a NIUM 1.05 M USD T/C 928,37</v>
      </c>
      <c r="AN30" s="3">
        <f>+AH16</f>
        <v>974788500</v>
      </c>
      <c r="AO30" s="10"/>
      <c r="AT30" s="1">
        <v>45594</v>
      </c>
      <c r="AU30" s="26">
        <f>HLOOKUP(AT30,Hoja2!$R$2:$AV$70,69,FALSE)</f>
        <v>700000</v>
      </c>
      <c r="AV30" s="77">
        <f>HLOOKUP(AT30,Hoja2!$R$2:$AV$71,70,FALSE)</f>
        <v>945.88</v>
      </c>
      <c r="AW30" s="26" t="str">
        <f>HLOOKUP(AT30,Hoja2!$R$2:$AV$72,71,FALSE)</f>
        <v>700K</v>
      </c>
      <c r="AX30" s="79">
        <f>HLOOKUP(AT30,Hoja2!$R$2:$AV$73,72,FALSE)</f>
        <v>662116000</v>
      </c>
      <c r="AZ30" s="15">
        <v>45458</v>
      </c>
      <c r="BA30">
        <v>110820</v>
      </c>
      <c r="BB30" t="s">
        <v>92</v>
      </c>
      <c r="BC30" t="str">
        <f>"CPA Fondeo MBI USD a JPM COL " &amp;AW16&amp;" USD T/C "&amp;AV16</f>
        <v>CPA Fondeo MBI USD a JPM COL 450K USD T/C 928,37</v>
      </c>
      <c r="BD30" s="3">
        <f>+AX16</f>
        <v>417766500</v>
      </c>
      <c r="BE30" s="10"/>
      <c r="BI30" s="1">
        <v>45594</v>
      </c>
      <c r="BJ30" s="26">
        <f>HLOOKUP(BI30,Hoja2!$R$2:$AV$88,87,FALSE)</f>
        <v>0</v>
      </c>
      <c r="BK30" s="77">
        <f>HLOOKUP(BI30,Hoja2!$R$2:$AV$89,88,FALSE)</f>
        <v>945.88</v>
      </c>
      <c r="BL30" s="26">
        <f>HLOOKUP(BI30,Hoja2!$R$2:$AV$90,89,FALSE)</f>
        <v>0</v>
      </c>
      <c r="BM30" s="79">
        <f>HLOOKUP(BI30,Hoja2!$R$2:$AV$91,90,FALSE)</f>
        <v>0</v>
      </c>
      <c r="BO30" s="15">
        <v>45458</v>
      </c>
      <c r="BP30">
        <v>110292</v>
      </c>
      <c r="BQ30" t="s">
        <v>153</v>
      </c>
      <c r="BR30" t="str">
        <f>"CPA Fondeo MBI USD a OZ CAMBIO " &amp;BL16&amp;" USD T/C "&amp;BK16</f>
        <v>CPA Fondeo MBI USD a OZ CAMBIO 0 USD T/C 928,37</v>
      </c>
      <c r="BS30" s="3">
        <f>+BM16</f>
        <v>0</v>
      </c>
      <c r="BT30" s="10"/>
      <c r="BX30" s="1">
        <v>45594</v>
      </c>
      <c r="BY30" s="26">
        <f>HLOOKUP(BX30,Hoja2!$R$2:$AV$82,81,FALSE)</f>
        <v>0</v>
      </c>
      <c r="BZ30" s="77">
        <f>HLOOKUP(BX30,Hoja2!$R$2:$AV$83,82,FALSE)</f>
        <v>0</v>
      </c>
      <c r="CA30" s="26">
        <f>HLOOKUP(BX30,Hoja2!$R$2:$AV$84,83,FALSE)</f>
        <v>0</v>
      </c>
      <c r="CB30" s="79">
        <f>HLOOKUP(BX30,Hoja2!$R$2:$AV$85,84,FALSE)</f>
        <v>0</v>
      </c>
      <c r="CD30" s="15">
        <v>45458</v>
      </c>
      <c r="CE30">
        <v>110205</v>
      </c>
      <c r="CF30" t="s">
        <v>154</v>
      </c>
      <c r="CG30" t="str">
        <f>"CPA Fondeo MBI USD a BICE USD " &amp;CA16&amp;" USD T/C "&amp;BZ16</f>
        <v>CPA Fondeo MBI USD a BICE USD 0 USD T/C 0</v>
      </c>
      <c r="CH30" s="3">
        <f>+CB16</f>
        <v>0</v>
      </c>
      <c r="CI30" s="10"/>
    </row>
    <row r="31" spans="1:87" x14ac:dyDescent="0.25">
      <c r="A31" s="1">
        <v>45595</v>
      </c>
      <c r="B31" s="26">
        <f>HLOOKUP(A31,Hoja2!$R$2:$AV$61,60,FALSE)</f>
        <v>1200750000</v>
      </c>
      <c r="E31" s="11"/>
      <c r="F31" s="12">
        <v>110208</v>
      </c>
      <c r="G31" s="12" t="s">
        <v>46</v>
      </c>
      <c r="H31" s="12" t="str">
        <f t="shared" ref="H31" si="70">H30</f>
        <v xml:space="preserve">CPA Traspaso de Fondos Bco. BCI 648 a MBI </v>
      </c>
      <c r="I31" s="13"/>
      <c r="J31" s="18">
        <f>I30</f>
        <v>1411320000</v>
      </c>
      <c r="N31" s="1">
        <v>45595</v>
      </c>
      <c r="O31" s="26">
        <f>HLOOKUP(N31,Hoja2!$R$2:$AV$65,64,FALSE)</f>
        <v>0</v>
      </c>
      <c r="P31" s="77">
        <f>HLOOKUP(N31,Hoja2!$R$2:$AV$63,62,FALSE)</f>
        <v>0</v>
      </c>
      <c r="Q31" s="26">
        <f>HLOOKUP(N31,Hoja2!$R$2:$AV$64,63,FALSE)</f>
        <v>0</v>
      </c>
      <c r="R31" s="26"/>
      <c r="T31" s="11"/>
      <c r="U31" s="12">
        <v>110295</v>
      </c>
      <c r="V31" s="12" t="s">
        <v>122</v>
      </c>
      <c r="W31" s="12" t="str">
        <f>+W30</f>
        <v>CPA Compra Divisas 0 T/C 0</v>
      </c>
      <c r="X31" s="13"/>
      <c r="Y31" s="18">
        <f t="shared" ref="Y31" si="71">+X30</f>
        <v>0</v>
      </c>
      <c r="AD31" s="1">
        <v>45595</v>
      </c>
      <c r="AE31" s="26">
        <f>HLOOKUP(AD31,Hoja2!$R$2:$AV$66,65,FALSE)</f>
        <v>0</v>
      </c>
      <c r="AF31" s="77">
        <f>HLOOKUP(AD31,Hoja2!$R$2:$AV$67,66,FALSE)</f>
        <v>950.89</v>
      </c>
      <c r="AG31" s="26">
        <f>HLOOKUP(AD31,Hoja2!$R$2:$AV$68,67,FALSE)</f>
        <v>0</v>
      </c>
      <c r="AH31" s="79">
        <f>HLOOKUP(AD31,Hoja2!$R$2:$AV$69,68,FALSE)</f>
        <v>0</v>
      </c>
      <c r="AJ31" s="11"/>
      <c r="AK31" s="12">
        <v>110296</v>
      </c>
      <c r="AL31" s="12" t="s">
        <v>123</v>
      </c>
      <c r="AM31" s="12" t="str">
        <f>+AM30</f>
        <v>CPA Fondeo MBI USD a NIUM 1.05 M USD T/C 928,37</v>
      </c>
      <c r="AN31" s="13"/>
      <c r="AO31" s="18">
        <f t="shared" si="10"/>
        <v>974788500</v>
      </c>
      <c r="AT31" s="1">
        <v>45595</v>
      </c>
      <c r="AU31" s="26">
        <f>HLOOKUP(AT31,Hoja2!$R$2:$AV$70,69,FALSE)</f>
        <v>0</v>
      </c>
      <c r="AV31" s="77">
        <f>HLOOKUP(AT31,Hoja2!$R$2:$AV$71,70,FALSE)</f>
        <v>950.89</v>
      </c>
      <c r="AW31" s="26">
        <f>HLOOKUP(AT31,Hoja2!$R$2:$AV$72,71,FALSE)</f>
        <v>0</v>
      </c>
      <c r="AX31" s="79">
        <f>HLOOKUP(AT31,Hoja2!$R$2:$AV$73,72,FALSE)</f>
        <v>0</v>
      </c>
      <c r="AZ31" s="11"/>
      <c r="BA31" s="12">
        <v>110296</v>
      </c>
      <c r="BB31" s="12" t="s">
        <v>123</v>
      </c>
      <c r="BC31" s="12" t="str">
        <f>+BC30</f>
        <v>CPA Fondeo MBI USD a JPM COL 450K USD T/C 928,37</v>
      </c>
      <c r="BD31" s="13"/>
      <c r="BE31" s="18">
        <f t="shared" si="11"/>
        <v>417766500</v>
      </c>
      <c r="BI31" s="1">
        <v>45595</v>
      </c>
      <c r="BJ31" s="26">
        <f>HLOOKUP(BI31,Hoja2!$R$2:$AV$88,87,FALSE)</f>
        <v>0</v>
      </c>
      <c r="BK31" s="77">
        <f>HLOOKUP(BI31,Hoja2!$R$2:$AV$89,88,FALSE)</f>
        <v>950.89</v>
      </c>
      <c r="BL31" s="26">
        <f>HLOOKUP(BI31,Hoja2!$R$2:$AV$90,89,FALSE)</f>
        <v>0</v>
      </c>
      <c r="BM31" s="79">
        <f>HLOOKUP(BI31,Hoja2!$R$2:$AV$91,90,FALSE)</f>
        <v>0</v>
      </c>
      <c r="BO31" s="11"/>
      <c r="BP31" s="12">
        <v>110296</v>
      </c>
      <c r="BQ31" s="12" t="s">
        <v>123</v>
      </c>
      <c r="BR31" s="12" t="str">
        <f>+BR30</f>
        <v>CPA Fondeo MBI USD a OZ CAMBIO 0 USD T/C 928,37</v>
      </c>
      <c r="BS31" s="13"/>
      <c r="BT31" s="18">
        <f t="shared" ref="BT31" si="72">+BS30</f>
        <v>0</v>
      </c>
      <c r="BX31" s="1">
        <v>45595</v>
      </c>
      <c r="BY31" s="26">
        <f>HLOOKUP(BX31,Hoja2!$R$2:$AV$82,81,FALSE)</f>
        <v>0</v>
      </c>
      <c r="BZ31" s="77">
        <f>HLOOKUP(BX31,Hoja2!$R$2:$AV$83,82,FALSE)</f>
        <v>0</v>
      </c>
      <c r="CA31" s="26">
        <f>HLOOKUP(BX31,Hoja2!$R$2:$AV$84,83,FALSE)</f>
        <v>0</v>
      </c>
      <c r="CB31" s="79">
        <f>HLOOKUP(BX31,Hoja2!$R$2:$AV$85,84,FALSE)</f>
        <v>0</v>
      </c>
      <c r="CD31" s="11"/>
      <c r="CE31" s="12">
        <v>110296</v>
      </c>
      <c r="CF31" s="12" t="s">
        <v>123</v>
      </c>
      <c r="CG31" s="12" t="str">
        <f>+CG30</f>
        <v>CPA Fondeo MBI USD a BICE USD 0 USD T/C 0</v>
      </c>
      <c r="CH31" s="13"/>
      <c r="CI31" s="18">
        <f t="shared" ref="CI31" si="73">+CH30</f>
        <v>0</v>
      </c>
    </row>
    <row r="32" spans="1:87" x14ac:dyDescent="0.25">
      <c r="A32" s="1">
        <v>45596</v>
      </c>
      <c r="B32" s="26" t="str">
        <f>HLOOKUP(A32,Hoja2!$R$2:$AV$61,60,FALSE)</f>
        <v>-</v>
      </c>
      <c r="E32" s="15">
        <v>45459</v>
      </c>
      <c r="F32" s="8">
        <v>110295</v>
      </c>
      <c r="G32" s="8" t="s">
        <v>122</v>
      </c>
      <c r="H32" s="8" t="str">
        <f t="shared" ref="H32" si="74">"CPA Traspaso de Fondos Bco. BCI 648 a MBI "</f>
        <v xml:space="preserve">CPA Traspaso de Fondos Bco. BCI 648 a MBI </v>
      </c>
      <c r="I32" s="16">
        <f>+B17</f>
        <v>1122690000</v>
      </c>
      <c r="J32" s="17"/>
      <c r="N32" s="1">
        <v>45596</v>
      </c>
      <c r="O32" s="26">
        <f>HLOOKUP(N32,Hoja2!$R$2:$AV$65,64,FALSE)</f>
        <v>0</v>
      </c>
      <c r="P32" s="77">
        <f>HLOOKUP(N32,Hoja2!$R$2:$AV$63,62,FALSE)</f>
        <v>0</v>
      </c>
      <c r="Q32" s="26">
        <f>HLOOKUP(N32,Hoja2!$R$2:$AV$64,63,FALSE)</f>
        <v>0</v>
      </c>
      <c r="R32" s="26"/>
      <c r="T32" s="15">
        <v>45459</v>
      </c>
      <c r="U32">
        <v>110296</v>
      </c>
      <c r="V32" t="s">
        <v>123</v>
      </c>
      <c r="W32" t="str">
        <f>"CPA Compra Divisas " &amp;Q17&amp;" T/C "&amp;P17</f>
        <v>CPA Compra Divisas 0 T/C 0</v>
      </c>
      <c r="X32" s="3">
        <f>+O17</f>
        <v>0</v>
      </c>
      <c r="Y32" s="10"/>
      <c r="AD32" s="1">
        <v>45596</v>
      </c>
      <c r="AE32" s="26">
        <f>HLOOKUP(AD32,Hoja2!$R$2:$AV$66,65,FALSE)</f>
        <v>0</v>
      </c>
      <c r="AF32" s="77">
        <f>HLOOKUP(AD32,Hoja2!$R$2:$AV$67,66,FALSE)</f>
        <v>950.89</v>
      </c>
      <c r="AG32" s="26">
        <f>HLOOKUP(AD32,Hoja2!$R$2:$AV$68,67,FALSE)</f>
        <v>0</v>
      </c>
      <c r="AH32" s="79">
        <f>HLOOKUP(AD32,Hoja2!$R$2:$AV$69,68,FALSE)</f>
        <v>0</v>
      </c>
      <c r="AJ32" s="15">
        <v>45459</v>
      </c>
      <c r="AK32" s="8">
        <v>110275</v>
      </c>
      <c r="AL32" t="s">
        <v>82</v>
      </c>
      <c r="AM32" t="str">
        <f>"CPA Fondeo MBI USD a NIUM " &amp;AG17&amp;" USD T/C "&amp;AF17</f>
        <v>CPA Fondeo MBI USD a NIUM 1.7 M USD T/C 937,29</v>
      </c>
      <c r="AN32" s="3">
        <f>+AH17</f>
        <v>1593393000</v>
      </c>
      <c r="AO32" s="10"/>
      <c r="AT32" s="1">
        <v>45596</v>
      </c>
      <c r="AU32" s="26">
        <f>HLOOKUP(AT32,Hoja2!$R$2:$AV$70,69,FALSE)</f>
        <v>0</v>
      </c>
      <c r="AV32" s="77">
        <f>HLOOKUP(AT32,Hoja2!$R$2:$AV$71,70,FALSE)</f>
        <v>950.89</v>
      </c>
      <c r="AW32" s="26">
        <f>HLOOKUP(AT32,Hoja2!$R$2:$AV$72,71,FALSE)</f>
        <v>0</v>
      </c>
      <c r="AX32" s="79">
        <f>HLOOKUP(AT32,Hoja2!$R$2:$AV$73,72,FALSE)</f>
        <v>0</v>
      </c>
      <c r="AZ32" s="15">
        <v>45459</v>
      </c>
      <c r="BA32">
        <v>110820</v>
      </c>
      <c r="BB32" t="s">
        <v>92</v>
      </c>
      <c r="BC32" t="str">
        <f>"CPA Fondeo MBI USD a JPM COL " &amp;AW17&amp;" USD T/C "&amp;AV17</f>
        <v>CPA Fondeo MBI USD a JPM COL 0 USD T/C 937,29</v>
      </c>
      <c r="BD32" s="3">
        <f>+AX17</f>
        <v>0</v>
      </c>
      <c r="BE32" s="10"/>
      <c r="BI32" s="1">
        <v>45596</v>
      </c>
      <c r="BJ32" s="26">
        <f>HLOOKUP(BI32,Hoja2!$R$2:$AV$88,87,FALSE)</f>
        <v>0</v>
      </c>
      <c r="BK32" s="77">
        <f>HLOOKUP(BI32,Hoja2!$R$2:$AV$89,88,FALSE)</f>
        <v>950.89</v>
      </c>
      <c r="BL32" s="26">
        <f>HLOOKUP(BI32,Hoja2!$R$2:$AV$90,89,FALSE)</f>
        <v>0</v>
      </c>
      <c r="BM32" s="79">
        <f>HLOOKUP(BI32,Hoja2!$R$2:$AV$91,90,FALSE)</f>
        <v>0</v>
      </c>
      <c r="BO32" s="15">
        <v>45459</v>
      </c>
      <c r="BP32">
        <v>110292</v>
      </c>
      <c r="BQ32" t="s">
        <v>153</v>
      </c>
      <c r="BR32" t="str">
        <f>"CPA Fondeo MBI USD a OZ CAMBIO " &amp;BL17&amp;" USD T/C "&amp;BK17</f>
        <v>CPA Fondeo MBI USD a OZ CAMBIO 0 USD T/C 937,29</v>
      </c>
      <c r="BS32" s="3">
        <f>+BM17</f>
        <v>0</v>
      </c>
      <c r="BT32" s="10"/>
      <c r="BX32" s="1">
        <v>45596</v>
      </c>
      <c r="BY32" s="26">
        <f>HLOOKUP(BX32,Hoja2!$R$2:$AV$82,81,FALSE)</f>
        <v>0</v>
      </c>
      <c r="BZ32" s="77">
        <f>HLOOKUP(BX32,Hoja2!$R$2:$AV$83,82,FALSE)</f>
        <v>0</v>
      </c>
      <c r="CA32" s="26">
        <f>HLOOKUP(BX32,Hoja2!$R$2:$AV$84,83,FALSE)</f>
        <v>0</v>
      </c>
      <c r="CB32" s="79">
        <f>HLOOKUP(BX32,Hoja2!$R$2:$AV$85,84,FALSE)</f>
        <v>0</v>
      </c>
      <c r="CD32" s="15">
        <v>45459</v>
      </c>
      <c r="CE32">
        <v>110205</v>
      </c>
      <c r="CF32" t="s">
        <v>154</v>
      </c>
      <c r="CG32" t="str">
        <f>"CPA Fondeo MBI USD a BICE USD " &amp;CA17&amp;" USD T/C "&amp;BZ17</f>
        <v>CPA Fondeo MBI USD a BICE USD 0 USD T/C 0</v>
      </c>
      <c r="CH32" s="3">
        <f>+CB17</f>
        <v>0</v>
      </c>
      <c r="CI32" s="10"/>
    </row>
    <row r="33" spans="2:87" x14ac:dyDescent="0.25">
      <c r="B33" s="26">
        <f>SUM(B2:B32)</f>
        <v>24857300000</v>
      </c>
      <c r="E33" s="11"/>
      <c r="F33" s="12">
        <v>110208</v>
      </c>
      <c r="G33" s="12" t="s">
        <v>46</v>
      </c>
      <c r="H33" s="12" t="str">
        <f t="shared" ref="H33" si="75">H32</f>
        <v xml:space="preserve">CPA Traspaso de Fondos Bco. BCI 648 a MBI </v>
      </c>
      <c r="I33" s="13"/>
      <c r="J33" s="18">
        <f>I32</f>
        <v>1122690000</v>
      </c>
      <c r="O33" s="3">
        <f>SUM(O2:O32)</f>
        <v>0</v>
      </c>
      <c r="T33" s="11"/>
      <c r="U33" s="12">
        <v>110295</v>
      </c>
      <c r="V33" s="12" t="s">
        <v>122</v>
      </c>
      <c r="W33" s="12" t="str">
        <f>+W32</f>
        <v>CPA Compra Divisas 0 T/C 0</v>
      </c>
      <c r="X33" s="13"/>
      <c r="Y33" s="18">
        <f t="shared" ref="Y33" si="76">+X32</f>
        <v>0</v>
      </c>
      <c r="AE33" s="3">
        <f>SUM(AE2:AE32)</f>
        <v>16650000</v>
      </c>
      <c r="AH33" s="3">
        <f>SUM(AH2:AH32)</f>
        <v>15480382000</v>
      </c>
      <c r="AJ33" s="11"/>
      <c r="AK33" s="12">
        <v>110296</v>
      </c>
      <c r="AL33" s="12" t="s">
        <v>123</v>
      </c>
      <c r="AM33" s="12" t="str">
        <f>+AM32</f>
        <v>CPA Fondeo MBI USD a NIUM 1.7 M USD T/C 937,29</v>
      </c>
      <c r="AN33" s="13"/>
      <c r="AO33" s="18">
        <f t="shared" si="10"/>
        <v>1593393000</v>
      </c>
      <c r="AU33" s="3">
        <f>SUM(AU2:AU32)</f>
        <v>8650000</v>
      </c>
      <c r="AX33" s="3">
        <f>SUM(AX2:AX32)</f>
        <v>8081948500</v>
      </c>
      <c r="AZ33" s="11"/>
      <c r="BA33" s="12">
        <v>110296</v>
      </c>
      <c r="BB33" s="12" t="s">
        <v>123</v>
      </c>
      <c r="BC33" s="12" t="str">
        <f>+BC32</f>
        <v>CPA Fondeo MBI USD a JPM COL 0 USD T/C 937,29</v>
      </c>
      <c r="BD33" s="13"/>
      <c r="BE33" s="18">
        <f t="shared" si="11"/>
        <v>0</v>
      </c>
      <c r="BJ33" s="3">
        <f>SUM(BJ2:BJ32)</f>
        <v>950000</v>
      </c>
      <c r="BM33" s="3">
        <f>SUM(BM2:BM32)</f>
        <v>897933500</v>
      </c>
      <c r="BO33" s="11"/>
      <c r="BP33" s="12">
        <v>110296</v>
      </c>
      <c r="BQ33" s="12" t="s">
        <v>123</v>
      </c>
      <c r="BR33" s="12" t="str">
        <f>+BR32</f>
        <v>CPA Fondeo MBI USD a OZ CAMBIO 0 USD T/C 937,29</v>
      </c>
      <c r="BS33" s="13"/>
      <c r="BT33" s="18">
        <f t="shared" ref="BT33" si="77">+BS32</f>
        <v>0</v>
      </c>
      <c r="BY33" s="3">
        <f>SUM(BY2:BY32)</f>
        <v>0</v>
      </c>
      <c r="CB33" s="3">
        <f>SUM(CB2:CB32)</f>
        <v>0</v>
      </c>
      <c r="CD33" s="11"/>
      <c r="CE33" s="12">
        <v>110296</v>
      </c>
      <c r="CF33" s="12" t="s">
        <v>123</v>
      </c>
      <c r="CG33" s="12" t="str">
        <f>+CG32</f>
        <v>CPA Fondeo MBI USD a BICE USD 0 USD T/C 0</v>
      </c>
      <c r="CH33" s="13"/>
      <c r="CI33" s="18">
        <f t="shared" ref="CI33" si="78">+CH32</f>
        <v>0</v>
      </c>
    </row>
    <row r="34" spans="2:87" x14ac:dyDescent="0.25">
      <c r="B34" s="26"/>
      <c r="E34" s="15">
        <v>45460</v>
      </c>
      <c r="F34" s="8">
        <v>110295</v>
      </c>
      <c r="G34" s="8" t="s">
        <v>122</v>
      </c>
      <c r="H34" s="8" t="str">
        <f t="shared" ref="H34" si="79">"CPA Traspaso de Fondos Bco. BCI 648 a MBI "</f>
        <v xml:space="preserve">CPA Traspaso de Fondos Bco. BCI 648 a MBI </v>
      </c>
      <c r="I34" s="16">
        <f>+B18</f>
        <v>1183325000</v>
      </c>
      <c r="J34" s="17"/>
      <c r="T34" s="15">
        <v>45460</v>
      </c>
      <c r="U34">
        <v>110296</v>
      </c>
      <c r="V34" t="s">
        <v>123</v>
      </c>
      <c r="W34" t="str">
        <f>"CPA Compra Divisas " &amp;Q18&amp;" T/C "&amp;P18</f>
        <v>CPA Compra Divisas 0 T/C 0</v>
      </c>
      <c r="X34" s="3">
        <f>+O18</f>
        <v>0</v>
      </c>
      <c r="Y34" s="10"/>
      <c r="AJ34" s="15">
        <v>45460</v>
      </c>
      <c r="AK34" s="8">
        <v>110275</v>
      </c>
      <c r="AL34" t="s">
        <v>82</v>
      </c>
      <c r="AM34" t="str">
        <f>"CPA Fondeo MBI USD a NIUM " &amp;AG18&amp;" USD T/C "&amp;AF18</f>
        <v>CPA Fondeo MBI USD a NIUM 0 USD T/C 941,3</v>
      </c>
      <c r="AN34" s="3">
        <f>+AH18</f>
        <v>0</v>
      </c>
      <c r="AO34" s="10"/>
      <c r="AZ34" s="15">
        <v>45460</v>
      </c>
      <c r="BA34">
        <v>110820</v>
      </c>
      <c r="BB34" t="s">
        <v>92</v>
      </c>
      <c r="BC34" t="str">
        <f>"CPA Fondeo MBI USD a JPM COL " &amp;AW18&amp;" USD T/C "&amp;AV18</f>
        <v>CPA Fondeo MBI USD a JPM COL 950K USD T/C 941,3</v>
      </c>
      <c r="BD34" s="3">
        <f>+AX18</f>
        <v>894235000</v>
      </c>
      <c r="BE34" s="10"/>
      <c r="BO34" s="15">
        <v>45460</v>
      </c>
      <c r="BP34">
        <v>110292</v>
      </c>
      <c r="BQ34" t="s">
        <v>153</v>
      </c>
      <c r="BR34" t="str">
        <f>"CPA Fondeo MBI USD a OZ CAMBIO " &amp;BL18&amp;" USD T/C "&amp;BK18</f>
        <v>CPA Fondeo MBI USD a OZ CAMBIO 300K USD T/C 941,3</v>
      </c>
      <c r="BS34" s="3">
        <f>+BM18</f>
        <v>282390000</v>
      </c>
      <c r="BT34" s="10"/>
      <c r="CD34" s="15">
        <v>45460</v>
      </c>
      <c r="CE34">
        <v>110205</v>
      </c>
      <c r="CF34" t="s">
        <v>154</v>
      </c>
      <c r="CG34" t="str">
        <f>"CPA Fondeo MBI USD a BICE USD " &amp;CA18&amp;" USD T/C "&amp;BZ18</f>
        <v>CPA Fondeo MBI USD a BICE USD 0 USD T/C 0</v>
      </c>
      <c r="CH34" s="3">
        <f>+CB18</f>
        <v>0</v>
      </c>
      <c r="CI34" s="10"/>
    </row>
    <row r="35" spans="2:87" x14ac:dyDescent="0.25">
      <c r="B35" s="26"/>
      <c r="E35" s="11"/>
      <c r="F35" s="12">
        <v>110208</v>
      </c>
      <c r="G35" s="12" t="s">
        <v>46</v>
      </c>
      <c r="H35" s="12" t="str">
        <f t="shared" ref="H35" si="80">H34</f>
        <v xml:space="preserve">CPA Traspaso de Fondos Bco. BCI 648 a MBI </v>
      </c>
      <c r="I35" s="13"/>
      <c r="J35" s="18">
        <f>I34</f>
        <v>1183325000</v>
      </c>
      <c r="T35" s="11"/>
      <c r="U35" s="12">
        <v>110295</v>
      </c>
      <c r="V35" s="12" t="s">
        <v>122</v>
      </c>
      <c r="W35" s="12" t="str">
        <f>+W34</f>
        <v>CPA Compra Divisas 0 T/C 0</v>
      </c>
      <c r="X35" s="13"/>
      <c r="Y35" s="18">
        <f t="shared" ref="Y35" si="81">+X34</f>
        <v>0</v>
      </c>
      <c r="AJ35" s="11"/>
      <c r="AK35" s="12">
        <v>110296</v>
      </c>
      <c r="AL35" s="12" t="s">
        <v>123</v>
      </c>
      <c r="AM35" s="12" t="str">
        <f>+AM34</f>
        <v>CPA Fondeo MBI USD a NIUM 0 USD T/C 941,3</v>
      </c>
      <c r="AN35" s="13"/>
      <c r="AO35" s="18">
        <f t="shared" si="10"/>
        <v>0</v>
      </c>
      <c r="AZ35" s="11"/>
      <c r="BA35" s="12">
        <v>110296</v>
      </c>
      <c r="BB35" s="12" t="s">
        <v>123</v>
      </c>
      <c r="BC35" s="12" t="str">
        <f>+BC34</f>
        <v>CPA Fondeo MBI USD a JPM COL 950K USD T/C 941,3</v>
      </c>
      <c r="BD35" s="13"/>
      <c r="BE35" s="18">
        <f t="shared" si="11"/>
        <v>894235000</v>
      </c>
      <c r="BO35" s="11"/>
      <c r="BP35" s="12">
        <v>110296</v>
      </c>
      <c r="BQ35" s="12" t="s">
        <v>123</v>
      </c>
      <c r="BR35" s="12" t="str">
        <f>+BR34</f>
        <v>CPA Fondeo MBI USD a OZ CAMBIO 300K USD T/C 941,3</v>
      </c>
      <c r="BS35" s="13"/>
      <c r="BT35" s="18">
        <f t="shared" ref="BT35" si="82">+BS34</f>
        <v>282390000</v>
      </c>
      <c r="CD35" s="11"/>
      <c r="CE35" s="12">
        <v>110296</v>
      </c>
      <c r="CF35" s="12" t="s">
        <v>123</v>
      </c>
      <c r="CG35" s="12" t="str">
        <f>+CG34</f>
        <v>CPA Fondeo MBI USD a BICE USD 0 USD T/C 0</v>
      </c>
      <c r="CH35" s="13"/>
      <c r="CI35" s="18">
        <f t="shared" ref="CI35" si="83">+CH34</f>
        <v>0</v>
      </c>
    </row>
    <row r="36" spans="2:87" x14ac:dyDescent="0.25">
      <c r="E36" s="15">
        <v>45461</v>
      </c>
      <c r="F36" s="8">
        <v>110295</v>
      </c>
      <c r="G36" s="8" t="s">
        <v>122</v>
      </c>
      <c r="H36" s="8" t="str">
        <f t="shared" ref="H36" si="84">"CPA Traspaso de Fondos Bco. BCI 648 a MBI "</f>
        <v xml:space="preserve">CPA Traspaso de Fondos Bco. BCI 648 a MBI </v>
      </c>
      <c r="I36" s="16" t="str">
        <f>+B19</f>
        <v>-</v>
      </c>
      <c r="J36" s="17"/>
      <c r="T36" s="15">
        <v>45461</v>
      </c>
      <c r="U36">
        <v>110296</v>
      </c>
      <c r="V36" t="s">
        <v>123</v>
      </c>
      <c r="W36" t="str">
        <f>"CPA Compra Divisas " &amp;Q19&amp;" T/C "&amp;P19</f>
        <v>CPA Compra Divisas 0 T/C 0</v>
      </c>
      <c r="X36" s="3">
        <f>+O19</f>
        <v>0</v>
      </c>
      <c r="Y36" s="10"/>
      <c r="AE36" s="2"/>
      <c r="AJ36" s="15">
        <v>45461</v>
      </c>
      <c r="AK36" s="8">
        <v>110275</v>
      </c>
      <c r="AL36" t="s">
        <v>82</v>
      </c>
      <c r="AM36" t="str">
        <f>"CPA Fondeo MBI USD a NIUM " &amp;AG19&amp;" USD T/C "&amp;AF19</f>
        <v>CPA Fondeo MBI USD a NIUM 0 USD T/C 945,01</v>
      </c>
      <c r="AN36" s="3">
        <f>+AH19</f>
        <v>0</v>
      </c>
      <c r="AO36" s="10"/>
      <c r="AU36" s="2"/>
      <c r="AZ36" s="15">
        <v>45461</v>
      </c>
      <c r="BA36">
        <v>110820</v>
      </c>
      <c r="BB36" t="s">
        <v>92</v>
      </c>
      <c r="BC36" t="str">
        <f>"CPA Fondeo MBI USD a JPM COL " &amp;AW19&amp;" USD T/C "&amp;AV19</f>
        <v>CPA Fondeo MBI USD a JPM COL 0 USD T/C 945,01</v>
      </c>
      <c r="BD36" s="3">
        <f>+AX19</f>
        <v>0</v>
      </c>
      <c r="BE36" s="10"/>
      <c r="BJ36" s="2"/>
      <c r="BO36" s="15">
        <v>45461</v>
      </c>
      <c r="BP36">
        <v>110292</v>
      </c>
      <c r="BQ36" t="s">
        <v>153</v>
      </c>
      <c r="BR36" t="str">
        <f>"CPA Fondeo MBI USD a OZ CAMBIO " &amp;BL19&amp;" USD T/C "&amp;BK19</f>
        <v>CPA Fondeo MBI USD a OZ CAMBIO 0 USD T/C 945,01</v>
      </c>
      <c r="BS36" s="3">
        <f>+BM19</f>
        <v>0</v>
      </c>
      <c r="BT36" s="10"/>
      <c r="BY36" s="2"/>
      <c r="CD36" s="15">
        <v>45461</v>
      </c>
      <c r="CE36">
        <v>110205</v>
      </c>
      <c r="CF36" t="s">
        <v>154</v>
      </c>
      <c r="CG36" t="str">
        <f>"CPA Fondeo MBI USD a BICE USD " &amp;CA19&amp;" USD T/C "&amp;BZ19</f>
        <v>CPA Fondeo MBI USD a BICE USD 0 USD T/C 0</v>
      </c>
      <c r="CH36" s="3">
        <f>+CB19</f>
        <v>0</v>
      </c>
      <c r="CI36" s="10"/>
    </row>
    <row r="37" spans="2:87" x14ac:dyDescent="0.25">
      <c r="E37" s="11"/>
      <c r="F37" s="12">
        <v>110208</v>
      </c>
      <c r="G37" s="12" t="s">
        <v>46</v>
      </c>
      <c r="H37" s="12" t="str">
        <f t="shared" ref="H37" si="85">H36</f>
        <v xml:space="preserve">CPA Traspaso de Fondos Bco. BCI 648 a MBI </v>
      </c>
      <c r="I37" s="13"/>
      <c r="J37" s="18" t="str">
        <f>I36</f>
        <v>-</v>
      </c>
      <c r="T37" s="11"/>
      <c r="U37" s="12">
        <v>110295</v>
      </c>
      <c r="V37" s="12" t="s">
        <v>122</v>
      </c>
      <c r="W37" s="12" t="str">
        <f>+W36</f>
        <v>CPA Compra Divisas 0 T/C 0</v>
      </c>
      <c r="X37" s="13"/>
      <c r="Y37" s="18">
        <f t="shared" ref="Y37" si="86">+X36</f>
        <v>0</v>
      </c>
      <c r="AE37" s="2"/>
      <c r="AJ37" s="11"/>
      <c r="AK37" s="12">
        <v>110296</v>
      </c>
      <c r="AL37" s="12" t="s">
        <v>123</v>
      </c>
      <c r="AM37" s="12" t="str">
        <f>+AM36</f>
        <v>CPA Fondeo MBI USD a NIUM 0 USD T/C 945,01</v>
      </c>
      <c r="AN37" s="13"/>
      <c r="AO37" s="18">
        <f t="shared" si="10"/>
        <v>0</v>
      </c>
      <c r="AU37" s="2"/>
      <c r="AZ37" s="11"/>
      <c r="BA37" s="12">
        <v>110296</v>
      </c>
      <c r="BB37" s="12" t="s">
        <v>123</v>
      </c>
      <c r="BC37" s="12" t="str">
        <f>+BC36</f>
        <v>CPA Fondeo MBI USD a JPM COL 0 USD T/C 945,01</v>
      </c>
      <c r="BD37" s="13"/>
      <c r="BE37" s="18">
        <f t="shared" si="11"/>
        <v>0</v>
      </c>
      <c r="BJ37" s="2"/>
      <c r="BO37" s="11"/>
      <c r="BP37" s="12">
        <v>110296</v>
      </c>
      <c r="BQ37" s="12" t="s">
        <v>123</v>
      </c>
      <c r="BR37" s="12" t="str">
        <f>+BR36</f>
        <v>CPA Fondeo MBI USD a OZ CAMBIO 0 USD T/C 945,01</v>
      </c>
      <c r="BS37" s="13"/>
      <c r="BT37" s="18">
        <f t="shared" ref="BT37" si="87">+BS36</f>
        <v>0</v>
      </c>
      <c r="BY37" s="2"/>
      <c r="CD37" s="11"/>
      <c r="CE37" s="12">
        <v>110296</v>
      </c>
      <c r="CF37" s="12" t="s">
        <v>123</v>
      </c>
      <c r="CG37" s="12" t="str">
        <f>+CG36</f>
        <v>CPA Fondeo MBI USD a BICE USD 0 USD T/C 0</v>
      </c>
      <c r="CH37" s="13"/>
      <c r="CI37" s="18">
        <f t="shared" ref="CI37" si="88">+CH36</f>
        <v>0</v>
      </c>
    </row>
    <row r="38" spans="2:87" x14ac:dyDescent="0.25">
      <c r="E38" s="15">
        <v>45462</v>
      </c>
      <c r="F38" s="8">
        <v>110295</v>
      </c>
      <c r="G38" s="8" t="s">
        <v>122</v>
      </c>
      <c r="H38" s="8" t="str">
        <f t="shared" ref="H38" si="89">"CPA Traspaso de Fondos Bco. BCI 648 a MBI "</f>
        <v xml:space="preserve">CPA Traspaso de Fondos Bco. BCI 648 a MBI </v>
      </c>
      <c r="I38" s="16" t="str">
        <f>+B20</f>
        <v>-</v>
      </c>
      <c r="J38" s="17"/>
      <c r="T38" s="15">
        <v>45462</v>
      </c>
      <c r="U38">
        <v>110296</v>
      </c>
      <c r="V38" t="s">
        <v>123</v>
      </c>
      <c r="W38" t="str">
        <f>"CPA Compra Divisas " &amp;Q20&amp;" T/C "&amp;P20</f>
        <v>CPA Compra Divisas 0 T/C 0</v>
      </c>
      <c r="X38" s="3">
        <f>+O20</f>
        <v>0</v>
      </c>
      <c r="Y38" s="10"/>
      <c r="AE38" s="2"/>
      <c r="AJ38" s="15">
        <v>45462</v>
      </c>
      <c r="AK38" s="8">
        <v>110275</v>
      </c>
      <c r="AL38" t="s">
        <v>82</v>
      </c>
      <c r="AM38" t="str">
        <f>"CPA Fondeo MBI USD a NIUM " &amp;AG20&amp;" USD T/C "&amp;AF20</f>
        <v>CPA Fondeo MBI USD a NIUM 0 USD T/C 945,01</v>
      </c>
      <c r="AN38" s="3">
        <f>+AH20</f>
        <v>0</v>
      </c>
      <c r="AO38" s="10"/>
      <c r="AU38" s="2"/>
      <c r="AZ38" s="15">
        <v>45462</v>
      </c>
      <c r="BA38">
        <v>110820</v>
      </c>
      <c r="BB38" t="s">
        <v>92</v>
      </c>
      <c r="BC38" t="str">
        <f>"CPA Fondeo MBI USD a JPM COL " &amp;AW20&amp;" USD T/C "&amp;AV20</f>
        <v>CPA Fondeo MBI USD a JPM COL 0 USD T/C 945,01</v>
      </c>
      <c r="BD38" s="3">
        <f>+AX20</f>
        <v>0</v>
      </c>
      <c r="BE38" s="10"/>
      <c r="BJ38" s="2"/>
      <c r="BO38" s="15">
        <v>45462</v>
      </c>
      <c r="BP38">
        <v>110292</v>
      </c>
      <c r="BQ38" t="s">
        <v>153</v>
      </c>
      <c r="BR38" t="str">
        <f>"CPA Fondeo MBI USD a OZ CAMBIO " &amp;BL20&amp;" USD T/C "&amp;BK20</f>
        <v>CPA Fondeo MBI USD a OZ CAMBIO 0 USD T/C 945,01</v>
      </c>
      <c r="BS38" s="3">
        <f>+BM20</f>
        <v>0</v>
      </c>
      <c r="BT38" s="10"/>
      <c r="BY38" s="2"/>
      <c r="CD38" s="15">
        <v>45462</v>
      </c>
      <c r="CE38">
        <v>110205</v>
      </c>
      <c r="CF38" t="s">
        <v>154</v>
      </c>
      <c r="CG38" t="str">
        <f>"CPA Fondeo MBI USD a BICE USD " &amp;CA20&amp;" USD T/C "&amp;BZ20</f>
        <v>CPA Fondeo MBI USD a BICE USD 0 USD T/C 0</v>
      </c>
      <c r="CH38" s="3">
        <f>+CB20</f>
        <v>0</v>
      </c>
      <c r="CI38" s="10"/>
    </row>
    <row r="39" spans="2:87" x14ac:dyDescent="0.25">
      <c r="E39" s="11"/>
      <c r="F39" s="12">
        <v>110208</v>
      </c>
      <c r="G39" s="12" t="s">
        <v>46</v>
      </c>
      <c r="H39" s="12" t="str">
        <f t="shared" ref="H39" si="90">H38</f>
        <v xml:space="preserve">CPA Traspaso de Fondos Bco. BCI 648 a MBI </v>
      </c>
      <c r="I39" s="13"/>
      <c r="J39" s="18" t="str">
        <f>I38</f>
        <v>-</v>
      </c>
      <c r="T39" s="11"/>
      <c r="U39" s="12">
        <v>110295</v>
      </c>
      <c r="V39" s="12" t="s">
        <v>122</v>
      </c>
      <c r="W39" s="12" t="str">
        <f>+W38</f>
        <v>CPA Compra Divisas 0 T/C 0</v>
      </c>
      <c r="X39" s="13"/>
      <c r="Y39" s="18">
        <f t="shared" ref="Y39" si="91">+X38</f>
        <v>0</v>
      </c>
      <c r="AE39" s="2"/>
      <c r="AJ39" s="11"/>
      <c r="AK39" s="12">
        <v>110296</v>
      </c>
      <c r="AL39" s="12" t="s">
        <v>123</v>
      </c>
      <c r="AM39" s="12" t="str">
        <f>+AM38</f>
        <v>CPA Fondeo MBI USD a NIUM 0 USD T/C 945,01</v>
      </c>
      <c r="AN39" s="13"/>
      <c r="AO39" s="18">
        <f t="shared" si="10"/>
        <v>0</v>
      </c>
      <c r="AU39" s="2"/>
      <c r="AZ39" s="11"/>
      <c r="BA39" s="12">
        <v>110296</v>
      </c>
      <c r="BB39" s="12" t="s">
        <v>123</v>
      </c>
      <c r="BC39" s="12" t="str">
        <f>+BC38</f>
        <v>CPA Fondeo MBI USD a JPM COL 0 USD T/C 945,01</v>
      </c>
      <c r="BD39" s="13"/>
      <c r="BE39" s="18">
        <f t="shared" si="11"/>
        <v>0</v>
      </c>
      <c r="BJ39" s="2"/>
      <c r="BO39" s="11"/>
      <c r="BP39" s="12">
        <v>110296</v>
      </c>
      <c r="BQ39" s="12" t="s">
        <v>123</v>
      </c>
      <c r="BR39" s="12" t="str">
        <f>+BR38</f>
        <v>CPA Fondeo MBI USD a OZ CAMBIO 0 USD T/C 945,01</v>
      </c>
      <c r="BS39" s="13"/>
      <c r="BT39" s="18">
        <f t="shared" ref="BT39" si="92">+BS38</f>
        <v>0</v>
      </c>
      <c r="BY39" s="2"/>
      <c r="CD39" s="11"/>
      <c r="CE39" s="12">
        <v>110296</v>
      </c>
      <c r="CF39" s="12" t="s">
        <v>123</v>
      </c>
      <c r="CG39" s="12" t="str">
        <f>+CG38</f>
        <v>CPA Fondeo MBI USD a BICE USD 0 USD T/C 0</v>
      </c>
      <c r="CH39" s="13"/>
      <c r="CI39" s="18">
        <f t="shared" ref="CI39" si="93">+CH38</f>
        <v>0</v>
      </c>
    </row>
    <row r="40" spans="2:87" x14ac:dyDescent="0.25">
      <c r="E40" s="15">
        <v>45463</v>
      </c>
      <c r="F40" s="8">
        <v>110295</v>
      </c>
      <c r="G40" s="8" t="s">
        <v>122</v>
      </c>
      <c r="H40" s="8" t="str">
        <f t="shared" ref="H40" si="94">"CPA Traspaso de Fondos Bco. BCI 648 a MBI "</f>
        <v xml:space="preserve">CPA Traspaso de Fondos Bco. BCI 648 a MBI </v>
      </c>
      <c r="I40" s="16" t="str">
        <f>+B21</f>
        <v>-</v>
      </c>
      <c r="J40" s="17"/>
      <c r="T40" s="15">
        <v>45463</v>
      </c>
      <c r="U40">
        <v>110296</v>
      </c>
      <c r="V40" t="s">
        <v>123</v>
      </c>
      <c r="W40" t="str">
        <f>"CPA Compra Divisas " &amp;Q21&amp;" T/C "&amp;P21</f>
        <v>CPA Compra Divisas 0 T/C 0</v>
      </c>
      <c r="X40" s="3">
        <f>+O21</f>
        <v>0</v>
      </c>
      <c r="Y40" s="10"/>
      <c r="AE40" s="2"/>
      <c r="AJ40" s="15">
        <v>45463</v>
      </c>
      <c r="AK40" s="8">
        <v>110275</v>
      </c>
      <c r="AL40" t="s">
        <v>82</v>
      </c>
      <c r="AM40" t="str">
        <f>"CPA Fondeo MBI USD a NIUM " &amp;AG21&amp;" USD T/C "&amp;AF21</f>
        <v>CPA Fondeo MBI USD a NIUM 0 USD T/C 945,01</v>
      </c>
      <c r="AN40" s="3">
        <f>+AH21</f>
        <v>0</v>
      </c>
      <c r="AO40" s="10"/>
      <c r="AU40" s="2"/>
      <c r="AZ40" s="15">
        <v>45463</v>
      </c>
      <c r="BA40">
        <v>110820</v>
      </c>
      <c r="BB40" t="s">
        <v>92</v>
      </c>
      <c r="BC40" t="str">
        <f>"CPA Fondeo MBI USD a JPM COL " &amp;AW21&amp;" USD T/C "&amp;AV21</f>
        <v>CPA Fondeo MBI USD a JPM COL 0 USD T/C 945,01</v>
      </c>
      <c r="BD40" s="3">
        <f>+AX21</f>
        <v>0</v>
      </c>
      <c r="BE40" s="10"/>
      <c r="BJ40" s="2"/>
      <c r="BO40" s="15">
        <v>45463</v>
      </c>
      <c r="BP40">
        <v>110292</v>
      </c>
      <c r="BQ40" t="s">
        <v>153</v>
      </c>
      <c r="BR40" t="str">
        <f>"CPA Fondeo MBI USD a OZ CAMBIO " &amp;BL21&amp;" USD T/C "&amp;BK21</f>
        <v>CPA Fondeo MBI USD a OZ CAMBIO 0 USD T/C 945,01</v>
      </c>
      <c r="BS40" s="3">
        <f>+BM21</f>
        <v>0</v>
      </c>
      <c r="BT40" s="10"/>
      <c r="BY40" s="2"/>
      <c r="CD40" s="15">
        <v>45463</v>
      </c>
      <c r="CE40">
        <v>110205</v>
      </c>
      <c r="CF40" t="s">
        <v>154</v>
      </c>
      <c r="CG40" t="str">
        <f>"CPA Fondeo MBI USD a BICE USD " &amp;CA21&amp;" USD T/C "&amp;BZ21</f>
        <v>CPA Fondeo MBI USD a BICE USD 0 USD T/C 0</v>
      </c>
      <c r="CH40" s="3">
        <f>+CB21</f>
        <v>0</v>
      </c>
      <c r="CI40" s="10"/>
    </row>
    <row r="41" spans="2:87" x14ac:dyDescent="0.25">
      <c r="E41" s="11"/>
      <c r="F41" s="12">
        <v>110208</v>
      </c>
      <c r="G41" s="12" t="s">
        <v>46</v>
      </c>
      <c r="H41" s="12" t="str">
        <f t="shared" ref="H41" si="95">H40</f>
        <v xml:space="preserve">CPA Traspaso de Fondos Bco. BCI 648 a MBI </v>
      </c>
      <c r="I41" s="13"/>
      <c r="J41" s="18" t="str">
        <f>I40</f>
        <v>-</v>
      </c>
      <c r="N41" s="42"/>
      <c r="T41" s="11"/>
      <c r="U41" s="12">
        <v>110295</v>
      </c>
      <c r="V41" s="12" t="s">
        <v>122</v>
      </c>
      <c r="W41" s="12" t="str">
        <f>+W40</f>
        <v>CPA Compra Divisas 0 T/C 0</v>
      </c>
      <c r="X41" s="13"/>
      <c r="Y41" s="18">
        <f t="shared" ref="Y41" si="96">+X40</f>
        <v>0</v>
      </c>
      <c r="AE41" s="2"/>
      <c r="AJ41" s="11"/>
      <c r="AK41" s="12">
        <v>110296</v>
      </c>
      <c r="AL41" s="12" t="s">
        <v>123</v>
      </c>
      <c r="AM41" s="12" t="str">
        <f>+AM40</f>
        <v>CPA Fondeo MBI USD a NIUM 0 USD T/C 945,01</v>
      </c>
      <c r="AN41" s="13"/>
      <c r="AO41" s="18">
        <f t="shared" si="10"/>
        <v>0</v>
      </c>
      <c r="AU41" s="2"/>
      <c r="AZ41" s="11"/>
      <c r="BA41" s="12">
        <v>110296</v>
      </c>
      <c r="BB41" s="12" t="s">
        <v>123</v>
      </c>
      <c r="BC41" s="12" t="str">
        <f>+BC40</f>
        <v>CPA Fondeo MBI USD a JPM COL 0 USD T/C 945,01</v>
      </c>
      <c r="BD41" s="13"/>
      <c r="BE41" s="18">
        <f t="shared" si="11"/>
        <v>0</v>
      </c>
      <c r="BJ41" s="2"/>
      <c r="BO41" s="11"/>
      <c r="BP41" s="12">
        <v>110296</v>
      </c>
      <c r="BQ41" s="12" t="s">
        <v>123</v>
      </c>
      <c r="BR41" s="12" t="str">
        <f>+BR40</f>
        <v>CPA Fondeo MBI USD a OZ CAMBIO 0 USD T/C 945,01</v>
      </c>
      <c r="BS41" s="13"/>
      <c r="BT41" s="18">
        <f t="shared" ref="BT41" si="97">+BS40</f>
        <v>0</v>
      </c>
      <c r="BY41" s="2"/>
      <c r="CD41" s="11"/>
      <c r="CE41" s="12">
        <v>110296</v>
      </c>
      <c r="CF41" s="12" t="s">
        <v>123</v>
      </c>
      <c r="CG41" s="12" t="str">
        <f>+CG40</f>
        <v>CPA Fondeo MBI USD a BICE USD 0 USD T/C 0</v>
      </c>
      <c r="CH41" s="13"/>
      <c r="CI41" s="18">
        <f t="shared" ref="CI41" si="98">+CH40</f>
        <v>0</v>
      </c>
    </row>
    <row r="42" spans="2:87" x14ac:dyDescent="0.25">
      <c r="E42" s="15">
        <v>45464</v>
      </c>
      <c r="F42" s="8">
        <v>110295</v>
      </c>
      <c r="G42" s="8" t="s">
        <v>122</v>
      </c>
      <c r="H42" s="8" t="str">
        <f t="shared" ref="H42" si="99">"CPA Traspaso de Fondos Bco. BCI 648 a MBI "</f>
        <v xml:space="preserve">CPA Traspaso de Fondos Bco. BCI 648 a MBI </v>
      </c>
      <c r="I42" s="16">
        <f>+B22</f>
        <v>1669225000</v>
      </c>
      <c r="J42" s="17"/>
      <c r="N42" s="42"/>
      <c r="T42" s="15">
        <v>45464</v>
      </c>
      <c r="U42">
        <v>110296</v>
      </c>
      <c r="V42" t="s">
        <v>123</v>
      </c>
      <c r="W42" t="str">
        <f>"CPA Compra Divisas " &amp;Q22&amp;" T/C "&amp;P22</f>
        <v>CPA Compra Divisas 0 T/C 0</v>
      </c>
      <c r="X42" s="3">
        <f>+O22</f>
        <v>0</v>
      </c>
      <c r="Y42" s="10"/>
      <c r="AE42" s="2"/>
      <c r="AJ42" s="15">
        <v>45464</v>
      </c>
      <c r="AK42" s="8">
        <v>110275</v>
      </c>
      <c r="AL42" t="s">
        <v>82</v>
      </c>
      <c r="AM42" t="str">
        <f>"CPA Fondeo MBI USD a NIUM " &amp;AG22&amp;" USD T/C "&amp;AF22</f>
        <v>CPA Fondeo MBI USD a NIUM 0 USD T/C 946,99</v>
      </c>
      <c r="AN42" s="3">
        <f>+AH22</f>
        <v>0</v>
      </c>
      <c r="AO42" s="10"/>
      <c r="AU42" s="2"/>
      <c r="AZ42" s="15">
        <v>45464</v>
      </c>
      <c r="BA42">
        <v>110820</v>
      </c>
      <c r="BB42" t="s">
        <v>92</v>
      </c>
      <c r="BC42" t="str">
        <f>"CPA Fondeo MBI USD a JPM COL " &amp;AW22&amp;" USD T/C "&amp;AV22</f>
        <v>CPA Fondeo MBI USD a JPM COL 1.1 M USD T/C 946,99</v>
      </c>
      <c r="BD42" s="3">
        <f>+AX22</f>
        <v>1041689000</v>
      </c>
      <c r="BE42" s="10"/>
      <c r="BJ42" s="2"/>
      <c r="BO42" s="15">
        <v>45464</v>
      </c>
      <c r="BP42">
        <v>110292</v>
      </c>
      <c r="BQ42" t="s">
        <v>153</v>
      </c>
      <c r="BR42" t="str">
        <f>"CPA Fondeo MBI USD a OZ CAMBIO " &amp;BL22&amp;" USD T/C "&amp;BK22</f>
        <v>CPA Fondeo MBI USD a OZ CAMBIO 650K USD T/C 946,99</v>
      </c>
      <c r="BS42" s="3">
        <f>+BM22</f>
        <v>615543500</v>
      </c>
      <c r="BT42" s="10"/>
      <c r="BY42" s="2"/>
      <c r="CD42" s="15">
        <v>45464</v>
      </c>
      <c r="CE42">
        <v>110205</v>
      </c>
      <c r="CF42" t="s">
        <v>154</v>
      </c>
      <c r="CG42" t="str">
        <f>"CPA Fondeo MBI USD a BICE USD " &amp;CA22&amp;" USD T/C "&amp;BZ22</f>
        <v>CPA Fondeo MBI USD a BICE USD 0 USD T/C 0</v>
      </c>
      <c r="CH42" s="3">
        <f>+CB22</f>
        <v>0</v>
      </c>
      <c r="CI42" s="10"/>
    </row>
    <row r="43" spans="2:87" x14ac:dyDescent="0.25">
      <c r="E43" s="11"/>
      <c r="F43" s="12">
        <v>110208</v>
      </c>
      <c r="G43" s="12" t="s">
        <v>46</v>
      </c>
      <c r="H43" s="12" t="str">
        <f t="shared" ref="H43" si="100">H42</f>
        <v xml:space="preserve">CPA Traspaso de Fondos Bco. BCI 648 a MBI </v>
      </c>
      <c r="I43" s="13"/>
      <c r="J43" s="18">
        <f>I42</f>
        <v>1669225000</v>
      </c>
      <c r="N43" s="42"/>
      <c r="T43" s="11"/>
      <c r="U43" s="12">
        <v>110295</v>
      </c>
      <c r="V43" s="12" t="s">
        <v>122</v>
      </c>
      <c r="W43" s="12" t="str">
        <f>+W42</f>
        <v>CPA Compra Divisas 0 T/C 0</v>
      </c>
      <c r="X43" s="13"/>
      <c r="Y43" s="18">
        <f t="shared" ref="Y43" si="101">+X42</f>
        <v>0</v>
      </c>
      <c r="AE43" s="2"/>
      <c r="AJ43" s="11"/>
      <c r="AK43" s="12">
        <v>110296</v>
      </c>
      <c r="AL43" s="12" t="s">
        <v>123</v>
      </c>
      <c r="AM43" s="12" t="str">
        <f>+AM42</f>
        <v>CPA Fondeo MBI USD a NIUM 0 USD T/C 946,99</v>
      </c>
      <c r="AN43" s="13"/>
      <c r="AO43" s="18">
        <f t="shared" si="10"/>
        <v>0</v>
      </c>
      <c r="AU43" s="2"/>
      <c r="AZ43" s="11"/>
      <c r="BA43" s="12">
        <v>110296</v>
      </c>
      <c r="BB43" s="12" t="s">
        <v>123</v>
      </c>
      <c r="BC43" s="12" t="str">
        <f>+BC42</f>
        <v>CPA Fondeo MBI USD a JPM COL 1.1 M USD T/C 946,99</v>
      </c>
      <c r="BD43" s="13"/>
      <c r="BE43" s="18">
        <f t="shared" si="11"/>
        <v>1041689000</v>
      </c>
      <c r="BJ43" s="2"/>
      <c r="BO43" s="11"/>
      <c r="BP43" s="12">
        <v>110296</v>
      </c>
      <c r="BQ43" s="12" t="s">
        <v>123</v>
      </c>
      <c r="BR43" s="12" t="str">
        <f>+BR42</f>
        <v>CPA Fondeo MBI USD a OZ CAMBIO 650K USD T/C 946,99</v>
      </c>
      <c r="BS43" s="13"/>
      <c r="BT43" s="18">
        <f t="shared" ref="BT43" si="102">+BS42</f>
        <v>615543500</v>
      </c>
      <c r="BY43" s="2"/>
      <c r="CD43" s="11"/>
      <c r="CE43" s="12">
        <v>110296</v>
      </c>
      <c r="CF43" s="12" t="s">
        <v>123</v>
      </c>
      <c r="CG43" s="12" t="str">
        <f>+CG42</f>
        <v>CPA Fondeo MBI USD a BICE USD 0 USD T/C 0</v>
      </c>
      <c r="CH43" s="13"/>
      <c r="CI43" s="18">
        <f t="shared" ref="CI43" si="103">+CH42</f>
        <v>0</v>
      </c>
    </row>
    <row r="44" spans="2:87" x14ac:dyDescent="0.25">
      <c r="E44" s="15">
        <v>45465</v>
      </c>
      <c r="F44" s="8">
        <v>110295</v>
      </c>
      <c r="G44" s="8" t="s">
        <v>122</v>
      </c>
      <c r="H44" s="8" t="str">
        <f t="shared" ref="H44" si="104">"CPA Traspaso de Fondos Bco. BCI 648 a MBI "</f>
        <v xml:space="preserve">CPA Traspaso de Fondos Bco. BCI 648 a MBI </v>
      </c>
      <c r="I44" s="16">
        <f>+B23</f>
        <v>947450000</v>
      </c>
      <c r="J44" s="17"/>
      <c r="T44" s="15">
        <v>45465</v>
      </c>
      <c r="U44">
        <v>110296</v>
      </c>
      <c r="V44" t="s">
        <v>123</v>
      </c>
      <c r="W44" t="str">
        <f>"CPA Compra Divisas " &amp;Q23&amp;" T/C "&amp;P23</f>
        <v>CPA Compra Divisas 0 T/C 0</v>
      </c>
      <c r="X44" s="3">
        <f>+O23</f>
        <v>0</v>
      </c>
      <c r="Y44" s="10"/>
      <c r="AE44" s="2"/>
      <c r="AJ44" s="15">
        <v>45465</v>
      </c>
      <c r="AK44" s="8">
        <v>110275</v>
      </c>
      <c r="AL44" t="s">
        <v>82</v>
      </c>
      <c r="AM44" t="str">
        <f>"CPA Fondeo MBI USD a NIUM " &amp;AG23&amp;" USD T/C "&amp;AF23</f>
        <v>CPA Fondeo MBI USD a NIUM 700K USD T/C 954,39</v>
      </c>
      <c r="AN44" s="3">
        <f>+AH23</f>
        <v>668073000</v>
      </c>
      <c r="AO44" s="10"/>
      <c r="AU44" s="2"/>
      <c r="AZ44" s="15">
        <v>45465</v>
      </c>
      <c r="BA44">
        <v>110820</v>
      </c>
      <c r="BB44" t="s">
        <v>92</v>
      </c>
      <c r="BC44" t="str">
        <f>"CPA Fondeo MBI USD a JPM COL " &amp;AW23&amp;" USD T/C "&amp;AV23</f>
        <v>CPA Fondeo MBI USD a JPM COL 300K USD T/C 954,39</v>
      </c>
      <c r="BD44" s="3">
        <f>+AX23</f>
        <v>286317000</v>
      </c>
      <c r="BE44" s="10"/>
      <c r="BJ44" s="2"/>
      <c r="BO44" s="15">
        <v>45465</v>
      </c>
      <c r="BP44">
        <v>110292</v>
      </c>
      <c r="BQ44" t="s">
        <v>153</v>
      </c>
      <c r="BR44" t="str">
        <f>"CPA Fondeo MBI USD a OZ CAMBIO " &amp;BL23&amp;" USD T/C "&amp;BK23</f>
        <v>CPA Fondeo MBI USD a OZ CAMBIO 0 USD T/C 954,39</v>
      </c>
      <c r="BS44" s="3">
        <f>+BM23</f>
        <v>0</v>
      </c>
      <c r="BT44" s="10"/>
      <c r="BY44" s="2"/>
      <c r="CD44" s="15">
        <v>45465</v>
      </c>
      <c r="CE44">
        <v>110205</v>
      </c>
      <c r="CF44" t="s">
        <v>154</v>
      </c>
      <c r="CG44" t="str">
        <f>"CPA Fondeo MBI USD a BICE USD " &amp;CA23&amp;" USD T/C "&amp;BZ23</f>
        <v>CPA Fondeo MBI USD a BICE USD 0 USD T/C 0</v>
      </c>
      <c r="CH44" s="3">
        <f>+CB23</f>
        <v>0</v>
      </c>
      <c r="CI44" s="10"/>
    </row>
    <row r="45" spans="2:87" x14ac:dyDescent="0.25">
      <c r="E45" s="11"/>
      <c r="F45" s="12">
        <v>110208</v>
      </c>
      <c r="G45" s="12" t="s">
        <v>46</v>
      </c>
      <c r="H45" s="12" t="str">
        <f t="shared" ref="H45" si="105">H44</f>
        <v xml:space="preserve">CPA Traspaso de Fondos Bco. BCI 648 a MBI </v>
      </c>
      <c r="I45" s="13"/>
      <c r="J45" s="18">
        <f>I44</f>
        <v>947450000</v>
      </c>
      <c r="T45" s="11"/>
      <c r="U45" s="12">
        <v>110295</v>
      </c>
      <c r="V45" s="12" t="s">
        <v>122</v>
      </c>
      <c r="W45" s="12" t="str">
        <f>+W44</f>
        <v>CPA Compra Divisas 0 T/C 0</v>
      </c>
      <c r="X45" s="13"/>
      <c r="Y45" s="18">
        <f t="shared" ref="Y45" si="106">+X44</f>
        <v>0</v>
      </c>
      <c r="AE45" s="2"/>
      <c r="AJ45" s="11"/>
      <c r="AK45" s="12">
        <v>110296</v>
      </c>
      <c r="AL45" s="12" t="s">
        <v>123</v>
      </c>
      <c r="AM45" s="12" t="str">
        <f>+AM44</f>
        <v>CPA Fondeo MBI USD a NIUM 700K USD T/C 954,39</v>
      </c>
      <c r="AN45" s="13"/>
      <c r="AO45" s="18">
        <f t="shared" si="10"/>
        <v>668073000</v>
      </c>
      <c r="AU45" s="2"/>
      <c r="AZ45" s="11"/>
      <c r="BA45" s="12">
        <v>110296</v>
      </c>
      <c r="BB45" s="12" t="s">
        <v>123</v>
      </c>
      <c r="BC45" s="12" t="str">
        <f>+BC44</f>
        <v>CPA Fondeo MBI USD a JPM COL 300K USD T/C 954,39</v>
      </c>
      <c r="BD45" s="13"/>
      <c r="BE45" s="18">
        <f t="shared" si="11"/>
        <v>286317000</v>
      </c>
      <c r="BJ45" s="2"/>
      <c r="BO45" s="11"/>
      <c r="BP45" s="12">
        <v>110296</v>
      </c>
      <c r="BQ45" s="12" t="s">
        <v>123</v>
      </c>
      <c r="BR45" s="12" t="str">
        <f>+BR44</f>
        <v>CPA Fondeo MBI USD a OZ CAMBIO 0 USD T/C 954,39</v>
      </c>
      <c r="BS45" s="13"/>
      <c r="BT45" s="18">
        <f t="shared" ref="BT45" si="107">+BS44</f>
        <v>0</v>
      </c>
      <c r="BY45" s="2"/>
      <c r="CD45" s="11"/>
      <c r="CE45" s="12">
        <v>110296</v>
      </c>
      <c r="CF45" s="12" t="s">
        <v>123</v>
      </c>
      <c r="CG45" s="12" t="str">
        <f>+CG44</f>
        <v>CPA Fondeo MBI USD a BICE USD 0 USD T/C 0</v>
      </c>
      <c r="CH45" s="13"/>
      <c r="CI45" s="18">
        <f t="shared" ref="CI45" si="108">+CH44</f>
        <v>0</v>
      </c>
    </row>
    <row r="46" spans="2:87" x14ac:dyDescent="0.25">
      <c r="E46" s="15">
        <v>45466</v>
      </c>
      <c r="F46" s="8">
        <v>110295</v>
      </c>
      <c r="G46" s="8" t="s">
        <v>122</v>
      </c>
      <c r="H46" s="8" t="str">
        <f t="shared" ref="H46" si="109">"CPA Traspaso de Fondos Bco. BCI 648 a MBI "</f>
        <v xml:space="preserve">CPA Traspaso de Fondos Bco. BCI 648 a MBI </v>
      </c>
      <c r="I46" s="16">
        <f>+B24</f>
        <v>1137040000</v>
      </c>
      <c r="J46" s="17"/>
      <c r="T46" s="15">
        <v>45466</v>
      </c>
      <c r="U46">
        <v>110296</v>
      </c>
      <c r="V46" t="s">
        <v>123</v>
      </c>
      <c r="W46" t="str">
        <f>"CPA Compra Divisas " &amp;Q24&amp;" T/C "&amp;P24</f>
        <v>CPA Compra Divisas 0 T/C 0</v>
      </c>
      <c r="X46" s="3">
        <f>+O24</f>
        <v>0</v>
      </c>
      <c r="Y46" s="10"/>
      <c r="AE46" s="2"/>
      <c r="AJ46" s="15">
        <v>45466</v>
      </c>
      <c r="AK46" s="8">
        <v>110275</v>
      </c>
      <c r="AL46" t="s">
        <v>82</v>
      </c>
      <c r="AM46" t="str">
        <f>"CPA Fondeo MBI USD a NIUM " &amp;AG24&amp;" USD T/C "&amp;AF24</f>
        <v>CPA Fondeo MBI USD a NIUM 1.2 M USD T/C 949</v>
      </c>
      <c r="AN46" s="3">
        <f>+AH24</f>
        <v>1138800000</v>
      </c>
      <c r="AO46" s="10"/>
      <c r="AU46" s="2"/>
      <c r="AZ46" s="15">
        <v>45466</v>
      </c>
      <c r="BA46">
        <v>110820</v>
      </c>
      <c r="BB46" t="s">
        <v>92</v>
      </c>
      <c r="BC46" t="str">
        <f>"CPA Fondeo MBI USD a JPM COL " &amp;AW24&amp;" USD T/C "&amp;AV24</f>
        <v>CPA Fondeo MBI USD a JPM COL 0 USD T/C 949</v>
      </c>
      <c r="BD46" s="3">
        <f>+AX24</f>
        <v>0</v>
      </c>
      <c r="BE46" s="10"/>
      <c r="BJ46" s="2"/>
      <c r="BO46" s="15">
        <v>45466</v>
      </c>
      <c r="BP46">
        <v>110292</v>
      </c>
      <c r="BQ46" t="s">
        <v>153</v>
      </c>
      <c r="BR46" t="str">
        <f>"CPA Fondeo MBI USD a OZ CAMBIO " &amp;BL24&amp;" USD T/C "&amp;BK24</f>
        <v>CPA Fondeo MBI USD a OZ CAMBIO 0 USD T/C 949</v>
      </c>
      <c r="BS46" s="3">
        <f>+BM24</f>
        <v>0</v>
      </c>
      <c r="BT46" s="10"/>
      <c r="BY46" s="2"/>
      <c r="CD46" s="15">
        <v>45466</v>
      </c>
      <c r="CE46">
        <v>110205</v>
      </c>
      <c r="CF46" t="s">
        <v>154</v>
      </c>
      <c r="CG46" t="str">
        <f>"CPA Fondeo MBI USD a BICE USD " &amp;CA24&amp;" USD T/C "&amp;BZ24</f>
        <v>CPA Fondeo MBI USD a BICE USD 0 USD T/C 0</v>
      </c>
      <c r="CH46" s="3">
        <f>+CB24</f>
        <v>0</v>
      </c>
      <c r="CI46" s="10"/>
    </row>
    <row r="47" spans="2:87" x14ac:dyDescent="0.25">
      <c r="E47" s="11"/>
      <c r="F47" s="12">
        <v>110208</v>
      </c>
      <c r="G47" s="12" t="s">
        <v>46</v>
      </c>
      <c r="H47" s="12" t="str">
        <f t="shared" ref="H47" si="110">H46</f>
        <v xml:space="preserve">CPA Traspaso de Fondos Bco. BCI 648 a MBI </v>
      </c>
      <c r="I47" s="13"/>
      <c r="J47" s="18">
        <f>I46</f>
        <v>1137040000</v>
      </c>
      <c r="T47" s="11"/>
      <c r="U47" s="12">
        <v>110295</v>
      </c>
      <c r="V47" s="12" t="s">
        <v>122</v>
      </c>
      <c r="W47" s="12" t="str">
        <f>+W46</f>
        <v>CPA Compra Divisas 0 T/C 0</v>
      </c>
      <c r="X47" s="13"/>
      <c r="Y47" s="18">
        <f t="shared" ref="Y47" si="111">+X46</f>
        <v>0</v>
      </c>
      <c r="AE47" s="2"/>
      <c r="AJ47" s="11"/>
      <c r="AK47" s="12">
        <v>110296</v>
      </c>
      <c r="AL47" s="12" t="s">
        <v>123</v>
      </c>
      <c r="AM47" s="12" t="str">
        <f>+AM46</f>
        <v>CPA Fondeo MBI USD a NIUM 1.2 M USD T/C 949</v>
      </c>
      <c r="AN47" s="13"/>
      <c r="AO47" s="18">
        <f t="shared" si="10"/>
        <v>1138800000</v>
      </c>
      <c r="AU47" s="2"/>
      <c r="AZ47" s="11"/>
      <c r="BA47" s="12">
        <v>110296</v>
      </c>
      <c r="BB47" s="12" t="s">
        <v>123</v>
      </c>
      <c r="BC47" s="12" t="str">
        <f>+BC46</f>
        <v>CPA Fondeo MBI USD a JPM COL 0 USD T/C 949</v>
      </c>
      <c r="BD47" s="13"/>
      <c r="BE47" s="18">
        <f t="shared" si="11"/>
        <v>0</v>
      </c>
      <c r="BJ47" s="2"/>
      <c r="BO47" s="11"/>
      <c r="BP47" s="12">
        <v>110296</v>
      </c>
      <c r="BQ47" s="12" t="s">
        <v>123</v>
      </c>
      <c r="BR47" s="12" t="str">
        <f>+BR46</f>
        <v>CPA Fondeo MBI USD a OZ CAMBIO 0 USD T/C 949</v>
      </c>
      <c r="BS47" s="13"/>
      <c r="BT47" s="18">
        <f t="shared" ref="BT47" si="112">+BS46</f>
        <v>0</v>
      </c>
      <c r="BY47" s="2"/>
      <c r="CD47" s="11"/>
      <c r="CE47" s="12">
        <v>110296</v>
      </c>
      <c r="CF47" s="12" t="s">
        <v>123</v>
      </c>
      <c r="CG47" s="12" t="str">
        <f>+CG46</f>
        <v>CPA Fondeo MBI USD a BICE USD 0 USD T/C 0</v>
      </c>
      <c r="CH47" s="13"/>
      <c r="CI47" s="18">
        <f t="shared" ref="CI47" si="113">+CH46</f>
        <v>0</v>
      </c>
    </row>
    <row r="48" spans="2:87" x14ac:dyDescent="0.25">
      <c r="E48" s="15">
        <v>45467</v>
      </c>
      <c r="F48" s="8">
        <v>110295</v>
      </c>
      <c r="G48" s="8" t="s">
        <v>122</v>
      </c>
      <c r="H48" s="8" t="str">
        <f t="shared" ref="H48" si="114">"CPA Traspaso de Fondos Bco. BCI 648 a MBI "</f>
        <v xml:space="preserve">CPA Traspaso de Fondos Bco. BCI 648 a MBI </v>
      </c>
      <c r="I48" s="16">
        <f>+B25</f>
        <v>1183500000</v>
      </c>
      <c r="J48" s="17"/>
      <c r="T48" s="15">
        <v>45467</v>
      </c>
      <c r="U48">
        <v>110296</v>
      </c>
      <c r="V48" t="s">
        <v>123</v>
      </c>
      <c r="W48" t="str">
        <f>"CPA Compra Divisas " &amp;Q25&amp;" T/C "&amp;P25</f>
        <v>CPA Compra Divisas 0 T/C 0</v>
      </c>
      <c r="X48" s="3">
        <f>+O25</f>
        <v>0</v>
      </c>
      <c r="Y48" s="10"/>
      <c r="AE48" s="2"/>
      <c r="AJ48" s="15">
        <v>45467</v>
      </c>
      <c r="AK48" s="8">
        <v>110275</v>
      </c>
      <c r="AL48" t="s">
        <v>82</v>
      </c>
      <c r="AM48" t="str">
        <f>"CPA Fondeo MBI USD a NIUM " &amp;AG25&amp;" USD T/C "&amp;AF25</f>
        <v>CPA Fondeo MBI USD a NIUM 350K USD T/C 948,2</v>
      </c>
      <c r="AN48" s="3">
        <f>+AH25</f>
        <v>331870000</v>
      </c>
      <c r="AO48" s="10"/>
      <c r="AU48" s="2"/>
      <c r="AZ48" s="15">
        <v>45467</v>
      </c>
      <c r="BA48">
        <v>110820</v>
      </c>
      <c r="BB48" t="s">
        <v>92</v>
      </c>
      <c r="BC48" t="str">
        <f>"CPA Fondeo MBI USD a JPM COL " &amp;AW25&amp;" USD T/C "&amp;AV25</f>
        <v>CPA Fondeo MBI USD a JPM COL 900K USD T/C 948,2</v>
      </c>
      <c r="BD48" s="3">
        <f>+AX25</f>
        <v>853380000</v>
      </c>
      <c r="BE48" s="10"/>
      <c r="BJ48" s="2"/>
      <c r="BO48" s="15">
        <v>45467</v>
      </c>
      <c r="BP48">
        <v>110292</v>
      </c>
      <c r="BQ48" t="s">
        <v>153</v>
      </c>
      <c r="BR48" t="str">
        <f>"CPA Fondeo MBI USD a OZ CAMBIO " &amp;BL25&amp;" USD T/C "&amp;BK25</f>
        <v>CPA Fondeo MBI USD a OZ CAMBIO 0 USD T/C 948,2</v>
      </c>
      <c r="BS48" s="3">
        <f>+BM25</f>
        <v>0</v>
      </c>
      <c r="BT48" s="10"/>
      <c r="BY48" s="2"/>
      <c r="CD48" s="15">
        <v>45467</v>
      </c>
      <c r="CE48">
        <v>110205</v>
      </c>
      <c r="CF48" t="s">
        <v>154</v>
      </c>
      <c r="CG48" t="str">
        <f>"CPA Fondeo MBI USD a BICE USD " &amp;CA25&amp;" USD T/C "&amp;BZ25</f>
        <v>CPA Fondeo MBI USD a BICE USD 0 USD T/C 0</v>
      </c>
      <c r="CH48" s="3">
        <f>+CB25</f>
        <v>0</v>
      </c>
      <c r="CI48" s="10"/>
    </row>
    <row r="49" spans="5:87" x14ac:dyDescent="0.25">
      <c r="E49" s="11"/>
      <c r="F49" s="12">
        <v>110208</v>
      </c>
      <c r="G49" s="12" t="s">
        <v>46</v>
      </c>
      <c r="H49" s="12" t="str">
        <f t="shared" ref="H49" si="115">H48</f>
        <v xml:space="preserve">CPA Traspaso de Fondos Bco. BCI 648 a MBI </v>
      </c>
      <c r="I49" s="13"/>
      <c r="J49" s="18">
        <f>I48</f>
        <v>1183500000</v>
      </c>
      <c r="T49" s="11"/>
      <c r="U49" s="12">
        <v>110295</v>
      </c>
      <c r="V49" s="12" t="s">
        <v>122</v>
      </c>
      <c r="W49" s="12" t="str">
        <f>+W48</f>
        <v>CPA Compra Divisas 0 T/C 0</v>
      </c>
      <c r="X49" s="13"/>
      <c r="Y49" s="18">
        <f t="shared" ref="Y49" si="116">+X48</f>
        <v>0</v>
      </c>
      <c r="AE49" s="2"/>
      <c r="AJ49" s="11"/>
      <c r="AK49" s="12">
        <v>110296</v>
      </c>
      <c r="AL49" s="12" t="s">
        <v>123</v>
      </c>
      <c r="AM49" s="12" t="str">
        <f>+AM48</f>
        <v>CPA Fondeo MBI USD a NIUM 350K USD T/C 948,2</v>
      </c>
      <c r="AN49" s="13"/>
      <c r="AO49" s="18">
        <f t="shared" si="10"/>
        <v>331870000</v>
      </c>
      <c r="AU49" s="2"/>
      <c r="AZ49" s="11"/>
      <c r="BA49" s="12">
        <v>110296</v>
      </c>
      <c r="BB49" s="12" t="s">
        <v>123</v>
      </c>
      <c r="BC49" s="12" t="str">
        <f>+BC48</f>
        <v>CPA Fondeo MBI USD a JPM COL 900K USD T/C 948,2</v>
      </c>
      <c r="BD49" s="13"/>
      <c r="BE49" s="18">
        <f t="shared" si="11"/>
        <v>853380000</v>
      </c>
      <c r="BJ49" s="2"/>
      <c r="BO49" s="11"/>
      <c r="BP49" s="12">
        <v>110296</v>
      </c>
      <c r="BQ49" s="12" t="s">
        <v>123</v>
      </c>
      <c r="BR49" s="12" t="str">
        <f>+BR48</f>
        <v>CPA Fondeo MBI USD a OZ CAMBIO 0 USD T/C 948,2</v>
      </c>
      <c r="BS49" s="13"/>
      <c r="BT49" s="18">
        <f t="shared" ref="BT49" si="117">+BS48</f>
        <v>0</v>
      </c>
      <c r="BY49" s="2"/>
      <c r="CD49" s="11"/>
      <c r="CE49" s="12">
        <v>110296</v>
      </c>
      <c r="CF49" s="12" t="s">
        <v>123</v>
      </c>
      <c r="CG49" s="12" t="str">
        <f>+CG48</f>
        <v>CPA Fondeo MBI USD a BICE USD 0 USD T/C 0</v>
      </c>
      <c r="CH49" s="13"/>
      <c r="CI49" s="18">
        <f t="shared" ref="CI49" si="118">+CH48</f>
        <v>0</v>
      </c>
    </row>
    <row r="50" spans="5:87" x14ac:dyDescent="0.25">
      <c r="E50" s="15">
        <v>45468</v>
      </c>
      <c r="F50" s="8">
        <v>110295</v>
      </c>
      <c r="G50" s="8" t="s">
        <v>122</v>
      </c>
      <c r="H50" s="8" t="str">
        <f t="shared" ref="H50" si="119">"CPA Traspaso de Fondos Bco. BCI 648 a MBI "</f>
        <v xml:space="preserve">CPA Traspaso de Fondos Bco. BCI 648 a MBI </v>
      </c>
      <c r="I50" s="16">
        <f>+B26</f>
        <v>1425150000</v>
      </c>
      <c r="J50" s="17"/>
      <c r="T50" s="15">
        <v>45468</v>
      </c>
      <c r="U50">
        <v>110296</v>
      </c>
      <c r="V50" t="s">
        <v>123</v>
      </c>
      <c r="W50" t="str">
        <f>"CPA Compra Divisas " &amp;Q26&amp;" T/C "&amp;P26</f>
        <v>CPA Compra Divisas 0 T/C 0</v>
      </c>
      <c r="X50" s="3">
        <f>+O26</f>
        <v>0</v>
      </c>
      <c r="Y50" s="10"/>
      <c r="AE50" s="2"/>
      <c r="AJ50" s="15">
        <v>45468</v>
      </c>
      <c r="AK50" s="8">
        <v>110275</v>
      </c>
      <c r="AL50" t="s">
        <v>82</v>
      </c>
      <c r="AM50" t="str">
        <f>"CPA Fondeo MBI USD a NIUM " &amp;AG26&amp;" USD T/C "&amp;AF26</f>
        <v>CPA Fondeo MBI USD a NIUM 950K USD T/C 945,29</v>
      </c>
      <c r="AN50" s="3">
        <f>+AH26</f>
        <v>898025500</v>
      </c>
      <c r="AO50" s="10"/>
      <c r="AU50" s="2"/>
      <c r="AZ50" s="15">
        <v>45468</v>
      </c>
      <c r="BA50">
        <v>110820</v>
      </c>
      <c r="BB50" t="s">
        <v>92</v>
      </c>
      <c r="BC50" t="str">
        <f>"CPA Fondeo MBI USD a JPM COL " &amp;AW26&amp;" USD T/C "&amp;AV26</f>
        <v>CPA Fondeo MBI USD a JPM COL 550K USD T/C 945,29</v>
      </c>
      <c r="BD50" s="3">
        <f>+AX26</f>
        <v>519909500</v>
      </c>
      <c r="BE50" s="10"/>
      <c r="BJ50" s="2"/>
      <c r="BO50" s="15">
        <v>45468</v>
      </c>
      <c r="BP50">
        <v>110292</v>
      </c>
      <c r="BQ50" t="s">
        <v>153</v>
      </c>
      <c r="BR50" t="str">
        <f>"CPA Fondeo MBI USD a OZ CAMBIO " &amp;BL26&amp;" USD T/C "&amp;BK26</f>
        <v>CPA Fondeo MBI USD a OZ CAMBIO 0 USD T/C 945,29</v>
      </c>
      <c r="BS50" s="3">
        <f>+BM26</f>
        <v>0</v>
      </c>
      <c r="BT50" s="10"/>
      <c r="BY50" s="2"/>
      <c r="CD50" s="15">
        <v>45468</v>
      </c>
      <c r="CE50">
        <v>110205</v>
      </c>
      <c r="CF50" t="s">
        <v>154</v>
      </c>
      <c r="CG50" t="str">
        <f>"CPA Fondeo MBI USD a BICE USD " &amp;CA26&amp;" USD T/C "&amp;BZ26</f>
        <v>CPA Fondeo MBI USD a BICE USD 0 USD T/C 0</v>
      </c>
      <c r="CH50" s="3">
        <f>+CB26</f>
        <v>0</v>
      </c>
      <c r="CI50" s="10"/>
    </row>
    <row r="51" spans="5:87" x14ac:dyDescent="0.25">
      <c r="E51" s="11"/>
      <c r="F51" s="12">
        <v>110208</v>
      </c>
      <c r="G51" s="12" t="s">
        <v>46</v>
      </c>
      <c r="H51" s="12" t="str">
        <f t="shared" ref="H51" si="120">H50</f>
        <v xml:space="preserve">CPA Traspaso de Fondos Bco. BCI 648 a MBI </v>
      </c>
      <c r="I51" s="13"/>
      <c r="J51" s="18">
        <f>I50</f>
        <v>1425150000</v>
      </c>
      <c r="T51" s="11"/>
      <c r="U51" s="12">
        <v>110295</v>
      </c>
      <c r="V51" s="12" t="s">
        <v>122</v>
      </c>
      <c r="W51" s="12" t="str">
        <f>+W50</f>
        <v>CPA Compra Divisas 0 T/C 0</v>
      </c>
      <c r="X51" s="13"/>
      <c r="Y51" s="18">
        <f t="shared" ref="Y51" si="121">+X50</f>
        <v>0</v>
      </c>
      <c r="AE51" s="2"/>
      <c r="AJ51" s="11"/>
      <c r="AK51" s="12">
        <v>110296</v>
      </c>
      <c r="AL51" s="12" t="s">
        <v>123</v>
      </c>
      <c r="AM51" s="12" t="str">
        <f>+AM50</f>
        <v>CPA Fondeo MBI USD a NIUM 950K USD T/C 945,29</v>
      </c>
      <c r="AN51" s="13"/>
      <c r="AO51" s="18">
        <f t="shared" si="10"/>
        <v>898025500</v>
      </c>
      <c r="AU51" s="2"/>
      <c r="AZ51" s="11"/>
      <c r="BA51" s="12">
        <v>110296</v>
      </c>
      <c r="BB51" s="12" t="s">
        <v>123</v>
      </c>
      <c r="BC51" s="12" t="str">
        <f>+BC50</f>
        <v>CPA Fondeo MBI USD a JPM COL 550K USD T/C 945,29</v>
      </c>
      <c r="BD51" s="13"/>
      <c r="BE51" s="18">
        <f t="shared" si="11"/>
        <v>519909500</v>
      </c>
      <c r="BJ51" s="2"/>
      <c r="BO51" s="11"/>
      <c r="BP51" s="12">
        <v>110296</v>
      </c>
      <c r="BQ51" s="12" t="s">
        <v>123</v>
      </c>
      <c r="BR51" s="12" t="str">
        <f>+BR50</f>
        <v>CPA Fondeo MBI USD a OZ CAMBIO 0 USD T/C 945,29</v>
      </c>
      <c r="BS51" s="13"/>
      <c r="BT51" s="18">
        <f t="shared" ref="BT51" si="122">+BS50</f>
        <v>0</v>
      </c>
      <c r="BY51" s="2"/>
      <c r="CD51" s="11"/>
      <c r="CE51" s="12">
        <v>110296</v>
      </c>
      <c r="CF51" s="12" t="s">
        <v>123</v>
      </c>
      <c r="CG51" s="12" t="str">
        <f>+CG50</f>
        <v>CPA Fondeo MBI USD a BICE USD 0 USD T/C 0</v>
      </c>
      <c r="CH51" s="13"/>
      <c r="CI51" s="18">
        <f t="shared" ref="CI51" si="123">+CH50</f>
        <v>0</v>
      </c>
    </row>
    <row r="52" spans="5:87" x14ac:dyDescent="0.25">
      <c r="E52" s="15">
        <v>45469</v>
      </c>
      <c r="F52" s="8">
        <v>110295</v>
      </c>
      <c r="G52" s="8" t="s">
        <v>122</v>
      </c>
      <c r="H52" s="8" t="str">
        <f t="shared" ref="H52" si="124">"CPA Traspaso de Fondos Bco. BCI 648 a MBI "</f>
        <v xml:space="preserve">CPA Traspaso de Fondos Bco. BCI 648 a MBI </v>
      </c>
      <c r="I52" s="16" t="str">
        <f>+B27</f>
        <v>-</v>
      </c>
      <c r="J52" s="17"/>
      <c r="T52" s="15">
        <v>45469</v>
      </c>
      <c r="U52">
        <v>110296</v>
      </c>
      <c r="V52" t="s">
        <v>123</v>
      </c>
      <c r="W52" t="str">
        <f>"CPA Compra Divisas " &amp;Q27&amp;" T/C "&amp;P27</f>
        <v>CPA Compra Divisas 0 T/C 0</v>
      </c>
      <c r="X52" s="3">
        <f>+O27</f>
        <v>0</v>
      </c>
      <c r="Y52" s="10"/>
      <c r="AE52" s="2"/>
      <c r="AJ52" s="15">
        <v>45469</v>
      </c>
      <c r="AK52" s="8">
        <v>110275</v>
      </c>
      <c r="AL52" t="s">
        <v>82</v>
      </c>
      <c r="AM52" t="str">
        <f>"CPA Fondeo MBI USD a NIUM " &amp;AG27&amp;" USD T/C "&amp;AF27</f>
        <v>CPA Fondeo MBI USD a NIUM 0 USD T/C 945,29</v>
      </c>
      <c r="AN52" s="3">
        <f>+AH27</f>
        <v>0</v>
      </c>
      <c r="AO52" s="10"/>
      <c r="AU52" s="2"/>
      <c r="AZ52" s="15">
        <v>45469</v>
      </c>
      <c r="BA52">
        <v>110820</v>
      </c>
      <c r="BB52" t="s">
        <v>92</v>
      </c>
      <c r="BC52" t="str">
        <f>"CPA Fondeo MBI USD a JPM COL " &amp;AW27&amp;" USD T/C "&amp;AV27</f>
        <v>CPA Fondeo MBI USD a JPM COL 0 USD T/C 945,29</v>
      </c>
      <c r="BD52" s="3">
        <f>+AX27</f>
        <v>0</v>
      </c>
      <c r="BE52" s="10"/>
      <c r="BJ52" s="2"/>
      <c r="BO52" s="15">
        <v>45469</v>
      </c>
      <c r="BP52">
        <v>110292</v>
      </c>
      <c r="BQ52" t="s">
        <v>153</v>
      </c>
      <c r="BR52" t="str">
        <f>"CPA Fondeo MBI USD a OZ CAMBIO " &amp;BL27&amp;" USD T/C "&amp;BK27</f>
        <v>CPA Fondeo MBI USD a OZ CAMBIO 0 USD T/C 945,29</v>
      </c>
      <c r="BS52" s="3">
        <f>+BM27</f>
        <v>0</v>
      </c>
      <c r="BT52" s="10"/>
      <c r="BY52" s="2"/>
      <c r="CD52" s="15">
        <v>45469</v>
      </c>
      <c r="CE52">
        <v>110205</v>
      </c>
      <c r="CF52" t="s">
        <v>154</v>
      </c>
      <c r="CG52" t="str">
        <f>"CPA Fondeo MBI USD a BICE USD " &amp;CA27&amp;" USD T/C "&amp;BZ27</f>
        <v>CPA Fondeo MBI USD a BICE USD 0 USD T/C 0</v>
      </c>
      <c r="CH52" s="3">
        <f>+CB27</f>
        <v>0</v>
      </c>
      <c r="CI52" s="10"/>
    </row>
    <row r="53" spans="5:87" x14ac:dyDescent="0.25">
      <c r="E53" s="11"/>
      <c r="F53" s="12">
        <v>110208</v>
      </c>
      <c r="G53" s="12" t="s">
        <v>46</v>
      </c>
      <c r="H53" s="12" t="str">
        <f t="shared" ref="H53" si="125">H52</f>
        <v xml:space="preserve">CPA Traspaso de Fondos Bco. BCI 648 a MBI </v>
      </c>
      <c r="I53" s="13"/>
      <c r="J53" s="18" t="str">
        <f>I52</f>
        <v>-</v>
      </c>
      <c r="T53" s="11"/>
      <c r="U53" s="12">
        <v>110295</v>
      </c>
      <c r="V53" s="12" t="s">
        <v>122</v>
      </c>
      <c r="W53" s="12" t="str">
        <f>+W52</f>
        <v>CPA Compra Divisas 0 T/C 0</v>
      </c>
      <c r="X53" s="13"/>
      <c r="Y53" s="18">
        <f t="shared" ref="Y53" si="126">+X52</f>
        <v>0</v>
      </c>
      <c r="AE53" s="2"/>
      <c r="AJ53" s="11"/>
      <c r="AK53" s="12">
        <v>110296</v>
      </c>
      <c r="AL53" s="12" t="s">
        <v>123</v>
      </c>
      <c r="AM53" s="12" t="str">
        <f>+AM52</f>
        <v>CPA Fondeo MBI USD a NIUM 0 USD T/C 945,29</v>
      </c>
      <c r="AN53" s="13"/>
      <c r="AO53" s="18">
        <f t="shared" si="10"/>
        <v>0</v>
      </c>
      <c r="AU53" s="2"/>
      <c r="AZ53" s="11"/>
      <c r="BA53" s="12">
        <v>110296</v>
      </c>
      <c r="BB53" s="12" t="s">
        <v>123</v>
      </c>
      <c r="BC53" s="12" t="str">
        <f>+BC52</f>
        <v>CPA Fondeo MBI USD a JPM COL 0 USD T/C 945,29</v>
      </c>
      <c r="BD53" s="13"/>
      <c r="BE53" s="18">
        <f t="shared" si="11"/>
        <v>0</v>
      </c>
      <c r="BJ53" s="2"/>
      <c r="BO53" s="11"/>
      <c r="BP53" s="12">
        <v>110296</v>
      </c>
      <c r="BQ53" s="12" t="s">
        <v>123</v>
      </c>
      <c r="BR53" s="12" t="str">
        <f>+BR52</f>
        <v>CPA Fondeo MBI USD a OZ CAMBIO 0 USD T/C 945,29</v>
      </c>
      <c r="BS53" s="13"/>
      <c r="BT53" s="18">
        <f t="shared" ref="BT53" si="127">+BS52</f>
        <v>0</v>
      </c>
      <c r="BY53" s="2"/>
      <c r="CD53" s="11"/>
      <c r="CE53" s="12">
        <v>110296</v>
      </c>
      <c r="CF53" s="12" t="s">
        <v>123</v>
      </c>
      <c r="CG53" s="12" t="str">
        <f>+CG52</f>
        <v>CPA Fondeo MBI USD a BICE USD 0 USD T/C 0</v>
      </c>
      <c r="CH53" s="13"/>
      <c r="CI53" s="18">
        <f t="shared" ref="CI53" si="128">+CH52</f>
        <v>0</v>
      </c>
    </row>
    <row r="54" spans="5:87" x14ac:dyDescent="0.25">
      <c r="E54" s="15">
        <v>45470</v>
      </c>
      <c r="F54" s="8">
        <v>110295</v>
      </c>
      <c r="G54" s="8" t="s">
        <v>122</v>
      </c>
      <c r="H54" s="8" t="str">
        <f t="shared" ref="H54" si="129">"CPA Traspaso de Fondos Bco. BCI 648 a MBI "</f>
        <v xml:space="preserve">CPA Traspaso de Fondos Bco. BCI 648 a MBI </v>
      </c>
      <c r="I54" s="16" t="str">
        <f>+B28</f>
        <v>-</v>
      </c>
      <c r="J54" s="17"/>
      <c r="T54" s="15">
        <v>45470</v>
      </c>
      <c r="U54">
        <v>110296</v>
      </c>
      <c r="V54" t="s">
        <v>123</v>
      </c>
      <c r="W54" t="str">
        <f>"CPA Compra Divisas " &amp;Q28&amp;" T/C "&amp;P28</f>
        <v>CPA Compra Divisas 0 T/C 0</v>
      </c>
      <c r="X54" s="3">
        <f>+O28</f>
        <v>0</v>
      </c>
      <c r="Y54" s="10"/>
      <c r="AE54" s="2"/>
      <c r="AJ54" s="15">
        <v>45470</v>
      </c>
      <c r="AK54" s="8">
        <v>110275</v>
      </c>
      <c r="AL54" t="s">
        <v>82</v>
      </c>
      <c r="AM54" t="str">
        <f>"CPA Fondeo MBI USD a NIUM " &amp;AG28&amp;" USD T/C "&amp;AF28</f>
        <v>CPA Fondeo MBI USD a NIUM 0 USD T/C 945,29</v>
      </c>
      <c r="AN54" s="3">
        <f>+AH28</f>
        <v>0</v>
      </c>
      <c r="AO54" s="10"/>
      <c r="AU54" s="2"/>
      <c r="AZ54" s="15">
        <v>45470</v>
      </c>
      <c r="BA54">
        <v>110820</v>
      </c>
      <c r="BB54" t="s">
        <v>92</v>
      </c>
      <c r="BC54" t="str">
        <f>"CPA Fondeo MBI USD a JPM COL " &amp;AW28&amp;" USD T/C "&amp;AV28</f>
        <v>CPA Fondeo MBI USD a JPM COL 0 USD T/C 945,29</v>
      </c>
      <c r="BD54" s="3">
        <f>+AX28</f>
        <v>0</v>
      </c>
      <c r="BE54" s="10"/>
      <c r="BJ54" s="2"/>
      <c r="BO54" s="15">
        <v>45470</v>
      </c>
      <c r="BP54">
        <v>110292</v>
      </c>
      <c r="BQ54" t="s">
        <v>153</v>
      </c>
      <c r="BR54" t="str">
        <f>"CPA Fondeo MBI USD a OZ CAMBIO " &amp;BL28&amp;" USD T/C "&amp;BK28</f>
        <v>CPA Fondeo MBI USD a OZ CAMBIO 0 USD T/C 945,29</v>
      </c>
      <c r="BS54" s="3">
        <f>+BM28</f>
        <v>0</v>
      </c>
      <c r="BT54" s="10"/>
      <c r="BY54" s="2"/>
      <c r="CD54" s="15">
        <v>45470</v>
      </c>
      <c r="CE54">
        <v>110205</v>
      </c>
      <c r="CF54" t="s">
        <v>154</v>
      </c>
      <c r="CG54" t="str">
        <f>"CPA Fondeo MBI USD a BICE USD " &amp;CA28&amp;" USD T/C "&amp;BZ28</f>
        <v>CPA Fondeo MBI USD a BICE USD 0 USD T/C 0</v>
      </c>
      <c r="CH54" s="3">
        <f>+CB28</f>
        <v>0</v>
      </c>
      <c r="CI54" s="10"/>
    </row>
    <row r="55" spans="5:87" x14ac:dyDescent="0.25">
      <c r="E55" s="11"/>
      <c r="F55" s="12">
        <v>110208</v>
      </c>
      <c r="G55" s="12" t="s">
        <v>46</v>
      </c>
      <c r="H55" s="12" t="str">
        <f t="shared" ref="H55" si="130">H54</f>
        <v xml:space="preserve">CPA Traspaso de Fondos Bco. BCI 648 a MBI </v>
      </c>
      <c r="I55" s="13"/>
      <c r="J55" s="18" t="str">
        <f>I54</f>
        <v>-</v>
      </c>
      <c r="T55" s="11"/>
      <c r="U55" s="12">
        <v>110295</v>
      </c>
      <c r="V55" s="12" t="s">
        <v>122</v>
      </c>
      <c r="W55" s="12" t="str">
        <f>+W54</f>
        <v>CPA Compra Divisas 0 T/C 0</v>
      </c>
      <c r="X55" s="13"/>
      <c r="Y55" s="18">
        <f t="shared" ref="Y55" si="131">+X54</f>
        <v>0</v>
      </c>
      <c r="AE55" s="2"/>
      <c r="AJ55" s="11"/>
      <c r="AK55" s="12">
        <v>110296</v>
      </c>
      <c r="AL55" s="12" t="s">
        <v>123</v>
      </c>
      <c r="AM55" s="12" t="str">
        <f>+AM54</f>
        <v>CPA Fondeo MBI USD a NIUM 0 USD T/C 945,29</v>
      </c>
      <c r="AN55" s="13"/>
      <c r="AO55" s="18">
        <f t="shared" si="10"/>
        <v>0</v>
      </c>
      <c r="AU55" s="2"/>
      <c r="AZ55" s="11"/>
      <c r="BA55" s="12">
        <v>110296</v>
      </c>
      <c r="BB55" s="12" t="s">
        <v>123</v>
      </c>
      <c r="BC55" s="12" t="str">
        <f>+BC54</f>
        <v>CPA Fondeo MBI USD a JPM COL 0 USD T/C 945,29</v>
      </c>
      <c r="BD55" s="13"/>
      <c r="BE55" s="18">
        <f t="shared" si="11"/>
        <v>0</v>
      </c>
      <c r="BJ55" s="2"/>
      <c r="BO55" s="11"/>
      <c r="BP55" s="12">
        <v>110296</v>
      </c>
      <c r="BQ55" s="12" t="s">
        <v>123</v>
      </c>
      <c r="BR55" s="12" t="str">
        <f>+BR54</f>
        <v>CPA Fondeo MBI USD a OZ CAMBIO 0 USD T/C 945,29</v>
      </c>
      <c r="BS55" s="13"/>
      <c r="BT55" s="18">
        <f t="shared" ref="BT55" si="132">+BS54</f>
        <v>0</v>
      </c>
      <c r="BY55" s="2"/>
      <c r="CD55" s="11"/>
      <c r="CE55" s="12">
        <v>110296</v>
      </c>
      <c r="CF55" s="12" t="s">
        <v>123</v>
      </c>
      <c r="CG55" s="12" t="str">
        <f>+CG54</f>
        <v>CPA Fondeo MBI USD a BICE USD 0 USD T/C 0</v>
      </c>
      <c r="CH55" s="13"/>
      <c r="CI55" s="18">
        <f t="shared" ref="CI55" si="133">+CH54</f>
        <v>0</v>
      </c>
    </row>
    <row r="56" spans="5:87" x14ac:dyDescent="0.25">
      <c r="E56" s="15">
        <v>45471</v>
      </c>
      <c r="F56" s="8">
        <v>110295</v>
      </c>
      <c r="G56" s="8" t="s">
        <v>122</v>
      </c>
      <c r="H56" s="8" t="str">
        <f t="shared" ref="H56" si="134">"CPA Traspaso de Fondos Bco. BCI 648 a MBI "</f>
        <v xml:space="preserve">CPA Traspaso de Fondos Bco. BCI 648 a MBI </v>
      </c>
      <c r="I56" s="16">
        <f>+B29</f>
        <v>1833870000</v>
      </c>
      <c r="J56" s="17"/>
      <c r="T56" s="15">
        <v>45471</v>
      </c>
      <c r="U56">
        <v>110296</v>
      </c>
      <c r="V56" t="s">
        <v>123</v>
      </c>
      <c r="W56" t="str">
        <f>"CPA Compra Divisas " &amp;Q29&amp;" T/C "&amp;P29</f>
        <v>CPA Compra Divisas 0 T/C 0</v>
      </c>
      <c r="X56" s="3">
        <f>+O29</f>
        <v>0</v>
      </c>
      <c r="Y56" s="10"/>
      <c r="AE56" s="2"/>
      <c r="AJ56" s="15">
        <v>45471</v>
      </c>
      <c r="AK56" s="8">
        <v>110275</v>
      </c>
      <c r="AL56" t="s">
        <v>82</v>
      </c>
      <c r="AM56" t="str">
        <f>"CPA Fondeo MBI USD a NIUM " &amp;AG29&amp;" USD T/C "&amp;AF29</f>
        <v>CPA Fondeo MBI USD a NIUM 2.5 M USD T/C 949,34</v>
      </c>
      <c r="AN56" s="3">
        <f>+AH29</f>
        <v>2373350000</v>
      </c>
      <c r="AO56" s="10"/>
      <c r="AU56" s="2"/>
      <c r="AZ56" s="15">
        <v>45471</v>
      </c>
      <c r="BA56">
        <v>110820</v>
      </c>
      <c r="BB56" t="s">
        <v>92</v>
      </c>
      <c r="BC56" t="str">
        <f>"CPA Fondeo MBI USD a JPM COL " &amp;AW29&amp;" USD T/C "&amp;AV29</f>
        <v>CPA Fondeo MBI USD a JPM COL 400K USD T/C 949,34</v>
      </c>
      <c r="BD56" s="3">
        <f>+AX29</f>
        <v>379736000</v>
      </c>
      <c r="BE56" s="10"/>
      <c r="BJ56" s="2"/>
      <c r="BO56" s="15">
        <v>45471</v>
      </c>
      <c r="BP56">
        <v>110292</v>
      </c>
      <c r="BQ56" t="s">
        <v>153</v>
      </c>
      <c r="BR56" t="str">
        <f>"CPA Fondeo MBI USD a OZ CAMBIO " &amp;BL29&amp;" USD T/C "&amp;BK29</f>
        <v>CPA Fondeo MBI USD a OZ CAMBIO 0 USD T/C 949,34</v>
      </c>
      <c r="BS56" s="3">
        <f>+BM29</f>
        <v>0</v>
      </c>
      <c r="BT56" s="10"/>
      <c r="BY56" s="2"/>
      <c r="CD56" s="15">
        <v>45471</v>
      </c>
      <c r="CE56">
        <v>110205</v>
      </c>
      <c r="CF56" t="s">
        <v>154</v>
      </c>
      <c r="CG56" t="str">
        <f>"CPA Fondeo MBI USD a BICE USD " &amp;CA29&amp;" USD T/C "&amp;BZ29</f>
        <v>CPA Fondeo MBI USD a BICE USD 0 USD T/C 0</v>
      </c>
      <c r="CH56" s="3">
        <f>+CB29</f>
        <v>0</v>
      </c>
      <c r="CI56" s="10"/>
    </row>
    <row r="57" spans="5:87" x14ac:dyDescent="0.25">
      <c r="E57" s="11"/>
      <c r="F57" s="12">
        <v>110208</v>
      </c>
      <c r="G57" s="12" t="s">
        <v>46</v>
      </c>
      <c r="H57" s="12" t="str">
        <f t="shared" ref="H57" si="135">H56</f>
        <v xml:space="preserve">CPA Traspaso de Fondos Bco. BCI 648 a MBI </v>
      </c>
      <c r="I57" s="13"/>
      <c r="J57" s="18">
        <f>I56</f>
        <v>1833870000</v>
      </c>
      <c r="T57" s="11"/>
      <c r="U57" s="12">
        <v>110295</v>
      </c>
      <c r="V57" s="12" t="s">
        <v>122</v>
      </c>
      <c r="W57" s="12" t="str">
        <f>+W56</f>
        <v>CPA Compra Divisas 0 T/C 0</v>
      </c>
      <c r="X57" s="13"/>
      <c r="Y57" s="18">
        <f t="shared" ref="Y57" si="136">+X56</f>
        <v>0</v>
      </c>
      <c r="AE57" s="2"/>
      <c r="AJ57" s="11"/>
      <c r="AK57" s="12">
        <v>110296</v>
      </c>
      <c r="AL57" s="12" t="s">
        <v>123</v>
      </c>
      <c r="AM57" s="12" t="str">
        <f>+AM56</f>
        <v>CPA Fondeo MBI USD a NIUM 2.5 M USD T/C 949,34</v>
      </c>
      <c r="AN57" s="13"/>
      <c r="AO57" s="18">
        <f t="shared" si="10"/>
        <v>2373350000</v>
      </c>
      <c r="AU57" s="2"/>
      <c r="AZ57" s="11"/>
      <c r="BA57" s="12">
        <v>110296</v>
      </c>
      <c r="BB57" s="12" t="s">
        <v>123</v>
      </c>
      <c r="BC57" s="12" t="str">
        <f>+BC56</f>
        <v>CPA Fondeo MBI USD a JPM COL 400K USD T/C 949,34</v>
      </c>
      <c r="BD57" s="13"/>
      <c r="BE57" s="18">
        <f t="shared" si="11"/>
        <v>379736000</v>
      </c>
      <c r="BJ57" s="2"/>
      <c r="BO57" s="11"/>
      <c r="BP57" s="12">
        <v>110296</v>
      </c>
      <c r="BQ57" s="12" t="s">
        <v>123</v>
      </c>
      <c r="BR57" s="12" t="str">
        <f>+BR56</f>
        <v>CPA Fondeo MBI USD a OZ CAMBIO 0 USD T/C 949,34</v>
      </c>
      <c r="BS57" s="13"/>
      <c r="BT57" s="18">
        <f t="shared" ref="BT57" si="137">+BS56</f>
        <v>0</v>
      </c>
      <c r="BY57" s="2"/>
      <c r="CD57" s="11"/>
      <c r="CE57" s="12">
        <v>110296</v>
      </c>
      <c r="CF57" s="12" t="s">
        <v>123</v>
      </c>
      <c r="CG57" s="12" t="str">
        <f>+CG56</f>
        <v>CPA Fondeo MBI USD a BICE USD 0 USD T/C 0</v>
      </c>
      <c r="CH57" s="13"/>
      <c r="CI57" s="18">
        <f t="shared" ref="CI57" si="138">+CH56</f>
        <v>0</v>
      </c>
    </row>
    <row r="58" spans="5:87" x14ac:dyDescent="0.25">
      <c r="E58" s="15">
        <v>45472</v>
      </c>
      <c r="F58" s="8">
        <v>110295</v>
      </c>
      <c r="G58" s="8" t="s">
        <v>122</v>
      </c>
      <c r="H58" s="8" t="str">
        <f t="shared" ref="H58" si="139">"CPA Traspaso de Fondos Bco. BCI 648 a MBI "</f>
        <v xml:space="preserve">CPA Traspaso de Fondos Bco. BCI 648 a MBI </v>
      </c>
      <c r="I58" s="16">
        <f>+B30</f>
        <v>1246050000</v>
      </c>
      <c r="J58" s="17"/>
      <c r="T58" s="15">
        <v>45472</v>
      </c>
      <c r="U58">
        <v>110296</v>
      </c>
      <c r="V58" t="s">
        <v>123</v>
      </c>
      <c r="W58" t="str">
        <f>"CPA Compra Divisas " &amp;Q30&amp;" T/C "&amp;P30</f>
        <v>CPA Compra Divisas 0 T/C 0</v>
      </c>
      <c r="X58" s="3">
        <f>+O30</f>
        <v>0</v>
      </c>
      <c r="Y58" s="10"/>
      <c r="AJ58" s="15">
        <v>45472</v>
      </c>
      <c r="AK58" s="8">
        <v>110275</v>
      </c>
      <c r="AL58" t="s">
        <v>82</v>
      </c>
      <c r="AM58" t="str">
        <f>"CPA Fondeo MBI USD a NIUM " &amp;AG30&amp;" USD T/C "&amp;AF30</f>
        <v>CPA Fondeo MBI USD a NIUM 600K USD T/C 945,88</v>
      </c>
      <c r="AN58" s="3">
        <f>+AH30</f>
        <v>567528000</v>
      </c>
      <c r="AO58" s="10"/>
      <c r="AZ58" s="15">
        <v>45472</v>
      </c>
      <c r="BA58">
        <v>110820</v>
      </c>
      <c r="BB58" t="s">
        <v>92</v>
      </c>
      <c r="BC58" t="str">
        <f>"CPA Fondeo MBI USD a JPM COL " &amp;AW30&amp;" USD T/C "&amp;AV30</f>
        <v>CPA Fondeo MBI USD a JPM COL 700K USD T/C 945,88</v>
      </c>
      <c r="BD58" s="3">
        <f>+AX30</f>
        <v>662116000</v>
      </c>
      <c r="BE58" s="10"/>
      <c r="BO58" s="15">
        <v>45472</v>
      </c>
      <c r="BP58">
        <v>110292</v>
      </c>
      <c r="BQ58" t="s">
        <v>153</v>
      </c>
      <c r="BR58" t="str">
        <f>"CPA Fondeo MBI USD a OZ CAMBIO " &amp;BL30&amp;" USD T/C "&amp;BK30</f>
        <v>CPA Fondeo MBI USD a OZ CAMBIO 0 USD T/C 945,88</v>
      </c>
      <c r="BS58" s="3">
        <f>+BM30</f>
        <v>0</v>
      </c>
      <c r="BT58" s="10"/>
      <c r="CD58" s="15">
        <v>45472</v>
      </c>
      <c r="CE58">
        <v>110205</v>
      </c>
      <c r="CF58" t="s">
        <v>154</v>
      </c>
      <c r="CG58" t="str">
        <f>"CPA Fondeo MBI USD a BICE USD " &amp;CA30&amp;" USD T/C "&amp;BZ30</f>
        <v>CPA Fondeo MBI USD a BICE USD 0 USD T/C 0</v>
      </c>
      <c r="CH58" s="3">
        <f>+CB30</f>
        <v>0</v>
      </c>
      <c r="CI58" s="10"/>
    </row>
    <row r="59" spans="5:87" x14ac:dyDescent="0.25">
      <c r="E59" s="11"/>
      <c r="F59" s="12">
        <v>110208</v>
      </c>
      <c r="G59" s="12" t="s">
        <v>46</v>
      </c>
      <c r="H59" s="12" t="str">
        <f t="shared" ref="H59" si="140">H58</f>
        <v xml:space="preserve">CPA Traspaso de Fondos Bco. BCI 648 a MBI </v>
      </c>
      <c r="I59" s="13"/>
      <c r="J59" s="18">
        <f>I58</f>
        <v>1246050000</v>
      </c>
      <c r="T59" s="11"/>
      <c r="U59" s="12">
        <v>110295</v>
      </c>
      <c r="V59" s="12" t="s">
        <v>122</v>
      </c>
      <c r="W59" s="12" t="str">
        <f>+W58</f>
        <v>CPA Compra Divisas 0 T/C 0</v>
      </c>
      <c r="X59" s="13"/>
      <c r="Y59" s="18">
        <f t="shared" ref="Y59" si="141">+X58</f>
        <v>0</v>
      </c>
      <c r="AJ59" s="11"/>
      <c r="AK59" s="12">
        <v>110296</v>
      </c>
      <c r="AL59" s="12" t="s">
        <v>123</v>
      </c>
      <c r="AM59" s="12" t="str">
        <f>+AM58</f>
        <v>CPA Fondeo MBI USD a NIUM 600K USD T/C 945,88</v>
      </c>
      <c r="AN59" s="13"/>
      <c r="AO59" s="18">
        <f t="shared" si="10"/>
        <v>567528000</v>
      </c>
      <c r="AZ59" s="11"/>
      <c r="BA59" s="12">
        <v>110296</v>
      </c>
      <c r="BB59" s="12" t="s">
        <v>123</v>
      </c>
      <c r="BC59" s="12" t="str">
        <f>+BC58</f>
        <v>CPA Fondeo MBI USD a JPM COL 700K USD T/C 945,88</v>
      </c>
      <c r="BD59" s="13"/>
      <c r="BE59" s="18">
        <f t="shared" si="11"/>
        <v>662116000</v>
      </c>
      <c r="BO59" s="11"/>
      <c r="BP59" s="12">
        <v>110296</v>
      </c>
      <c r="BQ59" s="12" t="s">
        <v>123</v>
      </c>
      <c r="BR59" s="12" t="str">
        <f>+BR58</f>
        <v>CPA Fondeo MBI USD a OZ CAMBIO 0 USD T/C 945,88</v>
      </c>
      <c r="BS59" s="13"/>
      <c r="BT59" s="18">
        <f t="shared" ref="BT59" si="142">+BS58</f>
        <v>0</v>
      </c>
      <c r="CD59" s="11"/>
      <c r="CE59" s="12">
        <v>110296</v>
      </c>
      <c r="CF59" s="12" t="s">
        <v>123</v>
      </c>
      <c r="CG59" s="12" t="str">
        <f>+CG58</f>
        <v>CPA Fondeo MBI USD a BICE USD 0 USD T/C 0</v>
      </c>
      <c r="CH59" s="13"/>
      <c r="CI59" s="18">
        <f t="shared" ref="CI59" si="143">+CH58</f>
        <v>0</v>
      </c>
    </row>
    <row r="60" spans="5:87" x14ac:dyDescent="0.25">
      <c r="E60" s="15">
        <v>45473</v>
      </c>
      <c r="F60" s="8">
        <v>110295</v>
      </c>
      <c r="G60" s="8" t="s">
        <v>122</v>
      </c>
      <c r="H60" s="8" t="str">
        <f t="shared" ref="H60" si="144">"CPA Traspaso de Fondos Bco. BCI 648 a MBI "</f>
        <v xml:space="preserve">CPA Traspaso de Fondos Bco. BCI 648 a MBI </v>
      </c>
      <c r="I60" s="16">
        <f>+B31</f>
        <v>1200750000</v>
      </c>
      <c r="J60" s="17"/>
      <c r="T60" s="15">
        <v>45473</v>
      </c>
      <c r="U60">
        <v>110296</v>
      </c>
      <c r="V60" t="s">
        <v>123</v>
      </c>
      <c r="W60" t="str">
        <f>"CPA Compra Divisas " &amp;Q31&amp;" T/C "&amp;P31</f>
        <v>CPA Compra Divisas 0 T/C 0</v>
      </c>
      <c r="X60" s="3">
        <f>+O31</f>
        <v>0</v>
      </c>
      <c r="Y60" s="10"/>
      <c r="AJ60" s="15">
        <v>45473</v>
      </c>
      <c r="AK60" s="8">
        <v>110275</v>
      </c>
      <c r="AL60" t="s">
        <v>82</v>
      </c>
      <c r="AM60" t="str">
        <f>"CPA Fondeo MBI USD a NIUM " &amp;AG31&amp;" USD T/C "&amp;AF31</f>
        <v>CPA Fondeo MBI USD a NIUM 0 USD T/C 950,89</v>
      </c>
      <c r="AN60" s="3">
        <f>+AH31</f>
        <v>0</v>
      </c>
      <c r="AO60" s="10"/>
      <c r="AZ60" s="15">
        <v>45473</v>
      </c>
      <c r="BA60">
        <v>110820</v>
      </c>
      <c r="BB60" t="s">
        <v>92</v>
      </c>
      <c r="BC60" t="str">
        <f>"CPA Fondeo MBI USD a JPM COL " &amp;AW31&amp;" USD T/C "&amp;AV31</f>
        <v>CPA Fondeo MBI USD a JPM COL 0 USD T/C 950,89</v>
      </c>
      <c r="BD60" s="3">
        <f>+AX31</f>
        <v>0</v>
      </c>
      <c r="BE60" s="10"/>
      <c r="BO60" s="15">
        <v>45473</v>
      </c>
      <c r="BP60">
        <v>110292</v>
      </c>
      <c r="BQ60" t="s">
        <v>153</v>
      </c>
      <c r="BR60" t="str">
        <f>"CPA Fondeo MBI USD a OZ CAMBIO " &amp;BL31&amp;" USD T/C "&amp;BK31</f>
        <v>CPA Fondeo MBI USD a OZ CAMBIO 0 USD T/C 950,89</v>
      </c>
      <c r="BS60" s="3">
        <f>+BM31</f>
        <v>0</v>
      </c>
      <c r="BT60" s="10"/>
      <c r="CD60" s="15">
        <v>45473</v>
      </c>
      <c r="CE60">
        <v>110205</v>
      </c>
      <c r="CF60" t="s">
        <v>154</v>
      </c>
      <c r="CG60" t="str">
        <f>"CPA Fondeo MBI USD a BICE USD " &amp;CA31&amp;" USD T/C "&amp;BZ31</f>
        <v>CPA Fondeo MBI USD a BICE USD 0 USD T/C 0</v>
      </c>
      <c r="CH60" s="3">
        <f>+CB31</f>
        <v>0</v>
      </c>
      <c r="CI60" s="10"/>
    </row>
    <row r="61" spans="5:87" x14ac:dyDescent="0.25">
      <c r="E61" s="11"/>
      <c r="F61" s="12">
        <v>110208</v>
      </c>
      <c r="G61" s="12" t="s">
        <v>46</v>
      </c>
      <c r="H61" s="12" t="str">
        <f t="shared" ref="H61" si="145">H60</f>
        <v xml:space="preserve">CPA Traspaso de Fondos Bco. BCI 648 a MBI </v>
      </c>
      <c r="I61" s="13"/>
      <c r="J61" s="18">
        <f>I60</f>
        <v>1200750000</v>
      </c>
      <c r="T61" s="11"/>
      <c r="U61" s="12">
        <v>110295</v>
      </c>
      <c r="V61" s="12" t="s">
        <v>122</v>
      </c>
      <c r="W61" s="12" t="str">
        <f>+W60</f>
        <v>CPA Compra Divisas 0 T/C 0</v>
      </c>
      <c r="X61" s="13"/>
      <c r="Y61" s="18">
        <f t="shared" ref="Y61" si="146">+X60</f>
        <v>0</v>
      </c>
      <c r="AJ61" s="11"/>
      <c r="AK61" s="12">
        <v>110296</v>
      </c>
      <c r="AL61" s="12" t="s">
        <v>123</v>
      </c>
      <c r="AM61" s="12" t="str">
        <f>+AM60</f>
        <v>CPA Fondeo MBI USD a NIUM 0 USD T/C 950,89</v>
      </c>
      <c r="AN61" s="13"/>
      <c r="AO61" s="18">
        <f t="shared" si="10"/>
        <v>0</v>
      </c>
      <c r="AZ61" s="11"/>
      <c r="BA61" s="12">
        <v>110296</v>
      </c>
      <c r="BB61" s="12" t="s">
        <v>123</v>
      </c>
      <c r="BC61" s="12" t="str">
        <f>+BC60</f>
        <v>CPA Fondeo MBI USD a JPM COL 0 USD T/C 950,89</v>
      </c>
      <c r="BD61" s="13"/>
      <c r="BE61" s="18">
        <f t="shared" si="11"/>
        <v>0</v>
      </c>
      <c r="BO61" s="11"/>
      <c r="BP61" s="12">
        <v>110296</v>
      </c>
      <c r="BQ61" s="12" t="s">
        <v>123</v>
      </c>
      <c r="BR61" s="12" t="str">
        <f>+BR60</f>
        <v>CPA Fondeo MBI USD a OZ CAMBIO 0 USD T/C 950,89</v>
      </c>
      <c r="BS61" s="13"/>
      <c r="BT61" s="18">
        <f t="shared" ref="BT61" si="147">+BS60</f>
        <v>0</v>
      </c>
      <c r="CD61" s="11"/>
      <c r="CE61" s="12">
        <v>110296</v>
      </c>
      <c r="CF61" s="12" t="s">
        <v>123</v>
      </c>
      <c r="CG61" s="12" t="str">
        <f>+CG60</f>
        <v>CPA Fondeo MBI USD a BICE USD 0 USD T/C 0</v>
      </c>
      <c r="CH61" s="13"/>
      <c r="CI61" s="18">
        <f t="shared" ref="CI61" si="148">+CH60</f>
        <v>0</v>
      </c>
    </row>
    <row r="62" spans="5:87" x14ac:dyDescent="0.25">
      <c r="E62" s="15" t="s">
        <v>143</v>
      </c>
      <c r="F62" s="8">
        <v>110295</v>
      </c>
      <c r="G62" s="8" t="s">
        <v>122</v>
      </c>
      <c r="H62" s="8" t="str">
        <f t="shared" ref="H62" si="149">"CPA Traspaso de Fondos Bco. BCI 648 a MBI "</f>
        <v xml:space="preserve">CPA Traspaso de Fondos Bco. BCI 648 a MBI </v>
      </c>
      <c r="I62" s="16" t="str">
        <f>+B32</f>
        <v>-</v>
      </c>
      <c r="J62" s="17"/>
      <c r="T62" s="15" t="s">
        <v>143</v>
      </c>
      <c r="U62">
        <v>110296</v>
      </c>
      <c r="V62" t="s">
        <v>123</v>
      </c>
      <c r="W62" t="str">
        <f>"CPA Compra Divisas " &amp;Q32&amp;" T/C "&amp;P32</f>
        <v>CPA Compra Divisas 0 T/C 0</v>
      </c>
      <c r="X62" s="3">
        <f>+O32</f>
        <v>0</v>
      </c>
      <c r="Y62" s="10"/>
      <c r="AJ62" s="15" t="s">
        <v>143</v>
      </c>
      <c r="AK62" s="8">
        <v>110275</v>
      </c>
      <c r="AL62" t="s">
        <v>82</v>
      </c>
      <c r="AM62" t="str">
        <f>"CPA Fondeo MBI USD a NIUM " &amp;AG32&amp;" USD T/C "&amp;AF32</f>
        <v>CPA Fondeo MBI USD a NIUM 0 USD T/C 950,89</v>
      </c>
      <c r="AN62" s="3">
        <f>+AH32</f>
        <v>0</v>
      </c>
      <c r="AO62" s="10"/>
      <c r="AZ62" s="15" t="s">
        <v>143</v>
      </c>
      <c r="BA62">
        <v>110820</v>
      </c>
      <c r="BB62" t="s">
        <v>92</v>
      </c>
      <c r="BC62" t="str">
        <f>"CPA Fondeo MBI USD a JPM COL " &amp;AW32&amp;" USD T/C "&amp;AV32</f>
        <v>CPA Fondeo MBI USD a JPM COL 0 USD T/C 950,89</v>
      </c>
      <c r="BD62" s="3">
        <f>+AX32</f>
        <v>0</v>
      </c>
      <c r="BE62" s="10"/>
      <c r="BO62" s="15" t="s">
        <v>143</v>
      </c>
      <c r="BP62">
        <v>110292</v>
      </c>
      <c r="BQ62" t="s">
        <v>153</v>
      </c>
      <c r="BR62" t="str">
        <f>"CPA Fondeo MBI USD a OZ CAMBIO " &amp;BL32&amp;" USD T/C "&amp;BK32</f>
        <v>CPA Fondeo MBI USD a OZ CAMBIO 0 USD T/C 950,89</v>
      </c>
      <c r="BS62" s="3">
        <f>+BM32</f>
        <v>0</v>
      </c>
      <c r="BT62" s="10"/>
      <c r="CD62" s="15" t="s">
        <v>143</v>
      </c>
      <c r="CE62">
        <v>110205</v>
      </c>
      <c r="CF62" t="s">
        <v>154</v>
      </c>
      <c r="CG62" t="str">
        <f>"CPA Fondeo MBI USD a BICE USD " &amp;CA32&amp;" USD T/C "&amp;BZ32</f>
        <v>CPA Fondeo MBI USD a BICE USD 0 USD T/C 0</v>
      </c>
      <c r="CH62" s="3">
        <f>+CB32</f>
        <v>0</v>
      </c>
      <c r="CI62" s="10"/>
    </row>
    <row r="63" spans="5:87" x14ac:dyDescent="0.25">
      <c r="E63" s="11"/>
      <c r="F63" s="12">
        <v>110208</v>
      </c>
      <c r="G63" s="12" t="s">
        <v>46</v>
      </c>
      <c r="H63" s="12" t="str">
        <f t="shared" ref="H63" si="150">H62</f>
        <v xml:space="preserve">CPA Traspaso de Fondos Bco. BCI 648 a MBI </v>
      </c>
      <c r="I63" s="13"/>
      <c r="J63" s="18" t="str">
        <f>I62</f>
        <v>-</v>
      </c>
      <c r="T63" s="11"/>
      <c r="U63" s="12">
        <v>110295</v>
      </c>
      <c r="V63" s="12" t="s">
        <v>122</v>
      </c>
      <c r="W63" s="12" t="str">
        <f>+W62</f>
        <v>CPA Compra Divisas 0 T/C 0</v>
      </c>
      <c r="X63" s="13"/>
      <c r="Y63" s="18">
        <f t="shared" ref="Y63" si="151">+X62</f>
        <v>0</v>
      </c>
      <c r="AJ63" s="11"/>
      <c r="AK63" s="12">
        <v>110296</v>
      </c>
      <c r="AL63" s="12" t="s">
        <v>123</v>
      </c>
      <c r="AM63" s="12" t="str">
        <f>+AM62</f>
        <v>CPA Fondeo MBI USD a NIUM 0 USD T/C 950,89</v>
      </c>
      <c r="AN63" s="13"/>
      <c r="AO63" s="18">
        <f t="shared" si="10"/>
        <v>0</v>
      </c>
      <c r="AZ63" s="11"/>
      <c r="BA63" s="12">
        <v>110296</v>
      </c>
      <c r="BB63" s="12" t="s">
        <v>123</v>
      </c>
      <c r="BC63" s="12" t="str">
        <f>+BC62</f>
        <v>CPA Fondeo MBI USD a JPM COL 0 USD T/C 950,89</v>
      </c>
      <c r="BD63" s="13"/>
      <c r="BE63" s="18">
        <f t="shared" si="11"/>
        <v>0</v>
      </c>
      <c r="BO63" s="11"/>
      <c r="BP63" s="12">
        <v>110296</v>
      </c>
      <c r="BQ63" s="12" t="s">
        <v>123</v>
      </c>
      <c r="BR63" s="12" t="str">
        <f>+BR62</f>
        <v>CPA Fondeo MBI USD a OZ CAMBIO 0 USD T/C 950,89</v>
      </c>
      <c r="BS63" s="13"/>
      <c r="BT63" s="18">
        <f t="shared" ref="BT63" si="152">+BS62</f>
        <v>0</v>
      </c>
      <c r="CD63" s="11"/>
      <c r="CE63" s="12">
        <v>110296</v>
      </c>
      <c r="CF63" s="12" t="s">
        <v>123</v>
      </c>
      <c r="CG63" s="12" t="str">
        <f>+CG62</f>
        <v>CPA Fondeo MBI USD a BICE USD 0 USD T/C 0</v>
      </c>
      <c r="CH63" s="13"/>
      <c r="CI63" s="18">
        <f t="shared" ref="CI63" si="153">+CH62</f>
        <v>0</v>
      </c>
    </row>
  </sheetData>
  <autoFilter ref="CD1:CI63" xr:uid="{89424D2F-2F5F-4971-AFD4-A923072AF59D}"/>
  <pageMargins left="0.7" right="0.7" top="0.75" bottom="0.75" header="0.3" footer="0.3"/>
  <pageSetup paperSize="9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60F14-AB7E-45B3-A644-49DD8ADDDE17}">
  <dimension ref="A1:AK63"/>
  <sheetViews>
    <sheetView showGridLines="0" workbookViewId="0">
      <selection activeCell="AE18" sqref="AE18"/>
    </sheetView>
  </sheetViews>
  <sheetFormatPr baseColWidth="10" defaultRowHeight="15" outlineLevelCol="1" x14ac:dyDescent="0.25"/>
  <cols>
    <col min="1" max="1" width="11.5703125" customWidth="1" outlineLevel="1"/>
    <col min="2" max="2" width="13.5703125" customWidth="1" outlineLevel="1"/>
    <col min="3" max="3" width="6" bestFit="1" customWidth="1" outlineLevel="1"/>
    <col min="4" max="4" width="6.42578125" bestFit="1" customWidth="1" outlineLevel="1"/>
    <col min="5" max="5" width="12" customWidth="1" outlineLevel="1"/>
    <col min="6" max="7" width="11.42578125" outlineLevel="1"/>
    <col min="8" max="8" width="23.28515625" customWidth="1" outlineLevel="1"/>
    <col min="9" max="9" width="41.5703125" bestFit="1" customWidth="1" outlineLevel="1"/>
    <col min="10" max="11" width="13.5703125" customWidth="1" outlineLevel="1"/>
    <col min="14" max="14" width="11.5703125" customWidth="1" outlineLevel="1"/>
    <col min="15" max="15" width="13.5703125" customWidth="1" outlineLevel="1"/>
    <col min="16" max="16" width="6" bestFit="1" customWidth="1" outlineLevel="1"/>
    <col min="17" max="17" width="7.42578125" bestFit="1" customWidth="1" outlineLevel="1"/>
    <col min="18" max="18" width="12" customWidth="1" outlineLevel="1"/>
    <col min="19" max="20" width="11.42578125" outlineLevel="1"/>
    <col min="21" max="21" width="41" bestFit="1" customWidth="1" outlineLevel="1"/>
    <col min="22" max="22" width="50.7109375" bestFit="1" customWidth="1" outlineLevel="1"/>
    <col min="23" max="23" width="12" bestFit="1" customWidth="1" outlineLevel="1"/>
    <col min="24" max="24" width="13.5703125" customWidth="1" outlineLevel="1"/>
    <col min="27" max="27" width="11.5703125" customWidth="1" outlineLevel="1"/>
    <col min="28" max="28" width="13.5703125" customWidth="1" outlineLevel="1"/>
    <col min="29" max="29" width="6" bestFit="1" customWidth="1" outlineLevel="1"/>
    <col min="30" max="30" width="7.42578125" bestFit="1" customWidth="1" outlineLevel="1"/>
    <col min="31" max="31" width="12" customWidth="1" outlineLevel="1"/>
    <col min="32" max="33" width="11.42578125" outlineLevel="1"/>
    <col min="34" max="34" width="29.85546875" customWidth="1" outlineLevel="1"/>
    <col min="35" max="35" width="50.7109375" bestFit="1" customWidth="1" outlineLevel="1"/>
    <col min="36" max="36" width="12" bestFit="1" customWidth="1" outlineLevel="1"/>
    <col min="37" max="37" width="13.5703125" customWidth="1" outlineLevel="1"/>
  </cols>
  <sheetData>
    <row r="1" spans="1:37" x14ac:dyDescent="0.25">
      <c r="A1" s="4" t="s">
        <v>0</v>
      </c>
      <c r="B1" s="4" t="s">
        <v>27</v>
      </c>
      <c r="C1" s="4"/>
      <c r="D1" s="4"/>
      <c r="E1" s="75" t="s">
        <v>111</v>
      </c>
      <c r="F1" s="22" t="s">
        <v>0</v>
      </c>
      <c r="G1" s="23"/>
      <c r="H1" s="23"/>
      <c r="I1" s="23"/>
      <c r="J1" s="23" t="s">
        <v>5</v>
      </c>
      <c r="K1" s="24" t="s">
        <v>6</v>
      </c>
      <c r="N1" s="4" t="s">
        <v>0</v>
      </c>
      <c r="O1" s="4" t="s">
        <v>27</v>
      </c>
      <c r="P1" s="4"/>
      <c r="Q1" s="4"/>
      <c r="R1" s="75" t="s">
        <v>112</v>
      </c>
      <c r="S1" s="22" t="s">
        <v>0</v>
      </c>
      <c r="T1" s="23"/>
      <c r="U1" s="23"/>
      <c r="V1" s="23"/>
      <c r="W1" s="23" t="s">
        <v>5</v>
      </c>
      <c r="X1" s="24" t="s">
        <v>6</v>
      </c>
      <c r="AA1" s="4" t="s">
        <v>0</v>
      </c>
      <c r="AB1" s="4" t="s">
        <v>27</v>
      </c>
      <c r="AC1" s="4"/>
      <c r="AD1" s="4"/>
      <c r="AE1" s="75" t="s">
        <v>112</v>
      </c>
      <c r="AF1" s="22" t="s">
        <v>0</v>
      </c>
      <c r="AG1" s="23"/>
      <c r="AH1" s="23"/>
      <c r="AI1" s="23"/>
      <c r="AJ1" s="23" t="s">
        <v>5</v>
      </c>
      <c r="AK1" s="24" t="s">
        <v>6</v>
      </c>
    </row>
    <row r="2" spans="1:37" x14ac:dyDescent="0.25">
      <c r="A2" s="1">
        <v>45261</v>
      </c>
      <c r="B2" s="26" t="e">
        <f>HLOOKUP(A2,Hoja2!$R$2:$AV$48,47,FALSE)</f>
        <v>#N/A</v>
      </c>
      <c r="C2" s="26" t="e">
        <f>HLOOKUP(A2,Hoja2!$R$2:$AV$47,46,FALSE)</f>
        <v>#N/A</v>
      </c>
      <c r="D2" s="26" t="e">
        <f>HLOOKUP(A2,Hoja2!$R$2:$AV$46,45,FALSE)</f>
        <v>#N/A</v>
      </c>
      <c r="E2" s="3"/>
      <c r="F2" s="15">
        <v>45261</v>
      </c>
      <c r="G2" s="8">
        <v>110279</v>
      </c>
      <c r="H2" s="8" t="s">
        <v>66</v>
      </c>
      <c r="I2" t="e">
        <f>"CPA Compra Divisas Bco. Inter. "&amp;C2&amp;" T/C "&amp;D2</f>
        <v>#N/A</v>
      </c>
      <c r="J2" s="3" t="e">
        <f>+B2</f>
        <v>#N/A</v>
      </c>
      <c r="K2" s="10"/>
      <c r="N2" s="1">
        <v>45261</v>
      </c>
      <c r="O2" s="26" t="e">
        <f>HLOOKUP(N2,Hoja2!$R$2:$AV$52,51,FALSE)</f>
        <v>#N/A</v>
      </c>
      <c r="P2" s="26" t="e">
        <f>HLOOKUP(N2,Hoja2!$R$2:$AV$51,50,FALSE)</f>
        <v>#N/A</v>
      </c>
      <c r="Q2" s="77" t="e">
        <f>HLOOKUP(N2,Hoja2!$R$2:$AV$50,49,FALSE)</f>
        <v>#N/A</v>
      </c>
      <c r="R2" s="3"/>
      <c r="S2" s="15">
        <v>45261</v>
      </c>
      <c r="T2" s="8">
        <v>110285</v>
      </c>
      <c r="U2" s="8" t="s">
        <v>101</v>
      </c>
      <c r="V2" t="e">
        <f>"CPA Fondeo Bco. Inter. USD a CFSB 2475 "&amp;P2&amp;" T/C "&amp;Q2</f>
        <v>#N/A</v>
      </c>
      <c r="W2" s="3" t="e">
        <f>+O2</f>
        <v>#N/A</v>
      </c>
      <c r="X2" s="10"/>
      <c r="AA2" s="1">
        <v>45261</v>
      </c>
      <c r="AB2" s="26" t="e">
        <f>HLOOKUP(AA2,Hoja2!$R$2:$AV$56,55,FALSE)</f>
        <v>#N/A</v>
      </c>
      <c r="AC2" s="26" t="e">
        <f>HLOOKUP(AA2,Hoja2!$R$2:$AV$55,54,FALSE)</f>
        <v>#N/A</v>
      </c>
      <c r="AD2" s="77" t="e">
        <f>HLOOKUP(AA2,Hoja2!$R$2:$AV$54,53,FALSE)</f>
        <v>#N/A</v>
      </c>
      <c r="AE2" s="3"/>
      <c r="AF2" s="15">
        <v>45261</v>
      </c>
      <c r="AG2" s="8">
        <v>110820</v>
      </c>
      <c r="AH2" s="8" t="s">
        <v>113</v>
      </c>
      <c r="AI2" t="e">
        <f>"CPA Fondeo Bco. Inter. USD a JPM COL "&amp;AC2&amp;" T/C "&amp;AD2</f>
        <v>#N/A</v>
      </c>
      <c r="AJ2" s="3" t="e">
        <f>+AB2</f>
        <v>#N/A</v>
      </c>
      <c r="AK2" s="10"/>
    </row>
    <row r="3" spans="1:37" x14ac:dyDescent="0.25">
      <c r="A3" s="1">
        <v>45262</v>
      </c>
      <c r="B3" s="26" t="e">
        <f>HLOOKUP(A3,Hoja2!$R$2:$AV$48,47,FALSE)</f>
        <v>#N/A</v>
      </c>
      <c r="C3" s="26" t="e">
        <f>HLOOKUP(A3,Hoja2!$R$2:$AV$47,46,FALSE)</f>
        <v>#N/A</v>
      </c>
      <c r="D3" s="26" t="e">
        <f>HLOOKUP(A3,Hoja2!$R$2:$AV$46,45,FALSE)</f>
        <v>#N/A</v>
      </c>
      <c r="F3" s="11"/>
      <c r="G3" s="12">
        <v>110208</v>
      </c>
      <c r="H3" s="12" t="s">
        <v>46</v>
      </c>
      <c r="I3" s="12" t="e">
        <f>I2</f>
        <v>#N/A</v>
      </c>
      <c r="J3" s="13"/>
      <c r="K3" s="18" t="e">
        <f>J2</f>
        <v>#N/A</v>
      </c>
      <c r="N3" s="1">
        <v>45262</v>
      </c>
      <c r="O3" s="26" t="e">
        <f>HLOOKUP(N3,Hoja2!$R$2:$AV$52,51,FALSE)</f>
        <v>#N/A</v>
      </c>
      <c r="P3" s="26" t="e">
        <f>HLOOKUP(N3,Hoja2!$R$2:$AV$51,50,FALSE)</f>
        <v>#N/A</v>
      </c>
      <c r="Q3" s="77" t="e">
        <f>HLOOKUP(N3,Hoja2!$R$2:$AV$50,49,FALSE)</f>
        <v>#N/A</v>
      </c>
      <c r="S3" s="11"/>
      <c r="T3" s="12">
        <v>110279</v>
      </c>
      <c r="U3" s="12" t="s">
        <v>66</v>
      </c>
      <c r="V3" s="12" t="e">
        <f>V2</f>
        <v>#N/A</v>
      </c>
      <c r="W3" s="13"/>
      <c r="X3" s="18" t="e">
        <f>W2</f>
        <v>#N/A</v>
      </c>
      <c r="AA3" s="1">
        <v>45262</v>
      </c>
      <c r="AB3" s="26" t="e">
        <f>HLOOKUP(AA3,Hoja2!$R$2:$AV$56,55,FALSE)</f>
        <v>#N/A</v>
      </c>
      <c r="AC3" s="26" t="e">
        <f>HLOOKUP(AA3,Hoja2!$R$2:$AV$55,54,FALSE)</f>
        <v>#N/A</v>
      </c>
      <c r="AD3" s="77" t="e">
        <f>HLOOKUP(AA3,Hoja2!$R$2:$AV$54,53,FALSE)</f>
        <v>#N/A</v>
      </c>
      <c r="AF3" s="11"/>
      <c r="AG3" s="12">
        <v>110279</v>
      </c>
      <c r="AH3" s="12" t="s">
        <v>66</v>
      </c>
      <c r="AI3" s="12" t="e">
        <f>AI2</f>
        <v>#N/A</v>
      </c>
      <c r="AJ3" s="13"/>
      <c r="AK3" s="18" t="e">
        <f>AJ2</f>
        <v>#N/A</v>
      </c>
    </row>
    <row r="4" spans="1:37" x14ac:dyDescent="0.25">
      <c r="A4" s="1">
        <v>45263</v>
      </c>
      <c r="B4" s="26" t="e">
        <f>HLOOKUP(A4,Hoja2!$R$2:$AV$48,47,FALSE)</f>
        <v>#N/A</v>
      </c>
      <c r="C4" s="26" t="e">
        <f>HLOOKUP(A4,Hoja2!$R$2:$AV$47,46,FALSE)</f>
        <v>#N/A</v>
      </c>
      <c r="D4" s="26" t="e">
        <f>HLOOKUP(A4,Hoja2!$R$2:$AV$46,45,FALSE)</f>
        <v>#N/A</v>
      </c>
      <c r="F4" s="15">
        <v>45262</v>
      </c>
      <c r="G4" s="8">
        <v>110279</v>
      </c>
      <c r="H4" s="8" t="s">
        <v>66</v>
      </c>
      <c r="I4" t="e">
        <f>"CPA Compra Divisas Bco. Inter. "&amp;C3&amp;" T/C "&amp;D3</f>
        <v>#N/A</v>
      </c>
      <c r="J4" s="16" t="e">
        <f>+B3</f>
        <v>#N/A</v>
      </c>
      <c r="K4" s="17"/>
      <c r="N4" s="1">
        <v>45263</v>
      </c>
      <c r="O4" s="26" t="e">
        <f>HLOOKUP(N4,Hoja2!$R$2:$AV$52,51,FALSE)</f>
        <v>#N/A</v>
      </c>
      <c r="P4" s="26" t="e">
        <f>HLOOKUP(N4,Hoja2!$R$2:$AV$51,50,FALSE)</f>
        <v>#N/A</v>
      </c>
      <c r="Q4" s="77" t="e">
        <f>HLOOKUP(N4,Hoja2!$R$2:$AV$50,49,FALSE)</f>
        <v>#N/A</v>
      </c>
      <c r="S4" s="15">
        <v>45262</v>
      </c>
      <c r="T4" s="8">
        <v>110285</v>
      </c>
      <c r="U4" s="8" t="s">
        <v>101</v>
      </c>
      <c r="V4" t="e">
        <f>"CPA Fondeo Bco. Inter. USD a CFSB 2475 "&amp;P3&amp;" T/C "&amp;Q3</f>
        <v>#N/A</v>
      </c>
      <c r="W4" s="16" t="e">
        <f>+O3</f>
        <v>#N/A</v>
      </c>
      <c r="X4" s="17"/>
      <c r="AA4" s="1">
        <v>45263</v>
      </c>
      <c r="AB4" s="26" t="e">
        <f>HLOOKUP(AA4,Hoja2!$R$2:$AV$56,55,FALSE)</f>
        <v>#N/A</v>
      </c>
      <c r="AC4" s="26" t="e">
        <f>HLOOKUP(AA4,Hoja2!$R$2:$AV$55,54,FALSE)</f>
        <v>#N/A</v>
      </c>
      <c r="AD4" s="77" t="e">
        <f>HLOOKUP(AA4,Hoja2!$R$2:$AV$54,53,FALSE)</f>
        <v>#N/A</v>
      </c>
      <c r="AF4" s="15">
        <v>45262</v>
      </c>
      <c r="AG4" s="8">
        <v>110820</v>
      </c>
      <c r="AH4" s="8" t="s">
        <v>113</v>
      </c>
      <c r="AI4" t="e">
        <f>"CPA Fondeo Bco. Inter. USD a JPM COL "&amp;AC3&amp;" T/C "&amp;AD3</f>
        <v>#N/A</v>
      </c>
      <c r="AJ4" s="16" t="e">
        <f>+AB3</f>
        <v>#N/A</v>
      </c>
      <c r="AK4" s="17"/>
    </row>
    <row r="5" spans="1:37" x14ac:dyDescent="0.25">
      <c r="A5" s="1">
        <v>45264</v>
      </c>
      <c r="B5" s="26" t="e">
        <f>HLOOKUP(A5,Hoja2!$R$2:$AV$48,47,FALSE)</f>
        <v>#N/A</v>
      </c>
      <c r="C5" s="26" t="e">
        <f>HLOOKUP(A5,Hoja2!$R$2:$AV$47,46,FALSE)</f>
        <v>#N/A</v>
      </c>
      <c r="D5" s="26" t="e">
        <f>HLOOKUP(A5,Hoja2!$R$2:$AV$46,45,FALSE)</f>
        <v>#N/A</v>
      </c>
      <c r="F5" s="11"/>
      <c r="G5" s="12">
        <v>110208</v>
      </c>
      <c r="H5" s="12" t="s">
        <v>46</v>
      </c>
      <c r="I5" s="12" t="e">
        <f t="shared" ref="I5" si="0">I4</f>
        <v>#N/A</v>
      </c>
      <c r="J5" s="13"/>
      <c r="K5" s="18" t="e">
        <f t="shared" ref="K5" si="1">J4</f>
        <v>#N/A</v>
      </c>
      <c r="N5" s="1">
        <v>45264</v>
      </c>
      <c r="O5" s="26" t="e">
        <f>HLOOKUP(N5,Hoja2!$R$2:$AV$52,51,FALSE)</f>
        <v>#N/A</v>
      </c>
      <c r="P5" s="26" t="e">
        <f>HLOOKUP(N5,Hoja2!$R$2:$AV$51,50,FALSE)</f>
        <v>#N/A</v>
      </c>
      <c r="Q5" s="77" t="e">
        <f>HLOOKUP(N5,Hoja2!$R$2:$AV$50,49,FALSE)</f>
        <v>#N/A</v>
      </c>
      <c r="S5" s="11"/>
      <c r="T5" s="12">
        <v>110279</v>
      </c>
      <c r="U5" s="12" t="s">
        <v>66</v>
      </c>
      <c r="V5" s="12" t="e">
        <f t="shared" ref="V5" si="2">V4</f>
        <v>#N/A</v>
      </c>
      <c r="W5" s="13"/>
      <c r="X5" s="18" t="e">
        <f t="shared" ref="X5" si="3">W4</f>
        <v>#N/A</v>
      </c>
      <c r="AA5" s="1">
        <v>45264</v>
      </c>
      <c r="AB5" s="26" t="e">
        <f>HLOOKUP(AA5,Hoja2!$R$2:$AV$56,55,FALSE)</f>
        <v>#N/A</v>
      </c>
      <c r="AC5" s="26" t="e">
        <f>HLOOKUP(AA5,Hoja2!$R$2:$AV$55,54,FALSE)</f>
        <v>#N/A</v>
      </c>
      <c r="AD5" s="77" t="e">
        <f>HLOOKUP(AA5,Hoja2!$R$2:$AV$54,53,FALSE)</f>
        <v>#N/A</v>
      </c>
      <c r="AF5" s="11"/>
      <c r="AG5" s="12">
        <v>110279</v>
      </c>
      <c r="AH5" s="12" t="s">
        <v>66</v>
      </c>
      <c r="AI5" s="12" t="e">
        <f t="shared" ref="AI5" si="4">AI4</f>
        <v>#N/A</v>
      </c>
      <c r="AJ5" s="13"/>
      <c r="AK5" s="18" t="e">
        <f t="shared" ref="AK5" si="5">AJ4</f>
        <v>#N/A</v>
      </c>
    </row>
    <row r="6" spans="1:37" x14ac:dyDescent="0.25">
      <c r="A6" s="1">
        <v>45265</v>
      </c>
      <c r="B6" s="26" t="e">
        <f>HLOOKUP(A6,Hoja2!$R$2:$AV$48,47,FALSE)</f>
        <v>#N/A</v>
      </c>
      <c r="C6" s="26" t="e">
        <f>HLOOKUP(A6,Hoja2!$R$2:$AV$47,46,FALSE)</f>
        <v>#N/A</v>
      </c>
      <c r="D6" s="26" t="e">
        <f>HLOOKUP(A6,Hoja2!$R$2:$AV$46,45,FALSE)</f>
        <v>#N/A</v>
      </c>
      <c r="F6" s="15">
        <v>45263</v>
      </c>
      <c r="G6" s="8">
        <v>110279</v>
      </c>
      <c r="H6" s="8" t="s">
        <v>66</v>
      </c>
      <c r="I6" t="e">
        <f>"CPA Compra Divisas Bco. Inter. " &amp;C4&amp;" T/C "&amp;D4</f>
        <v>#N/A</v>
      </c>
      <c r="J6" s="16" t="e">
        <f>+B4</f>
        <v>#N/A</v>
      </c>
      <c r="K6" s="17"/>
      <c r="N6" s="1">
        <v>45265</v>
      </c>
      <c r="O6" s="26" t="e">
        <f>HLOOKUP(N6,Hoja2!$R$2:$AV$52,51,FALSE)</f>
        <v>#N/A</v>
      </c>
      <c r="P6" s="26" t="e">
        <f>HLOOKUP(N6,Hoja2!$R$2:$AV$51,50,FALSE)</f>
        <v>#N/A</v>
      </c>
      <c r="Q6" s="77" t="e">
        <f>HLOOKUP(N6,Hoja2!$R$2:$AV$50,49,FALSE)</f>
        <v>#N/A</v>
      </c>
      <c r="S6" s="15">
        <v>45263</v>
      </c>
      <c r="T6" s="8">
        <v>110285</v>
      </c>
      <c r="U6" s="8" t="s">
        <v>101</v>
      </c>
      <c r="V6" t="e">
        <f>"CPA Fondeo Bco. Inter. USD a CFSB 2475 " &amp;P4&amp;" T/C "&amp;Q4</f>
        <v>#N/A</v>
      </c>
      <c r="W6" s="16" t="e">
        <f>+O4</f>
        <v>#N/A</v>
      </c>
      <c r="X6" s="17"/>
      <c r="AA6" s="1">
        <v>45265</v>
      </c>
      <c r="AB6" s="26" t="e">
        <f>HLOOKUP(AA6,Hoja2!$R$2:$AV$56,55,FALSE)</f>
        <v>#N/A</v>
      </c>
      <c r="AC6" s="26" t="e">
        <f>HLOOKUP(AA6,Hoja2!$R$2:$AV$55,54,FALSE)</f>
        <v>#N/A</v>
      </c>
      <c r="AD6" s="77" t="e">
        <f>HLOOKUP(AA6,Hoja2!$R$2:$AV$54,53,FALSE)</f>
        <v>#N/A</v>
      </c>
      <c r="AF6" s="15">
        <v>45263</v>
      </c>
      <c r="AG6" s="8">
        <v>110820</v>
      </c>
      <c r="AH6" s="8" t="s">
        <v>113</v>
      </c>
      <c r="AI6" t="e">
        <f>"CPA Fondeo Bco. Inter. USD a JPM COL " &amp;AC4&amp;" T/C "&amp;AD4</f>
        <v>#N/A</v>
      </c>
      <c r="AJ6" s="16" t="e">
        <f>+AB4</f>
        <v>#N/A</v>
      </c>
      <c r="AK6" s="17"/>
    </row>
    <row r="7" spans="1:37" x14ac:dyDescent="0.25">
      <c r="A7" s="1">
        <v>45266</v>
      </c>
      <c r="B7" s="26" t="e">
        <f>HLOOKUP(A7,Hoja2!$R$2:$AV$48,47,FALSE)</f>
        <v>#N/A</v>
      </c>
      <c r="C7" s="26" t="e">
        <f>HLOOKUP(A7,Hoja2!$R$2:$AV$47,46,FALSE)</f>
        <v>#N/A</v>
      </c>
      <c r="D7" s="26" t="e">
        <f>HLOOKUP(A7,Hoja2!$R$2:$AV$46,45,FALSE)</f>
        <v>#N/A</v>
      </c>
      <c r="F7" s="11"/>
      <c r="G7" s="12">
        <v>110208</v>
      </c>
      <c r="H7" s="12" t="s">
        <v>46</v>
      </c>
      <c r="I7" s="12" t="e">
        <f t="shared" ref="I7" si="6">I6</f>
        <v>#N/A</v>
      </c>
      <c r="J7" s="13"/>
      <c r="K7" s="18" t="e">
        <f>J6</f>
        <v>#N/A</v>
      </c>
      <c r="N7" s="1">
        <v>45266</v>
      </c>
      <c r="O7" s="26" t="e">
        <f>HLOOKUP(N7,Hoja2!$R$2:$AV$52,51,FALSE)</f>
        <v>#N/A</v>
      </c>
      <c r="P7" s="26" t="e">
        <f>HLOOKUP(N7,Hoja2!$R$2:$AV$51,50,FALSE)</f>
        <v>#N/A</v>
      </c>
      <c r="Q7" s="77" t="e">
        <f>HLOOKUP(N7,Hoja2!$R$2:$AV$50,49,FALSE)</f>
        <v>#N/A</v>
      </c>
      <c r="S7" s="11"/>
      <c r="T7" s="12">
        <v>110279</v>
      </c>
      <c r="U7" s="12" t="s">
        <v>66</v>
      </c>
      <c r="V7" s="12" t="e">
        <f t="shared" ref="V7" si="7">V6</f>
        <v>#N/A</v>
      </c>
      <c r="W7" s="13"/>
      <c r="X7" s="18" t="e">
        <f>W6</f>
        <v>#N/A</v>
      </c>
      <c r="AA7" s="1">
        <v>45266</v>
      </c>
      <c r="AB7" s="26" t="e">
        <f>HLOOKUP(AA7,Hoja2!$R$2:$AV$56,55,FALSE)</f>
        <v>#N/A</v>
      </c>
      <c r="AC7" s="26" t="e">
        <f>HLOOKUP(AA7,Hoja2!$R$2:$AV$55,54,FALSE)</f>
        <v>#N/A</v>
      </c>
      <c r="AD7" s="77" t="e">
        <f>HLOOKUP(AA7,Hoja2!$R$2:$AV$54,53,FALSE)</f>
        <v>#N/A</v>
      </c>
      <c r="AF7" s="11"/>
      <c r="AG7" s="12">
        <v>110279</v>
      </c>
      <c r="AH7" s="12" t="s">
        <v>66</v>
      </c>
      <c r="AI7" s="12" t="e">
        <f t="shared" ref="AI7" si="8">AI6</f>
        <v>#N/A</v>
      </c>
      <c r="AJ7" s="13"/>
      <c r="AK7" s="18" t="e">
        <f>AJ6</f>
        <v>#N/A</v>
      </c>
    </row>
    <row r="8" spans="1:37" x14ac:dyDescent="0.25">
      <c r="A8" s="1">
        <v>45267</v>
      </c>
      <c r="B8" s="26" t="e">
        <f>HLOOKUP(A8,Hoja2!$R$2:$AV$48,47,FALSE)</f>
        <v>#N/A</v>
      </c>
      <c r="C8" s="26" t="e">
        <f>HLOOKUP(A8,Hoja2!$R$2:$AV$47,46,FALSE)</f>
        <v>#N/A</v>
      </c>
      <c r="D8" s="26" t="e">
        <f>HLOOKUP(A8,Hoja2!$R$2:$AV$46,45,FALSE)</f>
        <v>#N/A</v>
      </c>
      <c r="F8" s="15">
        <v>45264</v>
      </c>
      <c r="G8" s="8">
        <v>110279</v>
      </c>
      <c r="H8" s="8" t="s">
        <v>66</v>
      </c>
      <c r="I8" t="e">
        <f>"CPA Compra Divisas Bco. Inter. " &amp;C5&amp;" T/C "&amp;D5</f>
        <v>#N/A</v>
      </c>
      <c r="J8" s="16" t="e">
        <f>+B5</f>
        <v>#N/A</v>
      </c>
      <c r="K8" s="17"/>
      <c r="N8" s="1">
        <v>45267</v>
      </c>
      <c r="O8" s="26" t="e">
        <f>HLOOKUP(N8,Hoja2!$R$2:$AV$52,51,FALSE)</f>
        <v>#N/A</v>
      </c>
      <c r="P8" s="26" t="e">
        <f>HLOOKUP(N8,Hoja2!$R$2:$AV$51,50,FALSE)</f>
        <v>#N/A</v>
      </c>
      <c r="Q8" s="77" t="e">
        <f>HLOOKUP(N8,Hoja2!$R$2:$AV$50,49,FALSE)</f>
        <v>#N/A</v>
      </c>
      <c r="S8" s="15">
        <v>45264</v>
      </c>
      <c r="T8" s="8">
        <v>110285</v>
      </c>
      <c r="U8" s="8" t="s">
        <v>101</v>
      </c>
      <c r="V8" t="e">
        <f>"CPA Fondeo Bco. Inter. USD a CFSB 2475 " &amp;P5&amp;" T/C "&amp;Q5</f>
        <v>#N/A</v>
      </c>
      <c r="W8" s="16" t="e">
        <f>+O5</f>
        <v>#N/A</v>
      </c>
      <c r="X8" s="17"/>
      <c r="AA8" s="1">
        <v>45267</v>
      </c>
      <c r="AB8" s="26" t="e">
        <f>HLOOKUP(AA8,Hoja2!$R$2:$AV$56,55,FALSE)</f>
        <v>#N/A</v>
      </c>
      <c r="AC8" s="26" t="e">
        <f>HLOOKUP(AA8,Hoja2!$R$2:$AV$55,54,FALSE)</f>
        <v>#N/A</v>
      </c>
      <c r="AD8" s="77" t="e">
        <f>HLOOKUP(AA8,Hoja2!$R$2:$AV$54,53,FALSE)</f>
        <v>#N/A</v>
      </c>
      <c r="AF8" s="15">
        <v>45264</v>
      </c>
      <c r="AG8" s="8">
        <v>110820</v>
      </c>
      <c r="AH8" s="8" t="s">
        <v>113</v>
      </c>
      <c r="AI8" t="e">
        <f>"CPA Fondeo Bco. Inter. USD a JPM COL " &amp;AC5&amp;" T/C "&amp;AD5</f>
        <v>#N/A</v>
      </c>
      <c r="AJ8" s="16" t="e">
        <f>+AB5</f>
        <v>#N/A</v>
      </c>
      <c r="AK8" s="17"/>
    </row>
    <row r="9" spans="1:37" x14ac:dyDescent="0.25">
      <c r="A9" s="1">
        <v>45268</v>
      </c>
      <c r="B9" s="26" t="e">
        <f>HLOOKUP(A9,Hoja2!$R$2:$AV$48,47,FALSE)</f>
        <v>#N/A</v>
      </c>
      <c r="C9" s="26" t="e">
        <f>HLOOKUP(A9,Hoja2!$R$2:$AV$47,46,FALSE)</f>
        <v>#N/A</v>
      </c>
      <c r="D9" s="26" t="e">
        <f>HLOOKUP(A9,Hoja2!$R$2:$AV$46,45,FALSE)</f>
        <v>#N/A</v>
      </c>
      <c r="F9" s="11"/>
      <c r="G9" s="12">
        <v>110208</v>
      </c>
      <c r="H9" s="12" t="s">
        <v>46</v>
      </c>
      <c r="I9" s="12" t="e">
        <f t="shared" ref="I9" si="9">I8</f>
        <v>#N/A</v>
      </c>
      <c r="K9" s="10" t="e">
        <f t="shared" ref="K9" si="10">J8</f>
        <v>#N/A</v>
      </c>
      <c r="N9" s="1">
        <v>45268</v>
      </c>
      <c r="O9" s="26" t="e">
        <f>HLOOKUP(N9,Hoja2!$R$2:$AV$52,51,FALSE)</f>
        <v>#N/A</v>
      </c>
      <c r="P9" s="26" t="e">
        <f>HLOOKUP(N9,Hoja2!$R$2:$AV$51,50,FALSE)</f>
        <v>#N/A</v>
      </c>
      <c r="Q9" s="77" t="e">
        <f>HLOOKUP(N9,Hoja2!$R$2:$AV$50,49,FALSE)</f>
        <v>#N/A</v>
      </c>
      <c r="S9" s="11"/>
      <c r="T9" s="12">
        <v>110279</v>
      </c>
      <c r="U9" s="12" t="s">
        <v>66</v>
      </c>
      <c r="V9" s="12" t="e">
        <f t="shared" ref="V9" si="11">V8</f>
        <v>#N/A</v>
      </c>
      <c r="X9" s="10" t="e">
        <f t="shared" ref="X9" si="12">W8</f>
        <v>#N/A</v>
      </c>
      <c r="AA9" s="1">
        <v>45268</v>
      </c>
      <c r="AB9" s="26" t="e">
        <f>HLOOKUP(AA9,Hoja2!$R$2:$AV$56,55,FALSE)</f>
        <v>#N/A</v>
      </c>
      <c r="AC9" s="26" t="e">
        <f>HLOOKUP(AA9,Hoja2!$R$2:$AV$55,54,FALSE)</f>
        <v>#N/A</v>
      </c>
      <c r="AD9" s="77" t="e">
        <f>HLOOKUP(AA9,Hoja2!$R$2:$AV$54,53,FALSE)</f>
        <v>#N/A</v>
      </c>
      <c r="AF9" s="11"/>
      <c r="AG9" s="12">
        <v>110279</v>
      </c>
      <c r="AH9" s="12" t="s">
        <v>66</v>
      </c>
      <c r="AI9" s="12" t="e">
        <f t="shared" ref="AI9" si="13">AI8</f>
        <v>#N/A</v>
      </c>
      <c r="AK9" s="10" t="e">
        <f t="shared" ref="AK9" si="14">AJ8</f>
        <v>#N/A</v>
      </c>
    </row>
    <row r="10" spans="1:37" x14ac:dyDescent="0.25">
      <c r="A10" s="1">
        <v>45269</v>
      </c>
      <c r="B10" s="26" t="e">
        <f>HLOOKUP(A10,Hoja2!$R$2:$AV$48,47,FALSE)</f>
        <v>#N/A</v>
      </c>
      <c r="C10" s="26" t="e">
        <f>HLOOKUP(A10,Hoja2!$R$2:$AV$47,46,FALSE)</f>
        <v>#N/A</v>
      </c>
      <c r="D10" s="26" t="e">
        <f>HLOOKUP(A10,Hoja2!$R$2:$AV$46,45,FALSE)</f>
        <v>#N/A</v>
      </c>
      <c r="F10" s="15">
        <v>45265</v>
      </c>
      <c r="G10" s="8">
        <v>110279</v>
      </c>
      <c r="H10" s="8" t="s">
        <v>66</v>
      </c>
      <c r="I10" t="e">
        <f>"CPA Compra Divisas Bco. Inter. " &amp;C6&amp;" T/C "&amp;D6</f>
        <v>#N/A</v>
      </c>
      <c r="J10" s="16" t="e">
        <f>+B6</f>
        <v>#N/A</v>
      </c>
      <c r="K10" s="17"/>
      <c r="N10" s="1">
        <v>45269</v>
      </c>
      <c r="O10" s="26" t="e">
        <f>HLOOKUP(N10,Hoja2!$R$2:$AV$52,51,FALSE)</f>
        <v>#N/A</v>
      </c>
      <c r="P10" s="26" t="e">
        <f>HLOOKUP(N10,Hoja2!$R$2:$AV$51,50,FALSE)</f>
        <v>#N/A</v>
      </c>
      <c r="Q10" s="77" t="e">
        <f>HLOOKUP(N10,Hoja2!$R$2:$AV$50,49,FALSE)</f>
        <v>#N/A</v>
      </c>
      <c r="S10" s="15">
        <v>45265</v>
      </c>
      <c r="T10" s="8">
        <v>110285</v>
      </c>
      <c r="U10" s="8" t="s">
        <v>101</v>
      </c>
      <c r="V10" t="e">
        <f>"CPA Fondeo Bco. Inter. USD a CFSB 2475 " &amp;P6&amp;" T/C "&amp;Q6</f>
        <v>#N/A</v>
      </c>
      <c r="W10" s="16" t="e">
        <f>+O6</f>
        <v>#N/A</v>
      </c>
      <c r="X10" s="17"/>
      <c r="AA10" s="1">
        <v>45269</v>
      </c>
      <c r="AB10" s="26" t="e">
        <f>HLOOKUP(AA10,Hoja2!$R$2:$AV$56,55,FALSE)</f>
        <v>#N/A</v>
      </c>
      <c r="AC10" s="26" t="e">
        <f>HLOOKUP(AA10,Hoja2!$R$2:$AV$55,54,FALSE)</f>
        <v>#N/A</v>
      </c>
      <c r="AD10" s="77" t="e">
        <f>HLOOKUP(AA10,Hoja2!$R$2:$AV$54,53,FALSE)</f>
        <v>#N/A</v>
      </c>
      <c r="AF10" s="15">
        <v>45265</v>
      </c>
      <c r="AG10" s="8">
        <v>110820</v>
      </c>
      <c r="AH10" s="8" t="s">
        <v>113</v>
      </c>
      <c r="AI10" t="e">
        <f>"CPA Fondeo Bco. Inter. USD a JPM COL " &amp;AC6&amp;" T/C "&amp;AD6</f>
        <v>#N/A</v>
      </c>
      <c r="AJ10" s="16" t="e">
        <f>+AB6</f>
        <v>#N/A</v>
      </c>
      <c r="AK10" s="17"/>
    </row>
    <row r="11" spans="1:37" x14ac:dyDescent="0.25">
      <c r="A11" s="1">
        <v>45270</v>
      </c>
      <c r="B11" s="26" t="e">
        <f>HLOOKUP(A11,Hoja2!$R$2:$AV$48,47,FALSE)</f>
        <v>#N/A</v>
      </c>
      <c r="C11" s="26" t="e">
        <f>HLOOKUP(A11,Hoja2!$R$2:$AV$47,46,FALSE)</f>
        <v>#N/A</v>
      </c>
      <c r="D11" s="26" t="e">
        <f>HLOOKUP(A11,Hoja2!$R$2:$AV$46,45,FALSE)</f>
        <v>#N/A</v>
      </c>
      <c r="F11" s="11"/>
      <c r="G11" s="12">
        <v>110208</v>
      </c>
      <c r="H11" s="12" t="s">
        <v>46</v>
      </c>
      <c r="I11" s="12" t="e">
        <f t="shared" ref="I11" si="15">I10</f>
        <v>#N/A</v>
      </c>
      <c r="K11" s="10" t="e">
        <f t="shared" ref="K11" si="16">J10</f>
        <v>#N/A</v>
      </c>
      <c r="N11" s="1">
        <v>45270</v>
      </c>
      <c r="O11" s="26" t="e">
        <f>HLOOKUP(N11,Hoja2!$R$2:$AV$52,51,FALSE)</f>
        <v>#N/A</v>
      </c>
      <c r="P11" s="26" t="e">
        <f>HLOOKUP(N11,Hoja2!$R$2:$AV$51,50,FALSE)</f>
        <v>#N/A</v>
      </c>
      <c r="Q11" s="77" t="e">
        <f>HLOOKUP(N11,Hoja2!$R$2:$AV$50,49,FALSE)</f>
        <v>#N/A</v>
      </c>
      <c r="S11" s="11"/>
      <c r="T11" s="12">
        <v>110279</v>
      </c>
      <c r="U11" s="12" t="s">
        <v>66</v>
      </c>
      <c r="V11" s="12" t="e">
        <f t="shared" ref="V11" si="17">V10</f>
        <v>#N/A</v>
      </c>
      <c r="X11" s="10" t="e">
        <f t="shared" ref="X11" si="18">W10</f>
        <v>#N/A</v>
      </c>
      <c r="AA11" s="1">
        <v>45270</v>
      </c>
      <c r="AB11" s="26" t="e">
        <f>HLOOKUP(AA11,Hoja2!$R$2:$AV$56,55,FALSE)</f>
        <v>#N/A</v>
      </c>
      <c r="AC11" s="26" t="e">
        <f>HLOOKUP(AA11,Hoja2!$R$2:$AV$55,54,FALSE)</f>
        <v>#N/A</v>
      </c>
      <c r="AD11" s="77" t="e">
        <f>HLOOKUP(AA11,Hoja2!$R$2:$AV$54,53,FALSE)</f>
        <v>#N/A</v>
      </c>
      <c r="AF11" s="11"/>
      <c r="AG11" s="12">
        <v>110279</v>
      </c>
      <c r="AH11" s="12" t="s">
        <v>66</v>
      </c>
      <c r="AI11" s="12" t="e">
        <f t="shared" ref="AI11" si="19">AI10</f>
        <v>#N/A</v>
      </c>
      <c r="AK11" s="10" t="e">
        <f t="shared" ref="AK11" si="20">AJ10</f>
        <v>#N/A</v>
      </c>
    </row>
    <row r="12" spans="1:37" x14ac:dyDescent="0.25">
      <c r="A12" s="1">
        <v>45271</v>
      </c>
      <c r="B12" s="26" t="e">
        <f>HLOOKUP(A12,Hoja2!$R$2:$AV$48,47,FALSE)</f>
        <v>#N/A</v>
      </c>
      <c r="C12" s="26" t="e">
        <f>HLOOKUP(A12,Hoja2!$R$2:$AV$47,46,FALSE)</f>
        <v>#N/A</v>
      </c>
      <c r="D12" s="26" t="e">
        <f>HLOOKUP(A12,Hoja2!$R$2:$AV$46,45,FALSE)</f>
        <v>#N/A</v>
      </c>
      <c r="F12" s="15">
        <v>45266</v>
      </c>
      <c r="G12" s="8">
        <v>110279</v>
      </c>
      <c r="H12" s="8" t="s">
        <v>66</v>
      </c>
      <c r="I12" t="e">
        <f>"CPA Compra Divisas Bco. Inter. " &amp;C7&amp;" T/C "&amp;D7</f>
        <v>#N/A</v>
      </c>
      <c r="J12" s="16" t="e">
        <f>+B7</f>
        <v>#N/A</v>
      </c>
      <c r="K12" s="17"/>
      <c r="N12" s="1">
        <v>45271</v>
      </c>
      <c r="O12" s="26" t="e">
        <f>HLOOKUP(N12,Hoja2!$R$2:$AV$52,51,FALSE)</f>
        <v>#N/A</v>
      </c>
      <c r="P12" s="26" t="e">
        <f>HLOOKUP(N12,Hoja2!$R$2:$AV$51,50,FALSE)</f>
        <v>#N/A</v>
      </c>
      <c r="Q12" s="77" t="e">
        <f>HLOOKUP(N12,Hoja2!$R$2:$AV$50,49,FALSE)</f>
        <v>#N/A</v>
      </c>
      <c r="S12" s="15">
        <v>45266</v>
      </c>
      <c r="T12" s="8">
        <v>110285</v>
      </c>
      <c r="U12" s="8" t="s">
        <v>101</v>
      </c>
      <c r="V12" t="e">
        <f>"CPA Fondeo Bco. Inter. USD a CFSB 2475 " &amp;P7&amp;" T/C "&amp;Q7</f>
        <v>#N/A</v>
      </c>
      <c r="W12" s="16" t="e">
        <f>+O7</f>
        <v>#N/A</v>
      </c>
      <c r="X12" s="17"/>
      <c r="AA12" s="1">
        <v>45271</v>
      </c>
      <c r="AB12" s="26" t="e">
        <f>HLOOKUP(AA12,Hoja2!$R$2:$AV$56,55,FALSE)</f>
        <v>#N/A</v>
      </c>
      <c r="AC12" s="26" t="e">
        <f>HLOOKUP(AA12,Hoja2!$R$2:$AV$55,54,FALSE)</f>
        <v>#N/A</v>
      </c>
      <c r="AD12" s="77" t="e">
        <f>HLOOKUP(AA12,Hoja2!$R$2:$AV$54,53,FALSE)</f>
        <v>#N/A</v>
      </c>
      <c r="AF12" s="15">
        <v>45266</v>
      </c>
      <c r="AG12" s="8">
        <v>110820</v>
      </c>
      <c r="AH12" s="8" t="s">
        <v>113</v>
      </c>
      <c r="AI12" t="e">
        <f>"CPA Fondeo Bco. Inter. USD a JPM COL " &amp;AC7&amp;" T/C "&amp;AD7</f>
        <v>#N/A</v>
      </c>
      <c r="AJ12" s="16" t="e">
        <f>+AB7</f>
        <v>#N/A</v>
      </c>
      <c r="AK12" s="17"/>
    </row>
    <row r="13" spans="1:37" x14ac:dyDescent="0.25">
      <c r="A13" s="1">
        <v>45272</v>
      </c>
      <c r="B13" s="26" t="e">
        <f>HLOOKUP(A13,Hoja2!$R$2:$AV$48,47,FALSE)</f>
        <v>#N/A</v>
      </c>
      <c r="C13" s="26" t="e">
        <f>HLOOKUP(A13,Hoja2!$R$2:$AV$47,46,FALSE)</f>
        <v>#N/A</v>
      </c>
      <c r="D13" s="26" t="e">
        <f>HLOOKUP(A13,Hoja2!$R$2:$AV$46,45,FALSE)</f>
        <v>#N/A</v>
      </c>
      <c r="F13" s="11"/>
      <c r="G13" s="12">
        <v>110208</v>
      </c>
      <c r="H13" s="12" t="s">
        <v>46</v>
      </c>
      <c r="I13" s="12" t="e">
        <f t="shared" ref="I13" si="21">I12</f>
        <v>#N/A</v>
      </c>
      <c r="J13" s="3"/>
      <c r="K13" s="10" t="e">
        <f>J12</f>
        <v>#N/A</v>
      </c>
      <c r="N13" s="1">
        <v>45272</v>
      </c>
      <c r="O13" s="26" t="e">
        <f>HLOOKUP(N13,Hoja2!$R$2:$AV$52,51,FALSE)</f>
        <v>#N/A</v>
      </c>
      <c r="P13" s="26" t="e">
        <f>HLOOKUP(N13,Hoja2!$R$2:$AV$51,50,FALSE)</f>
        <v>#N/A</v>
      </c>
      <c r="Q13" s="77" t="e">
        <f>HLOOKUP(N13,Hoja2!$R$2:$AV$50,49,FALSE)</f>
        <v>#N/A</v>
      </c>
      <c r="S13" s="11"/>
      <c r="T13" s="12">
        <v>110279</v>
      </c>
      <c r="U13" s="12" t="s">
        <v>66</v>
      </c>
      <c r="V13" s="12" t="e">
        <f t="shared" ref="V13" si="22">V12</f>
        <v>#N/A</v>
      </c>
      <c r="W13" s="3"/>
      <c r="X13" s="10" t="e">
        <f>W12</f>
        <v>#N/A</v>
      </c>
      <c r="AA13" s="1">
        <v>45272</v>
      </c>
      <c r="AB13" s="26" t="e">
        <f>HLOOKUP(AA13,Hoja2!$R$2:$AV$56,55,FALSE)</f>
        <v>#N/A</v>
      </c>
      <c r="AC13" s="26" t="e">
        <f>HLOOKUP(AA13,Hoja2!$R$2:$AV$55,54,FALSE)</f>
        <v>#N/A</v>
      </c>
      <c r="AD13" s="77" t="e">
        <f>HLOOKUP(AA13,Hoja2!$R$2:$AV$54,53,FALSE)</f>
        <v>#N/A</v>
      </c>
      <c r="AF13" s="11"/>
      <c r="AG13" s="12">
        <v>110279</v>
      </c>
      <c r="AH13" s="12" t="s">
        <v>66</v>
      </c>
      <c r="AI13" s="12" t="e">
        <f t="shared" ref="AI13" si="23">AI12</f>
        <v>#N/A</v>
      </c>
      <c r="AJ13" s="3"/>
      <c r="AK13" s="10" t="e">
        <f>AJ12</f>
        <v>#N/A</v>
      </c>
    </row>
    <row r="14" spans="1:37" x14ac:dyDescent="0.25">
      <c r="A14" s="1">
        <v>45273</v>
      </c>
      <c r="B14" s="26" t="e">
        <f>HLOOKUP(A14,Hoja2!$R$2:$AV$48,47,FALSE)</f>
        <v>#N/A</v>
      </c>
      <c r="C14" s="26" t="e">
        <f>HLOOKUP(A14,Hoja2!$R$2:$AV$47,46,FALSE)</f>
        <v>#N/A</v>
      </c>
      <c r="D14" s="26" t="e">
        <f>HLOOKUP(A14,Hoja2!$R$2:$AV$46,45,FALSE)</f>
        <v>#N/A</v>
      </c>
      <c r="F14" s="15">
        <v>45267</v>
      </c>
      <c r="G14" s="8">
        <v>110279</v>
      </c>
      <c r="H14" s="8" t="s">
        <v>66</v>
      </c>
      <c r="I14" t="e">
        <f>"CPA Compra Divisas Bco. Inter. " &amp;C8&amp;" T/C "&amp;D8</f>
        <v>#N/A</v>
      </c>
      <c r="J14" s="16" t="e">
        <f>+B8</f>
        <v>#N/A</v>
      </c>
      <c r="K14" s="17"/>
      <c r="N14" s="1">
        <v>45273</v>
      </c>
      <c r="O14" s="26" t="e">
        <f>HLOOKUP(N14,Hoja2!$R$2:$AV$52,51,FALSE)</f>
        <v>#N/A</v>
      </c>
      <c r="P14" s="26" t="e">
        <f>HLOOKUP(N14,Hoja2!$R$2:$AV$51,50,FALSE)</f>
        <v>#N/A</v>
      </c>
      <c r="Q14" s="77" t="e">
        <f>HLOOKUP(N14,Hoja2!$R$2:$AV$50,49,FALSE)</f>
        <v>#N/A</v>
      </c>
      <c r="S14" s="15">
        <v>45267</v>
      </c>
      <c r="T14" s="8">
        <v>110285</v>
      </c>
      <c r="U14" s="8" t="s">
        <v>101</v>
      </c>
      <c r="V14" t="e">
        <f>"CPA Fondeo Bco. Inter. USD a CFSB 2475 " &amp;P8&amp;" T/C "&amp;Q8</f>
        <v>#N/A</v>
      </c>
      <c r="W14" s="16" t="e">
        <f>+O8</f>
        <v>#N/A</v>
      </c>
      <c r="X14" s="17"/>
      <c r="AA14" s="1">
        <v>45273</v>
      </c>
      <c r="AB14" s="26" t="e">
        <f>HLOOKUP(AA14,Hoja2!$R$2:$AV$56,55,FALSE)</f>
        <v>#N/A</v>
      </c>
      <c r="AC14" s="26" t="e">
        <f>HLOOKUP(AA14,Hoja2!$R$2:$AV$55,54,FALSE)</f>
        <v>#N/A</v>
      </c>
      <c r="AD14" s="77" t="e">
        <f>HLOOKUP(AA14,Hoja2!$R$2:$AV$54,53,FALSE)</f>
        <v>#N/A</v>
      </c>
      <c r="AF14" s="15">
        <v>45267</v>
      </c>
      <c r="AG14" s="8">
        <v>110820</v>
      </c>
      <c r="AH14" s="8" t="s">
        <v>113</v>
      </c>
      <c r="AI14" t="e">
        <f>"CPA Fondeo Bco. Inter. USD a JPM COL " &amp;AC8&amp;" T/C "&amp;AD8</f>
        <v>#N/A</v>
      </c>
      <c r="AJ14" s="16" t="e">
        <f>+AB8</f>
        <v>#N/A</v>
      </c>
      <c r="AK14" s="17"/>
    </row>
    <row r="15" spans="1:37" x14ac:dyDescent="0.25">
      <c r="A15" s="1">
        <v>45274</v>
      </c>
      <c r="B15" s="26" t="e">
        <f>HLOOKUP(A15,Hoja2!$R$2:$AV$48,47,FALSE)</f>
        <v>#N/A</v>
      </c>
      <c r="C15" s="26" t="e">
        <f>HLOOKUP(A15,Hoja2!$R$2:$AV$47,46,FALSE)</f>
        <v>#N/A</v>
      </c>
      <c r="D15" s="26" t="e">
        <f>HLOOKUP(A15,Hoja2!$R$2:$AV$46,45,FALSE)</f>
        <v>#N/A</v>
      </c>
      <c r="F15" s="11"/>
      <c r="G15" s="12">
        <v>110208</v>
      </c>
      <c r="H15" s="12" t="s">
        <v>46</v>
      </c>
      <c r="I15" s="12" t="e">
        <f t="shared" ref="I15" si="24">I14</f>
        <v>#N/A</v>
      </c>
      <c r="J15" s="3"/>
      <c r="K15" s="10" t="e">
        <f t="shared" ref="K15" si="25">J14</f>
        <v>#N/A</v>
      </c>
      <c r="N15" s="1">
        <v>45274</v>
      </c>
      <c r="O15" s="26" t="e">
        <f>HLOOKUP(N15,Hoja2!$R$2:$AV$52,51,FALSE)</f>
        <v>#N/A</v>
      </c>
      <c r="P15" s="26" t="e">
        <f>HLOOKUP(N15,Hoja2!$R$2:$AV$51,50,FALSE)</f>
        <v>#N/A</v>
      </c>
      <c r="Q15" s="77" t="e">
        <f>HLOOKUP(N15,Hoja2!$R$2:$AV$50,49,FALSE)</f>
        <v>#N/A</v>
      </c>
      <c r="S15" s="11"/>
      <c r="T15" s="12">
        <v>110279</v>
      </c>
      <c r="U15" s="12" t="s">
        <v>66</v>
      </c>
      <c r="V15" s="12" t="e">
        <f t="shared" ref="V15" si="26">V14</f>
        <v>#N/A</v>
      </c>
      <c r="W15" s="3"/>
      <c r="X15" s="10" t="e">
        <f t="shared" ref="X15" si="27">W14</f>
        <v>#N/A</v>
      </c>
      <c r="AA15" s="1">
        <v>45274</v>
      </c>
      <c r="AB15" s="26" t="e">
        <f>HLOOKUP(AA15,Hoja2!$R$2:$AV$56,55,FALSE)</f>
        <v>#N/A</v>
      </c>
      <c r="AC15" s="26" t="e">
        <f>HLOOKUP(AA15,Hoja2!$R$2:$AV$55,54,FALSE)</f>
        <v>#N/A</v>
      </c>
      <c r="AD15" s="77" t="e">
        <f>HLOOKUP(AA15,Hoja2!$R$2:$AV$54,53,FALSE)</f>
        <v>#N/A</v>
      </c>
      <c r="AF15" s="11"/>
      <c r="AG15" s="12">
        <v>110279</v>
      </c>
      <c r="AH15" s="12" t="s">
        <v>66</v>
      </c>
      <c r="AI15" s="12" t="e">
        <f t="shared" ref="AI15" si="28">AI14</f>
        <v>#N/A</v>
      </c>
      <c r="AJ15" s="3"/>
      <c r="AK15" s="10" t="e">
        <f t="shared" ref="AK15" si="29">AJ14</f>
        <v>#N/A</v>
      </c>
    </row>
    <row r="16" spans="1:37" x14ac:dyDescent="0.25">
      <c r="A16" s="1">
        <v>45275</v>
      </c>
      <c r="B16" s="26" t="e">
        <f>HLOOKUP(A16,Hoja2!$R$2:$AV$48,47,FALSE)</f>
        <v>#N/A</v>
      </c>
      <c r="C16" s="26" t="e">
        <f>HLOOKUP(A16,Hoja2!$R$2:$AV$47,46,FALSE)</f>
        <v>#N/A</v>
      </c>
      <c r="D16" s="26" t="e">
        <f>HLOOKUP(A16,Hoja2!$R$2:$AV$46,45,FALSE)</f>
        <v>#N/A</v>
      </c>
      <c r="F16" s="15">
        <v>45268</v>
      </c>
      <c r="G16" s="8">
        <v>110279</v>
      </c>
      <c r="H16" s="8" t="s">
        <v>66</v>
      </c>
      <c r="I16" t="e">
        <f>"CPA Compra Divisas Bco. Inter. " &amp;C9&amp;" T/C "&amp;D9</f>
        <v>#N/A</v>
      </c>
      <c r="J16" s="16" t="e">
        <f>+B9</f>
        <v>#N/A</v>
      </c>
      <c r="K16" s="17"/>
      <c r="N16" s="1">
        <v>45275</v>
      </c>
      <c r="O16" s="26" t="e">
        <f>HLOOKUP(N16,Hoja2!$R$2:$AV$52,51,FALSE)</f>
        <v>#N/A</v>
      </c>
      <c r="P16" s="26" t="e">
        <f>HLOOKUP(N16,Hoja2!$R$2:$AV$51,50,FALSE)</f>
        <v>#N/A</v>
      </c>
      <c r="Q16" s="77" t="e">
        <f>HLOOKUP(N16,Hoja2!$R$2:$AV$50,49,FALSE)</f>
        <v>#N/A</v>
      </c>
      <c r="S16" s="15">
        <v>45268</v>
      </c>
      <c r="T16" s="8">
        <v>110285</v>
      </c>
      <c r="U16" s="8" t="s">
        <v>101</v>
      </c>
      <c r="V16" t="e">
        <f>"CPA Fondeo Bco. Inter. USD a CFSB 2475 " &amp;P9&amp;" T/C "&amp;Q9</f>
        <v>#N/A</v>
      </c>
      <c r="W16" s="16" t="e">
        <f>+O9</f>
        <v>#N/A</v>
      </c>
      <c r="X16" s="17"/>
      <c r="AA16" s="1">
        <v>45275</v>
      </c>
      <c r="AB16" s="26" t="e">
        <f>HLOOKUP(AA16,Hoja2!$R$2:$AV$56,55,FALSE)</f>
        <v>#N/A</v>
      </c>
      <c r="AC16" s="26" t="e">
        <f>HLOOKUP(AA16,Hoja2!$R$2:$AV$55,54,FALSE)</f>
        <v>#N/A</v>
      </c>
      <c r="AD16" s="77" t="e">
        <f>HLOOKUP(AA16,Hoja2!$R$2:$AV$54,53,FALSE)</f>
        <v>#N/A</v>
      </c>
      <c r="AF16" s="15">
        <v>45268</v>
      </c>
      <c r="AG16" s="8">
        <v>110820</v>
      </c>
      <c r="AH16" s="8" t="s">
        <v>113</v>
      </c>
      <c r="AI16" t="e">
        <f>"CPA Fondeo Bco. Inter. USD a JPM COL " &amp;AC9&amp;" T/C "&amp;AD9</f>
        <v>#N/A</v>
      </c>
      <c r="AJ16" s="16" t="e">
        <f>+AB9</f>
        <v>#N/A</v>
      </c>
      <c r="AK16" s="17"/>
    </row>
    <row r="17" spans="1:37" x14ac:dyDescent="0.25">
      <c r="A17" s="1">
        <v>45276</v>
      </c>
      <c r="B17" s="26" t="e">
        <f>HLOOKUP(A17,Hoja2!$R$2:$AV$48,47,FALSE)</f>
        <v>#N/A</v>
      </c>
      <c r="C17" s="26" t="e">
        <f>HLOOKUP(A17,Hoja2!$R$2:$AV$47,46,FALSE)</f>
        <v>#N/A</v>
      </c>
      <c r="D17" s="26" t="e">
        <f>HLOOKUP(A17,Hoja2!$R$2:$AV$46,45,FALSE)</f>
        <v>#N/A</v>
      </c>
      <c r="F17" s="11"/>
      <c r="G17" s="12">
        <v>110208</v>
      </c>
      <c r="H17" s="12" t="s">
        <v>46</v>
      </c>
      <c r="I17" s="12" t="e">
        <f t="shared" ref="I17" si="30">I16</f>
        <v>#N/A</v>
      </c>
      <c r="J17" s="13"/>
      <c r="K17" s="18" t="e">
        <f t="shared" ref="K17" si="31">J16</f>
        <v>#N/A</v>
      </c>
      <c r="N17" s="1">
        <v>45276</v>
      </c>
      <c r="O17" s="26" t="e">
        <f>HLOOKUP(N17,Hoja2!$R$2:$AV$52,51,FALSE)</f>
        <v>#N/A</v>
      </c>
      <c r="P17" s="26" t="e">
        <f>HLOOKUP(N17,Hoja2!$R$2:$AV$51,50,FALSE)</f>
        <v>#N/A</v>
      </c>
      <c r="Q17" s="77" t="e">
        <f>HLOOKUP(N17,Hoja2!$R$2:$AV$50,49,FALSE)</f>
        <v>#N/A</v>
      </c>
      <c r="S17" s="11"/>
      <c r="T17" s="12">
        <v>110279</v>
      </c>
      <c r="U17" s="12" t="s">
        <v>66</v>
      </c>
      <c r="V17" s="12" t="e">
        <f t="shared" ref="V17" si="32">V16</f>
        <v>#N/A</v>
      </c>
      <c r="W17" s="13"/>
      <c r="X17" s="18" t="e">
        <f t="shared" ref="X17" si="33">W16</f>
        <v>#N/A</v>
      </c>
      <c r="AA17" s="1">
        <v>45276</v>
      </c>
      <c r="AB17" s="26" t="e">
        <f>HLOOKUP(AA17,Hoja2!$R$2:$AV$56,55,FALSE)</f>
        <v>#N/A</v>
      </c>
      <c r="AC17" s="26" t="e">
        <f>HLOOKUP(AA17,Hoja2!$R$2:$AV$55,54,FALSE)</f>
        <v>#N/A</v>
      </c>
      <c r="AD17" s="77" t="e">
        <f>HLOOKUP(AA17,Hoja2!$R$2:$AV$54,53,FALSE)</f>
        <v>#N/A</v>
      </c>
      <c r="AF17" s="11"/>
      <c r="AG17" s="12">
        <v>110279</v>
      </c>
      <c r="AH17" s="12" t="s">
        <v>66</v>
      </c>
      <c r="AI17" s="12" t="e">
        <f t="shared" ref="AI17" si="34">AI16</f>
        <v>#N/A</v>
      </c>
      <c r="AJ17" s="13"/>
      <c r="AK17" s="18" t="e">
        <f t="shared" ref="AK17" si="35">AJ16</f>
        <v>#N/A</v>
      </c>
    </row>
    <row r="18" spans="1:37" x14ac:dyDescent="0.25">
      <c r="A18" s="1">
        <v>45277</v>
      </c>
      <c r="B18" s="26" t="e">
        <f>HLOOKUP(A18,Hoja2!$R$2:$AV$48,47,FALSE)</f>
        <v>#N/A</v>
      </c>
      <c r="C18" s="26" t="e">
        <f>HLOOKUP(A18,Hoja2!$R$2:$AV$47,46,FALSE)</f>
        <v>#N/A</v>
      </c>
      <c r="D18" s="26" t="e">
        <f>HLOOKUP(A18,Hoja2!$R$2:$AV$46,45,FALSE)</f>
        <v>#N/A</v>
      </c>
      <c r="F18" s="15">
        <v>45269</v>
      </c>
      <c r="G18" s="8">
        <v>110279</v>
      </c>
      <c r="H18" s="8" t="s">
        <v>66</v>
      </c>
      <c r="I18" t="e">
        <f>"CPA Compra Divisas Bco. Inter. " &amp;C10&amp;" T/C "&amp;D10</f>
        <v>#N/A</v>
      </c>
      <c r="J18" s="16" t="e">
        <f>+B10</f>
        <v>#N/A</v>
      </c>
      <c r="K18" s="17"/>
      <c r="N18" s="1">
        <v>45277</v>
      </c>
      <c r="O18" s="26" t="e">
        <f>HLOOKUP(N18,Hoja2!$R$2:$AV$52,51,FALSE)</f>
        <v>#N/A</v>
      </c>
      <c r="P18" s="26" t="e">
        <f>HLOOKUP(N18,Hoja2!$R$2:$AV$51,50,FALSE)</f>
        <v>#N/A</v>
      </c>
      <c r="Q18" s="77" t="e">
        <f>HLOOKUP(N18,Hoja2!$R$2:$AV$50,49,FALSE)</f>
        <v>#N/A</v>
      </c>
      <c r="S18" s="15">
        <v>45269</v>
      </c>
      <c r="T18" s="8">
        <v>110285</v>
      </c>
      <c r="U18" s="8" t="s">
        <v>101</v>
      </c>
      <c r="V18" t="e">
        <f>"CPA Fondeo Bco. Inter. USD a CFSB 2475 " &amp;P10&amp;" T/C "&amp;Q10</f>
        <v>#N/A</v>
      </c>
      <c r="W18" s="16" t="e">
        <f>+O10</f>
        <v>#N/A</v>
      </c>
      <c r="X18" s="17"/>
      <c r="AA18" s="1">
        <v>45277</v>
      </c>
      <c r="AB18" s="26" t="e">
        <f>HLOOKUP(AA18,Hoja2!$R$2:$AV$56,55,FALSE)</f>
        <v>#N/A</v>
      </c>
      <c r="AC18" s="26" t="e">
        <f>HLOOKUP(AA18,Hoja2!$R$2:$AV$55,54,FALSE)</f>
        <v>#N/A</v>
      </c>
      <c r="AD18" s="77" t="e">
        <f>HLOOKUP(AA18,Hoja2!$R$2:$AV$54,53,FALSE)</f>
        <v>#N/A</v>
      </c>
      <c r="AF18" s="15">
        <v>45269</v>
      </c>
      <c r="AG18" s="8">
        <v>110820</v>
      </c>
      <c r="AH18" s="8" t="s">
        <v>113</v>
      </c>
      <c r="AI18" t="e">
        <f>"CPA Fondeo Bco. Inter. USD a JPM COL " &amp;AC10&amp;" T/C "&amp;AD10</f>
        <v>#N/A</v>
      </c>
      <c r="AJ18" s="16" t="e">
        <f>+AB10</f>
        <v>#N/A</v>
      </c>
      <c r="AK18" s="17"/>
    </row>
    <row r="19" spans="1:37" x14ac:dyDescent="0.25">
      <c r="A19" s="1">
        <v>45278</v>
      </c>
      <c r="B19" s="26" t="e">
        <f>HLOOKUP(A19,Hoja2!$R$2:$AV$48,47,FALSE)</f>
        <v>#N/A</v>
      </c>
      <c r="C19" s="26" t="e">
        <f>HLOOKUP(A19,Hoja2!$R$2:$AV$47,46,FALSE)</f>
        <v>#N/A</v>
      </c>
      <c r="D19" s="26" t="e">
        <f>HLOOKUP(A19,Hoja2!$R$2:$AV$46,45,FALSE)</f>
        <v>#N/A</v>
      </c>
      <c r="F19" s="11"/>
      <c r="G19" s="12">
        <v>110208</v>
      </c>
      <c r="H19" s="12" t="s">
        <v>46</v>
      </c>
      <c r="I19" s="12" t="e">
        <f t="shared" ref="I19" si="36">I18</f>
        <v>#N/A</v>
      </c>
      <c r="J19" s="13"/>
      <c r="K19" s="18" t="e">
        <f>J18</f>
        <v>#N/A</v>
      </c>
      <c r="N19" s="1">
        <v>45278</v>
      </c>
      <c r="O19" s="26" t="e">
        <f>HLOOKUP(N19,Hoja2!$R$2:$AV$52,51,FALSE)</f>
        <v>#N/A</v>
      </c>
      <c r="P19" s="26" t="e">
        <f>HLOOKUP(N19,Hoja2!$R$2:$AV$51,50,FALSE)</f>
        <v>#N/A</v>
      </c>
      <c r="Q19" s="77" t="e">
        <f>HLOOKUP(N19,Hoja2!$R$2:$AV$50,49,FALSE)</f>
        <v>#N/A</v>
      </c>
      <c r="S19" s="11"/>
      <c r="T19" s="12">
        <v>110279</v>
      </c>
      <c r="U19" s="12" t="s">
        <v>66</v>
      </c>
      <c r="V19" s="12" t="e">
        <f t="shared" ref="V19" si="37">V18</f>
        <v>#N/A</v>
      </c>
      <c r="W19" s="13"/>
      <c r="X19" s="18" t="e">
        <f>W18</f>
        <v>#N/A</v>
      </c>
      <c r="AA19" s="1">
        <v>45278</v>
      </c>
      <c r="AB19" s="26" t="e">
        <f>HLOOKUP(AA19,Hoja2!$R$2:$AV$56,55,FALSE)</f>
        <v>#N/A</v>
      </c>
      <c r="AC19" s="26" t="e">
        <f>HLOOKUP(AA19,Hoja2!$R$2:$AV$55,54,FALSE)</f>
        <v>#N/A</v>
      </c>
      <c r="AD19" s="77" t="e">
        <f>HLOOKUP(AA19,Hoja2!$R$2:$AV$54,53,FALSE)</f>
        <v>#N/A</v>
      </c>
      <c r="AF19" s="11"/>
      <c r="AG19" s="12">
        <v>110279</v>
      </c>
      <c r="AH19" s="12" t="s">
        <v>66</v>
      </c>
      <c r="AI19" s="12" t="e">
        <f t="shared" ref="AI19" si="38">AI18</f>
        <v>#N/A</v>
      </c>
      <c r="AJ19" s="13"/>
      <c r="AK19" s="18" t="e">
        <f>AJ18</f>
        <v>#N/A</v>
      </c>
    </row>
    <row r="20" spans="1:37" x14ac:dyDescent="0.25">
      <c r="A20" s="1">
        <v>45279</v>
      </c>
      <c r="B20" s="26" t="e">
        <f>HLOOKUP(A20,Hoja2!$R$2:$AV$48,47,FALSE)</f>
        <v>#N/A</v>
      </c>
      <c r="C20" s="26" t="e">
        <f>HLOOKUP(A20,Hoja2!$R$2:$AV$47,46,FALSE)</f>
        <v>#N/A</v>
      </c>
      <c r="D20" s="26" t="e">
        <f>HLOOKUP(A20,Hoja2!$R$2:$AV$46,45,FALSE)</f>
        <v>#N/A</v>
      </c>
      <c r="F20" s="15">
        <v>45270</v>
      </c>
      <c r="G20" s="8">
        <v>110279</v>
      </c>
      <c r="H20" s="8" t="s">
        <v>66</v>
      </c>
      <c r="I20" t="e">
        <f>"CPA Compra Divisas Bco. Inter. "&amp;C11&amp;" T/C "&amp;D11&amp;""</f>
        <v>#N/A</v>
      </c>
      <c r="J20" s="16" t="e">
        <f>+B11</f>
        <v>#N/A</v>
      </c>
      <c r="K20" s="17"/>
      <c r="N20" s="1">
        <v>45279</v>
      </c>
      <c r="O20" s="26" t="e">
        <f>HLOOKUP(N20,Hoja2!$R$2:$AV$52,51,FALSE)</f>
        <v>#N/A</v>
      </c>
      <c r="P20" s="26" t="e">
        <f>HLOOKUP(N20,Hoja2!$R$2:$AV$51,50,FALSE)</f>
        <v>#N/A</v>
      </c>
      <c r="Q20" s="77" t="e">
        <f>HLOOKUP(N20,Hoja2!$R$2:$AV$50,49,FALSE)</f>
        <v>#N/A</v>
      </c>
      <c r="S20" s="15">
        <v>45270</v>
      </c>
      <c r="T20" s="8">
        <v>110285</v>
      </c>
      <c r="U20" s="8" t="s">
        <v>101</v>
      </c>
      <c r="V20" t="e">
        <f>"CPA Fondeo Bco. Inter. USD a CFSB 2475 "&amp;P11&amp;" T/C "&amp;Q11&amp;""</f>
        <v>#N/A</v>
      </c>
      <c r="W20" s="16" t="e">
        <f>+O11</f>
        <v>#N/A</v>
      </c>
      <c r="X20" s="17"/>
      <c r="AA20" s="1">
        <v>45279</v>
      </c>
      <c r="AB20" s="26" t="e">
        <f>HLOOKUP(AA20,Hoja2!$R$2:$AV$56,55,FALSE)</f>
        <v>#N/A</v>
      </c>
      <c r="AC20" s="26" t="e">
        <f>HLOOKUP(AA20,Hoja2!$R$2:$AV$55,54,FALSE)</f>
        <v>#N/A</v>
      </c>
      <c r="AD20" s="77" t="e">
        <f>HLOOKUP(AA20,Hoja2!$R$2:$AV$54,53,FALSE)</f>
        <v>#N/A</v>
      </c>
      <c r="AF20" s="15">
        <v>45270</v>
      </c>
      <c r="AG20" s="8">
        <v>110820</v>
      </c>
      <c r="AH20" s="8" t="s">
        <v>113</v>
      </c>
      <c r="AI20" t="e">
        <f>"CPA Fondeo Bco. Inter. USD a JPM COL "&amp;AC11&amp;" T/C "&amp;AD11&amp;""</f>
        <v>#N/A</v>
      </c>
      <c r="AJ20" s="16" t="e">
        <f>+AB11</f>
        <v>#N/A</v>
      </c>
      <c r="AK20" s="17"/>
    </row>
    <row r="21" spans="1:37" x14ac:dyDescent="0.25">
      <c r="A21" s="1">
        <v>45280</v>
      </c>
      <c r="B21" s="26" t="e">
        <f>HLOOKUP(A21,Hoja2!$R$2:$AV$48,47,FALSE)</f>
        <v>#N/A</v>
      </c>
      <c r="C21" s="26" t="e">
        <f>HLOOKUP(A21,Hoja2!$R$2:$AV$47,46,FALSE)</f>
        <v>#N/A</v>
      </c>
      <c r="D21" s="26" t="e">
        <f>HLOOKUP(A21,Hoja2!$R$2:$AV$46,45,FALSE)</f>
        <v>#N/A</v>
      </c>
      <c r="F21" s="11"/>
      <c r="G21" s="12">
        <v>110208</v>
      </c>
      <c r="H21" s="12" t="s">
        <v>46</v>
      </c>
      <c r="I21" s="12" t="e">
        <f t="shared" ref="I21" si="39">I20</f>
        <v>#N/A</v>
      </c>
      <c r="J21" s="3"/>
      <c r="K21" s="10" t="e">
        <f t="shared" ref="K21" si="40">J20</f>
        <v>#N/A</v>
      </c>
      <c r="N21" s="1">
        <v>45280</v>
      </c>
      <c r="O21" s="26" t="e">
        <f>HLOOKUP(N21,Hoja2!$R$2:$AV$52,51,FALSE)</f>
        <v>#N/A</v>
      </c>
      <c r="P21" s="26" t="e">
        <f>HLOOKUP(N21,Hoja2!$R$2:$AV$51,50,FALSE)</f>
        <v>#N/A</v>
      </c>
      <c r="Q21" s="77" t="e">
        <f>HLOOKUP(N21,Hoja2!$R$2:$AV$50,49,FALSE)</f>
        <v>#N/A</v>
      </c>
      <c r="S21" s="11"/>
      <c r="T21" s="12">
        <v>110279</v>
      </c>
      <c r="U21" s="12" t="s">
        <v>66</v>
      </c>
      <c r="V21" s="12" t="e">
        <f t="shared" ref="V21" si="41">V20</f>
        <v>#N/A</v>
      </c>
      <c r="W21" s="3"/>
      <c r="X21" s="10" t="e">
        <f t="shared" ref="X21" si="42">W20</f>
        <v>#N/A</v>
      </c>
      <c r="AA21" s="1">
        <v>45280</v>
      </c>
      <c r="AB21" s="26" t="e">
        <f>HLOOKUP(AA21,Hoja2!$R$2:$AV$56,55,FALSE)</f>
        <v>#N/A</v>
      </c>
      <c r="AC21" s="26" t="e">
        <f>HLOOKUP(AA21,Hoja2!$R$2:$AV$55,54,FALSE)</f>
        <v>#N/A</v>
      </c>
      <c r="AD21" s="77" t="e">
        <f>HLOOKUP(AA21,Hoja2!$R$2:$AV$54,53,FALSE)</f>
        <v>#N/A</v>
      </c>
      <c r="AF21" s="11"/>
      <c r="AG21" s="12">
        <v>110279</v>
      </c>
      <c r="AH21" s="12" t="s">
        <v>66</v>
      </c>
      <c r="AI21" s="12" t="e">
        <f t="shared" ref="AI21" si="43">AI20</f>
        <v>#N/A</v>
      </c>
      <c r="AJ21" s="3"/>
      <c r="AK21" s="10" t="e">
        <f t="shared" ref="AK21" si="44">AJ20</f>
        <v>#N/A</v>
      </c>
    </row>
    <row r="22" spans="1:37" x14ac:dyDescent="0.25">
      <c r="A22" s="1">
        <v>45281</v>
      </c>
      <c r="B22" s="26" t="e">
        <f>HLOOKUP(A22,Hoja2!$R$2:$AV$48,47,FALSE)</f>
        <v>#N/A</v>
      </c>
      <c r="C22" s="26" t="e">
        <f>HLOOKUP(A22,Hoja2!$R$2:$AV$47,46,FALSE)</f>
        <v>#N/A</v>
      </c>
      <c r="D22" s="26" t="e">
        <f>HLOOKUP(A22,Hoja2!$R$2:$AV$46,45,FALSE)</f>
        <v>#N/A</v>
      </c>
      <c r="F22" s="15">
        <v>45271</v>
      </c>
      <c r="G22" s="8">
        <v>110279</v>
      </c>
      <c r="H22" s="8" t="s">
        <v>66</v>
      </c>
      <c r="I22" t="e">
        <f>"CPA Compra Divisas Bco. Inter. " &amp;C12&amp;" T/C "&amp;D12</f>
        <v>#N/A</v>
      </c>
      <c r="J22" s="16" t="e">
        <f>+B12</f>
        <v>#N/A</v>
      </c>
      <c r="K22" s="17"/>
      <c r="N22" s="1">
        <v>45281</v>
      </c>
      <c r="O22" s="26" t="e">
        <f>HLOOKUP(N22,Hoja2!$R$2:$AV$52,51,FALSE)</f>
        <v>#N/A</v>
      </c>
      <c r="P22" s="26" t="e">
        <f>HLOOKUP(N22,Hoja2!$R$2:$AV$51,50,FALSE)</f>
        <v>#N/A</v>
      </c>
      <c r="Q22" s="77" t="e">
        <f>HLOOKUP(N22,Hoja2!$R$2:$AV$50,49,FALSE)</f>
        <v>#N/A</v>
      </c>
      <c r="S22" s="15">
        <v>45271</v>
      </c>
      <c r="T22" s="8">
        <v>110285</v>
      </c>
      <c r="U22" s="8" t="s">
        <v>101</v>
      </c>
      <c r="V22" t="e">
        <f>"CPA Fondeo Bco. Inter. USD a CFSB 2475 " &amp;P12&amp;" T/C "&amp;Q12</f>
        <v>#N/A</v>
      </c>
      <c r="W22" s="16" t="e">
        <f>+O12</f>
        <v>#N/A</v>
      </c>
      <c r="X22" s="17"/>
      <c r="AA22" s="1">
        <v>45281</v>
      </c>
      <c r="AB22" s="26" t="e">
        <f>HLOOKUP(AA22,Hoja2!$R$2:$AV$56,55,FALSE)</f>
        <v>#N/A</v>
      </c>
      <c r="AC22" s="26" t="e">
        <f>HLOOKUP(AA22,Hoja2!$R$2:$AV$55,54,FALSE)</f>
        <v>#N/A</v>
      </c>
      <c r="AD22" s="77" t="e">
        <f>HLOOKUP(AA22,Hoja2!$R$2:$AV$54,53,FALSE)</f>
        <v>#N/A</v>
      </c>
      <c r="AF22" s="15">
        <v>45271</v>
      </c>
      <c r="AG22" s="8">
        <v>110820</v>
      </c>
      <c r="AH22" s="8" t="s">
        <v>113</v>
      </c>
      <c r="AI22" t="e">
        <f>"CPA Fondeo Bco. Inter. USD a JPM COL " &amp;AC12&amp;" T/C "&amp;AD12</f>
        <v>#N/A</v>
      </c>
      <c r="AJ22" s="16" t="e">
        <f>+AB12</f>
        <v>#N/A</v>
      </c>
      <c r="AK22" s="17"/>
    </row>
    <row r="23" spans="1:37" x14ac:dyDescent="0.25">
      <c r="A23" s="1">
        <v>45282</v>
      </c>
      <c r="B23" s="26" t="e">
        <f>HLOOKUP(A23,Hoja2!$R$2:$AV$48,47,FALSE)</f>
        <v>#N/A</v>
      </c>
      <c r="C23" s="26" t="e">
        <f>HLOOKUP(A23,Hoja2!$R$2:$AV$47,46,FALSE)</f>
        <v>#N/A</v>
      </c>
      <c r="D23" s="26" t="e">
        <f>HLOOKUP(A23,Hoja2!$R$2:$AV$46,45,FALSE)</f>
        <v>#N/A</v>
      </c>
      <c r="F23" s="11"/>
      <c r="G23" s="12">
        <v>110208</v>
      </c>
      <c r="H23" s="12" t="s">
        <v>46</v>
      </c>
      <c r="I23" s="12" t="e">
        <f t="shared" ref="I23" si="45">I22</f>
        <v>#N/A</v>
      </c>
      <c r="J23" s="3"/>
      <c r="K23" s="10" t="e">
        <f t="shared" ref="K23" si="46">J22</f>
        <v>#N/A</v>
      </c>
      <c r="N23" s="1">
        <v>45282</v>
      </c>
      <c r="O23" s="26" t="e">
        <f>HLOOKUP(N23,Hoja2!$R$2:$AV$52,51,FALSE)</f>
        <v>#N/A</v>
      </c>
      <c r="P23" s="26" t="e">
        <f>HLOOKUP(N23,Hoja2!$R$2:$AV$51,50,FALSE)</f>
        <v>#N/A</v>
      </c>
      <c r="Q23" s="77" t="e">
        <f>HLOOKUP(N23,Hoja2!$R$2:$AV$50,49,FALSE)</f>
        <v>#N/A</v>
      </c>
      <c r="S23" s="11"/>
      <c r="T23" s="12">
        <v>110279</v>
      </c>
      <c r="U23" s="12" t="s">
        <v>66</v>
      </c>
      <c r="V23" s="12" t="e">
        <f t="shared" ref="V23" si="47">V22</f>
        <v>#N/A</v>
      </c>
      <c r="W23" s="3"/>
      <c r="X23" s="10" t="e">
        <f t="shared" ref="X23" si="48">W22</f>
        <v>#N/A</v>
      </c>
      <c r="AA23" s="1">
        <v>45282</v>
      </c>
      <c r="AB23" s="26" t="e">
        <f>HLOOKUP(AA23,Hoja2!$R$2:$AV$56,55,FALSE)</f>
        <v>#N/A</v>
      </c>
      <c r="AC23" s="26" t="e">
        <f>HLOOKUP(AA23,Hoja2!$R$2:$AV$55,54,FALSE)</f>
        <v>#N/A</v>
      </c>
      <c r="AD23" s="77" t="e">
        <f>HLOOKUP(AA23,Hoja2!$R$2:$AV$54,53,FALSE)</f>
        <v>#N/A</v>
      </c>
      <c r="AF23" s="11"/>
      <c r="AG23" s="12">
        <v>110279</v>
      </c>
      <c r="AH23" s="12" t="s">
        <v>66</v>
      </c>
      <c r="AI23" s="12" t="e">
        <f t="shared" ref="AI23" si="49">AI22</f>
        <v>#N/A</v>
      </c>
      <c r="AJ23" s="3"/>
      <c r="AK23" s="10" t="e">
        <f t="shared" ref="AK23" si="50">AJ22</f>
        <v>#N/A</v>
      </c>
    </row>
    <row r="24" spans="1:37" x14ac:dyDescent="0.25">
      <c r="A24" s="1">
        <v>45283</v>
      </c>
      <c r="B24" s="26" t="e">
        <f>HLOOKUP(A24,Hoja2!$R$2:$AV$48,47,FALSE)</f>
        <v>#N/A</v>
      </c>
      <c r="C24" s="26" t="e">
        <f>HLOOKUP(A24,Hoja2!$R$2:$AV$47,46,FALSE)</f>
        <v>#N/A</v>
      </c>
      <c r="D24" s="81" t="e">
        <f>HLOOKUP(A24,Hoja2!$R$2:$AV$46,45,FALSE)</f>
        <v>#N/A</v>
      </c>
      <c r="F24" s="15">
        <v>45272</v>
      </c>
      <c r="G24" s="8">
        <v>110279</v>
      </c>
      <c r="H24" s="8" t="s">
        <v>66</v>
      </c>
      <c r="I24" t="e">
        <f>"CPA Compra Divisas Bco. Inter. " &amp;C13&amp;" T/C "&amp;D13</f>
        <v>#N/A</v>
      </c>
      <c r="J24" s="16" t="e">
        <f>+B13</f>
        <v>#N/A</v>
      </c>
      <c r="K24" s="17"/>
      <c r="N24" s="1">
        <v>45283</v>
      </c>
      <c r="O24" s="26" t="e">
        <f>HLOOKUP(N24,Hoja2!$R$2:$AV$52,51,FALSE)</f>
        <v>#N/A</v>
      </c>
      <c r="P24" s="26" t="e">
        <f>HLOOKUP(N24,Hoja2!$R$2:$AV$51,50,FALSE)</f>
        <v>#N/A</v>
      </c>
      <c r="Q24" s="77" t="e">
        <f>HLOOKUP(N24,Hoja2!$R$2:$AV$50,49,FALSE)</f>
        <v>#N/A</v>
      </c>
      <c r="S24" s="15">
        <v>45272</v>
      </c>
      <c r="T24" s="8">
        <v>110285</v>
      </c>
      <c r="U24" s="8" t="s">
        <v>101</v>
      </c>
      <c r="V24" t="e">
        <f>"CPA Fondeo Bco. Inter. USD a CFSB 2475 " &amp;P13&amp;" T/C "&amp;Q13</f>
        <v>#N/A</v>
      </c>
      <c r="W24" s="16" t="e">
        <f>+O13</f>
        <v>#N/A</v>
      </c>
      <c r="X24" s="17"/>
      <c r="AA24" s="1">
        <v>45283</v>
      </c>
      <c r="AB24" s="26" t="e">
        <f>HLOOKUP(AA24,Hoja2!$R$2:$AV$56,55,FALSE)</f>
        <v>#N/A</v>
      </c>
      <c r="AC24" s="26" t="e">
        <f>HLOOKUP(AA24,Hoja2!$R$2:$AV$55,54,FALSE)</f>
        <v>#N/A</v>
      </c>
      <c r="AD24" s="77" t="e">
        <f>HLOOKUP(AA24,Hoja2!$R$2:$AV$54,53,FALSE)</f>
        <v>#N/A</v>
      </c>
      <c r="AF24" s="15">
        <v>45272</v>
      </c>
      <c r="AG24" s="8">
        <v>110820</v>
      </c>
      <c r="AH24" s="8" t="s">
        <v>113</v>
      </c>
      <c r="AI24" t="e">
        <f>"CPA Fondeo Bco. Inter. USD a JPM COL " &amp;AC13&amp;" T/C "&amp;AD13</f>
        <v>#N/A</v>
      </c>
      <c r="AJ24" s="16" t="e">
        <f>+AB13</f>
        <v>#N/A</v>
      </c>
      <c r="AK24" s="17"/>
    </row>
    <row r="25" spans="1:37" x14ac:dyDescent="0.25">
      <c r="A25" s="1">
        <v>45284</v>
      </c>
      <c r="B25" s="26" t="e">
        <f>HLOOKUP(A25,Hoja2!$R$2:$AV$48,47,FALSE)</f>
        <v>#N/A</v>
      </c>
      <c r="C25" s="26" t="e">
        <f>HLOOKUP(A25,Hoja2!$R$2:$AV$47,46,FALSE)</f>
        <v>#N/A</v>
      </c>
      <c r="D25" s="26" t="e">
        <f>HLOOKUP(A25,Hoja2!$R$2:$AV$46,45,FALSE)</f>
        <v>#N/A</v>
      </c>
      <c r="F25" s="11"/>
      <c r="G25" s="12">
        <v>110208</v>
      </c>
      <c r="H25" s="12" t="s">
        <v>46</v>
      </c>
      <c r="I25" s="12" t="e">
        <f t="shared" ref="I25" si="51">I24</f>
        <v>#N/A</v>
      </c>
      <c r="J25" s="3"/>
      <c r="K25" s="10" t="e">
        <f>J24</f>
        <v>#N/A</v>
      </c>
      <c r="N25" s="1">
        <v>45284</v>
      </c>
      <c r="O25" s="26" t="e">
        <f>HLOOKUP(N25,Hoja2!$R$2:$AV$52,51,FALSE)</f>
        <v>#N/A</v>
      </c>
      <c r="P25" s="26" t="e">
        <f>HLOOKUP(N25,Hoja2!$R$2:$AV$51,50,FALSE)</f>
        <v>#N/A</v>
      </c>
      <c r="Q25" s="77" t="e">
        <f>HLOOKUP(N25,Hoja2!$R$2:$AV$50,49,FALSE)</f>
        <v>#N/A</v>
      </c>
      <c r="S25" s="11"/>
      <c r="T25" s="12">
        <v>110279</v>
      </c>
      <c r="U25" s="12" t="s">
        <v>66</v>
      </c>
      <c r="V25" s="12" t="e">
        <f t="shared" ref="V25" si="52">V24</f>
        <v>#N/A</v>
      </c>
      <c r="W25" s="3"/>
      <c r="X25" s="10" t="e">
        <f>W24</f>
        <v>#N/A</v>
      </c>
      <c r="AA25" s="1">
        <v>45284</v>
      </c>
      <c r="AB25" s="26" t="e">
        <f>HLOOKUP(AA25,Hoja2!$R$2:$AV$56,55,FALSE)</f>
        <v>#N/A</v>
      </c>
      <c r="AC25" s="26" t="e">
        <f>HLOOKUP(AA25,Hoja2!$R$2:$AV$55,54,FALSE)</f>
        <v>#N/A</v>
      </c>
      <c r="AD25" s="77" t="e">
        <f>HLOOKUP(AA25,Hoja2!$R$2:$AV$54,53,FALSE)</f>
        <v>#N/A</v>
      </c>
      <c r="AF25" s="11"/>
      <c r="AG25" s="12">
        <v>110279</v>
      </c>
      <c r="AH25" s="12" t="s">
        <v>66</v>
      </c>
      <c r="AI25" s="12" t="e">
        <f t="shared" ref="AI25" si="53">AI24</f>
        <v>#N/A</v>
      </c>
      <c r="AJ25" s="3"/>
      <c r="AK25" s="10" t="e">
        <f>AJ24</f>
        <v>#N/A</v>
      </c>
    </row>
    <row r="26" spans="1:37" x14ac:dyDescent="0.25">
      <c r="A26" s="1">
        <v>45285</v>
      </c>
      <c r="B26" s="26" t="e">
        <f>HLOOKUP(A26,Hoja2!$R$2:$AV$48,47,FALSE)</f>
        <v>#N/A</v>
      </c>
      <c r="C26" s="26" t="e">
        <f>HLOOKUP(A26,Hoja2!$R$2:$AV$47,46,FALSE)</f>
        <v>#N/A</v>
      </c>
      <c r="D26" s="26" t="e">
        <f>HLOOKUP(A26,Hoja2!$R$2:$AV$46,45,FALSE)</f>
        <v>#N/A</v>
      </c>
      <c r="F26" s="15">
        <v>45273</v>
      </c>
      <c r="G26" s="8">
        <v>110279</v>
      </c>
      <c r="H26" s="8" t="s">
        <v>66</v>
      </c>
      <c r="I26" t="e">
        <f>"CPA Compra Divisas Bco. Inter. " &amp;C14&amp;" T/C "&amp;D14</f>
        <v>#N/A</v>
      </c>
      <c r="J26" s="16" t="e">
        <f>+B14</f>
        <v>#N/A</v>
      </c>
      <c r="K26" s="17"/>
      <c r="N26" s="1">
        <v>45285</v>
      </c>
      <c r="O26" s="26" t="e">
        <f>HLOOKUP(N26,Hoja2!$R$2:$AV$52,51,FALSE)</f>
        <v>#N/A</v>
      </c>
      <c r="P26" s="26" t="e">
        <f>HLOOKUP(N26,Hoja2!$R$2:$AV$51,50,FALSE)</f>
        <v>#N/A</v>
      </c>
      <c r="Q26" s="77" t="e">
        <f>HLOOKUP(N26,Hoja2!$R$2:$AV$50,49,FALSE)</f>
        <v>#N/A</v>
      </c>
      <c r="S26" s="15">
        <v>45273</v>
      </c>
      <c r="T26" s="8">
        <v>110285</v>
      </c>
      <c r="U26" s="8" t="s">
        <v>101</v>
      </c>
      <c r="V26" t="e">
        <f>"CPA Fondeo Bco. Inter. USD a CFSB 2475 " &amp;P14&amp;" T/C "&amp;Q14</f>
        <v>#N/A</v>
      </c>
      <c r="W26" s="16" t="e">
        <f>+O14</f>
        <v>#N/A</v>
      </c>
      <c r="X26" s="17"/>
      <c r="AA26" s="1">
        <v>45285</v>
      </c>
      <c r="AB26" s="26" t="e">
        <f>HLOOKUP(AA26,Hoja2!$R$2:$AV$56,55,FALSE)</f>
        <v>#N/A</v>
      </c>
      <c r="AC26" s="26" t="e">
        <f>HLOOKUP(AA26,Hoja2!$R$2:$AV$55,54,FALSE)</f>
        <v>#N/A</v>
      </c>
      <c r="AD26" s="77" t="e">
        <f>HLOOKUP(AA26,Hoja2!$R$2:$AV$54,53,FALSE)</f>
        <v>#N/A</v>
      </c>
      <c r="AF26" s="15">
        <v>45273</v>
      </c>
      <c r="AG26" s="8">
        <v>110820</v>
      </c>
      <c r="AH26" s="8" t="s">
        <v>113</v>
      </c>
      <c r="AI26" t="e">
        <f>"CPA Fondeo Bco. Inter. USD a JPM COL " &amp;AC14&amp;" T/C "&amp;AD14</f>
        <v>#N/A</v>
      </c>
      <c r="AJ26" s="16" t="e">
        <f>+AB14</f>
        <v>#N/A</v>
      </c>
      <c r="AK26" s="17"/>
    </row>
    <row r="27" spans="1:37" x14ac:dyDescent="0.25">
      <c r="A27" s="1">
        <v>45286</v>
      </c>
      <c r="B27" s="26" t="e">
        <f>HLOOKUP(A27,Hoja2!$R$2:$AV$48,47,FALSE)</f>
        <v>#N/A</v>
      </c>
      <c r="C27" s="26" t="e">
        <f>HLOOKUP(A27,Hoja2!$R$2:$AV$47,46,FALSE)</f>
        <v>#N/A</v>
      </c>
      <c r="D27" s="26" t="e">
        <f>HLOOKUP(A27,Hoja2!$R$2:$AV$46,45,FALSE)</f>
        <v>#N/A</v>
      </c>
      <c r="F27" s="11"/>
      <c r="G27" s="12">
        <v>110208</v>
      </c>
      <c r="H27" s="12" t="s">
        <v>46</v>
      </c>
      <c r="I27" s="12" t="e">
        <f t="shared" ref="I27" si="54">I26</f>
        <v>#N/A</v>
      </c>
      <c r="J27" s="3"/>
      <c r="K27" s="10" t="e">
        <f t="shared" ref="K27" si="55">J26</f>
        <v>#N/A</v>
      </c>
      <c r="N27" s="1">
        <v>45286</v>
      </c>
      <c r="O27" s="26" t="e">
        <f>HLOOKUP(N27,Hoja2!$R$2:$AV$52,51,FALSE)</f>
        <v>#N/A</v>
      </c>
      <c r="P27" s="26" t="e">
        <f>HLOOKUP(N27,Hoja2!$R$2:$AV$51,50,FALSE)</f>
        <v>#N/A</v>
      </c>
      <c r="Q27" s="77" t="e">
        <f>HLOOKUP(N27,Hoja2!$R$2:$AV$50,49,FALSE)</f>
        <v>#N/A</v>
      </c>
      <c r="S27" s="11"/>
      <c r="T27" s="12">
        <v>110279</v>
      </c>
      <c r="U27" s="12" t="s">
        <v>66</v>
      </c>
      <c r="V27" s="12" t="e">
        <f t="shared" ref="V27" si="56">V26</f>
        <v>#N/A</v>
      </c>
      <c r="W27" s="3"/>
      <c r="X27" s="10" t="e">
        <f t="shared" ref="X27" si="57">W26</f>
        <v>#N/A</v>
      </c>
      <c r="AA27" s="1">
        <v>45286</v>
      </c>
      <c r="AB27" s="26" t="e">
        <f>HLOOKUP(AA27,Hoja2!$R$2:$AV$56,55,FALSE)</f>
        <v>#N/A</v>
      </c>
      <c r="AC27" s="26" t="e">
        <f>HLOOKUP(AA27,Hoja2!$R$2:$AV$55,54,FALSE)</f>
        <v>#N/A</v>
      </c>
      <c r="AD27" s="77" t="e">
        <f>HLOOKUP(AA27,Hoja2!$R$2:$AV$54,53,FALSE)</f>
        <v>#N/A</v>
      </c>
      <c r="AF27" s="11"/>
      <c r="AG27" s="12">
        <v>110279</v>
      </c>
      <c r="AH27" s="12" t="s">
        <v>66</v>
      </c>
      <c r="AI27" s="12" t="e">
        <f t="shared" ref="AI27" si="58">AI26</f>
        <v>#N/A</v>
      </c>
      <c r="AJ27" s="3"/>
      <c r="AK27" s="10" t="e">
        <f t="shared" ref="AK27" si="59">AJ26</f>
        <v>#N/A</v>
      </c>
    </row>
    <row r="28" spans="1:37" x14ac:dyDescent="0.25">
      <c r="A28" s="1">
        <v>45287</v>
      </c>
      <c r="B28" s="26" t="e">
        <f>HLOOKUP(A28,Hoja2!$R$2:$AV$48,47,FALSE)</f>
        <v>#N/A</v>
      </c>
      <c r="C28" s="26" t="e">
        <f>HLOOKUP(A28,Hoja2!$R$2:$AV$47,46,FALSE)</f>
        <v>#N/A</v>
      </c>
      <c r="D28" s="26" t="e">
        <f>HLOOKUP(A28,Hoja2!$R$2:$AV$46,45,FALSE)</f>
        <v>#N/A</v>
      </c>
      <c r="F28" s="15">
        <v>45274</v>
      </c>
      <c r="G28" s="8">
        <v>110279</v>
      </c>
      <c r="H28" s="8" t="s">
        <v>66</v>
      </c>
      <c r="I28" t="e">
        <f>"CPA Compra Divisas Bco. Inter. " &amp;C15&amp;" T/C "&amp;D15</f>
        <v>#N/A</v>
      </c>
      <c r="J28" s="16" t="e">
        <f>+B15</f>
        <v>#N/A</v>
      </c>
      <c r="K28" s="17"/>
      <c r="N28" s="1">
        <v>45287</v>
      </c>
      <c r="O28" s="26" t="e">
        <f>HLOOKUP(N28,Hoja2!$R$2:$AV$52,51,FALSE)</f>
        <v>#N/A</v>
      </c>
      <c r="P28" s="26" t="e">
        <f>HLOOKUP(N28,Hoja2!$R$2:$AV$51,50,FALSE)</f>
        <v>#N/A</v>
      </c>
      <c r="Q28" s="77" t="e">
        <f>HLOOKUP(N28,Hoja2!$R$2:$AV$50,49,FALSE)</f>
        <v>#N/A</v>
      </c>
      <c r="S28" s="15">
        <v>45274</v>
      </c>
      <c r="T28" s="8">
        <v>110285</v>
      </c>
      <c r="U28" s="8" t="s">
        <v>101</v>
      </c>
      <c r="V28" t="e">
        <f>"CPA Fondeo Bco. Inter. USD a CFSB 2475 " &amp;P15&amp;" T/C "&amp;Q15</f>
        <v>#N/A</v>
      </c>
      <c r="W28" s="16" t="e">
        <f>+O15</f>
        <v>#N/A</v>
      </c>
      <c r="X28" s="17"/>
      <c r="AA28" s="1">
        <v>45287</v>
      </c>
      <c r="AB28" s="26" t="e">
        <f>HLOOKUP(AA28,Hoja2!$R$2:$AV$56,55,FALSE)</f>
        <v>#N/A</v>
      </c>
      <c r="AC28" s="26" t="e">
        <f>HLOOKUP(AA28,Hoja2!$R$2:$AV$55,54,FALSE)</f>
        <v>#N/A</v>
      </c>
      <c r="AD28" s="77" t="e">
        <f>HLOOKUP(AA28,Hoja2!$R$2:$AV$54,53,FALSE)</f>
        <v>#N/A</v>
      </c>
      <c r="AF28" s="15">
        <v>45274</v>
      </c>
      <c r="AG28" s="8">
        <v>110820</v>
      </c>
      <c r="AH28" s="8" t="s">
        <v>113</v>
      </c>
      <c r="AI28" t="e">
        <f>"CPA Fondeo Bco. Inter. USD a JPM COL " &amp;AC15&amp;" T/C "&amp;AD15</f>
        <v>#N/A</v>
      </c>
      <c r="AJ28" s="16" t="e">
        <f>+AB15</f>
        <v>#N/A</v>
      </c>
      <c r="AK28" s="17"/>
    </row>
    <row r="29" spans="1:37" x14ac:dyDescent="0.25">
      <c r="A29" s="1">
        <v>45288</v>
      </c>
      <c r="B29" s="26" t="e">
        <f>HLOOKUP(A29,Hoja2!$R$2:$AV$48,47,FALSE)</f>
        <v>#N/A</v>
      </c>
      <c r="C29" s="26" t="e">
        <f>HLOOKUP(A29,Hoja2!$R$2:$AV$47,46,FALSE)</f>
        <v>#N/A</v>
      </c>
      <c r="D29" s="26" t="e">
        <f>HLOOKUP(A29,Hoja2!$R$2:$AV$46,45,FALSE)</f>
        <v>#N/A</v>
      </c>
      <c r="F29" s="11"/>
      <c r="G29" s="12">
        <v>110208</v>
      </c>
      <c r="H29" s="12" t="s">
        <v>46</v>
      </c>
      <c r="I29" s="12" t="e">
        <f t="shared" ref="I29" si="60">I28</f>
        <v>#N/A</v>
      </c>
      <c r="J29" s="3"/>
      <c r="K29" s="10" t="e">
        <f t="shared" ref="K29" si="61">J28</f>
        <v>#N/A</v>
      </c>
      <c r="N29" s="1">
        <v>45288</v>
      </c>
      <c r="O29" s="26" t="e">
        <f>HLOOKUP(N29,Hoja2!$R$2:$AV$52,51,FALSE)</f>
        <v>#N/A</v>
      </c>
      <c r="P29" s="26" t="e">
        <f>HLOOKUP(N29,Hoja2!$R$2:$AV$51,50,FALSE)</f>
        <v>#N/A</v>
      </c>
      <c r="Q29" s="77" t="e">
        <f>HLOOKUP(N29,Hoja2!$R$2:$AV$50,49,FALSE)</f>
        <v>#N/A</v>
      </c>
      <c r="S29" s="11"/>
      <c r="T29" s="12">
        <v>110279</v>
      </c>
      <c r="U29" s="12" t="s">
        <v>66</v>
      </c>
      <c r="V29" s="12" t="e">
        <f t="shared" ref="V29" si="62">V28</f>
        <v>#N/A</v>
      </c>
      <c r="W29" s="3"/>
      <c r="X29" s="10" t="e">
        <f t="shared" ref="X29" si="63">W28</f>
        <v>#N/A</v>
      </c>
      <c r="AA29" s="1">
        <v>45288</v>
      </c>
      <c r="AB29" s="26" t="e">
        <f>HLOOKUP(AA29,Hoja2!$R$2:$AV$56,55,FALSE)</f>
        <v>#N/A</v>
      </c>
      <c r="AC29" s="26" t="e">
        <f>HLOOKUP(AA29,Hoja2!$R$2:$AV$55,54,FALSE)</f>
        <v>#N/A</v>
      </c>
      <c r="AD29" s="77" t="e">
        <f>HLOOKUP(AA29,Hoja2!$R$2:$AV$54,53,FALSE)</f>
        <v>#N/A</v>
      </c>
      <c r="AF29" s="11"/>
      <c r="AG29" s="12">
        <v>110279</v>
      </c>
      <c r="AH29" s="12" t="s">
        <v>66</v>
      </c>
      <c r="AI29" s="12" t="e">
        <f t="shared" ref="AI29" si="64">AI28</f>
        <v>#N/A</v>
      </c>
      <c r="AJ29" s="3"/>
      <c r="AK29" s="10" t="e">
        <f t="shared" ref="AK29" si="65">AJ28</f>
        <v>#N/A</v>
      </c>
    </row>
    <row r="30" spans="1:37" x14ac:dyDescent="0.25">
      <c r="A30" s="1">
        <v>45289</v>
      </c>
      <c r="B30" s="26" t="e">
        <f>HLOOKUP(A30,Hoja2!$R$2:$AV$48,47,FALSE)</f>
        <v>#N/A</v>
      </c>
      <c r="C30" s="26" t="e">
        <f>HLOOKUP(A30,Hoja2!$R$2:$AV$47,46,FALSE)</f>
        <v>#N/A</v>
      </c>
      <c r="D30" s="26" t="e">
        <f>HLOOKUP(A30,Hoja2!$R$2:$AV$46,45,FALSE)</f>
        <v>#N/A</v>
      </c>
      <c r="F30" s="15">
        <v>45275</v>
      </c>
      <c r="G30" s="8">
        <v>110279</v>
      </c>
      <c r="H30" s="8" t="s">
        <v>66</v>
      </c>
      <c r="I30" t="e">
        <f>"CPA Compra Divisas Bco. Inter. " &amp;C16&amp;" T/C "&amp;D16</f>
        <v>#N/A</v>
      </c>
      <c r="J30" s="16" t="e">
        <f>+B16</f>
        <v>#N/A</v>
      </c>
      <c r="K30" s="17"/>
      <c r="N30" s="1">
        <v>45289</v>
      </c>
      <c r="O30" s="26" t="e">
        <f>HLOOKUP(N30,Hoja2!$R$2:$AV$52,51,FALSE)</f>
        <v>#N/A</v>
      </c>
      <c r="P30" s="26" t="e">
        <f>HLOOKUP(N30,Hoja2!$R$2:$AV$51,50,FALSE)</f>
        <v>#N/A</v>
      </c>
      <c r="Q30" s="77" t="e">
        <f>HLOOKUP(N30,Hoja2!$R$2:$AV$50,49,FALSE)</f>
        <v>#N/A</v>
      </c>
      <c r="S30" s="15">
        <v>45275</v>
      </c>
      <c r="T30" s="8">
        <v>110285</v>
      </c>
      <c r="U30" s="8" t="s">
        <v>101</v>
      </c>
      <c r="V30" t="e">
        <f>"CPA Fondeo Bco. Inter. USD a CFSB 2475 " &amp;P16&amp;" T/C "&amp;Q16</f>
        <v>#N/A</v>
      </c>
      <c r="W30" s="16" t="e">
        <f>+O16</f>
        <v>#N/A</v>
      </c>
      <c r="X30" s="17"/>
      <c r="AA30" s="1">
        <v>45289</v>
      </c>
      <c r="AB30" s="26" t="e">
        <f>HLOOKUP(AA30,Hoja2!$R$2:$AV$56,55,FALSE)</f>
        <v>#N/A</v>
      </c>
      <c r="AC30" s="26" t="e">
        <f>HLOOKUP(AA30,Hoja2!$R$2:$AV$55,54,FALSE)</f>
        <v>#N/A</v>
      </c>
      <c r="AD30" s="77" t="e">
        <f>HLOOKUP(AA30,Hoja2!$R$2:$AV$54,53,FALSE)</f>
        <v>#N/A</v>
      </c>
      <c r="AF30" s="15">
        <v>45275</v>
      </c>
      <c r="AG30" s="8">
        <v>110820</v>
      </c>
      <c r="AH30" s="8" t="s">
        <v>113</v>
      </c>
      <c r="AI30" t="e">
        <f>"CPA Fondeo Bco. Inter. USD a JPM COL " &amp;AC16&amp;" T/C "&amp;AD16</f>
        <v>#N/A</v>
      </c>
      <c r="AJ30" s="16" t="e">
        <f>+AB16</f>
        <v>#N/A</v>
      </c>
      <c r="AK30" s="17"/>
    </row>
    <row r="31" spans="1:37" x14ac:dyDescent="0.25">
      <c r="A31" s="1">
        <v>45290</v>
      </c>
      <c r="B31" s="26" t="e">
        <f>HLOOKUP(A31,Hoja2!$R$2:$AV$48,47,FALSE)</f>
        <v>#N/A</v>
      </c>
      <c r="C31" s="26" t="e">
        <f>HLOOKUP(A31,Hoja2!$R$2:$AV$47,46,FALSE)</f>
        <v>#N/A</v>
      </c>
      <c r="D31" s="26" t="e">
        <f>HLOOKUP(A31,Hoja2!$R$2:$AV$46,45,FALSE)</f>
        <v>#N/A</v>
      </c>
      <c r="F31" s="11"/>
      <c r="G31" s="12">
        <v>110208</v>
      </c>
      <c r="H31" s="12" t="s">
        <v>46</v>
      </c>
      <c r="I31" s="12" t="e">
        <f t="shared" ref="I31" si="66">I30</f>
        <v>#N/A</v>
      </c>
      <c r="J31" s="13"/>
      <c r="K31" s="18" t="e">
        <f>J30</f>
        <v>#N/A</v>
      </c>
      <c r="N31" s="1">
        <v>45290</v>
      </c>
      <c r="O31" s="26" t="e">
        <f>HLOOKUP(N31,Hoja2!$R$2:$AV$52,51,FALSE)</f>
        <v>#N/A</v>
      </c>
      <c r="P31" s="26" t="e">
        <f>HLOOKUP(N31,Hoja2!$R$2:$AV$51,50,FALSE)</f>
        <v>#N/A</v>
      </c>
      <c r="Q31" s="77" t="e">
        <f>HLOOKUP(N31,Hoja2!$R$2:$AV$50,49,FALSE)</f>
        <v>#N/A</v>
      </c>
      <c r="S31" s="11"/>
      <c r="T31" s="12">
        <v>110279</v>
      </c>
      <c r="U31" s="12" t="s">
        <v>66</v>
      </c>
      <c r="V31" s="12" t="e">
        <f t="shared" ref="V31" si="67">V30</f>
        <v>#N/A</v>
      </c>
      <c r="W31" s="13"/>
      <c r="X31" s="18" t="e">
        <f>W30</f>
        <v>#N/A</v>
      </c>
      <c r="AA31" s="1">
        <v>45290</v>
      </c>
      <c r="AB31" s="26" t="e">
        <f>HLOOKUP(AA31,Hoja2!$R$2:$AV$56,55,FALSE)</f>
        <v>#N/A</v>
      </c>
      <c r="AC31" s="26" t="e">
        <f>HLOOKUP(AA31,Hoja2!$R$2:$AV$55,54,FALSE)</f>
        <v>#N/A</v>
      </c>
      <c r="AD31" s="77" t="e">
        <f>HLOOKUP(AA31,Hoja2!$R$2:$AV$54,53,FALSE)</f>
        <v>#N/A</v>
      </c>
      <c r="AF31" s="11"/>
      <c r="AG31" s="12">
        <v>110279</v>
      </c>
      <c r="AH31" s="12" t="s">
        <v>66</v>
      </c>
      <c r="AI31" s="12" t="e">
        <f t="shared" ref="AI31" si="68">AI30</f>
        <v>#N/A</v>
      </c>
      <c r="AJ31" s="13"/>
      <c r="AK31" s="18" t="e">
        <f>AJ30</f>
        <v>#N/A</v>
      </c>
    </row>
    <row r="32" spans="1:37" x14ac:dyDescent="0.25">
      <c r="A32" s="1">
        <v>45291</v>
      </c>
      <c r="B32" s="26" t="e">
        <f>HLOOKUP(A32,Hoja2!$R$2:$AV$48,47,FALSE)</f>
        <v>#N/A</v>
      </c>
      <c r="C32" s="26" t="e">
        <f>HLOOKUP(A32,Hoja2!$R$2:$AV$47,46,FALSE)</f>
        <v>#N/A</v>
      </c>
      <c r="D32" s="26" t="e">
        <f>HLOOKUP(A32,Hoja2!$R$2:$AV$46,45,FALSE)</f>
        <v>#N/A</v>
      </c>
      <c r="F32" s="15">
        <v>45276</v>
      </c>
      <c r="G32" s="8">
        <v>110279</v>
      </c>
      <c r="H32" s="8" t="s">
        <v>66</v>
      </c>
      <c r="I32" t="e">
        <f>"CPA Compra Divisas Bco. Inter. " &amp;C17&amp;" T/C "&amp;D17</f>
        <v>#N/A</v>
      </c>
      <c r="J32" s="16" t="e">
        <f>+B17</f>
        <v>#N/A</v>
      </c>
      <c r="K32" s="17"/>
      <c r="N32" s="1">
        <v>45291</v>
      </c>
      <c r="O32" s="26" t="e">
        <f>HLOOKUP(N32,Hoja2!$R$2:$AV$52,51,FALSE)</f>
        <v>#N/A</v>
      </c>
      <c r="P32" s="26" t="e">
        <f>HLOOKUP(N32,Hoja2!$R$2:$AV$51,50,FALSE)</f>
        <v>#N/A</v>
      </c>
      <c r="Q32" s="77" t="e">
        <f>HLOOKUP(N32,Hoja2!$R$2:$AV$50,49,FALSE)</f>
        <v>#N/A</v>
      </c>
      <c r="S32" s="15">
        <v>45276</v>
      </c>
      <c r="T32" s="8">
        <v>110285</v>
      </c>
      <c r="U32" s="8" t="s">
        <v>101</v>
      </c>
      <c r="V32" t="e">
        <f>"CPA Fondeo Bco. Inter. USD a CFSB 2475 " &amp;P17&amp;" T/C "&amp;Q17</f>
        <v>#N/A</v>
      </c>
      <c r="W32" s="16" t="e">
        <f>+O17</f>
        <v>#N/A</v>
      </c>
      <c r="X32" s="17"/>
      <c r="AA32" s="1">
        <v>45291</v>
      </c>
      <c r="AB32" s="26" t="e">
        <f>HLOOKUP(AA32,Hoja2!$R$2:$AV$56,55,FALSE)</f>
        <v>#N/A</v>
      </c>
      <c r="AC32" s="26" t="e">
        <f>HLOOKUP(AA32,Hoja2!$R$2:$AV$55,54,FALSE)</f>
        <v>#N/A</v>
      </c>
      <c r="AD32" s="77" t="e">
        <f>HLOOKUP(AA32,Hoja2!$R$2:$AV$54,53,FALSE)</f>
        <v>#N/A</v>
      </c>
      <c r="AF32" s="15">
        <v>45276</v>
      </c>
      <c r="AG32" s="8">
        <v>110820</v>
      </c>
      <c r="AH32" s="8" t="s">
        <v>113</v>
      </c>
      <c r="AI32" t="e">
        <f>"CPA Fondeo Bco. Inter. USD a JPM COL " &amp;AC17&amp;" T/C "&amp;AD17</f>
        <v>#N/A</v>
      </c>
      <c r="AJ32" s="16" t="e">
        <f>+AB17</f>
        <v>#N/A</v>
      </c>
      <c r="AK32" s="17"/>
    </row>
    <row r="33" spans="6:37" x14ac:dyDescent="0.25">
      <c r="F33" s="11"/>
      <c r="G33" s="12">
        <v>110208</v>
      </c>
      <c r="H33" s="12" t="s">
        <v>46</v>
      </c>
      <c r="I33" s="12" t="e">
        <f t="shared" ref="I33" si="69">I32</f>
        <v>#N/A</v>
      </c>
      <c r="J33" s="13"/>
      <c r="K33" s="18" t="e">
        <f t="shared" ref="K33" si="70">J32</f>
        <v>#N/A</v>
      </c>
      <c r="S33" s="11"/>
      <c r="T33" s="12">
        <v>110279</v>
      </c>
      <c r="U33" s="12" t="s">
        <v>66</v>
      </c>
      <c r="V33" s="12" t="e">
        <f t="shared" ref="V33" si="71">V32</f>
        <v>#N/A</v>
      </c>
      <c r="W33" s="13"/>
      <c r="X33" s="18" t="e">
        <f t="shared" ref="X33" si="72">W32</f>
        <v>#N/A</v>
      </c>
      <c r="AF33" s="11"/>
      <c r="AG33" s="12">
        <v>110279</v>
      </c>
      <c r="AH33" s="12" t="s">
        <v>66</v>
      </c>
      <c r="AI33" s="12" t="e">
        <f t="shared" ref="AI33" si="73">AI32</f>
        <v>#N/A</v>
      </c>
      <c r="AJ33" s="13"/>
      <c r="AK33" s="18" t="e">
        <f t="shared" ref="AK33" si="74">AJ32</f>
        <v>#N/A</v>
      </c>
    </row>
    <row r="34" spans="6:37" x14ac:dyDescent="0.25">
      <c r="F34" s="15">
        <v>45277</v>
      </c>
      <c r="G34" s="8">
        <v>110279</v>
      </c>
      <c r="H34" s="8" t="s">
        <v>66</v>
      </c>
      <c r="I34" t="e">
        <f>"CPA Compra Divisas Bco. Inter. " &amp;C18&amp;" T/C "&amp;D18</f>
        <v>#N/A</v>
      </c>
      <c r="J34" s="16" t="e">
        <f>+B18</f>
        <v>#N/A</v>
      </c>
      <c r="K34" s="17"/>
      <c r="S34" s="15">
        <v>45277</v>
      </c>
      <c r="T34" s="8">
        <v>110285</v>
      </c>
      <c r="U34" s="8" t="s">
        <v>101</v>
      </c>
      <c r="V34" t="e">
        <f>"CPA Fondeo Bco. Inter. USD a CFSB 2475 " &amp;P18&amp;" T/C "&amp;Q18</f>
        <v>#N/A</v>
      </c>
      <c r="W34" s="16" t="e">
        <f>+O18</f>
        <v>#N/A</v>
      </c>
      <c r="X34" s="17"/>
      <c r="AF34" s="15">
        <v>45277</v>
      </c>
      <c r="AG34" s="8">
        <v>110820</v>
      </c>
      <c r="AH34" s="8" t="s">
        <v>113</v>
      </c>
      <c r="AI34" t="e">
        <f>"CPA Fondeo Bco. Inter. USD a JPM COL " &amp;AC18&amp;" T/C "&amp;AD18</f>
        <v>#N/A</v>
      </c>
      <c r="AJ34" s="16" t="e">
        <f>+AB18</f>
        <v>#N/A</v>
      </c>
      <c r="AK34" s="17"/>
    </row>
    <row r="35" spans="6:37" x14ac:dyDescent="0.25">
      <c r="F35" s="11"/>
      <c r="G35" s="12">
        <v>110208</v>
      </c>
      <c r="H35" s="12" t="s">
        <v>46</v>
      </c>
      <c r="I35" s="12" t="e">
        <f t="shared" ref="I35" si="75">I34</f>
        <v>#N/A</v>
      </c>
      <c r="J35" s="13"/>
      <c r="K35" s="18" t="e">
        <f t="shared" ref="K35" si="76">J34</f>
        <v>#N/A</v>
      </c>
      <c r="S35" s="11"/>
      <c r="T35" s="12">
        <v>110279</v>
      </c>
      <c r="U35" s="12" t="s">
        <v>66</v>
      </c>
      <c r="V35" s="12" t="e">
        <f t="shared" ref="V35" si="77">V34</f>
        <v>#N/A</v>
      </c>
      <c r="W35" s="13"/>
      <c r="X35" s="18" t="e">
        <f t="shared" ref="X35" si="78">W34</f>
        <v>#N/A</v>
      </c>
      <c r="AF35" s="11"/>
      <c r="AG35" s="12">
        <v>110279</v>
      </c>
      <c r="AH35" s="12" t="s">
        <v>66</v>
      </c>
      <c r="AI35" s="12" t="e">
        <f t="shared" ref="AI35" si="79">AI34</f>
        <v>#N/A</v>
      </c>
      <c r="AJ35" s="13"/>
      <c r="AK35" s="18" t="e">
        <f t="shared" ref="AK35" si="80">AJ34</f>
        <v>#N/A</v>
      </c>
    </row>
    <row r="36" spans="6:37" x14ac:dyDescent="0.25">
      <c r="F36" s="15">
        <v>45278</v>
      </c>
      <c r="G36" s="8">
        <v>110279</v>
      </c>
      <c r="H36" s="8" t="s">
        <v>66</v>
      </c>
      <c r="I36" t="e">
        <f>"CPA Compra Divisas Bco. Inter. " &amp;C20&amp;" T/C "&amp;D19</f>
        <v>#N/A</v>
      </c>
      <c r="J36" s="16" t="e">
        <f>+B19</f>
        <v>#N/A</v>
      </c>
      <c r="K36" s="17"/>
      <c r="S36" s="15">
        <v>45278</v>
      </c>
      <c r="T36" s="8">
        <v>110285</v>
      </c>
      <c r="U36" s="8" t="s">
        <v>101</v>
      </c>
      <c r="V36" t="e">
        <f>"CPA Fondeo Bco. Inter. USD a CFSB 2475 " &amp;P20&amp;" T/C "&amp;Q19</f>
        <v>#N/A</v>
      </c>
      <c r="W36" s="16" t="e">
        <f>+O19</f>
        <v>#N/A</v>
      </c>
      <c r="X36" s="17"/>
      <c r="AF36" s="15">
        <v>45278</v>
      </c>
      <c r="AG36" s="8">
        <v>110820</v>
      </c>
      <c r="AH36" s="8" t="s">
        <v>113</v>
      </c>
      <c r="AI36" t="e">
        <f>"CPA Fondeo Bco. Inter. USD a JPM COL " &amp;AC20&amp;" T/C "&amp;AD19</f>
        <v>#N/A</v>
      </c>
      <c r="AJ36" s="16" t="e">
        <f>+AB19</f>
        <v>#N/A</v>
      </c>
      <c r="AK36" s="17"/>
    </row>
    <row r="37" spans="6:37" x14ac:dyDescent="0.25">
      <c r="F37" s="11"/>
      <c r="G37" s="12">
        <v>110208</v>
      </c>
      <c r="H37" s="12" t="s">
        <v>46</v>
      </c>
      <c r="I37" s="12" t="e">
        <f t="shared" ref="I37" si="81">I36</f>
        <v>#N/A</v>
      </c>
      <c r="J37" s="13"/>
      <c r="K37" s="18" t="e">
        <f>J36</f>
        <v>#N/A</v>
      </c>
      <c r="S37" s="11"/>
      <c r="T37" s="12">
        <v>110279</v>
      </c>
      <c r="U37" s="12" t="s">
        <v>66</v>
      </c>
      <c r="V37" s="12" t="e">
        <f t="shared" ref="V37" si="82">V36</f>
        <v>#N/A</v>
      </c>
      <c r="W37" s="13"/>
      <c r="X37" s="18" t="e">
        <f>W36</f>
        <v>#N/A</v>
      </c>
      <c r="AF37" s="11"/>
      <c r="AG37" s="12">
        <v>110279</v>
      </c>
      <c r="AH37" s="12" t="s">
        <v>66</v>
      </c>
      <c r="AI37" s="12" t="e">
        <f t="shared" ref="AI37" si="83">AI36</f>
        <v>#N/A</v>
      </c>
      <c r="AJ37" s="13"/>
      <c r="AK37" s="18" t="e">
        <f>AJ36</f>
        <v>#N/A</v>
      </c>
    </row>
    <row r="38" spans="6:37" x14ac:dyDescent="0.25">
      <c r="F38" s="15">
        <v>45279</v>
      </c>
      <c r="G38" s="8">
        <v>110279</v>
      </c>
      <c r="H38" s="8" t="s">
        <v>66</v>
      </c>
      <c r="I38" t="e">
        <f>"CPA Compra Divisas Bco. Inter. " &amp;C20&amp;" T/C "&amp;D20</f>
        <v>#N/A</v>
      </c>
      <c r="J38" s="16" t="e">
        <f>+B20</f>
        <v>#N/A</v>
      </c>
      <c r="K38" s="17"/>
      <c r="S38" s="15">
        <v>45279</v>
      </c>
      <c r="T38" s="8">
        <v>110285</v>
      </c>
      <c r="U38" s="8" t="s">
        <v>101</v>
      </c>
      <c r="V38" t="e">
        <f>"CPA Fondeo Bco. Inter. USD a CFSB 2475 " &amp;P20&amp;" T/C "&amp;Q20</f>
        <v>#N/A</v>
      </c>
      <c r="W38" s="16" t="e">
        <f>+O20</f>
        <v>#N/A</v>
      </c>
      <c r="X38" s="17"/>
      <c r="AF38" s="15">
        <v>45279</v>
      </c>
      <c r="AG38" s="8">
        <v>110820</v>
      </c>
      <c r="AH38" s="8" t="s">
        <v>113</v>
      </c>
      <c r="AI38" t="e">
        <f>"CPA Fondeo Bco. Inter. USD a JPM COL " &amp;AC20&amp;" T/C "&amp;AD20</f>
        <v>#N/A</v>
      </c>
      <c r="AJ38" s="16" t="e">
        <f>+AB20</f>
        <v>#N/A</v>
      </c>
      <c r="AK38" s="17"/>
    </row>
    <row r="39" spans="6:37" x14ac:dyDescent="0.25">
      <c r="F39" s="11"/>
      <c r="G39" s="12">
        <v>110208</v>
      </c>
      <c r="H39" s="12" t="s">
        <v>46</v>
      </c>
      <c r="I39" s="12" t="e">
        <f t="shared" ref="I39" si="84">I38</f>
        <v>#N/A</v>
      </c>
      <c r="J39" s="13"/>
      <c r="K39" s="18" t="e">
        <f t="shared" ref="K39" si="85">J38</f>
        <v>#N/A</v>
      </c>
      <c r="S39" s="11"/>
      <c r="T39" s="12">
        <v>110279</v>
      </c>
      <c r="U39" s="12" t="s">
        <v>66</v>
      </c>
      <c r="V39" s="12" t="e">
        <f t="shared" ref="V39" si="86">V38</f>
        <v>#N/A</v>
      </c>
      <c r="W39" s="13"/>
      <c r="X39" s="18" t="e">
        <f t="shared" ref="X39" si="87">W38</f>
        <v>#N/A</v>
      </c>
      <c r="AF39" s="11"/>
      <c r="AG39" s="12">
        <v>110279</v>
      </c>
      <c r="AH39" s="12" t="s">
        <v>66</v>
      </c>
      <c r="AI39" s="12" t="e">
        <f t="shared" ref="AI39" si="88">AI38</f>
        <v>#N/A</v>
      </c>
      <c r="AJ39" s="13"/>
      <c r="AK39" s="18" t="e">
        <f t="shared" ref="AK39" si="89">AJ38</f>
        <v>#N/A</v>
      </c>
    </row>
    <row r="40" spans="6:37" x14ac:dyDescent="0.25">
      <c r="F40" s="15">
        <v>45280</v>
      </c>
      <c r="G40" s="8">
        <v>110279</v>
      </c>
      <c r="H40" s="8" t="s">
        <v>66</v>
      </c>
      <c r="I40" t="e">
        <f>"CPA Compra Divisas Bco. Inter. " &amp;C21&amp;" T/C "&amp;D21</f>
        <v>#N/A</v>
      </c>
      <c r="J40" s="16" t="e">
        <f>+B21</f>
        <v>#N/A</v>
      </c>
      <c r="K40" s="17"/>
      <c r="S40" s="15">
        <v>45280</v>
      </c>
      <c r="T40" s="8">
        <v>110285</v>
      </c>
      <c r="U40" s="8" t="s">
        <v>101</v>
      </c>
      <c r="V40" t="e">
        <f>"CPA Fondeo Bco. Inter. USD a CFSB 2475 " &amp;P21&amp;" T/C "&amp;Q21</f>
        <v>#N/A</v>
      </c>
      <c r="W40" s="16" t="e">
        <f>+O21</f>
        <v>#N/A</v>
      </c>
      <c r="X40" s="17"/>
      <c r="AF40" s="15">
        <v>45280</v>
      </c>
      <c r="AG40" s="8">
        <v>110820</v>
      </c>
      <c r="AH40" s="8" t="s">
        <v>113</v>
      </c>
      <c r="AI40" t="e">
        <f>"CPA Fondeo Bco. Inter. USD a JPM COL " &amp;AC21&amp;" T/C "&amp;AD21</f>
        <v>#N/A</v>
      </c>
      <c r="AJ40" s="16" t="e">
        <f>+AB21</f>
        <v>#N/A</v>
      </c>
      <c r="AK40" s="17"/>
    </row>
    <row r="41" spans="6:37" x14ac:dyDescent="0.25">
      <c r="F41" s="11"/>
      <c r="G41" s="12">
        <v>110208</v>
      </c>
      <c r="H41" s="12" t="s">
        <v>46</v>
      </c>
      <c r="I41" s="12" t="e">
        <f t="shared" ref="I41" si="90">I40</f>
        <v>#N/A</v>
      </c>
      <c r="J41" s="13"/>
      <c r="K41" s="18" t="e">
        <f>J40</f>
        <v>#N/A</v>
      </c>
      <c r="S41" s="11"/>
      <c r="T41" s="12">
        <v>110279</v>
      </c>
      <c r="U41" s="12" t="s">
        <v>66</v>
      </c>
      <c r="V41" s="12" t="e">
        <f t="shared" ref="V41" si="91">V40</f>
        <v>#N/A</v>
      </c>
      <c r="W41" s="13"/>
      <c r="X41" s="18" t="e">
        <f>W40</f>
        <v>#N/A</v>
      </c>
      <c r="AF41" s="11"/>
      <c r="AG41" s="12">
        <v>110279</v>
      </c>
      <c r="AH41" s="12" t="s">
        <v>66</v>
      </c>
      <c r="AI41" s="12" t="e">
        <f t="shared" ref="AI41" si="92">AI40</f>
        <v>#N/A</v>
      </c>
      <c r="AJ41" s="13"/>
      <c r="AK41" s="18" t="e">
        <f>AJ40</f>
        <v>#N/A</v>
      </c>
    </row>
    <row r="42" spans="6:37" x14ac:dyDescent="0.25">
      <c r="F42" s="15">
        <v>45281</v>
      </c>
      <c r="G42" s="8">
        <v>110279</v>
      </c>
      <c r="H42" s="8" t="s">
        <v>66</v>
      </c>
      <c r="I42" t="e">
        <f>"CPA Compra Divisas Bco. Inter. " &amp;C22&amp;" T/C "&amp;D22</f>
        <v>#N/A</v>
      </c>
      <c r="J42" s="16" t="e">
        <f>+B22</f>
        <v>#N/A</v>
      </c>
      <c r="K42" s="17"/>
      <c r="S42" s="15">
        <v>45281</v>
      </c>
      <c r="T42" s="8">
        <v>110285</v>
      </c>
      <c r="U42" s="8" t="s">
        <v>101</v>
      </c>
      <c r="V42" t="e">
        <f>"CPA Fondeo Bco. Inter. USD a CFSB 2475 " &amp;P22&amp;" T/C "&amp;Q22</f>
        <v>#N/A</v>
      </c>
      <c r="W42" s="16" t="e">
        <f>+O22</f>
        <v>#N/A</v>
      </c>
      <c r="X42" s="17"/>
      <c r="AF42" s="15">
        <v>45281</v>
      </c>
      <c r="AG42" s="8">
        <v>110820</v>
      </c>
      <c r="AH42" s="8" t="s">
        <v>113</v>
      </c>
      <c r="AI42" t="e">
        <f>"CPA Fondeo Bco. Inter. USD a JPM COL " &amp;AC22&amp;" T/C "&amp;AD22</f>
        <v>#N/A</v>
      </c>
      <c r="AJ42" s="16" t="e">
        <f>+AB22</f>
        <v>#N/A</v>
      </c>
      <c r="AK42" s="17"/>
    </row>
    <row r="43" spans="6:37" x14ac:dyDescent="0.25">
      <c r="F43" s="11"/>
      <c r="G43" s="12">
        <v>110208</v>
      </c>
      <c r="H43" s="12" t="s">
        <v>46</v>
      </c>
      <c r="I43" s="12" t="e">
        <f t="shared" ref="I43" si="93">I42</f>
        <v>#N/A</v>
      </c>
      <c r="J43" s="13"/>
      <c r="K43" s="18" t="e">
        <f t="shared" ref="K43" si="94">J42</f>
        <v>#N/A</v>
      </c>
      <c r="S43" s="11"/>
      <c r="T43" s="12">
        <v>110279</v>
      </c>
      <c r="U43" s="12" t="s">
        <v>66</v>
      </c>
      <c r="V43" s="12" t="e">
        <f t="shared" ref="V43" si="95">V42</f>
        <v>#N/A</v>
      </c>
      <c r="W43" s="13"/>
      <c r="X43" s="18" t="e">
        <f t="shared" ref="X43" si="96">W42</f>
        <v>#N/A</v>
      </c>
      <c r="AF43" s="11"/>
      <c r="AG43" s="12">
        <v>110279</v>
      </c>
      <c r="AH43" s="12" t="s">
        <v>66</v>
      </c>
      <c r="AI43" s="12" t="e">
        <f t="shared" ref="AI43" si="97">AI42</f>
        <v>#N/A</v>
      </c>
      <c r="AJ43" s="13"/>
      <c r="AK43" s="18" t="e">
        <f t="shared" ref="AK43" si="98">AJ42</f>
        <v>#N/A</v>
      </c>
    </row>
    <row r="44" spans="6:37" x14ac:dyDescent="0.25">
      <c r="F44" s="15">
        <v>45282</v>
      </c>
      <c r="G44" s="8">
        <v>110279</v>
      </c>
      <c r="H44" s="8" t="s">
        <v>66</v>
      </c>
      <c r="I44" t="e">
        <f>"CPA Compra Divisas Bco. Inter. " &amp;C23&amp;" T/C "&amp;D23</f>
        <v>#N/A</v>
      </c>
      <c r="J44" s="16" t="e">
        <f>+B23</f>
        <v>#N/A</v>
      </c>
      <c r="K44" s="17"/>
      <c r="S44" s="15">
        <v>45282</v>
      </c>
      <c r="T44" s="8">
        <v>110285</v>
      </c>
      <c r="U44" s="8" t="s">
        <v>101</v>
      </c>
      <c r="V44" t="e">
        <f>"CPA Fondeo Bco. Inter. USD a CFSB 2475 " &amp;P23&amp;" T/C "&amp;Q23</f>
        <v>#N/A</v>
      </c>
      <c r="W44" s="16" t="e">
        <f>+O23</f>
        <v>#N/A</v>
      </c>
      <c r="X44" s="17"/>
      <c r="AF44" s="15">
        <v>45282</v>
      </c>
      <c r="AG44" s="8">
        <v>110820</v>
      </c>
      <c r="AH44" s="8" t="s">
        <v>113</v>
      </c>
      <c r="AI44" t="e">
        <f>"CPA Fondeo Bco. Inter. USD a JPM COL " &amp;AC23&amp;" T/C "&amp;AD23</f>
        <v>#N/A</v>
      </c>
      <c r="AJ44" s="16" t="e">
        <f>+AB23</f>
        <v>#N/A</v>
      </c>
      <c r="AK44" s="17"/>
    </row>
    <row r="45" spans="6:37" x14ac:dyDescent="0.25">
      <c r="F45" s="11"/>
      <c r="G45" s="12">
        <v>110208</v>
      </c>
      <c r="H45" s="12" t="s">
        <v>46</v>
      </c>
      <c r="I45" s="12" t="e">
        <f t="shared" ref="I45" si="99">I44</f>
        <v>#N/A</v>
      </c>
      <c r="J45" s="13"/>
      <c r="K45" s="18" t="e">
        <f t="shared" ref="K45" si="100">J44</f>
        <v>#N/A</v>
      </c>
      <c r="S45" s="11"/>
      <c r="T45" s="12">
        <v>110279</v>
      </c>
      <c r="U45" s="12" t="s">
        <v>66</v>
      </c>
      <c r="V45" s="12" t="e">
        <f t="shared" ref="V45" si="101">V44</f>
        <v>#N/A</v>
      </c>
      <c r="W45" s="13"/>
      <c r="X45" s="18" t="e">
        <f t="shared" ref="X45" si="102">W44</f>
        <v>#N/A</v>
      </c>
      <c r="AF45" s="11"/>
      <c r="AG45" s="12">
        <v>110279</v>
      </c>
      <c r="AH45" s="12" t="s">
        <v>66</v>
      </c>
      <c r="AI45" s="12" t="e">
        <f t="shared" ref="AI45" si="103">AI44</f>
        <v>#N/A</v>
      </c>
      <c r="AJ45" s="13"/>
      <c r="AK45" s="18" t="e">
        <f t="shared" ref="AK45" si="104">AJ44</f>
        <v>#N/A</v>
      </c>
    </row>
    <row r="46" spans="6:37" x14ac:dyDescent="0.25">
      <c r="F46" s="15">
        <v>45283</v>
      </c>
      <c r="G46" s="8">
        <v>110279</v>
      </c>
      <c r="H46" s="8" t="s">
        <v>66</v>
      </c>
      <c r="I46" t="e">
        <f>"CPA Compra Divisas Bco. Inter. " &amp;C24&amp;" T/C "&amp;D24</f>
        <v>#N/A</v>
      </c>
      <c r="J46" s="16" t="e">
        <f>+B24</f>
        <v>#N/A</v>
      </c>
      <c r="K46" s="17"/>
      <c r="S46" s="15">
        <v>45283</v>
      </c>
      <c r="T46" s="8">
        <v>110285</v>
      </c>
      <c r="U46" s="8" t="s">
        <v>101</v>
      </c>
      <c r="V46" t="e">
        <f>"CPA Fondeo Bco. Inter. USD a CFSB 2475 " &amp;P24&amp;" T/C "&amp;Q24</f>
        <v>#N/A</v>
      </c>
      <c r="W46" s="16" t="e">
        <f>+O24</f>
        <v>#N/A</v>
      </c>
      <c r="X46" s="17"/>
      <c r="AF46" s="15">
        <v>45283</v>
      </c>
      <c r="AG46" s="8">
        <v>110820</v>
      </c>
      <c r="AH46" s="8" t="s">
        <v>113</v>
      </c>
      <c r="AI46" t="e">
        <f>"CPA Fondeo Bco. Inter. USD a JPM COL " &amp;AC24&amp;" T/C "&amp;AD24</f>
        <v>#N/A</v>
      </c>
      <c r="AJ46" s="16" t="e">
        <f>+AB24</f>
        <v>#N/A</v>
      </c>
      <c r="AK46" s="17"/>
    </row>
    <row r="47" spans="6:37" x14ac:dyDescent="0.25">
      <c r="F47" s="11"/>
      <c r="G47" s="12">
        <v>110208</v>
      </c>
      <c r="H47" s="12" t="s">
        <v>46</v>
      </c>
      <c r="I47" s="12" t="e">
        <f t="shared" ref="I47" si="105">I46</f>
        <v>#N/A</v>
      </c>
      <c r="J47" s="13"/>
      <c r="K47" s="18" t="e">
        <f t="shared" ref="K47" si="106">J46</f>
        <v>#N/A</v>
      </c>
      <c r="S47" s="11"/>
      <c r="T47" s="12">
        <v>110279</v>
      </c>
      <c r="U47" s="12" t="s">
        <v>66</v>
      </c>
      <c r="V47" s="12" t="e">
        <f t="shared" ref="V47" si="107">V46</f>
        <v>#N/A</v>
      </c>
      <c r="W47" s="13"/>
      <c r="X47" s="18" t="e">
        <f t="shared" ref="X47" si="108">W46</f>
        <v>#N/A</v>
      </c>
      <c r="AF47" s="11"/>
      <c r="AG47" s="12">
        <v>110279</v>
      </c>
      <c r="AH47" s="12" t="s">
        <v>66</v>
      </c>
      <c r="AI47" s="12" t="e">
        <f t="shared" ref="AI47" si="109">AI46</f>
        <v>#N/A</v>
      </c>
      <c r="AJ47" s="13"/>
      <c r="AK47" s="18" t="e">
        <f t="shared" ref="AK47" si="110">AJ46</f>
        <v>#N/A</v>
      </c>
    </row>
    <row r="48" spans="6:37" x14ac:dyDescent="0.25">
      <c r="F48" s="15">
        <v>45284</v>
      </c>
      <c r="G48" s="8">
        <v>110279</v>
      </c>
      <c r="H48" s="8" t="s">
        <v>66</v>
      </c>
      <c r="I48" t="e">
        <f>"CPA Compra Divisas Bco. Inter. " &amp;C25&amp;" T/C "&amp;D25</f>
        <v>#N/A</v>
      </c>
      <c r="J48" s="16" t="e">
        <f>+B25</f>
        <v>#N/A</v>
      </c>
      <c r="K48" s="17"/>
      <c r="S48" s="15">
        <v>45284</v>
      </c>
      <c r="T48" s="8">
        <v>110285</v>
      </c>
      <c r="U48" s="8" t="s">
        <v>101</v>
      </c>
      <c r="V48" t="e">
        <f>"CPA Fondeo Bco. Inter. USD a CFSB 2475 " &amp;P25&amp;" T/C "&amp;Q25</f>
        <v>#N/A</v>
      </c>
      <c r="W48" s="16" t="e">
        <f>+O25</f>
        <v>#N/A</v>
      </c>
      <c r="X48" s="17"/>
      <c r="AF48" s="15">
        <v>45284</v>
      </c>
      <c r="AG48" s="8">
        <v>110820</v>
      </c>
      <c r="AH48" s="8" t="s">
        <v>113</v>
      </c>
      <c r="AI48" t="e">
        <f>"CPA Fondeo Bco. Inter. USD a JPM COL " &amp;AC25&amp;" T/C "&amp;AD25</f>
        <v>#N/A</v>
      </c>
      <c r="AJ48" s="16" t="e">
        <f>+AB25</f>
        <v>#N/A</v>
      </c>
      <c r="AK48" s="17"/>
    </row>
    <row r="49" spans="6:37" x14ac:dyDescent="0.25">
      <c r="F49" s="11"/>
      <c r="G49" s="12">
        <v>110208</v>
      </c>
      <c r="H49" s="12" t="s">
        <v>46</v>
      </c>
      <c r="I49" s="12" t="e">
        <f t="shared" ref="I49" si="111">I48</f>
        <v>#N/A</v>
      </c>
      <c r="J49" s="13"/>
      <c r="K49" s="18" t="e">
        <f t="shared" ref="K49" si="112">J48</f>
        <v>#N/A</v>
      </c>
      <c r="S49" s="11"/>
      <c r="T49" s="12">
        <v>110279</v>
      </c>
      <c r="U49" s="12" t="s">
        <v>66</v>
      </c>
      <c r="V49" s="12" t="e">
        <f t="shared" ref="V49" si="113">V48</f>
        <v>#N/A</v>
      </c>
      <c r="W49" s="13"/>
      <c r="X49" s="18" t="e">
        <f t="shared" ref="X49" si="114">W48</f>
        <v>#N/A</v>
      </c>
      <c r="AF49" s="11"/>
      <c r="AG49" s="12">
        <v>110279</v>
      </c>
      <c r="AH49" s="12" t="s">
        <v>66</v>
      </c>
      <c r="AI49" s="12" t="e">
        <f t="shared" ref="AI49" si="115">AI48</f>
        <v>#N/A</v>
      </c>
      <c r="AJ49" s="13"/>
      <c r="AK49" s="18" t="e">
        <f t="shared" ref="AK49" si="116">AJ48</f>
        <v>#N/A</v>
      </c>
    </row>
    <row r="50" spans="6:37" x14ac:dyDescent="0.25">
      <c r="F50" s="15">
        <v>45285</v>
      </c>
      <c r="G50" s="8">
        <v>110279</v>
      </c>
      <c r="H50" s="8" t="s">
        <v>66</v>
      </c>
      <c r="I50" t="e">
        <f>"CPA Compra Divisas Bco. Inter. " &amp;C26&amp;" T/C "&amp;D26</f>
        <v>#N/A</v>
      </c>
      <c r="J50" s="16" t="e">
        <f>+B26</f>
        <v>#N/A</v>
      </c>
      <c r="K50" s="17"/>
      <c r="S50" s="15">
        <v>45285</v>
      </c>
      <c r="T50" s="8">
        <v>110285</v>
      </c>
      <c r="U50" s="8" t="s">
        <v>101</v>
      </c>
      <c r="V50" t="e">
        <f>"CPA Fondeo Bco. Inter. USD a CFSB 2475 " &amp;P26&amp;" T/C "&amp;Q26</f>
        <v>#N/A</v>
      </c>
      <c r="W50" s="16" t="e">
        <f>+O26</f>
        <v>#N/A</v>
      </c>
      <c r="X50" s="17"/>
      <c r="AF50" s="15">
        <v>45285</v>
      </c>
      <c r="AG50" s="8">
        <v>110820</v>
      </c>
      <c r="AH50" s="8" t="s">
        <v>113</v>
      </c>
      <c r="AI50" t="e">
        <f>"CPA Fondeo Bco. Inter. USD a JPM COL " &amp;AC26&amp;" T/C "&amp;AD26</f>
        <v>#N/A</v>
      </c>
      <c r="AJ50" s="16" t="e">
        <f>+AB26</f>
        <v>#N/A</v>
      </c>
      <c r="AK50" s="17"/>
    </row>
    <row r="51" spans="6:37" x14ac:dyDescent="0.25">
      <c r="F51" s="11"/>
      <c r="G51" s="12">
        <v>110208</v>
      </c>
      <c r="H51" s="12" t="s">
        <v>46</v>
      </c>
      <c r="I51" s="12" t="e">
        <f t="shared" ref="I51" si="117">I50</f>
        <v>#N/A</v>
      </c>
      <c r="J51" s="13"/>
      <c r="K51" s="18" t="e">
        <f t="shared" ref="K51" si="118">J50</f>
        <v>#N/A</v>
      </c>
      <c r="S51" s="11"/>
      <c r="T51" s="12">
        <v>110279</v>
      </c>
      <c r="U51" s="12" t="s">
        <v>66</v>
      </c>
      <c r="V51" s="12" t="e">
        <f t="shared" ref="V51" si="119">V50</f>
        <v>#N/A</v>
      </c>
      <c r="W51" s="13"/>
      <c r="X51" s="18" t="e">
        <f t="shared" ref="X51" si="120">W50</f>
        <v>#N/A</v>
      </c>
      <c r="AF51" s="11"/>
      <c r="AG51" s="12">
        <v>110279</v>
      </c>
      <c r="AH51" s="12" t="s">
        <v>66</v>
      </c>
      <c r="AI51" s="12" t="e">
        <f t="shared" ref="AI51" si="121">AI50</f>
        <v>#N/A</v>
      </c>
      <c r="AJ51" s="13"/>
      <c r="AK51" s="18" t="e">
        <f t="shared" ref="AK51" si="122">AJ50</f>
        <v>#N/A</v>
      </c>
    </row>
    <row r="52" spans="6:37" x14ac:dyDescent="0.25">
      <c r="F52" s="15">
        <v>45286</v>
      </c>
      <c r="G52" s="8">
        <v>110279</v>
      </c>
      <c r="H52" s="8" t="s">
        <v>66</v>
      </c>
      <c r="I52" t="e">
        <f>"CPA Compra Divisas Bco. Inter. " &amp;C27&amp;" T/C "&amp;D27</f>
        <v>#N/A</v>
      </c>
      <c r="J52" s="16" t="e">
        <f>+B27</f>
        <v>#N/A</v>
      </c>
      <c r="K52" s="17"/>
      <c r="S52" s="15">
        <v>45286</v>
      </c>
      <c r="T52" s="8">
        <v>110285</v>
      </c>
      <c r="U52" s="8" t="s">
        <v>101</v>
      </c>
      <c r="V52" t="e">
        <f>"CPA Fondeo Bco. Inter. USD a CFSB 2475 " &amp;P27&amp;" T/C "&amp;Q27</f>
        <v>#N/A</v>
      </c>
      <c r="W52" s="16" t="e">
        <f>+O27</f>
        <v>#N/A</v>
      </c>
      <c r="X52" s="17"/>
      <c r="AF52" s="15">
        <v>45286</v>
      </c>
      <c r="AG52" s="8">
        <v>110820</v>
      </c>
      <c r="AH52" s="8" t="s">
        <v>113</v>
      </c>
      <c r="AI52" t="e">
        <f>"CPA Fondeo Bco. Inter. USD a JPM COL " &amp;AC27&amp;" T/C "&amp;AD27</f>
        <v>#N/A</v>
      </c>
      <c r="AJ52" s="16" t="e">
        <f>+AB27</f>
        <v>#N/A</v>
      </c>
      <c r="AK52" s="17"/>
    </row>
    <row r="53" spans="6:37" x14ac:dyDescent="0.25">
      <c r="F53" s="11"/>
      <c r="G53" s="12">
        <v>110208</v>
      </c>
      <c r="H53" s="12" t="s">
        <v>46</v>
      </c>
      <c r="I53" s="12" t="e">
        <f t="shared" ref="I53" si="123">I52</f>
        <v>#N/A</v>
      </c>
      <c r="J53" s="13"/>
      <c r="K53" s="18" t="e">
        <f t="shared" ref="K53" si="124">J52</f>
        <v>#N/A</v>
      </c>
      <c r="S53" s="11"/>
      <c r="T53" s="12">
        <v>110279</v>
      </c>
      <c r="U53" s="12" t="s">
        <v>66</v>
      </c>
      <c r="V53" s="12" t="e">
        <f t="shared" ref="V53" si="125">V52</f>
        <v>#N/A</v>
      </c>
      <c r="W53" s="13"/>
      <c r="X53" s="18" t="e">
        <f t="shared" ref="X53" si="126">W52</f>
        <v>#N/A</v>
      </c>
      <c r="AF53" s="11"/>
      <c r="AG53" s="12">
        <v>110279</v>
      </c>
      <c r="AH53" s="12" t="s">
        <v>66</v>
      </c>
      <c r="AI53" s="12" t="e">
        <f t="shared" ref="AI53" si="127">AI52</f>
        <v>#N/A</v>
      </c>
      <c r="AJ53" s="13"/>
      <c r="AK53" s="18" t="e">
        <f t="shared" ref="AK53" si="128">AJ52</f>
        <v>#N/A</v>
      </c>
    </row>
    <row r="54" spans="6:37" x14ac:dyDescent="0.25">
      <c r="F54" s="15">
        <v>45287</v>
      </c>
      <c r="G54" s="8">
        <v>110279</v>
      </c>
      <c r="H54" s="8" t="s">
        <v>66</v>
      </c>
      <c r="I54" t="e">
        <f>"CPA Compra Divisas Bco. Inter. " &amp;C28&amp;" T/C "&amp;D28</f>
        <v>#N/A</v>
      </c>
      <c r="J54" s="16" t="e">
        <f>+B28</f>
        <v>#N/A</v>
      </c>
      <c r="K54" s="17"/>
      <c r="S54" s="15">
        <v>45287</v>
      </c>
      <c r="T54" s="8">
        <v>110285</v>
      </c>
      <c r="U54" s="8" t="s">
        <v>101</v>
      </c>
      <c r="V54" t="e">
        <f>"CPA Fondeo Bco. Inter. USD a CFSB 2475 " &amp;P28&amp;" T/C "&amp;Q28</f>
        <v>#N/A</v>
      </c>
      <c r="W54" s="16" t="e">
        <f>+O28</f>
        <v>#N/A</v>
      </c>
      <c r="X54" s="17"/>
      <c r="AF54" s="15">
        <v>45287</v>
      </c>
      <c r="AG54" s="8">
        <v>110820</v>
      </c>
      <c r="AH54" s="8" t="s">
        <v>113</v>
      </c>
      <c r="AI54" t="e">
        <f>"CPA Fondeo Bco. Inter. USD a JPM COL " &amp;AC28&amp;" T/C "&amp;AD28</f>
        <v>#N/A</v>
      </c>
      <c r="AJ54" s="16" t="e">
        <f>+AB28</f>
        <v>#N/A</v>
      </c>
      <c r="AK54" s="17"/>
    </row>
    <row r="55" spans="6:37" x14ac:dyDescent="0.25">
      <c r="F55" s="11"/>
      <c r="G55" s="12">
        <v>110208</v>
      </c>
      <c r="H55" s="12" t="s">
        <v>46</v>
      </c>
      <c r="I55" s="12" t="e">
        <f t="shared" ref="I55" si="129">I54</f>
        <v>#N/A</v>
      </c>
      <c r="J55" s="13"/>
      <c r="K55" s="18" t="e">
        <f t="shared" ref="K55" si="130">J54</f>
        <v>#N/A</v>
      </c>
      <c r="S55" s="11"/>
      <c r="T55" s="12">
        <v>110279</v>
      </c>
      <c r="U55" s="12" t="s">
        <v>66</v>
      </c>
      <c r="V55" s="12" t="e">
        <f t="shared" ref="V55" si="131">V54</f>
        <v>#N/A</v>
      </c>
      <c r="W55" s="13"/>
      <c r="X55" s="18" t="e">
        <f t="shared" ref="X55" si="132">W54</f>
        <v>#N/A</v>
      </c>
      <c r="AF55" s="11"/>
      <c r="AG55" s="12">
        <v>110279</v>
      </c>
      <c r="AH55" s="12" t="s">
        <v>66</v>
      </c>
      <c r="AI55" s="12" t="e">
        <f t="shared" ref="AI55" si="133">AI54</f>
        <v>#N/A</v>
      </c>
      <c r="AJ55" s="13"/>
      <c r="AK55" s="18" t="e">
        <f t="shared" ref="AK55" si="134">AJ54</f>
        <v>#N/A</v>
      </c>
    </row>
    <row r="56" spans="6:37" x14ac:dyDescent="0.25">
      <c r="F56" s="15">
        <v>45288</v>
      </c>
      <c r="G56" s="8">
        <v>110279</v>
      </c>
      <c r="H56" s="8" t="s">
        <v>66</v>
      </c>
      <c r="I56" t="e">
        <f>"CPA Compra Divisas Bco. Inter. " &amp;C29&amp;" T/C "&amp;D29</f>
        <v>#N/A</v>
      </c>
      <c r="J56" s="16" t="e">
        <f>+B29</f>
        <v>#N/A</v>
      </c>
      <c r="K56" s="17"/>
      <c r="S56" s="15">
        <v>45288</v>
      </c>
      <c r="T56" s="8">
        <v>110285</v>
      </c>
      <c r="U56" s="8" t="s">
        <v>101</v>
      </c>
      <c r="V56" t="e">
        <f>"CPA Fondeo Bco. Inter. USD a CFSB 2475 " &amp;P29&amp;" T/C "&amp;Q29</f>
        <v>#N/A</v>
      </c>
      <c r="W56" s="16" t="e">
        <f>+O29</f>
        <v>#N/A</v>
      </c>
      <c r="X56" s="17"/>
      <c r="AF56" s="15">
        <v>45288</v>
      </c>
      <c r="AG56" s="8">
        <v>110820</v>
      </c>
      <c r="AH56" s="8" t="s">
        <v>113</v>
      </c>
      <c r="AI56" t="e">
        <f>"CPA Fondeo Bco. Inter. USD a JPM COL " &amp;AC29&amp;" T/C "&amp;AD29</f>
        <v>#N/A</v>
      </c>
      <c r="AJ56" s="16" t="e">
        <f>+AB29</f>
        <v>#N/A</v>
      </c>
      <c r="AK56" s="17"/>
    </row>
    <row r="57" spans="6:37" x14ac:dyDescent="0.25">
      <c r="F57" s="11"/>
      <c r="G57" s="12">
        <v>110208</v>
      </c>
      <c r="H57" s="12" t="s">
        <v>46</v>
      </c>
      <c r="I57" s="12" t="e">
        <f t="shared" ref="I57" si="135">I56</f>
        <v>#N/A</v>
      </c>
      <c r="J57" s="13"/>
      <c r="K57" s="18" t="e">
        <f t="shared" ref="K57" si="136">J56</f>
        <v>#N/A</v>
      </c>
      <c r="S57" s="11"/>
      <c r="T57" s="12">
        <v>110279</v>
      </c>
      <c r="U57" s="12" t="s">
        <v>66</v>
      </c>
      <c r="V57" s="12" t="e">
        <f t="shared" ref="V57" si="137">V56</f>
        <v>#N/A</v>
      </c>
      <c r="W57" s="13"/>
      <c r="X57" s="18" t="e">
        <f t="shared" ref="X57" si="138">W56</f>
        <v>#N/A</v>
      </c>
      <c r="AF57" s="11"/>
      <c r="AG57" s="12">
        <v>110279</v>
      </c>
      <c r="AH57" s="12" t="s">
        <v>66</v>
      </c>
      <c r="AI57" s="12" t="e">
        <f t="shared" ref="AI57" si="139">AI56</f>
        <v>#N/A</v>
      </c>
      <c r="AJ57" s="13"/>
      <c r="AK57" s="18" t="e">
        <f t="shared" ref="AK57" si="140">AJ56</f>
        <v>#N/A</v>
      </c>
    </row>
    <row r="58" spans="6:37" x14ac:dyDescent="0.25">
      <c r="F58" s="15">
        <v>45289</v>
      </c>
      <c r="G58" s="8">
        <v>110279</v>
      </c>
      <c r="H58" s="8" t="s">
        <v>66</v>
      </c>
      <c r="I58" t="e">
        <f>"CPA Compra Divisas Bco. Inter. " &amp;C30&amp;" T/C "&amp;D30</f>
        <v>#N/A</v>
      </c>
      <c r="J58" s="16" t="e">
        <f>+B30</f>
        <v>#N/A</v>
      </c>
      <c r="K58" s="17"/>
      <c r="S58" s="15">
        <v>45289</v>
      </c>
      <c r="T58" s="8">
        <v>110285</v>
      </c>
      <c r="U58" s="8" t="s">
        <v>101</v>
      </c>
      <c r="V58" t="e">
        <f>"CPA Fondeo Bco. Inter. USD a CFSB 2475 " &amp;P30&amp;" T/C "&amp;Q30</f>
        <v>#N/A</v>
      </c>
      <c r="W58" s="16" t="e">
        <f>+O30</f>
        <v>#N/A</v>
      </c>
      <c r="X58" s="17"/>
      <c r="AF58" s="15">
        <v>45289</v>
      </c>
      <c r="AG58" s="8">
        <v>110820</v>
      </c>
      <c r="AH58" s="8" t="s">
        <v>113</v>
      </c>
      <c r="AI58" t="e">
        <f>"CPA Fondeo Bco. Inter. USD a JPM COL " &amp;AC30&amp;" T/C "&amp;AD30</f>
        <v>#N/A</v>
      </c>
      <c r="AJ58" s="16" t="e">
        <f>+AB30</f>
        <v>#N/A</v>
      </c>
      <c r="AK58" s="17"/>
    </row>
    <row r="59" spans="6:37" x14ac:dyDescent="0.25">
      <c r="F59" s="11"/>
      <c r="G59" s="12">
        <v>110208</v>
      </c>
      <c r="H59" s="12" t="s">
        <v>46</v>
      </c>
      <c r="I59" s="12" t="e">
        <f t="shared" ref="I59" si="141">I58</f>
        <v>#N/A</v>
      </c>
      <c r="J59" s="13"/>
      <c r="K59" s="18" t="e">
        <f t="shared" ref="K59" si="142">J58</f>
        <v>#N/A</v>
      </c>
      <c r="S59" s="11"/>
      <c r="T59" s="12">
        <v>110279</v>
      </c>
      <c r="U59" s="12" t="s">
        <v>66</v>
      </c>
      <c r="V59" s="12" t="e">
        <f t="shared" ref="V59" si="143">V58</f>
        <v>#N/A</v>
      </c>
      <c r="W59" s="13"/>
      <c r="X59" s="18" t="e">
        <f t="shared" ref="X59" si="144">W58</f>
        <v>#N/A</v>
      </c>
      <c r="AF59" s="11"/>
      <c r="AG59" s="12">
        <v>110279</v>
      </c>
      <c r="AH59" s="12" t="s">
        <v>66</v>
      </c>
      <c r="AI59" s="12" t="e">
        <f t="shared" ref="AI59" si="145">AI58</f>
        <v>#N/A</v>
      </c>
      <c r="AJ59" s="13"/>
      <c r="AK59" s="18" t="e">
        <f t="shared" ref="AK59" si="146">AJ58</f>
        <v>#N/A</v>
      </c>
    </row>
    <row r="60" spans="6:37" x14ac:dyDescent="0.25">
      <c r="F60" s="15">
        <v>45290</v>
      </c>
      <c r="G60" s="8">
        <v>110279</v>
      </c>
      <c r="H60" s="8" t="s">
        <v>66</v>
      </c>
      <c r="I60" t="e">
        <f>"CPA Compra Divisas Bco. Inter. " &amp;C31&amp;" T/C "&amp;D31</f>
        <v>#N/A</v>
      </c>
      <c r="J60" s="16" t="e">
        <f>+B31</f>
        <v>#N/A</v>
      </c>
      <c r="K60" s="17"/>
      <c r="S60" s="15">
        <v>45290</v>
      </c>
      <c r="T60" s="8">
        <v>110285</v>
      </c>
      <c r="U60" s="8" t="s">
        <v>101</v>
      </c>
      <c r="V60" t="e">
        <f>"CPA Fondeo Bco. Inter. USD a CFSB 2475 " &amp;P31&amp;" T/C "&amp;Q31</f>
        <v>#N/A</v>
      </c>
      <c r="W60" s="16" t="e">
        <f>+O31</f>
        <v>#N/A</v>
      </c>
      <c r="X60" s="17"/>
      <c r="AF60" s="15">
        <v>45290</v>
      </c>
      <c r="AG60" s="8">
        <v>110820</v>
      </c>
      <c r="AH60" s="8" t="s">
        <v>113</v>
      </c>
      <c r="AI60" t="e">
        <f>"CPA Fondeo Bco. Inter. USD a JPM COL " &amp;AC31&amp;" T/C "&amp;AD31</f>
        <v>#N/A</v>
      </c>
      <c r="AJ60" s="16" t="e">
        <f>+AB31</f>
        <v>#N/A</v>
      </c>
      <c r="AK60" s="17"/>
    </row>
    <row r="61" spans="6:37" x14ac:dyDescent="0.25">
      <c r="F61" s="11"/>
      <c r="G61" s="12">
        <v>110208</v>
      </c>
      <c r="H61" s="12" t="s">
        <v>46</v>
      </c>
      <c r="I61" s="12" t="e">
        <f t="shared" ref="I61" si="147">I60</f>
        <v>#N/A</v>
      </c>
      <c r="J61" s="13"/>
      <c r="K61" s="18" t="e">
        <f t="shared" ref="K61" si="148">J60</f>
        <v>#N/A</v>
      </c>
      <c r="S61" s="11"/>
      <c r="T61" s="12">
        <v>110279</v>
      </c>
      <c r="U61" s="12" t="s">
        <v>66</v>
      </c>
      <c r="V61" s="12" t="e">
        <f t="shared" ref="V61" si="149">V60</f>
        <v>#N/A</v>
      </c>
      <c r="W61" s="13"/>
      <c r="X61" s="18" t="e">
        <f t="shared" ref="X61" si="150">W60</f>
        <v>#N/A</v>
      </c>
      <c r="AF61" s="11"/>
      <c r="AG61" s="12">
        <v>110279</v>
      </c>
      <c r="AH61" s="12" t="s">
        <v>66</v>
      </c>
      <c r="AI61" s="12" t="e">
        <f t="shared" ref="AI61" si="151">AI60</f>
        <v>#N/A</v>
      </c>
      <c r="AJ61" s="13"/>
      <c r="AK61" s="18" t="e">
        <f t="shared" ref="AK61" si="152">AJ60</f>
        <v>#N/A</v>
      </c>
    </row>
    <row r="62" spans="6:37" x14ac:dyDescent="0.25">
      <c r="F62" s="15">
        <v>45291</v>
      </c>
      <c r="G62" s="8">
        <v>110279</v>
      </c>
      <c r="H62" s="8" t="s">
        <v>66</v>
      </c>
      <c r="I62" t="e">
        <f>"CPA Compra Divisas Bco. Inter. " &amp;C32&amp;" T/C "&amp;D32</f>
        <v>#N/A</v>
      </c>
      <c r="J62" s="16" t="e">
        <f>+B32</f>
        <v>#N/A</v>
      </c>
      <c r="K62" s="17"/>
      <c r="S62" s="15">
        <v>45291</v>
      </c>
      <c r="T62" s="8">
        <v>110285</v>
      </c>
      <c r="U62" s="8" t="s">
        <v>101</v>
      </c>
      <c r="V62" t="e">
        <f>"CPA Fondeo Bco. Inter. USD a CFSB 2475 " &amp;P32&amp;" T/C "&amp;Q32</f>
        <v>#N/A</v>
      </c>
      <c r="W62" s="16" t="e">
        <f>+O32</f>
        <v>#N/A</v>
      </c>
      <c r="X62" s="17"/>
      <c r="AF62" s="15">
        <v>45291</v>
      </c>
      <c r="AG62" s="8">
        <v>110820</v>
      </c>
      <c r="AH62" s="8" t="s">
        <v>113</v>
      </c>
      <c r="AI62" t="e">
        <f>"CPA Fondeo Bco. Inter. USD a JPM COL " &amp;AC32&amp;" T/C "&amp;AD32</f>
        <v>#N/A</v>
      </c>
      <c r="AJ62" s="16" t="e">
        <f>+AB32</f>
        <v>#N/A</v>
      </c>
      <c r="AK62" s="17"/>
    </row>
    <row r="63" spans="6:37" x14ac:dyDescent="0.25">
      <c r="F63" s="11"/>
      <c r="G63" s="12">
        <v>110208</v>
      </c>
      <c r="H63" s="12" t="s">
        <v>46</v>
      </c>
      <c r="I63" s="12" t="e">
        <f t="shared" ref="I63" si="153">I62</f>
        <v>#N/A</v>
      </c>
      <c r="J63" s="13"/>
      <c r="K63" s="18" t="e">
        <f t="shared" ref="K63" si="154">J62</f>
        <v>#N/A</v>
      </c>
      <c r="S63" s="11"/>
      <c r="T63" s="12">
        <v>110279</v>
      </c>
      <c r="U63" s="12" t="s">
        <v>66</v>
      </c>
      <c r="V63" s="12" t="e">
        <f t="shared" ref="V63" si="155">V62</f>
        <v>#N/A</v>
      </c>
      <c r="W63" s="13"/>
      <c r="X63" s="18" t="e">
        <f t="shared" ref="X63" si="156">W62</f>
        <v>#N/A</v>
      </c>
      <c r="AF63" s="11"/>
      <c r="AG63" s="12">
        <v>110279</v>
      </c>
      <c r="AH63" s="12" t="s">
        <v>66</v>
      </c>
      <c r="AI63" s="12" t="e">
        <f t="shared" ref="AI63" si="157">AI62</f>
        <v>#N/A</v>
      </c>
      <c r="AJ63" s="13"/>
      <c r="AK63" s="18" t="e">
        <f t="shared" ref="AK63" si="158">AJ62</f>
        <v>#N/A</v>
      </c>
    </row>
  </sheetData>
  <autoFilter ref="AF1:AK63" xr:uid="{AE060F14-AB7E-45B3-A644-49DD8ADDDE17}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24962-6A48-4644-B87B-B78CC1F9FA35}">
  <dimension ref="A1:BE72"/>
  <sheetViews>
    <sheetView showGridLines="0" workbookViewId="0">
      <selection activeCell="I13" sqref="I13"/>
    </sheetView>
  </sheetViews>
  <sheetFormatPr baseColWidth="10" defaultRowHeight="15" outlineLevelCol="1" x14ac:dyDescent="0.25"/>
  <cols>
    <col min="1" max="1" width="11.140625" bestFit="1" customWidth="1"/>
    <col min="2" max="2" width="14.5703125" bestFit="1" customWidth="1"/>
    <col min="3" max="3" width="7.42578125" bestFit="1" customWidth="1"/>
    <col min="4" max="4" width="13.28515625" customWidth="1"/>
    <col min="5" max="5" width="13.5703125" bestFit="1" customWidth="1"/>
    <col min="8" max="8" width="41" bestFit="1" customWidth="1"/>
    <col min="9" max="9" width="69" bestFit="1" customWidth="1"/>
    <col min="10" max="11" width="12" bestFit="1" customWidth="1"/>
    <col min="15" max="15" width="11.5703125" customWidth="1" outlineLevel="1"/>
    <col min="16" max="16" width="13.5703125" customWidth="1" outlineLevel="1"/>
    <col min="17" max="18" width="12" customWidth="1" outlineLevel="1"/>
    <col min="19" max="19" width="16.85546875" bestFit="1" customWidth="1" outlineLevel="1"/>
    <col min="20" max="22" width="11.42578125" outlineLevel="1"/>
    <col min="23" max="23" width="25.5703125" bestFit="1" customWidth="1" outlineLevel="1"/>
    <col min="24" max="24" width="65.28515625" bestFit="1" customWidth="1" outlineLevel="1"/>
    <col min="25" max="26" width="13.5703125" customWidth="1" outlineLevel="1"/>
    <col min="30" max="30" width="11.5703125" hidden="1" customWidth="1" outlineLevel="1"/>
    <col min="31" max="31" width="13.5703125" hidden="1" customWidth="1" outlineLevel="1"/>
    <col min="32" max="33" width="12" hidden="1" customWidth="1" outlineLevel="1"/>
    <col min="34" max="34" width="16.85546875" hidden="1" customWidth="1" outlineLevel="1"/>
    <col min="35" max="37" width="11.42578125" hidden="1" customWidth="1" outlineLevel="1"/>
    <col min="38" max="38" width="25.5703125" hidden="1" customWidth="1" outlineLevel="1"/>
    <col min="39" max="39" width="65.28515625" hidden="1" customWidth="1" outlineLevel="1"/>
    <col min="40" max="41" width="13.5703125" hidden="1" customWidth="1" outlineLevel="1"/>
    <col min="42" max="42" width="11.42578125" collapsed="1"/>
    <col min="45" max="45" width="11.5703125" customWidth="1" outlineLevel="1"/>
    <col min="46" max="46" width="13.5703125" customWidth="1" outlineLevel="1"/>
    <col min="47" max="48" width="12" customWidth="1" outlineLevel="1"/>
    <col min="49" max="49" width="16.85546875" bestFit="1" customWidth="1" outlineLevel="1"/>
    <col min="50" max="52" width="11.42578125" outlineLevel="1"/>
    <col min="53" max="53" width="25.5703125" bestFit="1" customWidth="1" outlineLevel="1"/>
    <col min="54" max="54" width="65.28515625" bestFit="1" customWidth="1" outlineLevel="1"/>
    <col min="55" max="56" width="13.5703125" customWidth="1" outlineLevel="1"/>
  </cols>
  <sheetData>
    <row r="1" spans="1:57" x14ac:dyDescent="0.25">
      <c r="A1" s="4" t="s">
        <v>0</v>
      </c>
      <c r="B1" s="4" t="s">
        <v>27</v>
      </c>
      <c r="C1" s="4" t="s">
        <v>60</v>
      </c>
      <c r="D1" s="4"/>
      <c r="F1" s="22" t="s">
        <v>0</v>
      </c>
      <c r="G1" s="23"/>
      <c r="H1" s="23"/>
      <c r="I1" s="23"/>
      <c r="J1" s="23" t="s">
        <v>5</v>
      </c>
      <c r="K1" s="24" t="s">
        <v>6</v>
      </c>
      <c r="O1" s="4" t="s">
        <v>0</v>
      </c>
      <c r="P1" s="4"/>
      <c r="Q1" s="75"/>
      <c r="S1" t="s">
        <v>96</v>
      </c>
      <c r="U1" s="22" t="s">
        <v>0</v>
      </c>
      <c r="V1" s="23"/>
      <c r="W1" s="23"/>
      <c r="X1" s="23" t="s">
        <v>56</v>
      </c>
      <c r="Y1" s="23" t="s">
        <v>5</v>
      </c>
      <c r="Z1" s="24" t="s">
        <v>6</v>
      </c>
      <c r="AA1" s="4" t="s">
        <v>99</v>
      </c>
      <c r="AD1" s="4" t="s">
        <v>0</v>
      </c>
      <c r="AE1" s="4"/>
      <c r="AF1" s="75"/>
      <c r="AH1" t="s">
        <v>96</v>
      </c>
      <c r="AJ1" s="22" t="s">
        <v>0</v>
      </c>
      <c r="AK1" s="23"/>
      <c r="AL1" s="23"/>
      <c r="AM1" s="23" t="s">
        <v>56</v>
      </c>
      <c r="AN1" s="23" t="s">
        <v>5</v>
      </c>
      <c r="AO1" s="24" t="s">
        <v>6</v>
      </c>
      <c r="AP1" s="4" t="s">
        <v>99</v>
      </c>
      <c r="AS1" s="4" t="s">
        <v>0</v>
      </c>
      <c r="AT1" s="4"/>
      <c r="AU1" s="75"/>
      <c r="AW1" t="s">
        <v>103</v>
      </c>
      <c r="AY1" s="22" t="s">
        <v>0</v>
      </c>
      <c r="AZ1" s="23"/>
      <c r="BA1" s="23"/>
      <c r="BB1" s="23" t="s">
        <v>56</v>
      </c>
      <c r="BC1" s="23" t="s">
        <v>5</v>
      </c>
      <c r="BD1" s="24" t="s">
        <v>6</v>
      </c>
      <c r="BE1" s="4" t="s">
        <v>99</v>
      </c>
    </row>
    <row r="2" spans="1:57" x14ac:dyDescent="0.25">
      <c r="A2" s="1">
        <v>45139</v>
      </c>
      <c r="B2" s="21">
        <v>525</v>
      </c>
      <c r="C2" s="77">
        <v>840.69</v>
      </c>
      <c r="D2" s="77">
        <f>ROUND(B2*C2,0)</f>
        <v>441362</v>
      </c>
      <c r="E2" s="60"/>
      <c r="F2" s="9">
        <v>45139</v>
      </c>
      <c r="G2">
        <v>110218</v>
      </c>
      <c r="H2" t="s">
        <v>61</v>
      </c>
      <c r="I2" t="str">
        <f>"CPA Recaudación Clientes CFSB 1126 "&amp;TEXT(F2,"dd-mm-yyy")&amp;" USD "&amp;TEXT(B2,"#.##0,00")&amp;" T/C "&amp;C2&amp;""</f>
        <v>CPA Recaudación Clientes CFSB 1126 01-08-2023 USD 525,00 T/C 840,69</v>
      </c>
      <c r="J2" s="3">
        <f>+D2</f>
        <v>441362</v>
      </c>
      <c r="K2" s="10"/>
      <c r="O2" s="1">
        <v>45139</v>
      </c>
      <c r="P2" s="26" t="e">
        <f>HLOOKUP(O2,Hoja2!$R$2:$AV$35,34,FALSE)</f>
        <v>#N/A</v>
      </c>
      <c r="Q2" s="77" t="e">
        <f>HLOOKUP(O2,Hoja2!$R$2:$AV$36,35,FALSE)</f>
        <v>#N/A</v>
      </c>
      <c r="R2" s="26" t="e">
        <f>HLOOKUP(O2,Hoja2!$R$2:$AV$37,36,FALSE)</f>
        <v>#N/A</v>
      </c>
      <c r="S2" s="79" t="e">
        <f>HLOOKUP(O2,Hoja2!$R$2:$AV$38,37,FALSE)</f>
        <v>#N/A</v>
      </c>
      <c r="U2" s="9">
        <v>45139</v>
      </c>
      <c r="V2">
        <v>110285</v>
      </c>
      <c r="W2" t="s">
        <v>101</v>
      </c>
      <c r="X2" t="e">
        <f>"CPA Rescate DLocal a CSFB 2475 " &amp;R2&amp;" USD T/C "&amp;Q2&amp;".- "&amp;TEXT($O2,"dd-mm-yyy")</f>
        <v>#N/A</v>
      </c>
      <c r="Y2" s="3" t="e">
        <f>+S2</f>
        <v>#N/A</v>
      </c>
      <c r="Z2" s="10"/>
      <c r="AD2" s="1">
        <v>45139</v>
      </c>
      <c r="AE2" s="26" t="e">
        <f>HLOOKUP(AD2,Hoja2!$R$2:$AV$35,34,FALSE)</f>
        <v>#N/A</v>
      </c>
      <c r="AF2" s="77" t="e">
        <f>HLOOKUP(AD2,Hoja2!$R$2:$AV$36,35,FALSE)</f>
        <v>#N/A</v>
      </c>
      <c r="AG2" s="26" t="e">
        <f>HLOOKUP(AD2,Hoja2!$R$2:$AV$37,36,FALSE)</f>
        <v>#N/A</v>
      </c>
      <c r="AH2" s="79" t="e">
        <f>HLOOKUP(AD2,Hoja2!$R$2:$AV$38,37,FALSE)</f>
        <v>#N/A</v>
      </c>
      <c r="AJ2" s="9">
        <v>45108</v>
      </c>
      <c r="AK2">
        <v>110285</v>
      </c>
      <c r="AL2" t="s">
        <v>101</v>
      </c>
      <c r="AM2" t="e">
        <f>"CPA Rescate DLocal a CSFB 2475 " &amp;AG2&amp;" USD T/C "&amp;AF2&amp;".- "&amp;TEXT($O2,"dd-mm-yyy")</f>
        <v>#N/A</v>
      </c>
      <c r="AN2" s="3" t="e">
        <f>+AH2</f>
        <v>#N/A</v>
      </c>
      <c r="AO2" s="10"/>
      <c r="AS2" s="1">
        <v>45139</v>
      </c>
      <c r="AT2" s="26" t="e">
        <f>HLOOKUP(AS2,Hoja2!$R$2:$AV$39,38,FALSE)</f>
        <v>#N/A</v>
      </c>
      <c r="AU2" s="77" t="e">
        <f>HLOOKUP(AS2,Hoja2!$R$2:$AV$40,39,FALSE)</f>
        <v>#N/A</v>
      </c>
      <c r="AV2" s="26" t="e">
        <f>HLOOKUP(AS2,Hoja2!$R$2:$AV$41,40,FALSE)</f>
        <v>#N/A</v>
      </c>
      <c r="AW2" s="79" t="e">
        <f>HLOOKUP(AS2,Hoja2!$R$2:$AV$42,41,FALSE)</f>
        <v>#N/A</v>
      </c>
      <c r="AY2" s="9">
        <v>45139</v>
      </c>
      <c r="AZ2" s="8">
        <v>110275</v>
      </c>
      <c r="BA2" s="8" t="s">
        <v>100</v>
      </c>
      <c r="BB2" t="e">
        <f>"CPA Fondeo CSFB 2475 a NIUM " &amp;AV2&amp;" USD T/C "&amp;AU2&amp;".- "&amp;TEXT(AS2,"dd-mm-yyy")</f>
        <v>#N/A</v>
      </c>
      <c r="BC2" s="3" t="e">
        <f>+AW2</f>
        <v>#N/A</v>
      </c>
      <c r="BD2" s="10"/>
    </row>
    <row r="3" spans="1:57" x14ac:dyDescent="0.25">
      <c r="A3" s="1">
        <v>45140</v>
      </c>
      <c r="B3" s="21">
        <v>30500.55</v>
      </c>
      <c r="C3" s="77">
        <v>843.02</v>
      </c>
      <c r="D3" s="77">
        <f t="shared" ref="D3:D32" si="0">ROUND(B3*C3,0)</f>
        <v>25712574</v>
      </c>
      <c r="E3" s="60"/>
      <c r="F3" s="11"/>
      <c r="G3" s="12">
        <v>211101</v>
      </c>
      <c r="H3" s="12" t="s">
        <v>18</v>
      </c>
      <c r="I3" s="12" t="str">
        <f>I2</f>
        <v>CPA Recaudación Clientes CFSB 1126 01-08-2023 USD 525,00 T/C 840,69</v>
      </c>
      <c r="J3" s="13"/>
      <c r="K3" s="18">
        <f>J2</f>
        <v>441362</v>
      </c>
      <c r="O3" s="1">
        <v>45140</v>
      </c>
      <c r="P3" s="26" t="e">
        <f>HLOOKUP(O3,Hoja2!$R$2:$AV$35,34,FALSE)</f>
        <v>#N/A</v>
      </c>
      <c r="Q3" s="77" t="e">
        <f>HLOOKUP(O3,Hoja2!$R$2:$AV$36,35,FALSE)</f>
        <v>#N/A</v>
      </c>
      <c r="R3" s="26" t="e">
        <f>HLOOKUP(O3,Hoja2!$R$2:$AV$37,36,FALSE)</f>
        <v>#N/A</v>
      </c>
      <c r="S3" s="79" t="e">
        <f>HLOOKUP(O3,Hoja2!$R$2:$AV$38,37,FALSE)</f>
        <v>#N/A</v>
      </c>
      <c r="U3" s="11"/>
      <c r="V3" s="12">
        <v>110276</v>
      </c>
      <c r="W3" s="12" t="s">
        <v>97</v>
      </c>
      <c r="X3" s="12" t="e">
        <f>+X2</f>
        <v>#N/A</v>
      </c>
      <c r="Y3" s="13"/>
      <c r="Z3" s="18" t="e">
        <f>+Y2</f>
        <v>#N/A</v>
      </c>
      <c r="AD3" s="1">
        <v>45140</v>
      </c>
      <c r="AE3" s="26" t="e">
        <f>HLOOKUP(AD3,Hoja2!$R$2:$AV$35,34,FALSE)</f>
        <v>#N/A</v>
      </c>
      <c r="AF3" s="77" t="e">
        <f>HLOOKUP(AD3,Hoja2!$R$2:$AV$36,35,FALSE)</f>
        <v>#N/A</v>
      </c>
      <c r="AG3" s="26" t="e">
        <f>HLOOKUP(AD3,Hoja2!$R$2:$AV$37,36,FALSE)</f>
        <v>#N/A</v>
      </c>
      <c r="AH3" s="79" t="e">
        <f>HLOOKUP(AD3,Hoja2!$R$2:$AV$38,37,FALSE)</f>
        <v>#N/A</v>
      </c>
      <c r="AJ3" s="11"/>
      <c r="AK3" s="12">
        <v>110276</v>
      </c>
      <c r="AL3" s="12" t="s">
        <v>97</v>
      </c>
      <c r="AM3" s="12" t="e">
        <f>+AM2</f>
        <v>#N/A</v>
      </c>
      <c r="AN3" s="13"/>
      <c r="AO3" s="18" t="e">
        <f>+AN2</f>
        <v>#N/A</v>
      </c>
      <c r="AS3" s="1">
        <v>45140</v>
      </c>
      <c r="AT3" s="26" t="e">
        <f>HLOOKUP(AS3,Hoja2!$R$2:$AV$39,38,FALSE)</f>
        <v>#N/A</v>
      </c>
      <c r="AU3" s="77" t="e">
        <f>HLOOKUP(AS3,Hoja2!$R$2:$AV$40,39,FALSE)</f>
        <v>#N/A</v>
      </c>
      <c r="AV3" s="26" t="e">
        <f>HLOOKUP(AS3,Hoja2!$R$2:$AV$41,40,FALSE)</f>
        <v>#N/A</v>
      </c>
      <c r="AW3" s="79" t="e">
        <f>HLOOKUP(AS3,Hoja2!$R$2:$AV$42,41,FALSE)</f>
        <v>#N/A</v>
      </c>
      <c r="AY3" s="11"/>
      <c r="AZ3" s="12">
        <v>110285</v>
      </c>
      <c r="BA3" s="12"/>
      <c r="BB3" s="12" t="e">
        <f>+BB2</f>
        <v>#N/A</v>
      </c>
      <c r="BC3" s="13"/>
      <c r="BD3" s="18" t="e">
        <f>+BC2</f>
        <v>#N/A</v>
      </c>
    </row>
    <row r="4" spans="1:57" x14ac:dyDescent="0.25">
      <c r="A4" s="1">
        <v>45141</v>
      </c>
      <c r="B4" s="21">
        <v>5100</v>
      </c>
      <c r="C4" s="77">
        <v>847.77</v>
      </c>
      <c r="D4" s="77">
        <f t="shared" si="0"/>
        <v>4323627</v>
      </c>
      <c r="E4" s="60"/>
      <c r="F4" s="15">
        <v>45140</v>
      </c>
      <c r="G4" s="8">
        <v>110218</v>
      </c>
      <c r="H4" s="8" t="s">
        <v>61</v>
      </c>
      <c r="I4" t="str">
        <f>"CPA Recaudación Clientes CFSB 1126 "&amp;TEXT(F4,"dd-mm-yyy")&amp;" USD "&amp;TEXT(B3,"#.##0,00")&amp;" T/C "&amp;C3&amp;""</f>
        <v>CPA Recaudación Clientes CFSB 1126 02-08-2023 USD 30.500,55 T/C 843,02</v>
      </c>
      <c r="J4" s="3">
        <f>+D3</f>
        <v>25712574</v>
      </c>
      <c r="K4" s="17"/>
      <c r="O4" s="1">
        <v>45141</v>
      </c>
      <c r="P4" s="26" t="e">
        <f>HLOOKUP(O4,Hoja2!$R$2:$AV$35,34,FALSE)</f>
        <v>#N/A</v>
      </c>
      <c r="Q4" s="77" t="e">
        <f>HLOOKUP(O4,Hoja2!$R$2:$AV$36,35,FALSE)</f>
        <v>#N/A</v>
      </c>
      <c r="R4" s="26" t="e">
        <f>HLOOKUP(O4,Hoja2!$R$2:$AV$37,36,FALSE)</f>
        <v>#N/A</v>
      </c>
      <c r="S4" s="79" t="e">
        <f>HLOOKUP(O4,Hoja2!$R$2:$AV$38,37,FALSE)</f>
        <v>#N/A</v>
      </c>
      <c r="U4" s="9">
        <v>45140</v>
      </c>
      <c r="V4">
        <v>110285</v>
      </c>
      <c r="X4" t="e">
        <f>"CPA Rescate DLocal a CSFB 2475 " &amp;R3&amp;" USD T/C "&amp;Q3&amp;".- "&amp;TEXT($O3,"dd-mm-yyy")</f>
        <v>#N/A</v>
      </c>
      <c r="Y4" s="3" t="e">
        <f>+S3</f>
        <v>#N/A</v>
      </c>
      <c r="Z4" s="10"/>
      <c r="AD4" s="1">
        <v>45141</v>
      </c>
      <c r="AE4" s="26" t="e">
        <f>HLOOKUP(AD4,Hoja2!$R$2:$AV$35,34,FALSE)</f>
        <v>#N/A</v>
      </c>
      <c r="AF4" s="77" t="e">
        <f>HLOOKUP(AD4,Hoja2!$R$2:$AV$36,35,FALSE)</f>
        <v>#N/A</v>
      </c>
      <c r="AG4" s="26" t="e">
        <f>HLOOKUP(AD4,Hoja2!$R$2:$AV$37,36,FALSE)</f>
        <v>#N/A</v>
      </c>
      <c r="AH4" s="79" t="e">
        <f>HLOOKUP(AD4,Hoja2!$R$2:$AV$38,37,FALSE)</f>
        <v>#N/A</v>
      </c>
      <c r="AJ4" s="9">
        <v>45109</v>
      </c>
      <c r="AK4">
        <v>110285</v>
      </c>
      <c r="AM4" t="e">
        <f>"CPA Rescate DLocal a CSFB 2475 " &amp;AG3&amp;" USD T/C "&amp;AF3&amp;".- "&amp;TEXT($O4,"dd-mm-yyy")</f>
        <v>#N/A</v>
      </c>
      <c r="AN4" s="3" t="e">
        <f>+AH3</f>
        <v>#N/A</v>
      </c>
      <c r="AO4" s="10"/>
      <c r="AS4" s="1">
        <v>45141</v>
      </c>
      <c r="AT4" s="26" t="e">
        <f>HLOOKUP(AS4,Hoja2!$R$2:$AV$39,38,FALSE)</f>
        <v>#N/A</v>
      </c>
      <c r="AU4" s="77" t="e">
        <f>HLOOKUP(AS4,Hoja2!$R$2:$AV$40,39,FALSE)</f>
        <v>#N/A</v>
      </c>
      <c r="AV4" s="26" t="e">
        <f>HLOOKUP(AS4,Hoja2!$R$2:$AV$41,40,FALSE)</f>
        <v>#N/A</v>
      </c>
      <c r="AW4" s="79" t="e">
        <f>HLOOKUP(AS4,Hoja2!$R$2:$AV$42,41,FALSE)</f>
        <v>#N/A</v>
      </c>
      <c r="AY4" s="9">
        <v>45140</v>
      </c>
      <c r="AZ4" s="8">
        <v>110275</v>
      </c>
      <c r="BA4" s="8" t="s">
        <v>100</v>
      </c>
      <c r="BB4" t="e">
        <f>"CPA Fondeo CSFB 2475 a NIUM " &amp;AV3&amp;" USD T/C "&amp;AU3&amp;".- "&amp;TEXT(AS3,"dd-mm-yyy")</f>
        <v>#N/A</v>
      </c>
      <c r="BC4" s="3" t="e">
        <f>+AW3</f>
        <v>#N/A</v>
      </c>
      <c r="BD4" s="10"/>
    </row>
    <row r="5" spans="1:57" x14ac:dyDescent="0.25">
      <c r="A5" s="1">
        <v>45142</v>
      </c>
      <c r="B5" s="21">
        <v>8972.94</v>
      </c>
      <c r="C5" s="77">
        <v>853.99</v>
      </c>
      <c r="D5" s="77">
        <f t="shared" si="0"/>
        <v>7662801</v>
      </c>
      <c r="E5" s="60"/>
      <c r="F5" s="11"/>
      <c r="G5" s="12">
        <v>211101</v>
      </c>
      <c r="H5" s="12" t="s">
        <v>18</v>
      </c>
      <c r="I5" s="12" t="str">
        <f t="shared" ref="I5" si="1">I4</f>
        <v>CPA Recaudación Clientes CFSB 1126 02-08-2023 USD 30.500,55 T/C 843,02</v>
      </c>
      <c r="J5" s="13"/>
      <c r="K5" s="18">
        <f t="shared" ref="K5" si="2">J4</f>
        <v>25712574</v>
      </c>
      <c r="O5" s="1">
        <v>45142</v>
      </c>
      <c r="P5" s="26" t="e">
        <f>HLOOKUP(O5,Hoja2!$R$2:$AV$35,34,FALSE)</f>
        <v>#N/A</v>
      </c>
      <c r="Q5" s="77" t="e">
        <f>HLOOKUP(O5,Hoja2!$R$2:$AV$36,35,FALSE)</f>
        <v>#N/A</v>
      </c>
      <c r="R5" s="26" t="e">
        <f>HLOOKUP(O5,Hoja2!$R$2:$AV$37,36,FALSE)</f>
        <v>#N/A</v>
      </c>
      <c r="S5" s="79" t="e">
        <f>HLOOKUP(O5,Hoja2!$R$2:$AV$38,37,FALSE)</f>
        <v>#N/A</v>
      </c>
      <c r="U5" s="41"/>
      <c r="V5" s="12">
        <v>110276</v>
      </c>
      <c r="W5" s="12" t="s">
        <v>97</v>
      </c>
      <c r="X5" s="12" t="e">
        <f>+X4</f>
        <v>#N/A</v>
      </c>
      <c r="Y5" s="13"/>
      <c r="Z5" s="18" t="e">
        <f t="shared" ref="Z5" si="3">+Y4</f>
        <v>#N/A</v>
      </c>
      <c r="AD5" s="1">
        <v>45142</v>
      </c>
      <c r="AE5" s="26" t="e">
        <f>HLOOKUP(AD5,Hoja2!$R$2:$AV$35,34,FALSE)</f>
        <v>#N/A</v>
      </c>
      <c r="AF5" s="77" t="e">
        <f>HLOOKUP(AD5,Hoja2!$R$2:$AV$36,35,FALSE)</f>
        <v>#N/A</v>
      </c>
      <c r="AG5" s="26" t="e">
        <f>HLOOKUP(AD5,Hoja2!$R$2:$AV$37,36,FALSE)</f>
        <v>#N/A</v>
      </c>
      <c r="AH5" s="79" t="e">
        <f>HLOOKUP(AD5,Hoja2!$R$2:$AV$38,37,FALSE)</f>
        <v>#N/A</v>
      </c>
      <c r="AJ5" s="41"/>
      <c r="AK5" s="12">
        <v>110276</v>
      </c>
      <c r="AL5" s="12" t="s">
        <v>97</v>
      </c>
      <c r="AM5" s="12" t="e">
        <f>+AM4</f>
        <v>#N/A</v>
      </c>
      <c r="AN5" s="13"/>
      <c r="AO5" s="18" t="e">
        <f t="shared" ref="AO5" si="4">+AN4</f>
        <v>#N/A</v>
      </c>
      <c r="AS5" s="1">
        <v>45142</v>
      </c>
      <c r="AT5" s="26" t="e">
        <f>HLOOKUP(AS5,Hoja2!$R$2:$AV$39,38,FALSE)</f>
        <v>#N/A</v>
      </c>
      <c r="AU5" s="77" t="e">
        <f>HLOOKUP(AS5,Hoja2!$R$2:$AV$40,39,FALSE)</f>
        <v>#N/A</v>
      </c>
      <c r="AV5" s="26" t="e">
        <f>HLOOKUP(AS5,Hoja2!$R$2:$AV$41,40,FALSE)</f>
        <v>#N/A</v>
      </c>
      <c r="AW5" s="79" t="e">
        <f>HLOOKUP(AS5,Hoja2!$R$2:$AV$42,41,FALSE)</f>
        <v>#N/A</v>
      </c>
      <c r="AY5" s="41"/>
      <c r="AZ5" s="12">
        <v>110285</v>
      </c>
      <c r="BA5" s="12"/>
      <c r="BB5" s="12" t="e">
        <f>+BB4</f>
        <v>#N/A</v>
      </c>
      <c r="BC5" s="13"/>
      <c r="BD5" s="18" t="e">
        <f t="shared" ref="BD5" si="5">+BC4</f>
        <v>#N/A</v>
      </c>
    </row>
    <row r="6" spans="1:57" x14ac:dyDescent="0.25">
      <c r="A6" s="1">
        <v>45143</v>
      </c>
      <c r="B6" s="21">
        <v>0</v>
      </c>
      <c r="C6" s="77">
        <v>853.99</v>
      </c>
      <c r="D6" s="77">
        <f t="shared" si="0"/>
        <v>0</v>
      </c>
      <c r="E6" s="60"/>
      <c r="F6" s="15">
        <v>45141</v>
      </c>
      <c r="G6" s="8">
        <v>110218</v>
      </c>
      <c r="H6" s="8" t="s">
        <v>61</v>
      </c>
      <c r="I6" t="str">
        <f>"CPA Recaudación Clientes CFSB 1126 "&amp;TEXT(F6,"dd-mm-yyy")&amp;" USD "&amp;TEXT(B4,"#.##0")&amp;" T/C "&amp;C4&amp;""</f>
        <v>CPA Recaudación Clientes CFSB 1126 03-08-2023 USD 5.100 T/C 847,77</v>
      </c>
      <c r="J6" s="16">
        <f>+D4</f>
        <v>4323627</v>
      </c>
      <c r="K6" s="17"/>
      <c r="O6" s="1">
        <v>45143</v>
      </c>
      <c r="P6" s="26" t="e">
        <f>HLOOKUP(O6,Hoja2!$R$2:$AV$35,34,FALSE)</f>
        <v>#N/A</v>
      </c>
      <c r="Q6" s="77" t="e">
        <f>HLOOKUP(O6,Hoja2!$R$2:$AV$36,35,FALSE)</f>
        <v>#N/A</v>
      </c>
      <c r="R6" s="26" t="e">
        <f>HLOOKUP(O6,Hoja2!$R$2:$AV$37,36,FALSE)</f>
        <v>#N/A</v>
      </c>
      <c r="S6" s="79" t="e">
        <f>HLOOKUP(O6,Hoja2!$R$2:$AV$38,37,FALSE)</f>
        <v>#N/A</v>
      </c>
      <c r="U6" s="9">
        <v>45141</v>
      </c>
      <c r="V6">
        <v>110285</v>
      </c>
      <c r="X6" t="e">
        <f>"CPA Rescate DLocal a CSFB 2475 " &amp;R4&amp;" USD T/C "&amp;Q4&amp;".- "&amp;TEXT($O4,"dd-mm-yyy")</f>
        <v>#N/A</v>
      </c>
      <c r="Y6" s="3" t="e">
        <f>+S4</f>
        <v>#N/A</v>
      </c>
      <c r="Z6" s="10"/>
      <c r="AD6" s="1">
        <v>45143</v>
      </c>
      <c r="AE6" s="26" t="e">
        <f>HLOOKUP(AD6,Hoja2!$R$2:$AV$35,34,FALSE)</f>
        <v>#N/A</v>
      </c>
      <c r="AF6" s="77" t="e">
        <f>HLOOKUP(AD6,Hoja2!$R$2:$AV$36,35,FALSE)</f>
        <v>#N/A</v>
      </c>
      <c r="AG6" s="26" t="e">
        <f>HLOOKUP(AD6,Hoja2!$R$2:$AV$37,36,FALSE)</f>
        <v>#N/A</v>
      </c>
      <c r="AH6" s="79" t="e">
        <f>HLOOKUP(AD6,Hoja2!$R$2:$AV$38,37,FALSE)</f>
        <v>#N/A</v>
      </c>
      <c r="AJ6" s="9">
        <v>45110</v>
      </c>
      <c r="AK6">
        <v>110285</v>
      </c>
      <c r="AM6" t="e">
        <f>"CPA Rescate DLocal a CSFB 2475 " &amp;AG4&amp;" USD T/C "&amp;AF4&amp;".- "&amp;TEXT($O6,"dd-mm-yyy")</f>
        <v>#N/A</v>
      </c>
      <c r="AN6" s="3" t="e">
        <f>+AH4</f>
        <v>#N/A</v>
      </c>
      <c r="AO6" s="10"/>
      <c r="AS6" s="1">
        <v>45143</v>
      </c>
      <c r="AT6" s="26" t="e">
        <f>HLOOKUP(AS6,Hoja2!$R$2:$AV$39,38,FALSE)</f>
        <v>#N/A</v>
      </c>
      <c r="AU6" s="77" t="e">
        <f>HLOOKUP(AS6,Hoja2!$R$2:$AV$40,39,FALSE)</f>
        <v>#N/A</v>
      </c>
      <c r="AV6" s="26" t="e">
        <f>HLOOKUP(AS6,Hoja2!$R$2:$AV$41,40,FALSE)</f>
        <v>#N/A</v>
      </c>
      <c r="AW6" s="79" t="e">
        <f>HLOOKUP(AS6,Hoja2!$R$2:$AV$42,41,FALSE)</f>
        <v>#N/A</v>
      </c>
      <c r="AY6" s="9">
        <v>45141</v>
      </c>
      <c r="AZ6" s="8">
        <v>110275</v>
      </c>
      <c r="BA6" s="8" t="s">
        <v>100</v>
      </c>
      <c r="BB6" t="e">
        <f>"CPA Fondeo CSFB 2475 a NIUM "&amp;AV4&amp;" USD T/C "&amp;AU4&amp;".- "&amp;TEXT(AS4,"dd-mm-yyy")</f>
        <v>#N/A</v>
      </c>
      <c r="BC6" s="3" t="e">
        <f>+AW4</f>
        <v>#N/A</v>
      </c>
      <c r="BD6" s="10"/>
    </row>
    <row r="7" spans="1:57" x14ac:dyDescent="0.25">
      <c r="A7" s="1">
        <v>45144</v>
      </c>
      <c r="B7" s="21">
        <v>0</v>
      </c>
      <c r="C7" s="77">
        <v>853.99</v>
      </c>
      <c r="D7" s="77">
        <f t="shared" si="0"/>
        <v>0</v>
      </c>
      <c r="E7" s="60"/>
      <c r="F7" s="11"/>
      <c r="G7" s="12">
        <v>211101</v>
      </c>
      <c r="H7" s="12" t="s">
        <v>18</v>
      </c>
      <c r="I7" s="12" t="str">
        <f t="shared" ref="I7" si="6">I6</f>
        <v>CPA Recaudación Clientes CFSB 1126 03-08-2023 USD 5.100 T/C 847,77</v>
      </c>
      <c r="J7" s="13"/>
      <c r="K7" s="18">
        <f t="shared" ref="K7" si="7">J6</f>
        <v>4323627</v>
      </c>
      <c r="O7" s="1">
        <v>45144</v>
      </c>
      <c r="P7" s="26" t="e">
        <f>HLOOKUP(O7,Hoja2!$R$2:$AV$35,34,FALSE)</f>
        <v>#N/A</v>
      </c>
      <c r="Q7" s="77" t="e">
        <f>HLOOKUP(O7,Hoja2!$R$2:$AV$36,35,FALSE)</f>
        <v>#N/A</v>
      </c>
      <c r="R7" s="26" t="e">
        <f>HLOOKUP(O7,Hoja2!$R$2:$AV$37,36,FALSE)</f>
        <v>#N/A</v>
      </c>
      <c r="S7" s="79" t="e">
        <f>HLOOKUP(O7,Hoja2!$R$2:$AV$38,37,FALSE)</f>
        <v>#N/A</v>
      </c>
      <c r="U7" s="11"/>
      <c r="V7" s="12">
        <v>110276</v>
      </c>
      <c r="W7" s="12" t="s">
        <v>97</v>
      </c>
      <c r="X7" s="12" t="e">
        <f>+X6</f>
        <v>#N/A</v>
      </c>
      <c r="Y7" s="13"/>
      <c r="Z7" s="18" t="e">
        <f t="shared" ref="Z7:Z63" si="8">+Y6</f>
        <v>#N/A</v>
      </c>
      <c r="AD7" s="1">
        <v>45144</v>
      </c>
      <c r="AE7" s="26" t="e">
        <f>HLOOKUP(AD7,Hoja2!$R$2:$AV$35,34,FALSE)</f>
        <v>#N/A</v>
      </c>
      <c r="AF7" s="77" t="e">
        <f>HLOOKUP(AD7,Hoja2!$R$2:$AV$36,35,FALSE)</f>
        <v>#N/A</v>
      </c>
      <c r="AG7" s="26" t="e">
        <f>HLOOKUP(AD7,Hoja2!$R$2:$AV$37,36,FALSE)</f>
        <v>#N/A</v>
      </c>
      <c r="AH7" s="79" t="e">
        <f>HLOOKUP(AD7,Hoja2!$R$2:$AV$38,37,FALSE)</f>
        <v>#N/A</v>
      </c>
      <c r="AJ7" s="11"/>
      <c r="AK7" s="12">
        <v>110276</v>
      </c>
      <c r="AL7" s="12" t="s">
        <v>97</v>
      </c>
      <c r="AM7" s="12" t="e">
        <f>+AM6</f>
        <v>#N/A</v>
      </c>
      <c r="AN7" s="13"/>
      <c r="AO7" s="18" t="e">
        <f t="shared" ref="AO7" si="9">+AN6</f>
        <v>#N/A</v>
      </c>
      <c r="AS7" s="1">
        <v>45144</v>
      </c>
      <c r="AT7" s="26" t="e">
        <f>HLOOKUP(AS7,Hoja2!$R$2:$AV$39,38,FALSE)</f>
        <v>#N/A</v>
      </c>
      <c r="AU7" s="77" t="e">
        <f>HLOOKUP(AS7,Hoja2!$R$2:$AV$40,39,FALSE)</f>
        <v>#N/A</v>
      </c>
      <c r="AV7" s="26" t="e">
        <f>HLOOKUP(AS7,Hoja2!$R$2:$AV$41,40,FALSE)</f>
        <v>#N/A</v>
      </c>
      <c r="AW7" s="79" t="e">
        <f>HLOOKUP(AS7,Hoja2!$R$2:$AV$42,41,FALSE)</f>
        <v>#N/A</v>
      </c>
      <c r="AY7" s="11"/>
      <c r="AZ7" s="12">
        <v>110285</v>
      </c>
      <c r="BA7" s="12"/>
      <c r="BB7" s="12" t="e">
        <f>+BB6</f>
        <v>#N/A</v>
      </c>
      <c r="BC7" s="13"/>
      <c r="BD7" s="18" t="e">
        <f t="shared" ref="BD7" si="10">+BC6</f>
        <v>#N/A</v>
      </c>
    </row>
    <row r="8" spans="1:57" x14ac:dyDescent="0.25">
      <c r="A8" s="1">
        <v>45145</v>
      </c>
      <c r="B8" s="21">
        <v>9499</v>
      </c>
      <c r="C8" s="77">
        <v>848.5</v>
      </c>
      <c r="D8" s="77">
        <f t="shared" si="0"/>
        <v>8059902</v>
      </c>
      <c r="E8" s="60"/>
      <c r="F8" s="15">
        <v>45142</v>
      </c>
      <c r="G8" s="8">
        <v>110218</v>
      </c>
      <c r="H8" s="8" t="s">
        <v>61</v>
      </c>
      <c r="I8" t="str">
        <f>"CPA Recaudación Clientes CFSB 1126 "&amp;TEXT(F8,"dd-mm-yyy")&amp;" USD "&amp;TEXT(B5,"#.##0,00")&amp;" T/C "&amp;C5&amp;""</f>
        <v>CPA Recaudación Clientes CFSB 1126 04-08-2023 USD 8.972,94 T/C 853,99</v>
      </c>
      <c r="J8" s="16">
        <f>+D5</f>
        <v>7662801</v>
      </c>
      <c r="K8" s="17"/>
      <c r="O8" s="1">
        <v>45145</v>
      </c>
      <c r="P8" s="26" t="e">
        <f>HLOOKUP(O8,Hoja2!$R$2:$AV$35,34,FALSE)</f>
        <v>#N/A</v>
      </c>
      <c r="Q8" s="77" t="e">
        <f>HLOOKUP(O8,Hoja2!$R$2:$AV$36,35,FALSE)</f>
        <v>#N/A</v>
      </c>
      <c r="R8" s="26" t="e">
        <f>HLOOKUP(O8,Hoja2!$R$2:$AV$37,36,FALSE)</f>
        <v>#N/A</v>
      </c>
      <c r="S8" s="79" t="e">
        <f>HLOOKUP(O8,Hoja2!$R$2:$AV$38,37,FALSE)</f>
        <v>#N/A</v>
      </c>
      <c r="U8" s="9">
        <v>45142</v>
      </c>
      <c r="V8">
        <v>110285</v>
      </c>
      <c r="X8" t="e">
        <f>"CPA Rescate DLocal a CSFB 2475 " &amp;R5&amp;" USD T/C "&amp;Q5&amp;".- "&amp;TEXT($O5,"dd-mm-yyy")</f>
        <v>#N/A</v>
      </c>
      <c r="Y8" s="3" t="e">
        <f>+S5</f>
        <v>#N/A</v>
      </c>
      <c r="Z8" s="10"/>
      <c r="AD8" s="1">
        <v>45145</v>
      </c>
      <c r="AE8" s="26" t="e">
        <f>HLOOKUP(AD8,Hoja2!$R$2:$AV$35,34,FALSE)</f>
        <v>#N/A</v>
      </c>
      <c r="AF8" s="77" t="e">
        <f>HLOOKUP(AD8,Hoja2!$R$2:$AV$36,35,FALSE)</f>
        <v>#N/A</v>
      </c>
      <c r="AG8" s="26" t="e">
        <f>HLOOKUP(AD8,Hoja2!$R$2:$AV$37,36,FALSE)</f>
        <v>#N/A</v>
      </c>
      <c r="AH8" s="79" t="e">
        <f>HLOOKUP(AD8,Hoja2!$R$2:$AV$38,37,FALSE)</f>
        <v>#N/A</v>
      </c>
      <c r="AJ8" s="9">
        <v>45111</v>
      </c>
      <c r="AK8">
        <v>110285</v>
      </c>
      <c r="AM8" t="e">
        <f>"CPA Rescate DLocal a CSFB 2475 " &amp;AG5&amp;" USD T/C "&amp;AF5&amp;".- "&amp;TEXT($O8,"dd-mm-yyy")</f>
        <v>#N/A</v>
      </c>
      <c r="AN8" s="3" t="e">
        <f>+AH5</f>
        <v>#N/A</v>
      </c>
      <c r="AO8" s="10"/>
      <c r="AS8" s="1">
        <v>45145</v>
      </c>
      <c r="AT8" s="26" t="e">
        <f>HLOOKUP(AS8,Hoja2!$R$2:$AV$39,38,FALSE)</f>
        <v>#N/A</v>
      </c>
      <c r="AU8" s="77" t="e">
        <f>HLOOKUP(AS8,Hoja2!$R$2:$AV$40,39,FALSE)</f>
        <v>#N/A</v>
      </c>
      <c r="AV8" s="26" t="e">
        <f>HLOOKUP(AS8,Hoja2!$R$2:$AV$41,40,FALSE)</f>
        <v>#N/A</v>
      </c>
      <c r="AW8" s="79" t="e">
        <f>HLOOKUP(AS8,Hoja2!$R$2:$AV$42,41,FALSE)</f>
        <v>#N/A</v>
      </c>
      <c r="AY8" s="9">
        <v>45142</v>
      </c>
      <c r="AZ8" s="8">
        <v>110275</v>
      </c>
      <c r="BA8" s="8" t="s">
        <v>100</v>
      </c>
      <c r="BB8" t="e">
        <f>"CPA Fondeo CSFB 2475 a NIUM " &amp;AV5&amp;" USD T/C "&amp;AU5&amp;".- "&amp;TEXT(AS5,"dd-mm-yyy")</f>
        <v>#N/A</v>
      </c>
      <c r="BC8" s="3" t="e">
        <f>+AW5</f>
        <v>#N/A</v>
      </c>
      <c r="BD8" s="10"/>
    </row>
    <row r="9" spans="1:57" x14ac:dyDescent="0.25">
      <c r="A9" s="1">
        <v>45146</v>
      </c>
      <c r="B9" s="21">
        <v>1115.31</v>
      </c>
      <c r="C9" s="77">
        <v>856.1</v>
      </c>
      <c r="D9" s="77">
        <f t="shared" si="0"/>
        <v>954817</v>
      </c>
      <c r="E9" s="60"/>
      <c r="F9" s="20"/>
      <c r="G9">
        <v>211101</v>
      </c>
      <c r="H9" t="s">
        <v>18</v>
      </c>
      <c r="I9" s="12" t="str">
        <f t="shared" ref="I9" si="11">I8</f>
        <v>CPA Recaudación Clientes CFSB 1126 04-08-2023 USD 8.972,94 T/C 853,99</v>
      </c>
      <c r="K9" s="10">
        <f t="shared" ref="K9" si="12">J8</f>
        <v>7662801</v>
      </c>
      <c r="O9" s="1">
        <v>45146</v>
      </c>
      <c r="P9" s="26" t="e">
        <f>HLOOKUP(O9,Hoja2!$R$2:$AV$35,34,FALSE)</f>
        <v>#N/A</v>
      </c>
      <c r="Q9" s="77" t="e">
        <f>HLOOKUP(O9,Hoja2!$R$2:$AV$36,35,FALSE)</f>
        <v>#N/A</v>
      </c>
      <c r="R9" s="26" t="e">
        <f>HLOOKUP(O9,Hoja2!$R$2:$AV$37,36,FALSE)</f>
        <v>#N/A</v>
      </c>
      <c r="S9" s="79" t="e">
        <f>HLOOKUP(O9,Hoja2!$R$2:$AV$38,37,FALSE)</f>
        <v>#N/A</v>
      </c>
      <c r="U9" s="11"/>
      <c r="V9" s="12">
        <v>110276</v>
      </c>
      <c r="W9" s="12" t="s">
        <v>97</v>
      </c>
      <c r="X9" s="12" t="e">
        <f>+X8</f>
        <v>#N/A</v>
      </c>
      <c r="Y9" s="13"/>
      <c r="Z9" s="18" t="e">
        <f t="shared" si="8"/>
        <v>#N/A</v>
      </c>
      <c r="AD9" s="1">
        <v>45146</v>
      </c>
      <c r="AE9" s="26" t="e">
        <f>HLOOKUP(AD9,Hoja2!$R$2:$AV$35,34,FALSE)</f>
        <v>#N/A</v>
      </c>
      <c r="AF9" s="77" t="e">
        <f>HLOOKUP(AD9,Hoja2!$R$2:$AV$36,35,FALSE)</f>
        <v>#N/A</v>
      </c>
      <c r="AG9" s="26" t="e">
        <f>HLOOKUP(AD9,Hoja2!$R$2:$AV$37,36,FALSE)</f>
        <v>#N/A</v>
      </c>
      <c r="AH9" s="79" t="e">
        <f>HLOOKUP(AD9,Hoja2!$R$2:$AV$38,37,FALSE)</f>
        <v>#N/A</v>
      </c>
      <c r="AJ9" s="11"/>
      <c r="AK9" s="12">
        <v>110276</v>
      </c>
      <c r="AL9" s="12" t="s">
        <v>97</v>
      </c>
      <c r="AM9" s="12" t="e">
        <f>+AM8</f>
        <v>#N/A</v>
      </c>
      <c r="AN9" s="13"/>
      <c r="AO9" s="18" t="e">
        <f t="shared" ref="AO9" si="13">+AN8</f>
        <v>#N/A</v>
      </c>
      <c r="AS9" s="1">
        <v>45146</v>
      </c>
      <c r="AT9" s="26" t="e">
        <f>HLOOKUP(AS9,Hoja2!$R$2:$AV$39,38,FALSE)</f>
        <v>#N/A</v>
      </c>
      <c r="AU9" s="77" t="e">
        <f>HLOOKUP(AS9,Hoja2!$R$2:$AV$40,39,FALSE)</f>
        <v>#N/A</v>
      </c>
      <c r="AV9" s="26" t="e">
        <f>HLOOKUP(AS9,Hoja2!$R$2:$AV$41,40,FALSE)</f>
        <v>#N/A</v>
      </c>
      <c r="AW9" s="79" t="e">
        <f>HLOOKUP(AS9,Hoja2!$R$2:$AV$42,41,FALSE)</f>
        <v>#N/A</v>
      </c>
      <c r="AY9" s="11"/>
      <c r="AZ9" s="12">
        <v>110285</v>
      </c>
      <c r="BA9" s="12"/>
      <c r="BB9" s="12" t="e">
        <f>+BB8</f>
        <v>#N/A</v>
      </c>
      <c r="BC9" s="13"/>
      <c r="BD9" s="18" t="e">
        <f t="shared" ref="BD9" si="14">+BC8</f>
        <v>#N/A</v>
      </c>
    </row>
    <row r="10" spans="1:57" x14ac:dyDescent="0.25">
      <c r="A10" s="1">
        <v>45147</v>
      </c>
      <c r="B10" s="21">
        <v>0</v>
      </c>
      <c r="C10" s="77">
        <v>863.22</v>
      </c>
      <c r="D10" s="77">
        <f t="shared" si="0"/>
        <v>0</v>
      </c>
      <c r="E10" s="60"/>
      <c r="F10" s="15">
        <v>45143</v>
      </c>
      <c r="G10" s="8">
        <v>110218</v>
      </c>
      <c r="H10" s="8" t="s">
        <v>61</v>
      </c>
      <c r="I10" t="str">
        <f>"CPA Recaudación Clientes CFSB 1126 "&amp;TEXT(F10,"dd-mm-yyy")&amp;" USD "&amp;TEXT(B6,"#.##0,00")&amp;" T/C "&amp;C6&amp;""</f>
        <v>CPA Recaudación Clientes CFSB 1126 05-08-2023 USD 0,00 T/C 853,99</v>
      </c>
      <c r="J10" s="16">
        <f>+D6</f>
        <v>0</v>
      </c>
      <c r="K10" s="17"/>
      <c r="O10" s="1">
        <v>45147</v>
      </c>
      <c r="P10" s="26" t="e">
        <f>HLOOKUP(O10,Hoja2!$R$2:$AV$35,34,FALSE)</f>
        <v>#N/A</v>
      </c>
      <c r="Q10" s="77" t="e">
        <f>HLOOKUP(O10,Hoja2!$R$2:$AV$36,35,FALSE)</f>
        <v>#N/A</v>
      </c>
      <c r="R10" s="26" t="e">
        <f>HLOOKUP(O10,Hoja2!$R$2:$AV$37,36,FALSE)</f>
        <v>#N/A</v>
      </c>
      <c r="S10" s="79" t="e">
        <f>HLOOKUP(O10,Hoja2!$R$2:$AV$38,37,FALSE)</f>
        <v>#N/A</v>
      </c>
      <c r="U10" s="9">
        <v>45143</v>
      </c>
      <c r="V10">
        <v>110285</v>
      </c>
      <c r="X10" t="e">
        <f>"CPA Rescate DLocal a CSFB 2475 " &amp;R6&amp;" USD T/C "&amp;Q6&amp;".- "&amp;TEXT($O6,"dd-mm-yyy")</f>
        <v>#N/A</v>
      </c>
      <c r="Y10" s="3" t="e">
        <f>+S6</f>
        <v>#N/A</v>
      </c>
      <c r="Z10" s="10"/>
      <c r="AD10" s="1">
        <v>45147</v>
      </c>
      <c r="AE10" s="26" t="e">
        <f>HLOOKUP(AD10,Hoja2!$R$2:$AV$35,34,FALSE)</f>
        <v>#N/A</v>
      </c>
      <c r="AF10" s="77" t="e">
        <f>HLOOKUP(AD10,Hoja2!$R$2:$AV$36,35,FALSE)</f>
        <v>#N/A</v>
      </c>
      <c r="AG10" s="26" t="e">
        <f>HLOOKUP(AD10,Hoja2!$R$2:$AV$37,36,FALSE)</f>
        <v>#N/A</v>
      </c>
      <c r="AH10" s="79" t="e">
        <f>HLOOKUP(AD10,Hoja2!$R$2:$AV$38,37,FALSE)</f>
        <v>#N/A</v>
      </c>
      <c r="AJ10" s="9">
        <v>45112</v>
      </c>
      <c r="AK10">
        <v>110285</v>
      </c>
      <c r="AM10" t="e">
        <f>"CPA Rescate DLocal a CSFB 2475 " &amp;AG6&amp;" USD T/C "&amp;AF6&amp;".- "&amp;TEXT($O10,"dd-mm-yyy")</f>
        <v>#N/A</v>
      </c>
      <c r="AN10" s="3" t="e">
        <f>+AH6</f>
        <v>#N/A</v>
      </c>
      <c r="AO10" s="10"/>
      <c r="AS10" s="1">
        <v>45147</v>
      </c>
      <c r="AT10" s="26" t="e">
        <f>HLOOKUP(AS10,Hoja2!$R$2:$AV$39,38,FALSE)</f>
        <v>#N/A</v>
      </c>
      <c r="AU10" s="77" t="e">
        <f>HLOOKUP(AS10,Hoja2!$R$2:$AV$40,39,FALSE)</f>
        <v>#N/A</v>
      </c>
      <c r="AV10" s="26" t="e">
        <f>HLOOKUP(AS10,Hoja2!$R$2:$AV$41,40,FALSE)</f>
        <v>#N/A</v>
      </c>
      <c r="AW10" s="79" t="e">
        <f>HLOOKUP(AS10,Hoja2!$R$2:$AV$42,41,FALSE)</f>
        <v>#N/A</v>
      </c>
      <c r="AY10" s="9">
        <v>45143</v>
      </c>
      <c r="AZ10" s="8">
        <v>110275</v>
      </c>
      <c r="BA10" s="8" t="s">
        <v>100</v>
      </c>
      <c r="BB10" t="e">
        <f>"CPA Fondeo CSFB 2475 a NIUM " &amp;AV6&amp;" USD T/C "&amp;AU6&amp;".- "&amp;TEXT(AS6,"dd-mm-yyy")</f>
        <v>#N/A</v>
      </c>
      <c r="BC10" s="3" t="e">
        <f>+AW6</f>
        <v>#N/A</v>
      </c>
      <c r="BD10" s="10"/>
    </row>
    <row r="11" spans="1:57" x14ac:dyDescent="0.25">
      <c r="A11" s="1">
        <v>45148</v>
      </c>
      <c r="B11" s="21">
        <v>0</v>
      </c>
      <c r="C11" s="77">
        <v>858.68</v>
      </c>
      <c r="D11" s="77">
        <f t="shared" si="0"/>
        <v>0</v>
      </c>
      <c r="E11" s="60"/>
      <c r="F11" s="20"/>
      <c r="G11">
        <v>211101</v>
      </c>
      <c r="H11" t="s">
        <v>18</v>
      </c>
      <c r="I11" s="12" t="str">
        <f t="shared" ref="I11" si="15">I10</f>
        <v>CPA Recaudación Clientes CFSB 1126 05-08-2023 USD 0,00 T/C 853,99</v>
      </c>
      <c r="K11" s="10">
        <f t="shared" ref="K11" si="16">J10</f>
        <v>0</v>
      </c>
      <c r="O11" s="1">
        <v>45148</v>
      </c>
      <c r="P11" s="26" t="e">
        <f>HLOOKUP(O11,Hoja2!$R$2:$AV$35,34,FALSE)</f>
        <v>#N/A</v>
      </c>
      <c r="Q11" s="77" t="e">
        <f>HLOOKUP(O11,Hoja2!$R$2:$AV$36,35,FALSE)</f>
        <v>#N/A</v>
      </c>
      <c r="R11" s="26" t="e">
        <f>HLOOKUP(O11,Hoja2!$R$2:$AV$37,36,FALSE)</f>
        <v>#N/A</v>
      </c>
      <c r="S11" s="79" t="e">
        <f>HLOOKUP(O11,Hoja2!$R$2:$AV$38,37,FALSE)</f>
        <v>#N/A</v>
      </c>
      <c r="U11" s="11"/>
      <c r="V11" s="12">
        <v>110276</v>
      </c>
      <c r="W11" s="12" t="s">
        <v>97</v>
      </c>
      <c r="X11" s="12" t="e">
        <f>+X10</f>
        <v>#N/A</v>
      </c>
      <c r="Y11" s="13"/>
      <c r="Z11" s="18" t="e">
        <f t="shared" si="8"/>
        <v>#N/A</v>
      </c>
      <c r="AD11" s="1">
        <v>45148</v>
      </c>
      <c r="AE11" s="26" t="e">
        <f>HLOOKUP(AD11,Hoja2!$R$2:$AV$35,34,FALSE)</f>
        <v>#N/A</v>
      </c>
      <c r="AF11" s="77" t="e">
        <f>HLOOKUP(AD11,Hoja2!$R$2:$AV$36,35,FALSE)</f>
        <v>#N/A</v>
      </c>
      <c r="AG11" s="26" t="e">
        <f>HLOOKUP(AD11,Hoja2!$R$2:$AV$37,36,FALSE)</f>
        <v>#N/A</v>
      </c>
      <c r="AH11" s="79" t="e">
        <f>HLOOKUP(AD11,Hoja2!$R$2:$AV$38,37,FALSE)</f>
        <v>#N/A</v>
      </c>
      <c r="AJ11" s="11"/>
      <c r="AK11" s="12">
        <v>110276</v>
      </c>
      <c r="AL11" s="12" t="s">
        <v>97</v>
      </c>
      <c r="AM11" s="12" t="e">
        <f>+AM10</f>
        <v>#N/A</v>
      </c>
      <c r="AN11" s="13"/>
      <c r="AO11" s="18" t="e">
        <f t="shared" ref="AO11" si="17">+AN10</f>
        <v>#N/A</v>
      </c>
      <c r="AS11" s="1">
        <v>45148</v>
      </c>
      <c r="AT11" s="26" t="e">
        <f>HLOOKUP(AS11,Hoja2!$R$2:$AV$39,38,FALSE)</f>
        <v>#N/A</v>
      </c>
      <c r="AU11" s="77" t="e">
        <f>HLOOKUP(AS11,Hoja2!$R$2:$AV$40,39,FALSE)</f>
        <v>#N/A</v>
      </c>
      <c r="AV11" s="26" t="e">
        <f>HLOOKUP(AS11,Hoja2!$R$2:$AV$41,40,FALSE)</f>
        <v>#N/A</v>
      </c>
      <c r="AW11" s="79" t="e">
        <f>HLOOKUP(AS11,Hoja2!$R$2:$AV$42,41,FALSE)</f>
        <v>#N/A</v>
      </c>
      <c r="AY11" s="11"/>
      <c r="AZ11" s="12">
        <v>110285</v>
      </c>
      <c r="BA11" s="12"/>
      <c r="BB11" s="12" t="e">
        <f>+BB10</f>
        <v>#N/A</v>
      </c>
      <c r="BC11" s="13"/>
      <c r="BD11" s="18" t="e">
        <f t="shared" ref="BD11" si="18">+BC10</f>
        <v>#N/A</v>
      </c>
    </row>
    <row r="12" spans="1:57" x14ac:dyDescent="0.25">
      <c r="A12" s="1">
        <v>45149</v>
      </c>
      <c r="B12" s="21">
        <v>1126.25</v>
      </c>
      <c r="C12" s="77">
        <v>851.7</v>
      </c>
      <c r="D12" s="77">
        <f t="shared" si="0"/>
        <v>959227</v>
      </c>
      <c r="E12" s="60"/>
      <c r="F12" s="15">
        <v>45144</v>
      </c>
      <c r="G12" s="8">
        <v>110218</v>
      </c>
      <c r="H12" s="8" t="s">
        <v>61</v>
      </c>
      <c r="I12" t="str">
        <f>"CPA Recaudación Clientes CFSB 1126 "&amp;TEXT(F12,"dd-mm-yyy")&amp;" USD "&amp;TEXT(B7,"#.##0")&amp;" T/C "&amp;C7&amp;""</f>
        <v>CPA Recaudación Clientes CFSB 1126 06-08-2023 USD 0 T/C 853,99</v>
      </c>
      <c r="J12" s="16">
        <f>+D7</f>
        <v>0</v>
      </c>
      <c r="K12" s="17"/>
      <c r="O12" s="1">
        <v>45149</v>
      </c>
      <c r="P12" s="26" t="e">
        <f>HLOOKUP(O12,Hoja2!$R$2:$AV$35,34,FALSE)</f>
        <v>#N/A</v>
      </c>
      <c r="Q12" s="77" t="e">
        <f>HLOOKUP(O12,Hoja2!$R$2:$AV$36,35,FALSE)</f>
        <v>#N/A</v>
      </c>
      <c r="R12" s="26" t="e">
        <f>HLOOKUP(O12,Hoja2!$R$2:$AV$37,36,FALSE)</f>
        <v>#N/A</v>
      </c>
      <c r="S12" s="79" t="e">
        <f>HLOOKUP(O12,Hoja2!$R$2:$AV$38,37,FALSE)</f>
        <v>#N/A</v>
      </c>
      <c r="U12" s="9">
        <v>45144</v>
      </c>
      <c r="V12">
        <v>110285</v>
      </c>
      <c r="X12" t="e">
        <f>"CPA Rescate DLocal a CSFB 2475 " &amp;R7&amp;" USD T/C "&amp;Q7&amp;".- "&amp;TEXT($O7,"dd-mm-yyy")</f>
        <v>#N/A</v>
      </c>
      <c r="Y12" s="3" t="e">
        <f>+S7</f>
        <v>#N/A</v>
      </c>
      <c r="Z12" s="10"/>
      <c r="AD12" s="1">
        <v>45149</v>
      </c>
      <c r="AE12" s="26" t="e">
        <f>HLOOKUP(AD12,Hoja2!$R$2:$AV$35,34,FALSE)</f>
        <v>#N/A</v>
      </c>
      <c r="AF12" s="77" t="e">
        <f>HLOOKUP(AD12,Hoja2!$R$2:$AV$36,35,FALSE)</f>
        <v>#N/A</v>
      </c>
      <c r="AG12" s="26" t="e">
        <f>HLOOKUP(AD12,Hoja2!$R$2:$AV$37,36,FALSE)</f>
        <v>#N/A</v>
      </c>
      <c r="AH12" s="79" t="e">
        <f>HLOOKUP(AD12,Hoja2!$R$2:$AV$38,37,FALSE)</f>
        <v>#N/A</v>
      </c>
      <c r="AJ12" s="9">
        <v>45113</v>
      </c>
      <c r="AK12">
        <v>110285</v>
      </c>
      <c r="AM12" t="e">
        <f>"CPA Rescate DLocal a CSFB 2475 " &amp;AG7&amp;" USD T/C "&amp;AF7&amp;".- "&amp;TEXT($O12,"dd-mm-yyy")</f>
        <v>#N/A</v>
      </c>
      <c r="AN12" s="3" t="e">
        <f>+AH7</f>
        <v>#N/A</v>
      </c>
      <c r="AO12" s="10"/>
      <c r="AS12" s="1">
        <v>45149</v>
      </c>
      <c r="AT12" s="26" t="e">
        <f>HLOOKUP(AS12,Hoja2!$R$2:$AV$39,38,FALSE)</f>
        <v>#N/A</v>
      </c>
      <c r="AU12" s="77" t="e">
        <f>HLOOKUP(AS12,Hoja2!$R$2:$AV$40,39,FALSE)</f>
        <v>#N/A</v>
      </c>
      <c r="AV12" s="26" t="e">
        <f>HLOOKUP(AS12,Hoja2!$R$2:$AV$41,40,FALSE)</f>
        <v>#N/A</v>
      </c>
      <c r="AW12" s="79" t="e">
        <f>HLOOKUP(AS12,Hoja2!$R$2:$AV$42,41,FALSE)</f>
        <v>#N/A</v>
      </c>
      <c r="AY12" s="9">
        <v>45144</v>
      </c>
      <c r="AZ12" s="8">
        <v>110275</v>
      </c>
      <c r="BA12" s="8" t="s">
        <v>100</v>
      </c>
      <c r="BB12" t="e">
        <f>"CPA Fondeo CSFB 2475 a NIUM " &amp;AV7&amp;" USD T/C "&amp;AU7&amp;".- "&amp;TEXT(AS7,"dd-mm-yyy")</f>
        <v>#N/A</v>
      </c>
      <c r="BC12" s="3" t="e">
        <f>+AW7</f>
        <v>#N/A</v>
      </c>
      <c r="BD12" s="10"/>
    </row>
    <row r="13" spans="1:57" x14ac:dyDescent="0.25">
      <c r="A13" s="1">
        <v>45150</v>
      </c>
      <c r="B13" s="21">
        <v>0</v>
      </c>
      <c r="C13" s="77">
        <v>851.7</v>
      </c>
      <c r="D13" s="77">
        <f t="shared" si="0"/>
        <v>0</v>
      </c>
      <c r="E13" s="60"/>
      <c r="F13" s="20"/>
      <c r="G13">
        <v>211101</v>
      </c>
      <c r="H13" t="s">
        <v>18</v>
      </c>
      <c r="I13" s="12" t="str">
        <f t="shared" ref="I13" si="19">I12</f>
        <v>CPA Recaudación Clientes CFSB 1126 06-08-2023 USD 0 T/C 853,99</v>
      </c>
      <c r="J13" s="3"/>
      <c r="K13" s="10">
        <f t="shared" ref="K13" si="20">J12</f>
        <v>0</v>
      </c>
      <c r="O13" s="1">
        <v>45150</v>
      </c>
      <c r="P13" s="26" t="e">
        <f>HLOOKUP(O13,Hoja2!$R$2:$AV$35,34,FALSE)</f>
        <v>#N/A</v>
      </c>
      <c r="Q13" s="77" t="e">
        <f>HLOOKUP(O13,Hoja2!$R$2:$AV$36,35,FALSE)</f>
        <v>#N/A</v>
      </c>
      <c r="R13" s="26" t="e">
        <f>HLOOKUP(O13,Hoja2!$R$2:$AV$37,36,FALSE)</f>
        <v>#N/A</v>
      </c>
      <c r="S13" s="79" t="e">
        <f>HLOOKUP(O13,Hoja2!$R$2:$AV$38,37,FALSE)</f>
        <v>#N/A</v>
      </c>
      <c r="T13" s="39"/>
      <c r="U13" s="11"/>
      <c r="V13" s="12">
        <v>110276</v>
      </c>
      <c r="W13" s="12" t="s">
        <v>97</v>
      </c>
      <c r="X13" s="12" t="e">
        <f>+X12</f>
        <v>#N/A</v>
      </c>
      <c r="Y13" s="13"/>
      <c r="Z13" s="18" t="e">
        <f t="shared" si="8"/>
        <v>#N/A</v>
      </c>
      <c r="AD13" s="1">
        <v>45150</v>
      </c>
      <c r="AE13" s="26" t="e">
        <f>HLOOKUP(AD13,Hoja2!$R$2:$AV$35,34,FALSE)</f>
        <v>#N/A</v>
      </c>
      <c r="AF13" s="77" t="e">
        <f>HLOOKUP(AD13,Hoja2!$R$2:$AV$36,35,FALSE)</f>
        <v>#N/A</v>
      </c>
      <c r="AG13" s="26" t="e">
        <f>HLOOKUP(AD13,Hoja2!$R$2:$AV$37,36,FALSE)</f>
        <v>#N/A</v>
      </c>
      <c r="AH13" s="79" t="e">
        <f>HLOOKUP(AD13,Hoja2!$R$2:$AV$38,37,FALSE)</f>
        <v>#N/A</v>
      </c>
      <c r="AI13" s="39"/>
      <c r="AJ13" s="11"/>
      <c r="AK13" s="12">
        <v>110276</v>
      </c>
      <c r="AL13" s="12" t="s">
        <v>97</v>
      </c>
      <c r="AM13" s="12" t="e">
        <f>+AM12</f>
        <v>#N/A</v>
      </c>
      <c r="AN13" s="13"/>
      <c r="AO13" s="18" t="e">
        <f t="shared" ref="AO13" si="21">+AN12</f>
        <v>#N/A</v>
      </c>
      <c r="AS13" s="1">
        <v>45150</v>
      </c>
      <c r="AT13" s="26" t="e">
        <f>HLOOKUP(AS13,Hoja2!$R$2:$AV$39,38,FALSE)</f>
        <v>#N/A</v>
      </c>
      <c r="AU13" s="77" t="e">
        <f>HLOOKUP(AS13,Hoja2!$R$2:$AV$40,39,FALSE)</f>
        <v>#N/A</v>
      </c>
      <c r="AV13" s="26" t="e">
        <f>HLOOKUP(AS13,Hoja2!$R$2:$AV$41,40,FALSE)</f>
        <v>#N/A</v>
      </c>
      <c r="AW13" s="79" t="e">
        <f>HLOOKUP(AS13,Hoja2!$R$2:$AV$42,41,FALSE)</f>
        <v>#N/A</v>
      </c>
      <c r="AX13" s="39"/>
      <c r="AY13" s="11"/>
      <c r="AZ13" s="12">
        <v>110285</v>
      </c>
      <c r="BA13" s="12"/>
      <c r="BB13" s="12" t="e">
        <f>+BB12</f>
        <v>#N/A</v>
      </c>
      <c r="BC13" s="13"/>
      <c r="BD13" s="18" t="e">
        <f t="shared" ref="BD13" si="22">+BC12</f>
        <v>#N/A</v>
      </c>
    </row>
    <row r="14" spans="1:57" x14ac:dyDescent="0.25">
      <c r="A14" s="1">
        <v>45151</v>
      </c>
      <c r="B14" s="21">
        <v>0</v>
      </c>
      <c r="C14" s="77">
        <v>851.7</v>
      </c>
      <c r="D14" s="77">
        <f t="shared" si="0"/>
        <v>0</v>
      </c>
      <c r="E14" s="60"/>
      <c r="F14" s="15">
        <v>45145</v>
      </c>
      <c r="G14" s="8">
        <v>110218</v>
      </c>
      <c r="H14" s="8" t="s">
        <v>61</v>
      </c>
      <c r="I14" t="str">
        <f>"CPA Recaudación Clientes CFSB 1126 "&amp;TEXT(F14,"dd-mm-yyy")&amp;" USD "&amp;TEXT(B8,"#.##0,00")&amp;" T/C "&amp;C8&amp;""</f>
        <v>CPA Recaudación Clientes CFSB 1126 07-08-2023 USD 9.499,00 T/C 848,5</v>
      </c>
      <c r="J14" s="16">
        <f>+D8</f>
        <v>8059902</v>
      </c>
      <c r="K14" s="17"/>
      <c r="O14" s="1">
        <v>45151</v>
      </c>
      <c r="P14" s="26" t="e">
        <f>HLOOKUP(O14,Hoja2!$R$2:$AV$35,34,FALSE)</f>
        <v>#N/A</v>
      </c>
      <c r="Q14" s="77" t="e">
        <f>HLOOKUP(O14,Hoja2!$R$2:$AV$36,35,FALSE)</f>
        <v>#N/A</v>
      </c>
      <c r="R14" s="26" t="e">
        <f>HLOOKUP(O14,Hoja2!$R$2:$AV$37,36,FALSE)</f>
        <v>#N/A</v>
      </c>
      <c r="S14" s="79" t="e">
        <f>HLOOKUP(O14,Hoja2!$R$2:$AV$38,37,FALSE)</f>
        <v>#N/A</v>
      </c>
      <c r="T14" s="21"/>
      <c r="U14" s="9">
        <v>45145</v>
      </c>
      <c r="V14">
        <v>110285</v>
      </c>
      <c r="X14" t="e">
        <f>"CPA Rescate DLocal a CSFB 2475 " &amp;R8&amp;" USD T/C "&amp;Q8&amp;".- "&amp;TEXT($O8,"dd-mm-yyy")</f>
        <v>#N/A</v>
      </c>
      <c r="Y14" s="3" t="e">
        <f>+S8</f>
        <v>#N/A</v>
      </c>
      <c r="Z14" s="10"/>
      <c r="AD14" s="1">
        <v>45151</v>
      </c>
      <c r="AE14" s="26" t="e">
        <f>HLOOKUP(AD14,Hoja2!$R$2:$AV$35,34,FALSE)</f>
        <v>#N/A</v>
      </c>
      <c r="AF14" s="77" t="e">
        <f>HLOOKUP(AD14,Hoja2!$R$2:$AV$36,35,FALSE)</f>
        <v>#N/A</v>
      </c>
      <c r="AG14" s="26" t="e">
        <f>HLOOKUP(AD14,Hoja2!$R$2:$AV$37,36,FALSE)</f>
        <v>#N/A</v>
      </c>
      <c r="AH14" s="79" t="e">
        <f>HLOOKUP(AD14,Hoja2!$R$2:$AV$38,37,FALSE)</f>
        <v>#N/A</v>
      </c>
      <c r="AI14" s="21"/>
      <c r="AJ14" s="9">
        <v>45114</v>
      </c>
      <c r="AK14">
        <v>110285</v>
      </c>
      <c r="AM14" t="e">
        <f>"CPA Rescate DLocal a CSFB 2475 " &amp;AG8&amp;" USD T/C "&amp;AF8&amp;".- "&amp;TEXT($O14,"dd-mm-yyy")</f>
        <v>#N/A</v>
      </c>
      <c r="AN14" s="3" t="e">
        <f>+AH8</f>
        <v>#N/A</v>
      </c>
      <c r="AO14" s="10"/>
      <c r="AS14" s="1">
        <v>45151</v>
      </c>
      <c r="AT14" s="26" t="e">
        <f>HLOOKUP(AS14,Hoja2!$R$2:$AV$39,38,FALSE)</f>
        <v>#N/A</v>
      </c>
      <c r="AU14" s="77" t="e">
        <f>HLOOKUP(AS14,Hoja2!$R$2:$AV$40,39,FALSE)</f>
        <v>#N/A</v>
      </c>
      <c r="AV14" s="26" t="e">
        <f>HLOOKUP(AS14,Hoja2!$R$2:$AV$41,40,FALSE)</f>
        <v>#N/A</v>
      </c>
      <c r="AW14" s="79" t="e">
        <f>HLOOKUP(AS14,Hoja2!$R$2:$AV$42,41,FALSE)</f>
        <v>#N/A</v>
      </c>
      <c r="AX14" s="21"/>
      <c r="AY14" s="9">
        <v>45145</v>
      </c>
      <c r="AZ14" s="8">
        <v>110275</v>
      </c>
      <c r="BA14" s="8" t="s">
        <v>100</v>
      </c>
      <c r="BB14" t="e">
        <f>"CPA Fondeo CSFB 2475 a NIUM " &amp;AV8&amp;" USD T/C "&amp;AU8&amp;".- "&amp;TEXT(AS8,"dd-mm-yyy")</f>
        <v>#N/A</v>
      </c>
      <c r="BC14" s="3" t="e">
        <f>+AW8</f>
        <v>#N/A</v>
      </c>
      <c r="BD14" s="10"/>
    </row>
    <row r="15" spans="1:57" x14ac:dyDescent="0.25">
      <c r="A15" s="1">
        <v>45152</v>
      </c>
      <c r="B15" s="21">
        <v>8000</v>
      </c>
      <c r="C15" s="77">
        <v>853.3</v>
      </c>
      <c r="D15" s="77">
        <f t="shared" si="0"/>
        <v>6826400</v>
      </c>
      <c r="E15" s="60"/>
      <c r="F15" s="20"/>
      <c r="G15">
        <v>211101</v>
      </c>
      <c r="H15" t="s">
        <v>18</v>
      </c>
      <c r="I15" s="12" t="str">
        <f t="shared" ref="I15" si="23">I14</f>
        <v>CPA Recaudación Clientes CFSB 1126 07-08-2023 USD 9.499,00 T/C 848,5</v>
      </c>
      <c r="J15" s="3"/>
      <c r="K15" s="10">
        <f t="shared" ref="K15" si="24">J14</f>
        <v>8059902</v>
      </c>
      <c r="O15" s="1">
        <v>45152</v>
      </c>
      <c r="P15" s="26" t="e">
        <f>HLOOKUP(O15,Hoja2!$R$2:$AV$35,34,FALSE)</f>
        <v>#N/A</v>
      </c>
      <c r="Q15" s="77" t="e">
        <f>HLOOKUP(O15,Hoja2!$R$2:$AV$36,35,FALSE)</f>
        <v>#N/A</v>
      </c>
      <c r="R15" s="26" t="e">
        <f>HLOOKUP(O15,Hoja2!$R$2:$AV$37,36,FALSE)</f>
        <v>#N/A</v>
      </c>
      <c r="S15" s="79" t="e">
        <f>HLOOKUP(O15,Hoja2!$R$2:$AV$38,37,FALSE)</f>
        <v>#N/A</v>
      </c>
      <c r="T15" s="40"/>
      <c r="U15" s="11"/>
      <c r="V15" s="12">
        <v>110276</v>
      </c>
      <c r="W15" s="12" t="s">
        <v>97</v>
      </c>
      <c r="X15" s="12" t="e">
        <f>+X14</f>
        <v>#N/A</v>
      </c>
      <c r="Y15" s="13"/>
      <c r="Z15" s="18" t="e">
        <f t="shared" si="8"/>
        <v>#N/A</v>
      </c>
      <c r="AD15" s="1">
        <v>45152</v>
      </c>
      <c r="AE15" s="26" t="e">
        <f>HLOOKUP(AD15,Hoja2!$R$2:$AV$35,34,FALSE)</f>
        <v>#N/A</v>
      </c>
      <c r="AF15" s="77" t="e">
        <f>HLOOKUP(AD15,Hoja2!$R$2:$AV$36,35,FALSE)</f>
        <v>#N/A</v>
      </c>
      <c r="AG15" s="26" t="e">
        <f>HLOOKUP(AD15,Hoja2!$R$2:$AV$37,36,FALSE)</f>
        <v>#N/A</v>
      </c>
      <c r="AH15" s="79" t="e">
        <f>HLOOKUP(AD15,Hoja2!$R$2:$AV$38,37,FALSE)</f>
        <v>#N/A</v>
      </c>
      <c r="AI15" s="40"/>
      <c r="AJ15" s="11"/>
      <c r="AK15" s="12">
        <v>110276</v>
      </c>
      <c r="AL15" s="12" t="s">
        <v>97</v>
      </c>
      <c r="AM15" s="12" t="e">
        <f>+AM14</f>
        <v>#N/A</v>
      </c>
      <c r="AN15" s="13"/>
      <c r="AO15" s="18" t="e">
        <f t="shared" ref="AO15" si="25">+AN14</f>
        <v>#N/A</v>
      </c>
      <c r="AS15" s="1">
        <v>45152</v>
      </c>
      <c r="AT15" s="26" t="e">
        <f>HLOOKUP(AS15,Hoja2!$R$2:$AV$39,38,FALSE)</f>
        <v>#N/A</v>
      </c>
      <c r="AU15" s="77" t="e">
        <f>HLOOKUP(AS15,Hoja2!$R$2:$AV$40,39,FALSE)</f>
        <v>#N/A</v>
      </c>
      <c r="AV15" s="26" t="e">
        <f>HLOOKUP(AS15,Hoja2!$R$2:$AV$41,40,FALSE)</f>
        <v>#N/A</v>
      </c>
      <c r="AW15" s="79" t="e">
        <f>HLOOKUP(AS15,Hoja2!$R$2:$AV$42,41,FALSE)</f>
        <v>#N/A</v>
      </c>
      <c r="AX15" s="40"/>
      <c r="AY15" s="11"/>
      <c r="AZ15" s="12">
        <v>110285</v>
      </c>
      <c r="BA15" s="12"/>
      <c r="BB15" s="12" t="e">
        <f>+BB14</f>
        <v>#N/A</v>
      </c>
      <c r="BC15" s="13"/>
      <c r="BD15" s="18" t="e">
        <f t="shared" ref="BD15" si="26">+BC14</f>
        <v>#N/A</v>
      </c>
    </row>
    <row r="16" spans="1:57" x14ac:dyDescent="0.25">
      <c r="A16" s="1">
        <v>45153</v>
      </c>
      <c r="B16" s="21">
        <v>958.79</v>
      </c>
      <c r="C16" s="77">
        <v>853.3</v>
      </c>
      <c r="D16" s="77">
        <f t="shared" si="0"/>
        <v>818136</v>
      </c>
      <c r="E16" s="60"/>
      <c r="F16" s="15">
        <v>45146</v>
      </c>
      <c r="G16" s="8">
        <v>110218</v>
      </c>
      <c r="H16" s="8" t="s">
        <v>61</v>
      </c>
      <c r="I16" t="str">
        <f>"CPA Recaudación Clientes CFSB 1126 "&amp;TEXT(F16,"dd-mm-yyy")&amp;" USD "&amp;TEXT(B9,"#.##0,00")&amp;" T/C "&amp;C9&amp;""</f>
        <v>CPA Recaudación Clientes CFSB 1126 08-08-2023 USD 1.115,31 T/C 856,1</v>
      </c>
      <c r="J16" s="16">
        <f>+D9</f>
        <v>954817</v>
      </c>
      <c r="K16" s="17"/>
      <c r="O16" s="1">
        <v>45153</v>
      </c>
      <c r="P16" s="26" t="e">
        <f>HLOOKUP(O16,Hoja2!$R$2:$AV$35,34,FALSE)</f>
        <v>#N/A</v>
      </c>
      <c r="Q16" s="77" t="e">
        <f>HLOOKUP(O16,Hoja2!$R$2:$AV$36,35,FALSE)</f>
        <v>#N/A</v>
      </c>
      <c r="R16" s="26" t="e">
        <f>HLOOKUP(O16,Hoja2!$R$2:$AV$37,36,FALSE)</f>
        <v>#N/A</v>
      </c>
      <c r="S16" s="79" t="e">
        <f>HLOOKUP(O16,Hoja2!$R$2:$AV$38,37,FALSE)</f>
        <v>#N/A</v>
      </c>
      <c r="T16" s="21"/>
      <c r="U16" s="9">
        <v>45146</v>
      </c>
      <c r="V16">
        <v>110285</v>
      </c>
      <c r="X16" t="e">
        <f>"CPA Rescate DLocal a CSFB 2475 " &amp;R9&amp;" USD T/C "&amp;Q9&amp;".- "&amp;TEXT($O9,"dd-mm-yyy")</f>
        <v>#N/A</v>
      </c>
      <c r="Y16" s="3" t="e">
        <f>+S9</f>
        <v>#N/A</v>
      </c>
      <c r="Z16" s="10"/>
      <c r="AD16" s="1">
        <v>45153</v>
      </c>
      <c r="AE16" s="26" t="e">
        <f>HLOOKUP(AD16,Hoja2!$R$2:$AV$35,34,FALSE)</f>
        <v>#N/A</v>
      </c>
      <c r="AF16" s="77" t="e">
        <f>HLOOKUP(AD16,Hoja2!$R$2:$AV$36,35,FALSE)</f>
        <v>#N/A</v>
      </c>
      <c r="AG16" s="26" t="e">
        <f>HLOOKUP(AD16,Hoja2!$R$2:$AV$37,36,FALSE)</f>
        <v>#N/A</v>
      </c>
      <c r="AH16" s="79" t="e">
        <f>HLOOKUP(AD16,Hoja2!$R$2:$AV$38,37,FALSE)</f>
        <v>#N/A</v>
      </c>
      <c r="AI16" s="21"/>
      <c r="AJ16" s="9">
        <v>45115</v>
      </c>
      <c r="AK16">
        <v>110285</v>
      </c>
      <c r="AM16" t="e">
        <f>"CPA Rescate DLocal a CSFB 2475 " &amp;AG9&amp;" USD T/C "&amp;AF9&amp;".- "&amp;TEXT($O16,"dd-mm-yyy")</f>
        <v>#N/A</v>
      </c>
      <c r="AN16" s="3" t="e">
        <f>+AH9</f>
        <v>#N/A</v>
      </c>
      <c r="AO16" s="10"/>
      <c r="AS16" s="1">
        <v>45153</v>
      </c>
      <c r="AT16" s="26" t="e">
        <f>HLOOKUP(AS16,Hoja2!$R$2:$AV$39,38,FALSE)</f>
        <v>#N/A</v>
      </c>
      <c r="AU16" s="77" t="e">
        <f>HLOOKUP(AS16,Hoja2!$R$2:$AV$40,39,FALSE)</f>
        <v>#N/A</v>
      </c>
      <c r="AV16" s="26" t="e">
        <f>HLOOKUP(AS16,Hoja2!$R$2:$AV$41,40,FALSE)</f>
        <v>#N/A</v>
      </c>
      <c r="AW16" s="79" t="e">
        <f>HLOOKUP(AS16,Hoja2!$R$2:$AV$42,41,FALSE)</f>
        <v>#N/A</v>
      </c>
      <c r="AX16" s="21"/>
      <c r="AY16" s="9">
        <v>45146</v>
      </c>
      <c r="AZ16" s="8">
        <v>110275</v>
      </c>
      <c r="BA16" s="8" t="s">
        <v>100</v>
      </c>
      <c r="BB16" t="e">
        <f>"CPA Fondeo CSFB 2475 a NIUM " &amp;AV9&amp;" USD T/C "&amp;AU9&amp;".- "&amp;TEXT(AS9,"dd-mm-yyy")</f>
        <v>#N/A</v>
      </c>
      <c r="BC16" s="3" t="e">
        <f>+AW9</f>
        <v>#N/A</v>
      </c>
      <c r="BD16" s="10"/>
    </row>
    <row r="17" spans="1:56" x14ac:dyDescent="0.25">
      <c r="A17" s="1">
        <v>45154</v>
      </c>
      <c r="B17" s="21">
        <v>4920</v>
      </c>
      <c r="C17" s="77">
        <v>859.03</v>
      </c>
      <c r="D17" s="77">
        <f t="shared" si="0"/>
        <v>4226428</v>
      </c>
      <c r="E17" s="60"/>
      <c r="F17" s="11"/>
      <c r="G17" s="12">
        <v>211101</v>
      </c>
      <c r="H17" s="12" t="s">
        <v>18</v>
      </c>
      <c r="I17" s="12" t="str">
        <f t="shared" ref="I17" si="27">I16</f>
        <v>CPA Recaudación Clientes CFSB 1126 08-08-2023 USD 1.115,31 T/C 856,1</v>
      </c>
      <c r="J17" s="13"/>
      <c r="K17" s="18">
        <f t="shared" ref="K17" si="28">J16</f>
        <v>954817</v>
      </c>
      <c r="O17" s="1">
        <v>45154</v>
      </c>
      <c r="P17" s="26" t="e">
        <f>HLOOKUP(O17,Hoja2!$R$2:$AV$35,34,FALSE)</f>
        <v>#N/A</v>
      </c>
      <c r="Q17" s="77" t="e">
        <f>HLOOKUP(O17,Hoja2!$R$2:$AV$36,35,FALSE)</f>
        <v>#N/A</v>
      </c>
      <c r="R17" s="26" t="e">
        <f>HLOOKUP(O17,Hoja2!$R$2:$AV$37,36,FALSE)</f>
        <v>#N/A</v>
      </c>
      <c r="S17" s="79" t="e">
        <f>HLOOKUP(O17,Hoja2!$R$2:$AV$38,37,FALSE)</f>
        <v>#N/A</v>
      </c>
      <c r="T17" s="21"/>
      <c r="U17" s="11"/>
      <c r="V17" s="12">
        <v>110276</v>
      </c>
      <c r="W17" s="12" t="s">
        <v>97</v>
      </c>
      <c r="X17" s="12" t="e">
        <f>+X16</f>
        <v>#N/A</v>
      </c>
      <c r="Y17" s="13"/>
      <c r="Z17" s="18" t="e">
        <f t="shared" si="8"/>
        <v>#N/A</v>
      </c>
      <c r="AD17" s="1">
        <v>45154</v>
      </c>
      <c r="AE17" s="26" t="e">
        <f>HLOOKUP(AD17,Hoja2!$R$2:$AV$35,34,FALSE)</f>
        <v>#N/A</v>
      </c>
      <c r="AF17" s="77" t="e">
        <f>HLOOKUP(AD17,Hoja2!$R$2:$AV$36,35,FALSE)</f>
        <v>#N/A</v>
      </c>
      <c r="AG17" s="26" t="e">
        <f>HLOOKUP(AD17,Hoja2!$R$2:$AV$37,36,FALSE)</f>
        <v>#N/A</v>
      </c>
      <c r="AH17" s="79" t="e">
        <f>HLOOKUP(AD17,Hoja2!$R$2:$AV$38,37,FALSE)</f>
        <v>#N/A</v>
      </c>
      <c r="AI17" s="21"/>
      <c r="AJ17" s="11"/>
      <c r="AK17" s="12">
        <v>110276</v>
      </c>
      <c r="AL17" s="12" t="s">
        <v>97</v>
      </c>
      <c r="AM17" s="12" t="e">
        <f>+AM16</f>
        <v>#N/A</v>
      </c>
      <c r="AN17" s="13"/>
      <c r="AO17" s="18" t="e">
        <f t="shared" ref="AO17" si="29">+AN16</f>
        <v>#N/A</v>
      </c>
      <c r="AS17" s="1">
        <v>45154</v>
      </c>
      <c r="AT17" s="26" t="e">
        <f>HLOOKUP(AS17,Hoja2!$R$2:$AV$39,38,FALSE)</f>
        <v>#N/A</v>
      </c>
      <c r="AU17" s="77" t="e">
        <f>HLOOKUP(AS17,Hoja2!$R$2:$AV$40,39,FALSE)</f>
        <v>#N/A</v>
      </c>
      <c r="AV17" s="26" t="e">
        <f>HLOOKUP(AS17,Hoja2!$R$2:$AV$41,40,FALSE)</f>
        <v>#N/A</v>
      </c>
      <c r="AW17" s="79" t="e">
        <f>HLOOKUP(AS17,Hoja2!$R$2:$AV$42,41,FALSE)</f>
        <v>#N/A</v>
      </c>
      <c r="AX17" s="21"/>
      <c r="AY17" s="11"/>
      <c r="AZ17" s="12">
        <v>110285</v>
      </c>
      <c r="BA17" s="12"/>
      <c r="BB17" s="12" t="e">
        <f>+BB16</f>
        <v>#N/A</v>
      </c>
      <c r="BC17" s="13"/>
      <c r="BD17" s="18" t="e">
        <f t="shared" ref="BD17" si="30">+BC16</f>
        <v>#N/A</v>
      </c>
    </row>
    <row r="18" spans="1:56" x14ac:dyDescent="0.25">
      <c r="A18" s="1">
        <v>45155</v>
      </c>
      <c r="B18" s="21">
        <v>650</v>
      </c>
      <c r="C18" s="77">
        <v>859.87</v>
      </c>
      <c r="D18" s="77">
        <f t="shared" si="0"/>
        <v>558916</v>
      </c>
      <c r="E18" s="60"/>
      <c r="F18" s="15">
        <v>45147</v>
      </c>
      <c r="G18" s="8">
        <v>110218</v>
      </c>
      <c r="H18" s="8" t="s">
        <v>61</v>
      </c>
      <c r="I18" t="str">
        <f>"CPA Recaudación Clientes CFSB 1126 "&amp;TEXT(F18,"dd-mm-yyy")&amp;" USD "&amp;TEXT(B10,"#.##0,00")&amp;" T/C "&amp;C10&amp;""</f>
        <v>CPA Recaudación Clientes CFSB 1126 09-08-2023 USD 0,00 T/C 863,22</v>
      </c>
      <c r="J18" s="16">
        <f>+D10</f>
        <v>0</v>
      </c>
      <c r="K18" s="17"/>
      <c r="O18" s="1">
        <v>45155</v>
      </c>
      <c r="P18" s="26" t="e">
        <f>HLOOKUP(O18,Hoja2!$R$2:$AV$35,34,FALSE)</f>
        <v>#N/A</v>
      </c>
      <c r="Q18" s="77" t="e">
        <f>HLOOKUP(O18,Hoja2!$R$2:$AV$36,35,FALSE)</f>
        <v>#N/A</v>
      </c>
      <c r="R18" s="26" t="e">
        <f>HLOOKUP(O18,Hoja2!$R$2:$AV$37,36,FALSE)</f>
        <v>#N/A</v>
      </c>
      <c r="S18" s="79" t="e">
        <f>HLOOKUP(O18,Hoja2!$R$2:$AV$38,37,FALSE)</f>
        <v>#N/A</v>
      </c>
      <c r="T18" s="21"/>
      <c r="U18" s="9">
        <v>45147</v>
      </c>
      <c r="V18">
        <v>110285</v>
      </c>
      <c r="X18" t="e">
        <f>"CPA Rescate DLocal a CSFB 2475 " &amp;R10&amp;" USD T/C "&amp;Q10&amp;".- "&amp;TEXT($O10,"dd-mm-yyy")</f>
        <v>#N/A</v>
      </c>
      <c r="Y18" s="3" t="e">
        <f>+S10</f>
        <v>#N/A</v>
      </c>
      <c r="Z18" s="10"/>
      <c r="AD18" s="1">
        <v>45155</v>
      </c>
      <c r="AE18" s="26" t="e">
        <f>HLOOKUP(AD18,Hoja2!$R$2:$AV$35,34,FALSE)</f>
        <v>#N/A</v>
      </c>
      <c r="AF18" s="77" t="e">
        <f>HLOOKUP(AD18,Hoja2!$R$2:$AV$36,35,FALSE)</f>
        <v>#N/A</v>
      </c>
      <c r="AG18" s="26" t="e">
        <f>HLOOKUP(AD18,Hoja2!$R$2:$AV$37,36,FALSE)</f>
        <v>#N/A</v>
      </c>
      <c r="AH18" s="79" t="e">
        <f>HLOOKUP(AD18,Hoja2!$R$2:$AV$38,37,FALSE)</f>
        <v>#N/A</v>
      </c>
      <c r="AI18" s="21"/>
      <c r="AJ18" s="9">
        <v>45116</v>
      </c>
      <c r="AK18">
        <v>110285</v>
      </c>
      <c r="AM18" t="e">
        <f>"CPA Rescate DLocal a CSFB 2475 " &amp;AG10&amp;" USD T/C "&amp;AF10&amp;".- "&amp;TEXT($O18,"dd-mm-yyy")</f>
        <v>#N/A</v>
      </c>
      <c r="AN18" s="3" t="e">
        <f>+AH10</f>
        <v>#N/A</v>
      </c>
      <c r="AO18" s="10"/>
      <c r="AS18" s="1">
        <v>45155</v>
      </c>
      <c r="AT18" s="26" t="e">
        <f>HLOOKUP(AS18,Hoja2!$R$2:$AV$39,38,FALSE)</f>
        <v>#N/A</v>
      </c>
      <c r="AU18" s="77" t="e">
        <f>HLOOKUP(AS18,Hoja2!$R$2:$AV$40,39,FALSE)</f>
        <v>#N/A</v>
      </c>
      <c r="AV18" s="26" t="e">
        <f>HLOOKUP(AS18,Hoja2!$R$2:$AV$41,40,FALSE)</f>
        <v>#N/A</v>
      </c>
      <c r="AW18" s="79" t="e">
        <f>HLOOKUP(AS18,Hoja2!$R$2:$AV$42,41,FALSE)</f>
        <v>#N/A</v>
      </c>
      <c r="AX18" s="21"/>
      <c r="AY18" s="9">
        <v>45147</v>
      </c>
      <c r="AZ18" s="8">
        <v>110275</v>
      </c>
      <c r="BA18" s="8" t="s">
        <v>100</v>
      </c>
      <c r="BB18" t="e">
        <f>"CPA Fondeo CSFB 2475 a NIUM " &amp;AV10&amp;" USD T/C "&amp;AU10&amp;".- "&amp;TEXT(AS10,"dd-mm-yyy")</f>
        <v>#N/A</v>
      </c>
      <c r="BC18" s="3" t="e">
        <f>+AW10</f>
        <v>#N/A</v>
      </c>
      <c r="BD18" s="10"/>
    </row>
    <row r="19" spans="1:56" x14ac:dyDescent="0.25">
      <c r="A19" s="1">
        <v>45156</v>
      </c>
      <c r="B19" s="21">
        <v>4338.3500000000004</v>
      </c>
      <c r="C19" s="77">
        <v>864.72</v>
      </c>
      <c r="D19" s="77">
        <f t="shared" si="0"/>
        <v>3751458</v>
      </c>
      <c r="E19" s="60"/>
      <c r="F19" s="11"/>
      <c r="G19" s="12">
        <v>211101</v>
      </c>
      <c r="H19" s="12" t="s">
        <v>18</v>
      </c>
      <c r="I19" s="12" t="str">
        <f t="shared" ref="I19" si="31">I18</f>
        <v>CPA Recaudación Clientes CFSB 1126 09-08-2023 USD 0,00 T/C 863,22</v>
      </c>
      <c r="J19" s="13"/>
      <c r="K19" s="18">
        <f t="shared" ref="K19" si="32">J18</f>
        <v>0</v>
      </c>
      <c r="O19" s="1">
        <v>45156</v>
      </c>
      <c r="P19" s="26" t="e">
        <f>HLOOKUP(O19,Hoja2!$R$2:$AV$35,34,FALSE)</f>
        <v>#N/A</v>
      </c>
      <c r="Q19" s="77" t="e">
        <f>HLOOKUP(O19,Hoja2!$R$2:$AV$36,35,FALSE)</f>
        <v>#N/A</v>
      </c>
      <c r="R19" s="26" t="e">
        <f>HLOOKUP(O19,Hoja2!$R$2:$AV$37,36,FALSE)</f>
        <v>#N/A</v>
      </c>
      <c r="S19" s="79" t="e">
        <f>HLOOKUP(O19,Hoja2!$R$2:$AV$38,37,FALSE)</f>
        <v>#N/A</v>
      </c>
      <c r="T19" s="21"/>
      <c r="U19" s="11"/>
      <c r="V19" s="12">
        <v>110276</v>
      </c>
      <c r="W19" s="12" t="s">
        <v>97</v>
      </c>
      <c r="X19" s="12" t="e">
        <f>+X18</f>
        <v>#N/A</v>
      </c>
      <c r="Y19" s="13"/>
      <c r="Z19" s="18" t="e">
        <f t="shared" si="8"/>
        <v>#N/A</v>
      </c>
      <c r="AD19" s="1">
        <v>45156</v>
      </c>
      <c r="AE19" s="26" t="e">
        <f>HLOOKUP(AD19,Hoja2!$R$2:$AV$35,34,FALSE)</f>
        <v>#N/A</v>
      </c>
      <c r="AF19" s="77" t="e">
        <f>HLOOKUP(AD19,Hoja2!$R$2:$AV$36,35,FALSE)</f>
        <v>#N/A</v>
      </c>
      <c r="AG19" s="26" t="e">
        <f>HLOOKUP(AD19,Hoja2!$R$2:$AV$37,36,FALSE)</f>
        <v>#N/A</v>
      </c>
      <c r="AH19" s="79" t="e">
        <f>HLOOKUP(AD19,Hoja2!$R$2:$AV$38,37,FALSE)</f>
        <v>#N/A</v>
      </c>
      <c r="AI19" s="21"/>
      <c r="AJ19" s="11"/>
      <c r="AK19" s="12">
        <v>110276</v>
      </c>
      <c r="AL19" s="12" t="s">
        <v>97</v>
      </c>
      <c r="AM19" s="12" t="e">
        <f>+AM18</f>
        <v>#N/A</v>
      </c>
      <c r="AN19" s="13"/>
      <c r="AO19" s="18" t="e">
        <f t="shared" ref="AO19" si="33">+AN18</f>
        <v>#N/A</v>
      </c>
      <c r="AS19" s="1">
        <v>45156</v>
      </c>
      <c r="AT19" s="26" t="e">
        <f>HLOOKUP(AS19,Hoja2!$R$2:$AV$39,38,FALSE)</f>
        <v>#N/A</v>
      </c>
      <c r="AU19" s="77" t="e">
        <f>HLOOKUP(AS19,Hoja2!$R$2:$AV$40,39,FALSE)</f>
        <v>#N/A</v>
      </c>
      <c r="AV19" s="26" t="e">
        <f>HLOOKUP(AS19,Hoja2!$R$2:$AV$41,40,FALSE)</f>
        <v>#N/A</v>
      </c>
      <c r="AW19" s="79" t="e">
        <f>HLOOKUP(AS19,Hoja2!$R$2:$AV$42,41,FALSE)</f>
        <v>#N/A</v>
      </c>
      <c r="AX19" s="21"/>
      <c r="AY19" s="11"/>
      <c r="AZ19" s="12">
        <v>110285</v>
      </c>
      <c r="BA19" s="12"/>
      <c r="BB19" s="12" t="e">
        <f>+BB18</f>
        <v>#N/A</v>
      </c>
      <c r="BC19" s="13"/>
      <c r="BD19" s="18" t="e">
        <f t="shared" ref="BD19" si="34">+BC18</f>
        <v>#N/A</v>
      </c>
    </row>
    <row r="20" spans="1:56" x14ac:dyDescent="0.25">
      <c r="A20" s="1">
        <v>45157</v>
      </c>
      <c r="B20" s="21">
        <v>0</v>
      </c>
      <c r="C20" s="77">
        <v>864.72</v>
      </c>
      <c r="D20" s="77">
        <f t="shared" si="0"/>
        <v>0</v>
      </c>
      <c r="E20" s="60"/>
      <c r="F20" s="15">
        <v>45148</v>
      </c>
      <c r="G20" s="8">
        <v>110218</v>
      </c>
      <c r="H20" s="8" t="s">
        <v>61</v>
      </c>
      <c r="I20" t="str">
        <f>"CPA Recaudación Clientes CFSB 1126 "&amp;TEXT(F20,"dd-mm-yyy")&amp;" USD "&amp;TEXT(B11,"#.##0")&amp;" T/C "&amp;C11&amp;""</f>
        <v>CPA Recaudación Clientes CFSB 1126 10-08-2023 USD 0 T/C 858,68</v>
      </c>
      <c r="J20" s="16">
        <f>+D11</f>
        <v>0</v>
      </c>
      <c r="K20" s="17"/>
      <c r="O20" s="1">
        <v>45157</v>
      </c>
      <c r="P20" s="26" t="e">
        <f>HLOOKUP(O20,Hoja2!$R$2:$AV$35,34,FALSE)</f>
        <v>#N/A</v>
      </c>
      <c r="Q20" s="77" t="e">
        <f>HLOOKUP(O20,Hoja2!$R$2:$AV$36,35,FALSE)</f>
        <v>#N/A</v>
      </c>
      <c r="R20" s="26" t="e">
        <f>HLOOKUP(O20,Hoja2!$R$2:$AV$37,36,FALSE)</f>
        <v>#N/A</v>
      </c>
      <c r="S20" s="79" t="e">
        <f>HLOOKUP(O20,Hoja2!$R$2:$AV$38,37,FALSE)</f>
        <v>#N/A</v>
      </c>
      <c r="T20" s="21"/>
      <c r="U20" s="9">
        <v>45148</v>
      </c>
      <c r="V20">
        <v>110285</v>
      </c>
      <c r="X20" t="e">
        <f>"CPA Rescate DLocal a CSFB 2475 " &amp;R11&amp;" USD T/C "&amp;Q11&amp;".- "&amp;TEXT($O11,"dd-mm-yyy")</f>
        <v>#N/A</v>
      </c>
      <c r="Y20" s="3" t="e">
        <f>+S11</f>
        <v>#N/A</v>
      </c>
      <c r="Z20" s="10"/>
      <c r="AD20" s="1">
        <v>45157</v>
      </c>
      <c r="AE20" s="26" t="e">
        <f>HLOOKUP(AD20,Hoja2!$R$2:$AV$35,34,FALSE)</f>
        <v>#N/A</v>
      </c>
      <c r="AF20" s="77" t="e">
        <f>HLOOKUP(AD20,Hoja2!$R$2:$AV$36,35,FALSE)</f>
        <v>#N/A</v>
      </c>
      <c r="AG20" s="26" t="e">
        <f>HLOOKUP(AD20,Hoja2!$R$2:$AV$37,36,FALSE)</f>
        <v>#N/A</v>
      </c>
      <c r="AH20" s="79" t="e">
        <f>HLOOKUP(AD20,Hoja2!$R$2:$AV$38,37,FALSE)</f>
        <v>#N/A</v>
      </c>
      <c r="AI20" s="21"/>
      <c r="AJ20" s="9">
        <v>45117</v>
      </c>
      <c r="AK20">
        <v>110285</v>
      </c>
      <c r="AM20" t="e">
        <f>"CPA Rescate DLocal a CSFB 2475 " &amp;AG11&amp;" USD T/C "&amp;AF11&amp;".- "&amp;TEXT($O20,"dd-mm-yyy")</f>
        <v>#N/A</v>
      </c>
      <c r="AN20" s="3" t="e">
        <f>+AH11</f>
        <v>#N/A</v>
      </c>
      <c r="AO20" s="10"/>
      <c r="AS20" s="1">
        <v>45157</v>
      </c>
      <c r="AT20" s="26" t="e">
        <f>HLOOKUP(AS20,Hoja2!$R$2:$AV$39,38,FALSE)</f>
        <v>#N/A</v>
      </c>
      <c r="AU20" s="77" t="e">
        <f>HLOOKUP(AS20,Hoja2!$R$2:$AV$40,39,FALSE)</f>
        <v>#N/A</v>
      </c>
      <c r="AV20" s="26" t="e">
        <f>HLOOKUP(AS20,Hoja2!$R$2:$AV$41,40,FALSE)</f>
        <v>#N/A</v>
      </c>
      <c r="AW20" s="79" t="e">
        <f>HLOOKUP(AS20,Hoja2!$R$2:$AV$42,41,FALSE)</f>
        <v>#N/A</v>
      </c>
      <c r="AX20" s="21"/>
      <c r="AY20" s="9">
        <v>45148</v>
      </c>
      <c r="AZ20" s="8">
        <v>110275</v>
      </c>
      <c r="BA20" s="8" t="s">
        <v>100</v>
      </c>
      <c r="BB20" t="e">
        <f>"CPA Fondeo CSFB 2475 a NIUM " &amp;AV11&amp;" USD T/C "&amp;AU11&amp;".- "&amp;TEXT(AS11,"dd-mm-yyy")</f>
        <v>#N/A</v>
      </c>
      <c r="BC20" s="3" t="e">
        <f>+AW11</f>
        <v>#N/A</v>
      </c>
      <c r="BD20" s="10"/>
    </row>
    <row r="21" spans="1:56" x14ac:dyDescent="0.25">
      <c r="A21" s="1">
        <v>45158</v>
      </c>
      <c r="B21" s="21">
        <v>0</v>
      </c>
      <c r="C21" s="77">
        <v>864.72</v>
      </c>
      <c r="D21" s="77">
        <f t="shared" si="0"/>
        <v>0</v>
      </c>
      <c r="E21" s="60"/>
      <c r="F21" s="9"/>
      <c r="G21">
        <v>211101</v>
      </c>
      <c r="H21" t="s">
        <v>18</v>
      </c>
      <c r="I21" s="12" t="str">
        <f t="shared" ref="I21" si="35">I20</f>
        <v>CPA Recaudación Clientes CFSB 1126 10-08-2023 USD 0 T/C 858,68</v>
      </c>
      <c r="J21" s="3"/>
      <c r="K21" s="10">
        <f t="shared" ref="K21" si="36">J20</f>
        <v>0</v>
      </c>
      <c r="O21" s="1">
        <v>45158</v>
      </c>
      <c r="P21" s="26" t="e">
        <f>HLOOKUP(O21,Hoja2!$R$2:$AV$35,34,FALSE)</f>
        <v>#N/A</v>
      </c>
      <c r="Q21" s="77" t="e">
        <f>HLOOKUP(O21,Hoja2!$R$2:$AV$36,35,FALSE)</f>
        <v>#N/A</v>
      </c>
      <c r="R21" s="26" t="e">
        <f>HLOOKUP(O21,Hoja2!$R$2:$AV$37,36,FALSE)</f>
        <v>#N/A</v>
      </c>
      <c r="S21" s="79" t="e">
        <f>HLOOKUP(O21,Hoja2!$R$2:$AV$38,37,FALSE)</f>
        <v>#N/A</v>
      </c>
      <c r="T21" s="21"/>
      <c r="U21" s="11"/>
      <c r="V21" s="12">
        <v>110276</v>
      </c>
      <c r="W21" s="12" t="s">
        <v>97</v>
      </c>
      <c r="X21" s="12" t="e">
        <f>+X20</f>
        <v>#N/A</v>
      </c>
      <c r="Y21" s="13"/>
      <c r="Z21" s="18" t="e">
        <f t="shared" si="8"/>
        <v>#N/A</v>
      </c>
      <c r="AD21" s="1">
        <v>45158</v>
      </c>
      <c r="AE21" s="26" t="e">
        <f>HLOOKUP(AD21,Hoja2!$R$2:$AV$35,34,FALSE)</f>
        <v>#N/A</v>
      </c>
      <c r="AF21" s="77" t="e">
        <f>HLOOKUP(AD21,Hoja2!$R$2:$AV$36,35,FALSE)</f>
        <v>#N/A</v>
      </c>
      <c r="AG21" s="26" t="e">
        <f>HLOOKUP(AD21,Hoja2!$R$2:$AV$37,36,FALSE)</f>
        <v>#N/A</v>
      </c>
      <c r="AH21" s="79" t="e">
        <f>HLOOKUP(AD21,Hoja2!$R$2:$AV$38,37,FALSE)</f>
        <v>#N/A</v>
      </c>
      <c r="AI21" s="21"/>
      <c r="AJ21" s="11"/>
      <c r="AK21" s="12">
        <v>110276</v>
      </c>
      <c r="AL21" s="12" t="s">
        <v>97</v>
      </c>
      <c r="AM21" s="12" t="e">
        <f>+AM20</f>
        <v>#N/A</v>
      </c>
      <c r="AN21" s="13"/>
      <c r="AO21" s="18" t="e">
        <f t="shared" ref="AO21" si="37">+AN20</f>
        <v>#N/A</v>
      </c>
      <c r="AS21" s="1">
        <v>45158</v>
      </c>
      <c r="AT21" s="26" t="e">
        <f>HLOOKUP(AS21,Hoja2!$R$2:$AV$39,38,FALSE)</f>
        <v>#N/A</v>
      </c>
      <c r="AU21" s="77" t="e">
        <f>HLOOKUP(AS21,Hoja2!$R$2:$AV$40,39,FALSE)</f>
        <v>#N/A</v>
      </c>
      <c r="AV21" s="26" t="e">
        <f>HLOOKUP(AS21,Hoja2!$R$2:$AV$41,40,FALSE)</f>
        <v>#N/A</v>
      </c>
      <c r="AW21" s="79" t="e">
        <f>HLOOKUP(AS21,Hoja2!$R$2:$AV$42,41,FALSE)</f>
        <v>#N/A</v>
      </c>
      <c r="AX21" s="21"/>
      <c r="AY21" s="11"/>
      <c r="AZ21" s="12">
        <v>110285</v>
      </c>
      <c r="BA21" s="12"/>
      <c r="BB21" s="12" t="e">
        <f>+BB20</f>
        <v>#N/A</v>
      </c>
      <c r="BC21" s="13"/>
      <c r="BD21" s="18" t="e">
        <f t="shared" ref="BD21" si="38">+BC20</f>
        <v>#N/A</v>
      </c>
    </row>
    <row r="22" spans="1:56" x14ac:dyDescent="0.25">
      <c r="A22" s="1">
        <v>45159</v>
      </c>
      <c r="B22" s="21">
        <v>26513</v>
      </c>
      <c r="C22" s="77">
        <v>867.95</v>
      </c>
      <c r="D22" s="77">
        <f t="shared" si="0"/>
        <v>23011958</v>
      </c>
      <c r="E22" s="60"/>
      <c r="F22" s="15">
        <v>45149</v>
      </c>
      <c r="G22" s="8">
        <v>110218</v>
      </c>
      <c r="H22" s="8" t="s">
        <v>61</v>
      </c>
      <c r="I22" t="str">
        <f>"CPA Recaudación Clientes CFSB 1126 "&amp;TEXT(F22,"dd-mm-yyy")&amp;" USD "&amp;TEXT(B12,"#.##0,00")&amp;" T/C "&amp;C12&amp;""</f>
        <v>CPA Recaudación Clientes CFSB 1126 11-08-2023 USD 1.126,25 T/C 851,7</v>
      </c>
      <c r="J22" s="16">
        <f>+D12</f>
        <v>959227</v>
      </c>
      <c r="K22" s="17"/>
      <c r="O22" s="1">
        <v>45159</v>
      </c>
      <c r="P22" s="26" t="e">
        <f>HLOOKUP(O22,Hoja2!$R$2:$AV$35,34,FALSE)</f>
        <v>#N/A</v>
      </c>
      <c r="Q22" s="77" t="e">
        <f>HLOOKUP(O22,Hoja2!$R$2:$AV$36,35,FALSE)</f>
        <v>#N/A</v>
      </c>
      <c r="R22" s="26" t="e">
        <f>HLOOKUP(O22,Hoja2!$R$2:$AV$37,36,FALSE)</f>
        <v>#N/A</v>
      </c>
      <c r="S22" s="79" t="e">
        <f>HLOOKUP(O22,Hoja2!$R$2:$AV$38,37,FALSE)</f>
        <v>#N/A</v>
      </c>
      <c r="T22" s="21"/>
      <c r="U22" s="9">
        <v>45149</v>
      </c>
      <c r="V22">
        <v>110285</v>
      </c>
      <c r="X22" t="e">
        <f>"CPA Rescate DLocal a CSFB 2475 " &amp;R12&amp;" USD T/C "&amp;Q12&amp;".- "&amp;TEXT($O12,"dd-mm-yyy")</f>
        <v>#N/A</v>
      </c>
      <c r="Y22" s="3" t="e">
        <f>+S12</f>
        <v>#N/A</v>
      </c>
      <c r="Z22" s="10"/>
      <c r="AD22" s="1">
        <v>45159</v>
      </c>
      <c r="AE22" s="26" t="e">
        <f>HLOOKUP(AD22,Hoja2!$R$2:$AV$35,34,FALSE)</f>
        <v>#N/A</v>
      </c>
      <c r="AF22" s="77" t="e">
        <f>HLOOKUP(AD22,Hoja2!$R$2:$AV$36,35,FALSE)</f>
        <v>#N/A</v>
      </c>
      <c r="AG22" s="26" t="e">
        <f>HLOOKUP(AD22,Hoja2!$R$2:$AV$37,36,FALSE)</f>
        <v>#N/A</v>
      </c>
      <c r="AH22" s="79" t="e">
        <f>HLOOKUP(AD22,Hoja2!$R$2:$AV$38,37,FALSE)</f>
        <v>#N/A</v>
      </c>
      <c r="AI22" s="21"/>
      <c r="AJ22" s="9">
        <v>45118</v>
      </c>
      <c r="AK22">
        <v>110285</v>
      </c>
      <c r="AM22" t="e">
        <f>"CPA Rescate DLocal a CSFB 2475 " &amp;AG12&amp;" USD T/C "&amp;AF12&amp;".- "&amp;TEXT($O22,"dd-mm-yyy")</f>
        <v>#N/A</v>
      </c>
      <c r="AN22" s="3" t="e">
        <f>+AH12</f>
        <v>#N/A</v>
      </c>
      <c r="AO22" s="10"/>
      <c r="AS22" s="1">
        <v>45159</v>
      </c>
      <c r="AT22" s="26" t="e">
        <f>HLOOKUP(AS22,Hoja2!$R$2:$AV$39,38,FALSE)</f>
        <v>#N/A</v>
      </c>
      <c r="AU22" s="77" t="e">
        <f>HLOOKUP(AS22,Hoja2!$R$2:$AV$40,39,FALSE)</f>
        <v>#N/A</v>
      </c>
      <c r="AV22" s="26" t="e">
        <f>HLOOKUP(AS22,Hoja2!$R$2:$AV$41,40,FALSE)</f>
        <v>#N/A</v>
      </c>
      <c r="AW22" s="79" t="e">
        <f>HLOOKUP(AS22,Hoja2!$R$2:$AV$42,41,FALSE)</f>
        <v>#N/A</v>
      </c>
      <c r="AX22" s="21"/>
      <c r="AY22" s="9">
        <v>45149</v>
      </c>
      <c r="AZ22" s="8">
        <v>110275</v>
      </c>
      <c r="BA22" s="8" t="s">
        <v>100</v>
      </c>
      <c r="BB22" t="e">
        <f>"CPA Fondeo CSFB 2475 a NIUM " &amp;AV12&amp;" USD T/C "&amp;AU12&amp;".- "&amp;TEXT(AS12,"dd-mm-yyy")</f>
        <v>#N/A</v>
      </c>
      <c r="BC22" s="3" t="e">
        <f>+AW12</f>
        <v>#N/A</v>
      </c>
      <c r="BD22" s="10"/>
    </row>
    <row r="23" spans="1:56" x14ac:dyDescent="0.25">
      <c r="A23" s="1">
        <v>45160</v>
      </c>
      <c r="B23" s="21">
        <v>5400</v>
      </c>
      <c r="C23" s="77">
        <v>869.51</v>
      </c>
      <c r="D23" s="77">
        <f t="shared" si="0"/>
        <v>4695354</v>
      </c>
      <c r="E23" s="60"/>
      <c r="F23" s="9"/>
      <c r="G23">
        <v>211101</v>
      </c>
      <c r="H23" t="s">
        <v>18</v>
      </c>
      <c r="I23" s="12" t="str">
        <f t="shared" ref="I23" si="39">I22</f>
        <v>CPA Recaudación Clientes CFSB 1126 11-08-2023 USD 1.126,25 T/C 851,7</v>
      </c>
      <c r="J23" s="3"/>
      <c r="K23" s="10">
        <f t="shared" ref="K23" si="40">J22</f>
        <v>959227</v>
      </c>
      <c r="O23" s="1">
        <v>45160</v>
      </c>
      <c r="P23" s="26" t="e">
        <f>HLOOKUP(O23,Hoja2!$R$2:$AV$35,34,FALSE)</f>
        <v>#N/A</v>
      </c>
      <c r="Q23" s="77" t="e">
        <f>HLOOKUP(O23,Hoja2!$R$2:$AV$36,35,FALSE)</f>
        <v>#N/A</v>
      </c>
      <c r="R23" s="26" t="e">
        <f>HLOOKUP(O23,Hoja2!$R$2:$AV$37,36,FALSE)</f>
        <v>#N/A</v>
      </c>
      <c r="S23" s="79" t="e">
        <f>HLOOKUP(O23,Hoja2!$R$2:$AV$38,37,FALSE)</f>
        <v>#N/A</v>
      </c>
      <c r="T23" s="21"/>
      <c r="U23" s="11"/>
      <c r="V23" s="12">
        <v>110276</v>
      </c>
      <c r="W23" s="12" t="s">
        <v>97</v>
      </c>
      <c r="X23" s="12" t="e">
        <f>+X22</f>
        <v>#N/A</v>
      </c>
      <c r="Y23" s="13"/>
      <c r="Z23" s="18" t="e">
        <f t="shared" si="8"/>
        <v>#N/A</v>
      </c>
      <c r="AD23" s="1">
        <v>45160</v>
      </c>
      <c r="AE23" s="26" t="e">
        <f>HLOOKUP(AD23,Hoja2!$R$2:$AV$35,34,FALSE)</f>
        <v>#N/A</v>
      </c>
      <c r="AF23" s="77" t="e">
        <f>HLOOKUP(AD23,Hoja2!$R$2:$AV$36,35,FALSE)</f>
        <v>#N/A</v>
      </c>
      <c r="AG23" s="26" t="e">
        <f>HLOOKUP(AD23,Hoja2!$R$2:$AV$37,36,FALSE)</f>
        <v>#N/A</v>
      </c>
      <c r="AH23" s="79" t="e">
        <f>HLOOKUP(AD23,Hoja2!$R$2:$AV$38,37,FALSE)</f>
        <v>#N/A</v>
      </c>
      <c r="AI23" s="21"/>
      <c r="AJ23" s="11"/>
      <c r="AK23" s="12">
        <v>110276</v>
      </c>
      <c r="AL23" s="12" t="s">
        <v>97</v>
      </c>
      <c r="AM23" s="12" t="e">
        <f>+AM22</f>
        <v>#N/A</v>
      </c>
      <c r="AN23" s="13"/>
      <c r="AO23" s="18" t="e">
        <f t="shared" ref="AO23" si="41">+AN22</f>
        <v>#N/A</v>
      </c>
      <c r="AS23" s="1">
        <v>45160</v>
      </c>
      <c r="AT23" s="26" t="e">
        <f>HLOOKUP(AS23,Hoja2!$R$2:$AV$39,38,FALSE)</f>
        <v>#N/A</v>
      </c>
      <c r="AU23" s="77" t="e">
        <f>HLOOKUP(AS23,Hoja2!$R$2:$AV$40,39,FALSE)</f>
        <v>#N/A</v>
      </c>
      <c r="AV23" s="26" t="e">
        <f>HLOOKUP(AS23,Hoja2!$R$2:$AV$41,40,FALSE)</f>
        <v>#N/A</v>
      </c>
      <c r="AW23" s="79" t="e">
        <f>HLOOKUP(AS23,Hoja2!$R$2:$AV$42,41,FALSE)</f>
        <v>#N/A</v>
      </c>
      <c r="AX23" s="21"/>
      <c r="AY23" s="11"/>
      <c r="AZ23" s="12">
        <v>110285</v>
      </c>
      <c r="BA23" s="12"/>
      <c r="BB23" s="12" t="e">
        <f>+BB22</f>
        <v>#N/A</v>
      </c>
      <c r="BC23" s="13"/>
      <c r="BD23" s="18" t="e">
        <f t="shared" ref="BD23" si="42">+BC22</f>
        <v>#N/A</v>
      </c>
    </row>
    <row r="24" spans="1:56" x14ac:dyDescent="0.25">
      <c r="A24" s="1">
        <v>45161</v>
      </c>
      <c r="B24" s="21">
        <v>800</v>
      </c>
      <c r="C24" s="77">
        <v>866.97</v>
      </c>
      <c r="D24" s="77">
        <f t="shared" si="0"/>
        <v>693576</v>
      </c>
      <c r="E24" s="60"/>
      <c r="F24" s="15">
        <v>45150</v>
      </c>
      <c r="G24" s="8">
        <v>110218</v>
      </c>
      <c r="H24" s="8" t="s">
        <v>61</v>
      </c>
      <c r="I24" t="str">
        <f>"CPA Recaudación Clientes CFSB 1126 "&amp;TEXT(F24,"dd-mm-yyy")&amp;" USD "&amp;TEXT(B13,"#.##0,00")&amp;" T/C "&amp;C13&amp;""</f>
        <v>CPA Recaudación Clientes CFSB 1126 12-08-2023 USD 0,00 T/C 851,7</v>
      </c>
      <c r="J24" s="16">
        <f>+D13</f>
        <v>0</v>
      </c>
      <c r="K24" s="17"/>
      <c r="O24" s="1">
        <v>45161</v>
      </c>
      <c r="P24" s="26" t="e">
        <f>HLOOKUP(O24,Hoja2!$R$2:$AV$35,34,FALSE)</f>
        <v>#N/A</v>
      </c>
      <c r="Q24" s="77" t="e">
        <f>HLOOKUP(O24,Hoja2!$R$2:$AV$36,35,FALSE)</f>
        <v>#N/A</v>
      </c>
      <c r="R24" s="26" t="e">
        <f>HLOOKUP(O24,Hoja2!$R$2:$AV$37,36,FALSE)</f>
        <v>#N/A</v>
      </c>
      <c r="S24" s="79" t="e">
        <f>HLOOKUP(O24,Hoja2!$R$2:$AV$38,37,FALSE)</f>
        <v>#N/A</v>
      </c>
      <c r="T24" s="21"/>
      <c r="U24" s="9">
        <v>45150</v>
      </c>
      <c r="V24">
        <v>110285</v>
      </c>
      <c r="X24" t="e">
        <f>"CPA Rescate DLocal a CSFB 2475 " &amp;R13&amp;" USD T/C "&amp;Q13&amp;".- "&amp;TEXT($O13,"dd-mm-yyy")</f>
        <v>#N/A</v>
      </c>
      <c r="Y24" s="3" t="e">
        <f>+S13</f>
        <v>#N/A</v>
      </c>
      <c r="Z24" s="10"/>
      <c r="AD24" s="1">
        <v>45161</v>
      </c>
      <c r="AE24" s="26" t="e">
        <f>HLOOKUP(AD24,Hoja2!$R$2:$AV$35,34,FALSE)</f>
        <v>#N/A</v>
      </c>
      <c r="AF24" s="77" t="e">
        <f>HLOOKUP(AD24,Hoja2!$R$2:$AV$36,35,FALSE)</f>
        <v>#N/A</v>
      </c>
      <c r="AG24" s="26" t="e">
        <f>HLOOKUP(AD24,Hoja2!$R$2:$AV$37,36,FALSE)</f>
        <v>#N/A</v>
      </c>
      <c r="AH24" s="79" t="e">
        <f>HLOOKUP(AD24,Hoja2!$R$2:$AV$38,37,FALSE)</f>
        <v>#N/A</v>
      </c>
      <c r="AI24" s="21"/>
      <c r="AJ24" s="9">
        <v>45119</v>
      </c>
      <c r="AK24">
        <v>110285</v>
      </c>
      <c r="AM24" t="e">
        <f>"CPA Rescate DLocal a CSFB 2475 " &amp;AG13&amp;" USD T/C "&amp;AF13&amp;".- "&amp;TEXT($O24,"dd-mm-yyy")</f>
        <v>#N/A</v>
      </c>
      <c r="AN24" s="3" t="e">
        <f>+AH13</f>
        <v>#N/A</v>
      </c>
      <c r="AO24" s="10"/>
      <c r="AS24" s="1">
        <v>45161</v>
      </c>
      <c r="AT24" s="26" t="e">
        <f>HLOOKUP(AS24,Hoja2!$R$2:$AV$39,38,FALSE)</f>
        <v>#N/A</v>
      </c>
      <c r="AU24" s="77" t="e">
        <f>HLOOKUP(AS24,Hoja2!$R$2:$AV$40,39,FALSE)</f>
        <v>#N/A</v>
      </c>
      <c r="AV24" s="26" t="e">
        <f>HLOOKUP(AS24,Hoja2!$R$2:$AV$41,40,FALSE)</f>
        <v>#N/A</v>
      </c>
      <c r="AW24" s="79" t="e">
        <f>HLOOKUP(AS24,Hoja2!$R$2:$AV$42,41,FALSE)</f>
        <v>#N/A</v>
      </c>
      <c r="AX24" s="21"/>
      <c r="AY24" s="9">
        <v>45150</v>
      </c>
      <c r="AZ24" s="8">
        <v>110275</v>
      </c>
      <c r="BA24" s="8" t="s">
        <v>100</v>
      </c>
      <c r="BB24" t="e">
        <f>"CPA Fondeo CSFB 2475 a NIUM " &amp;AV13&amp;" USD T/C "&amp;AU13&amp;".- "&amp;TEXT(AS13,"dd-mm-yyy")</f>
        <v>#N/A</v>
      </c>
      <c r="BC24" s="3" t="e">
        <f>+AW13</f>
        <v>#N/A</v>
      </c>
      <c r="BD24" s="10"/>
    </row>
    <row r="25" spans="1:56" x14ac:dyDescent="0.25">
      <c r="A25" s="1">
        <v>45162</v>
      </c>
      <c r="B25" s="21">
        <v>3000</v>
      </c>
      <c r="C25" s="77">
        <v>860.97</v>
      </c>
      <c r="D25" s="77">
        <f t="shared" si="0"/>
        <v>2582910</v>
      </c>
      <c r="E25" s="60"/>
      <c r="F25" s="9"/>
      <c r="G25">
        <v>211101</v>
      </c>
      <c r="H25" t="s">
        <v>18</v>
      </c>
      <c r="I25" s="12" t="str">
        <f t="shared" ref="I25" si="43">I24</f>
        <v>CPA Recaudación Clientes CFSB 1126 12-08-2023 USD 0,00 T/C 851,7</v>
      </c>
      <c r="J25" s="3"/>
      <c r="K25" s="10">
        <f t="shared" ref="K25" si="44">J24</f>
        <v>0</v>
      </c>
      <c r="O25" s="1">
        <v>45162</v>
      </c>
      <c r="P25" s="26" t="e">
        <f>HLOOKUP(O25,Hoja2!$R$2:$AV$35,34,FALSE)</f>
        <v>#N/A</v>
      </c>
      <c r="Q25" s="77" t="e">
        <f>HLOOKUP(O25,Hoja2!$R$2:$AV$36,35,FALSE)</f>
        <v>#N/A</v>
      </c>
      <c r="R25" s="26" t="e">
        <f>HLOOKUP(O25,Hoja2!$R$2:$AV$37,36,FALSE)</f>
        <v>#N/A</v>
      </c>
      <c r="S25" s="79" t="e">
        <f>HLOOKUP(O25,Hoja2!$R$2:$AV$38,37,FALSE)</f>
        <v>#N/A</v>
      </c>
      <c r="T25" s="21"/>
      <c r="U25" s="11"/>
      <c r="V25" s="12">
        <v>110276</v>
      </c>
      <c r="W25" s="12" t="s">
        <v>97</v>
      </c>
      <c r="X25" s="12" t="e">
        <f>+X24</f>
        <v>#N/A</v>
      </c>
      <c r="Y25" s="13"/>
      <c r="Z25" s="18" t="e">
        <f t="shared" si="8"/>
        <v>#N/A</v>
      </c>
      <c r="AD25" s="1">
        <v>45162</v>
      </c>
      <c r="AE25" s="26" t="e">
        <f>HLOOKUP(AD25,Hoja2!$R$2:$AV$35,34,FALSE)</f>
        <v>#N/A</v>
      </c>
      <c r="AF25" s="77" t="e">
        <f>HLOOKUP(AD25,Hoja2!$R$2:$AV$36,35,FALSE)</f>
        <v>#N/A</v>
      </c>
      <c r="AG25" s="26" t="e">
        <f>HLOOKUP(AD25,Hoja2!$R$2:$AV$37,36,FALSE)</f>
        <v>#N/A</v>
      </c>
      <c r="AH25" s="79" t="e">
        <f>HLOOKUP(AD25,Hoja2!$R$2:$AV$38,37,FALSE)</f>
        <v>#N/A</v>
      </c>
      <c r="AI25" s="21"/>
      <c r="AJ25" s="11"/>
      <c r="AK25" s="12">
        <v>110276</v>
      </c>
      <c r="AL25" s="12" t="s">
        <v>97</v>
      </c>
      <c r="AM25" s="12" t="e">
        <f>+AM24</f>
        <v>#N/A</v>
      </c>
      <c r="AN25" s="13"/>
      <c r="AO25" s="18" t="e">
        <f t="shared" ref="AO25" si="45">+AN24</f>
        <v>#N/A</v>
      </c>
      <c r="AS25" s="1">
        <v>45162</v>
      </c>
      <c r="AT25" s="26" t="e">
        <f>HLOOKUP(AS25,Hoja2!$R$2:$AV$39,38,FALSE)</f>
        <v>#N/A</v>
      </c>
      <c r="AU25" s="77" t="e">
        <f>HLOOKUP(AS25,Hoja2!$R$2:$AV$40,39,FALSE)</f>
        <v>#N/A</v>
      </c>
      <c r="AV25" s="26" t="e">
        <f>HLOOKUP(AS25,Hoja2!$R$2:$AV$41,40,FALSE)</f>
        <v>#N/A</v>
      </c>
      <c r="AW25" s="79" t="e">
        <f>HLOOKUP(AS25,Hoja2!$R$2:$AV$42,41,FALSE)</f>
        <v>#N/A</v>
      </c>
      <c r="AX25" s="21"/>
      <c r="AY25" s="11"/>
      <c r="AZ25" s="12">
        <v>110285</v>
      </c>
      <c r="BA25" s="12"/>
      <c r="BB25" s="12" t="e">
        <f>+BB24</f>
        <v>#N/A</v>
      </c>
      <c r="BC25" s="13"/>
      <c r="BD25" s="18" t="e">
        <f t="shared" ref="BD25" si="46">+BC24</f>
        <v>#N/A</v>
      </c>
    </row>
    <row r="26" spans="1:56" x14ac:dyDescent="0.25">
      <c r="A26" s="1">
        <v>45163</v>
      </c>
      <c r="B26" s="21">
        <v>4500</v>
      </c>
      <c r="C26" s="77">
        <v>854.77</v>
      </c>
      <c r="D26" s="77">
        <f t="shared" si="0"/>
        <v>3846465</v>
      </c>
      <c r="E26" s="60"/>
      <c r="F26" s="15">
        <v>45151</v>
      </c>
      <c r="G26" s="8">
        <v>110218</v>
      </c>
      <c r="H26" s="8" t="s">
        <v>61</v>
      </c>
      <c r="I26" t="str">
        <f>"CPA Recaudación Clientes CFSB 1126 "&amp;TEXT(F26,"dd-mm-yyy")&amp;" USD "&amp;TEXT(B14,"#.##0")&amp;" T/C "&amp;C14&amp;""</f>
        <v>CPA Recaudación Clientes CFSB 1126 13-08-2023 USD 0 T/C 851,7</v>
      </c>
      <c r="J26" s="16">
        <f>+D14</f>
        <v>0</v>
      </c>
      <c r="K26" s="17"/>
      <c r="O26" s="1">
        <v>45163</v>
      </c>
      <c r="P26" s="26" t="e">
        <f>HLOOKUP(O26,Hoja2!$R$2:$AV$35,34,FALSE)</f>
        <v>#N/A</v>
      </c>
      <c r="Q26" s="77" t="e">
        <f>HLOOKUP(O26,Hoja2!$R$2:$AV$36,35,FALSE)</f>
        <v>#N/A</v>
      </c>
      <c r="R26" s="26" t="e">
        <f>HLOOKUP(O26,Hoja2!$R$2:$AV$37,36,FALSE)</f>
        <v>#N/A</v>
      </c>
      <c r="S26" s="79" t="e">
        <f>HLOOKUP(O26,Hoja2!$R$2:$AV$38,37,FALSE)</f>
        <v>#N/A</v>
      </c>
      <c r="T26" s="21"/>
      <c r="U26" s="9">
        <v>45151</v>
      </c>
      <c r="V26">
        <v>110285</v>
      </c>
      <c r="X26" t="e">
        <f>"CPA Rescate DLocal a CSFB 2475 " &amp;R14&amp;" USD T/C "&amp;Q14&amp;".- "&amp;TEXT($O14,"dd-mm-yyy")</f>
        <v>#N/A</v>
      </c>
      <c r="Y26" s="3" t="e">
        <f>+S14</f>
        <v>#N/A</v>
      </c>
      <c r="Z26" s="10"/>
      <c r="AD26" s="1">
        <v>45163</v>
      </c>
      <c r="AE26" s="26" t="e">
        <f>HLOOKUP(AD26,Hoja2!$R$2:$AV$35,34,FALSE)</f>
        <v>#N/A</v>
      </c>
      <c r="AF26" s="77" t="e">
        <f>HLOOKUP(AD26,Hoja2!$R$2:$AV$36,35,FALSE)</f>
        <v>#N/A</v>
      </c>
      <c r="AG26" s="26" t="e">
        <f>HLOOKUP(AD26,Hoja2!$R$2:$AV$37,36,FALSE)</f>
        <v>#N/A</v>
      </c>
      <c r="AH26" s="79" t="e">
        <f>HLOOKUP(AD26,Hoja2!$R$2:$AV$38,37,FALSE)</f>
        <v>#N/A</v>
      </c>
      <c r="AI26" s="21"/>
      <c r="AJ26" s="9">
        <v>45120</v>
      </c>
      <c r="AK26">
        <v>110285</v>
      </c>
      <c r="AM26" t="e">
        <f>"CPA Rescate DLocal a CSFB 2475 " &amp;AG14&amp;" USD T/C "&amp;AF14&amp;".- "&amp;TEXT($O26,"dd-mm-yyy")</f>
        <v>#N/A</v>
      </c>
      <c r="AN26" s="3" t="e">
        <f>+AH14</f>
        <v>#N/A</v>
      </c>
      <c r="AO26" s="10"/>
      <c r="AS26" s="1">
        <v>45163</v>
      </c>
      <c r="AT26" s="26" t="e">
        <f>HLOOKUP(AS26,Hoja2!$R$2:$AV$39,38,FALSE)</f>
        <v>#N/A</v>
      </c>
      <c r="AU26" s="77" t="e">
        <f>HLOOKUP(AS26,Hoja2!$R$2:$AV$40,39,FALSE)</f>
        <v>#N/A</v>
      </c>
      <c r="AV26" s="26" t="e">
        <f>HLOOKUP(AS26,Hoja2!$R$2:$AV$41,40,FALSE)</f>
        <v>#N/A</v>
      </c>
      <c r="AW26" s="79" t="e">
        <f>HLOOKUP(AS26,Hoja2!$R$2:$AV$42,41,FALSE)</f>
        <v>#N/A</v>
      </c>
      <c r="AX26" s="21"/>
      <c r="AY26" s="9">
        <v>45151</v>
      </c>
      <c r="AZ26" s="8">
        <v>110275</v>
      </c>
      <c r="BA26" s="8" t="s">
        <v>100</v>
      </c>
      <c r="BB26" t="e">
        <f>"CPA Fondeo CSFB 2475 a NIUM " &amp;AV14&amp;" USD T/C "&amp;AU14&amp;".- "&amp;TEXT(AS14,"dd-mm-yyy")</f>
        <v>#N/A</v>
      </c>
      <c r="BC26" s="3" t="e">
        <f>+AW14</f>
        <v>#N/A</v>
      </c>
      <c r="BD26" s="10"/>
    </row>
    <row r="27" spans="1:56" x14ac:dyDescent="0.25">
      <c r="A27" s="1">
        <v>45164</v>
      </c>
      <c r="B27" s="21">
        <v>0</v>
      </c>
      <c r="C27" s="77">
        <v>854.77</v>
      </c>
      <c r="D27" s="77">
        <f t="shared" si="0"/>
        <v>0</v>
      </c>
      <c r="E27" s="60"/>
      <c r="F27" s="9"/>
      <c r="G27">
        <v>211101</v>
      </c>
      <c r="H27" t="s">
        <v>18</v>
      </c>
      <c r="I27" s="12" t="str">
        <f t="shared" ref="I27" si="47">I26</f>
        <v>CPA Recaudación Clientes CFSB 1126 13-08-2023 USD 0 T/C 851,7</v>
      </c>
      <c r="J27" s="3"/>
      <c r="K27" s="10">
        <f t="shared" ref="K27" si="48">J26</f>
        <v>0</v>
      </c>
      <c r="O27" s="1">
        <v>45164</v>
      </c>
      <c r="P27" s="26" t="e">
        <f>HLOOKUP(O27,Hoja2!$R$2:$AV$35,34,FALSE)</f>
        <v>#N/A</v>
      </c>
      <c r="Q27" s="77" t="e">
        <f>HLOOKUP(O27,Hoja2!$R$2:$AV$36,35,FALSE)</f>
        <v>#N/A</v>
      </c>
      <c r="R27" s="26" t="e">
        <f>HLOOKUP(O27,Hoja2!$R$2:$AV$37,36,FALSE)</f>
        <v>#N/A</v>
      </c>
      <c r="S27" s="79" t="e">
        <f>HLOOKUP(O27,Hoja2!$R$2:$AV$38,37,FALSE)</f>
        <v>#N/A</v>
      </c>
      <c r="T27" s="21"/>
      <c r="U27" s="11"/>
      <c r="V27" s="12">
        <v>110276</v>
      </c>
      <c r="W27" s="12" t="s">
        <v>97</v>
      </c>
      <c r="X27" s="12" t="e">
        <f>+X26</f>
        <v>#N/A</v>
      </c>
      <c r="Y27" s="13"/>
      <c r="Z27" s="18" t="e">
        <f t="shared" si="8"/>
        <v>#N/A</v>
      </c>
      <c r="AD27" s="1">
        <v>45164</v>
      </c>
      <c r="AE27" s="26" t="e">
        <f>HLOOKUP(AD27,Hoja2!$R$2:$AV$35,34,FALSE)</f>
        <v>#N/A</v>
      </c>
      <c r="AF27" s="77" t="e">
        <f>HLOOKUP(AD27,Hoja2!$R$2:$AV$36,35,FALSE)</f>
        <v>#N/A</v>
      </c>
      <c r="AG27" s="26" t="e">
        <f>HLOOKUP(AD27,Hoja2!$R$2:$AV$37,36,FALSE)</f>
        <v>#N/A</v>
      </c>
      <c r="AH27" s="79" t="e">
        <f>HLOOKUP(AD27,Hoja2!$R$2:$AV$38,37,FALSE)</f>
        <v>#N/A</v>
      </c>
      <c r="AI27" s="21"/>
      <c r="AJ27" s="11"/>
      <c r="AK27" s="12">
        <v>110276</v>
      </c>
      <c r="AL27" s="12" t="s">
        <v>97</v>
      </c>
      <c r="AM27" s="12" t="e">
        <f>+AM26</f>
        <v>#N/A</v>
      </c>
      <c r="AN27" s="13"/>
      <c r="AO27" s="18" t="e">
        <f t="shared" ref="AO27" si="49">+AN26</f>
        <v>#N/A</v>
      </c>
      <c r="AS27" s="1">
        <v>45164</v>
      </c>
      <c r="AT27" s="26" t="e">
        <f>HLOOKUP(AS27,Hoja2!$R$2:$AV$39,38,FALSE)</f>
        <v>#N/A</v>
      </c>
      <c r="AU27" s="77" t="e">
        <f>HLOOKUP(AS27,Hoja2!$R$2:$AV$40,39,FALSE)</f>
        <v>#N/A</v>
      </c>
      <c r="AV27" s="26" t="e">
        <f>HLOOKUP(AS27,Hoja2!$R$2:$AV$41,40,FALSE)</f>
        <v>#N/A</v>
      </c>
      <c r="AW27" s="79" t="e">
        <f>HLOOKUP(AS27,Hoja2!$R$2:$AV$42,41,FALSE)</f>
        <v>#N/A</v>
      </c>
      <c r="AX27" s="21"/>
      <c r="AY27" s="11"/>
      <c r="AZ27" s="12">
        <v>110285</v>
      </c>
      <c r="BA27" s="12"/>
      <c r="BB27" s="12" t="e">
        <f>+BB26</f>
        <v>#N/A</v>
      </c>
      <c r="BC27" s="13"/>
      <c r="BD27" s="18" t="e">
        <f t="shared" ref="BD27" si="50">+BC26</f>
        <v>#N/A</v>
      </c>
    </row>
    <row r="28" spans="1:56" x14ac:dyDescent="0.25">
      <c r="A28" s="1">
        <v>45165</v>
      </c>
      <c r="B28" s="21">
        <v>0</v>
      </c>
      <c r="C28" s="77">
        <v>854.77</v>
      </c>
      <c r="D28" s="77">
        <f t="shared" si="0"/>
        <v>0</v>
      </c>
      <c r="E28" s="60"/>
      <c r="F28" s="15">
        <v>45152</v>
      </c>
      <c r="G28" s="8">
        <v>110218</v>
      </c>
      <c r="H28" s="8" t="s">
        <v>61</v>
      </c>
      <c r="I28" t="str">
        <f>"CPA Recaudación Clientes CFSB 1126 "&amp;TEXT(F28,"dd-mm-yyy")&amp;" USD "&amp;TEXT(B15,"#.##0")&amp;" T/C "&amp;C15&amp;""</f>
        <v>CPA Recaudación Clientes CFSB 1126 14-08-2023 USD 8.000 T/C 853,3</v>
      </c>
      <c r="J28" s="16">
        <f>+D15</f>
        <v>6826400</v>
      </c>
      <c r="K28" s="17"/>
      <c r="O28" s="1">
        <v>45165</v>
      </c>
      <c r="P28" s="26" t="e">
        <f>HLOOKUP(O28,Hoja2!$R$2:$AV$35,34,FALSE)</f>
        <v>#N/A</v>
      </c>
      <c r="Q28" s="77" t="e">
        <f>HLOOKUP(O28,Hoja2!$R$2:$AV$36,35,FALSE)</f>
        <v>#N/A</v>
      </c>
      <c r="R28" s="26" t="e">
        <f>HLOOKUP(O28,Hoja2!$R$2:$AV$37,36,FALSE)</f>
        <v>#N/A</v>
      </c>
      <c r="S28" s="79" t="e">
        <f>HLOOKUP(O28,Hoja2!$R$2:$AV$38,37,FALSE)</f>
        <v>#N/A</v>
      </c>
      <c r="U28" s="9">
        <v>45152</v>
      </c>
      <c r="V28">
        <v>110285</v>
      </c>
      <c r="X28" t="e">
        <f>"CPA Rescate DLocal a CSFB 2475 " &amp;R15&amp;" USD T/C "&amp;Q15&amp;".- "&amp;TEXT($O15,"dd-mm-yyy")</f>
        <v>#N/A</v>
      </c>
      <c r="Y28" s="3" t="e">
        <f>+S15</f>
        <v>#N/A</v>
      </c>
      <c r="Z28" s="10"/>
      <c r="AD28" s="1">
        <v>45165</v>
      </c>
      <c r="AE28" s="26" t="e">
        <f>HLOOKUP(AD28,Hoja2!$R$2:$AV$35,34,FALSE)</f>
        <v>#N/A</v>
      </c>
      <c r="AF28" s="77" t="e">
        <f>HLOOKUP(AD28,Hoja2!$R$2:$AV$36,35,FALSE)</f>
        <v>#N/A</v>
      </c>
      <c r="AG28" s="26" t="e">
        <f>HLOOKUP(AD28,Hoja2!$R$2:$AV$37,36,FALSE)</f>
        <v>#N/A</v>
      </c>
      <c r="AH28" s="79" t="e">
        <f>HLOOKUP(AD28,Hoja2!$R$2:$AV$38,37,FALSE)</f>
        <v>#N/A</v>
      </c>
      <c r="AJ28" s="9">
        <v>45121</v>
      </c>
      <c r="AK28">
        <v>110285</v>
      </c>
      <c r="AM28" t="e">
        <f>"CPA Rescate DLocal a CSFB 2475 " &amp;AG15&amp;" USD T/C "&amp;AF15&amp;".- "&amp;TEXT($O28,"dd-mm-yyy")</f>
        <v>#N/A</v>
      </c>
      <c r="AN28" s="3" t="e">
        <f>+AH15</f>
        <v>#N/A</v>
      </c>
      <c r="AO28" s="10"/>
      <c r="AS28" s="1">
        <v>45165</v>
      </c>
      <c r="AT28" s="26" t="e">
        <f>HLOOKUP(AS28,Hoja2!$R$2:$AV$39,38,FALSE)</f>
        <v>#N/A</v>
      </c>
      <c r="AU28" s="77" t="e">
        <f>HLOOKUP(AS28,Hoja2!$R$2:$AV$40,39,FALSE)</f>
        <v>#N/A</v>
      </c>
      <c r="AV28" s="26" t="e">
        <f>HLOOKUP(AS28,Hoja2!$R$2:$AV$41,40,FALSE)</f>
        <v>#N/A</v>
      </c>
      <c r="AW28" s="79" t="e">
        <f>HLOOKUP(AS28,Hoja2!$R$2:$AV$42,41,FALSE)</f>
        <v>#N/A</v>
      </c>
      <c r="AY28" s="9">
        <v>45152</v>
      </c>
      <c r="AZ28" s="8">
        <v>110275</v>
      </c>
      <c r="BA28" s="8" t="s">
        <v>100</v>
      </c>
      <c r="BB28" t="e">
        <f>"CPA Fondeo CSFB 2475 a NIUM " &amp;AV15&amp;" USD T/C "&amp;AU15&amp;".- "&amp;TEXT(AS15,"dd-mm-yyy")</f>
        <v>#N/A</v>
      </c>
      <c r="BC28" s="3" t="e">
        <f>+AW15</f>
        <v>#N/A</v>
      </c>
      <c r="BD28" s="10"/>
    </row>
    <row r="29" spans="1:56" x14ac:dyDescent="0.25">
      <c r="A29" s="1">
        <v>45166</v>
      </c>
      <c r="B29" s="21">
        <v>63.16</v>
      </c>
      <c r="C29" s="77">
        <v>843.08</v>
      </c>
      <c r="D29" s="77">
        <f t="shared" si="0"/>
        <v>53249</v>
      </c>
      <c r="E29" s="60"/>
      <c r="F29" s="9"/>
      <c r="G29">
        <v>211101</v>
      </c>
      <c r="H29" t="s">
        <v>18</v>
      </c>
      <c r="I29" s="12" t="str">
        <f t="shared" ref="I29" si="51">I28</f>
        <v>CPA Recaudación Clientes CFSB 1126 14-08-2023 USD 8.000 T/C 853,3</v>
      </c>
      <c r="J29" s="3"/>
      <c r="K29" s="10">
        <f t="shared" ref="K29" si="52">J28</f>
        <v>6826400</v>
      </c>
      <c r="O29" s="1">
        <v>45166</v>
      </c>
      <c r="P29" s="26" t="e">
        <f>HLOOKUP(O29,Hoja2!$R$2:$AV$35,34,FALSE)</f>
        <v>#N/A</v>
      </c>
      <c r="Q29" s="77" t="e">
        <f>HLOOKUP(O29,Hoja2!$R$2:$AV$36,35,FALSE)</f>
        <v>#N/A</v>
      </c>
      <c r="R29" s="26" t="e">
        <f>HLOOKUP(O29,Hoja2!$R$2:$AV$37,36,FALSE)</f>
        <v>#N/A</v>
      </c>
      <c r="S29" s="79" t="e">
        <f>HLOOKUP(O29,Hoja2!$R$2:$AV$38,37,FALSE)</f>
        <v>#N/A</v>
      </c>
      <c r="T29" s="39"/>
      <c r="U29" s="11"/>
      <c r="V29" s="12">
        <v>110276</v>
      </c>
      <c r="W29" s="12" t="s">
        <v>97</v>
      </c>
      <c r="X29" s="12" t="e">
        <f>+X28</f>
        <v>#N/A</v>
      </c>
      <c r="Y29" s="13"/>
      <c r="Z29" s="18" t="e">
        <f t="shared" si="8"/>
        <v>#N/A</v>
      </c>
      <c r="AD29" s="1">
        <v>45166</v>
      </c>
      <c r="AE29" s="26" t="e">
        <f>HLOOKUP(AD29,Hoja2!$R$2:$AV$35,34,FALSE)</f>
        <v>#N/A</v>
      </c>
      <c r="AF29" s="77" t="e">
        <f>HLOOKUP(AD29,Hoja2!$R$2:$AV$36,35,FALSE)</f>
        <v>#N/A</v>
      </c>
      <c r="AG29" s="26" t="e">
        <f>HLOOKUP(AD29,Hoja2!$R$2:$AV$37,36,FALSE)</f>
        <v>#N/A</v>
      </c>
      <c r="AH29" s="79" t="e">
        <f>HLOOKUP(AD29,Hoja2!$R$2:$AV$38,37,FALSE)</f>
        <v>#N/A</v>
      </c>
      <c r="AI29" s="39"/>
      <c r="AJ29" s="11"/>
      <c r="AK29" s="12">
        <v>110276</v>
      </c>
      <c r="AL29" s="12" t="s">
        <v>97</v>
      </c>
      <c r="AM29" s="12" t="e">
        <f>+AM28</f>
        <v>#N/A</v>
      </c>
      <c r="AN29" s="13"/>
      <c r="AO29" s="18" t="e">
        <f t="shared" ref="AO29" si="53">+AN28</f>
        <v>#N/A</v>
      </c>
      <c r="AS29" s="1">
        <v>45166</v>
      </c>
      <c r="AT29" s="26" t="e">
        <f>HLOOKUP(AS29,Hoja2!$R$2:$AV$39,38,FALSE)</f>
        <v>#N/A</v>
      </c>
      <c r="AU29" s="77" t="e">
        <f>HLOOKUP(AS29,Hoja2!$R$2:$AV$40,39,FALSE)</f>
        <v>#N/A</v>
      </c>
      <c r="AV29" s="26" t="e">
        <f>HLOOKUP(AS29,Hoja2!$R$2:$AV$41,40,FALSE)</f>
        <v>#N/A</v>
      </c>
      <c r="AW29" s="79" t="e">
        <f>HLOOKUP(AS29,Hoja2!$R$2:$AV$42,41,FALSE)</f>
        <v>#N/A</v>
      </c>
      <c r="AX29" s="39"/>
      <c r="AY29" s="11"/>
      <c r="AZ29" s="12">
        <v>110285</v>
      </c>
      <c r="BA29" s="12"/>
      <c r="BB29" s="12" t="e">
        <f>+BB28</f>
        <v>#N/A</v>
      </c>
      <c r="BC29" s="13"/>
      <c r="BD29" s="18" t="e">
        <f t="shared" ref="BD29" si="54">+BC28</f>
        <v>#N/A</v>
      </c>
    </row>
    <row r="30" spans="1:56" x14ac:dyDescent="0.25">
      <c r="A30" s="1">
        <v>45167</v>
      </c>
      <c r="B30" s="21">
        <v>1600</v>
      </c>
      <c r="C30" s="77">
        <v>848.86</v>
      </c>
      <c r="D30" s="77">
        <f t="shared" si="0"/>
        <v>1358176</v>
      </c>
      <c r="E30" s="60"/>
      <c r="F30" s="15">
        <v>45153</v>
      </c>
      <c r="G30" s="8">
        <v>110218</v>
      </c>
      <c r="H30" s="8" t="s">
        <v>61</v>
      </c>
      <c r="I30" t="str">
        <f>"CPA Recaudación Clientes CFSB 1126 "&amp;TEXT(F30,"dd-mm-yyy")&amp;" USD "&amp;TEXT(B16,"#.##0,00")&amp;" T/C "&amp;C16&amp;""</f>
        <v>CPA Recaudación Clientes CFSB 1126 15-08-2023 USD 958,79 T/C 853,3</v>
      </c>
      <c r="J30" s="16">
        <f>+D16</f>
        <v>818136</v>
      </c>
      <c r="K30" s="17"/>
      <c r="O30" s="1">
        <v>45167</v>
      </c>
      <c r="P30" s="26" t="e">
        <f>HLOOKUP(O30,Hoja2!$R$2:$AV$35,34,FALSE)</f>
        <v>#N/A</v>
      </c>
      <c r="Q30" s="77" t="e">
        <f>HLOOKUP(O30,Hoja2!$R$2:$AV$36,35,FALSE)</f>
        <v>#N/A</v>
      </c>
      <c r="R30" s="26" t="e">
        <f>HLOOKUP(O30,Hoja2!$R$2:$AV$37,36,FALSE)</f>
        <v>#N/A</v>
      </c>
      <c r="S30" s="79" t="e">
        <f>HLOOKUP(O30,Hoja2!$R$2:$AV$38,37,FALSE)</f>
        <v>#N/A</v>
      </c>
      <c r="U30" s="9">
        <v>45153</v>
      </c>
      <c r="V30">
        <v>110285</v>
      </c>
      <c r="X30" t="e">
        <f>"CPA Rescate DLocal a CSFB 2475 " &amp;R16&amp;" USD T/C "&amp;Q16&amp;".- "&amp;TEXT($O16,"dd-mm-yyy")</f>
        <v>#N/A</v>
      </c>
      <c r="Y30" s="3" t="e">
        <f>+S16</f>
        <v>#N/A</v>
      </c>
      <c r="Z30" s="10"/>
      <c r="AD30" s="1">
        <v>45167</v>
      </c>
      <c r="AE30" s="26" t="e">
        <f>HLOOKUP(AD30,Hoja2!$R$2:$AV$35,34,FALSE)</f>
        <v>#N/A</v>
      </c>
      <c r="AF30" s="77" t="e">
        <f>HLOOKUP(AD30,Hoja2!$R$2:$AV$36,35,FALSE)</f>
        <v>#N/A</v>
      </c>
      <c r="AG30" s="26" t="e">
        <f>HLOOKUP(AD30,Hoja2!$R$2:$AV$37,36,FALSE)</f>
        <v>#N/A</v>
      </c>
      <c r="AH30" s="79" t="e">
        <f>HLOOKUP(AD30,Hoja2!$R$2:$AV$38,37,FALSE)</f>
        <v>#N/A</v>
      </c>
      <c r="AJ30" s="9">
        <v>45122</v>
      </c>
      <c r="AK30">
        <v>110285</v>
      </c>
      <c r="AM30" t="e">
        <f>"CPA Rescate DLocal a CSFB 2475 " &amp;AG16&amp;" USD T/C "&amp;AF16&amp;".- "&amp;TEXT($O30,"dd-mm-yyy")</f>
        <v>#N/A</v>
      </c>
      <c r="AN30" s="3" t="e">
        <f>+AH16</f>
        <v>#N/A</v>
      </c>
      <c r="AO30" s="10"/>
      <c r="AS30" s="1">
        <v>45167</v>
      </c>
      <c r="AT30" s="26" t="e">
        <f>HLOOKUP(AS30,Hoja2!$R$2:$AV$39,38,FALSE)</f>
        <v>#N/A</v>
      </c>
      <c r="AU30" s="77" t="e">
        <f>HLOOKUP(AS30,Hoja2!$R$2:$AV$40,39,FALSE)</f>
        <v>#N/A</v>
      </c>
      <c r="AV30" s="26" t="e">
        <f>HLOOKUP(AS30,Hoja2!$R$2:$AV$41,40,FALSE)</f>
        <v>#N/A</v>
      </c>
      <c r="AW30" s="79" t="e">
        <f>HLOOKUP(AS30,Hoja2!$R$2:$AV$42,41,FALSE)</f>
        <v>#N/A</v>
      </c>
      <c r="AY30" s="9">
        <v>45153</v>
      </c>
      <c r="AZ30" s="8">
        <v>110275</v>
      </c>
      <c r="BA30" s="8" t="s">
        <v>100</v>
      </c>
      <c r="BB30" t="e">
        <f>"CPA Fondeo CSFB 2475 a NIUM " &amp;AV16&amp;" USD T/C "&amp;AU16&amp;".- "&amp;TEXT(AS16,"dd-mm-yyy")</f>
        <v>#N/A</v>
      </c>
      <c r="BC30" s="3" t="e">
        <f>+AW16</f>
        <v>#N/A</v>
      </c>
      <c r="BD30" s="10"/>
    </row>
    <row r="31" spans="1:56" x14ac:dyDescent="0.25">
      <c r="A31" s="1">
        <v>45168</v>
      </c>
      <c r="B31" s="21">
        <v>0</v>
      </c>
      <c r="C31" s="77">
        <v>857.59</v>
      </c>
      <c r="D31" s="77">
        <f t="shared" si="0"/>
        <v>0</v>
      </c>
      <c r="E31" s="60"/>
      <c r="F31" s="11"/>
      <c r="G31" s="12">
        <v>211101</v>
      </c>
      <c r="H31" s="12" t="s">
        <v>18</v>
      </c>
      <c r="I31" s="12" t="str">
        <f t="shared" ref="I31" si="55">I30</f>
        <v>CPA Recaudación Clientes CFSB 1126 15-08-2023 USD 958,79 T/C 853,3</v>
      </c>
      <c r="J31" s="13"/>
      <c r="K31" s="18">
        <f t="shared" ref="K31" si="56">J30</f>
        <v>818136</v>
      </c>
      <c r="O31" s="1">
        <v>45168</v>
      </c>
      <c r="P31" s="26" t="e">
        <f>HLOOKUP(O31,Hoja2!$R$2:$AV$35,34,FALSE)</f>
        <v>#N/A</v>
      </c>
      <c r="Q31" s="77" t="e">
        <f>HLOOKUP(O31,Hoja2!$R$2:$AV$36,35,FALSE)</f>
        <v>#N/A</v>
      </c>
      <c r="R31" s="26" t="e">
        <f>HLOOKUP(O31,Hoja2!$R$2:$AV$37,36,FALSE)</f>
        <v>#N/A</v>
      </c>
      <c r="S31" s="79" t="e">
        <f>HLOOKUP(O31,Hoja2!$R$2:$AV$38,37,FALSE)</f>
        <v>#N/A</v>
      </c>
      <c r="U31" s="11"/>
      <c r="V31" s="12">
        <v>110276</v>
      </c>
      <c r="W31" s="12" t="s">
        <v>97</v>
      </c>
      <c r="X31" s="12" t="e">
        <f>+X30</f>
        <v>#N/A</v>
      </c>
      <c r="Y31" s="13"/>
      <c r="Z31" s="18" t="e">
        <f t="shared" si="8"/>
        <v>#N/A</v>
      </c>
      <c r="AD31" s="1">
        <v>45168</v>
      </c>
      <c r="AE31" s="26" t="e">
        <f>HLOOKUP(AD31,Hoja2!$R$2:$AV$35,34,FALSE)</f>
        <v>#N/A</v>
      </c>
      <c r="AF31" s="77" t="e">
        <f>HLOOKUP(AD31,Hoja2!$R$2:$AV$36,35,FALSE)</f>
        <v>#N/A</v>
      </c>
      <c r="AG31" s="26" t="e">
        <f>HLOOKUP(AD31,Hoja2!$R$2:$AV$37,36,FALSE)</f>
        <v>#N/A</v>
      </c>
      <c r="AH31" s="79" t="e">
        <f>HLOOKUP(AD31,Hoja2!$R$2:$AV$38,37,FALSE)</f>
        <v>#N/A</v>
      </c>
      <c r="AJ31" s="11"/>
      <c r="AK31" s="12">
        <v>110276</v>
      </c>
      <c r="AL31" s="12" t="s">
        <v>97</v>
      </c>
      <c r="AM31" s="12" t="e">
        <f>+AM30</f>
        <v>#N/A</v>
      </c>
      <c r="AN31" s="13"/>
      <c r="AO31" s="18" t="e">
        <f t="shared" ref="AO31" si="57">+AN30</f>
        <v>#N/A</v>
      </c>
      <c r="AS31" s="1">
        <v>45168</v>
      </c>
      <c r="AT31" s="26" t="e">
        <f>HLOOKUP(AS31,Hoja2!$R$2:$AV$39,38,FALSE)</f>
        <v>#N/A</v>
      </c>
      <c r="AU31" s="77" t="e">
        <f>HLOOKUP(AS31,Hoja2!$R$2:$AV$40,39,FALSE)</f>
        <v>#N/A</v>
      </c>
      <c r="AV31" s="26" t="e">
        <f>HLOOKUP(AS31,Hoja2!$R$2:$AV$41,40,FALSE)</f>
        <v>#N/A</v>
      </c>
      <c r="AW31" s="79" t="e">
        <f>HLOOKUP(AS31,Hoja2!$R$2:$AV$42,41,FALSE)</f>
        <v>#N/A</v>
      </c>
      <c r="AY31" s="11"/>
      <c r="AZ31" s="12">
        <v>110285</v>
      </c>
      <c r="BA31" s="12"/>
      <c r="BB31" s="12" t="e">
        <f>+BB30</f>
        <v>#N/A</v>
      </c>
      <c r="BC31" s="13"/>
      <c r="BD31" s="18" t="e">
        <f t="shared" ref="BD31" si="58">+BC30</f>
        <v>#N/A</v>
      </c>
    </row>
    <row r="32" spans="1:56" x14ac:dyDescent="0.25">
      <c r="A32" s="1">
        <v>45169</v>
      </c>
      <c r="B32" s="21">
        <v>2460.5500000000002</v>
      </c>
      <c r="C32" s="77">
        <v>854.22</v>
      </c>
      <c r="D32" s="77">
        <f t="shared" si="0"/>
        <v>2101851</v>
      </c>
      <c r="E32" s="60"/>
      <c r="F32" s="15">
        <v>45154</v>
      </c>
      <c r="G32" s="8">
        <v>110218</v>
      </c>
      <c r="H32" s="8" t="s">
        <v>61</v>
      </c>
      <c r="I32" t="str">
        <f>"CPA Recaudación Clientes CFSB 1126 "&amp;TEXT(F32,"dd-mm-yyy")&amp;" USD "&amp;TEXT(B17,"#.##0,00")&amp;" T/C "&amp;C17&amp;""</f>
        <v>CPA Recaudación Clientes CFSB 1126 16-08-2023 USD 4.920,00 T/C 859,03</v>
      </c>
      <c r="J32" s="16">
        <f>+D17</f>
        <v>4226428</v>
      </c>
      <c r="K32" s="17"/>
      <c r="O32" s="1">
        <v>45169</v>
      </c>
      <c r="P32" s="26" t="e">
        <f>HLOOKUP(O32,Hoja2!$R$2:$AV$35,34,FALSE)</f>
        <v>#N/A</v>
      </c>
      <c r="Q32" s="77" t="e">
        <f>HLOOKUP(O32,Hoja2!$R$2:$AV$36,35,FALSE)</f>
        <v>#N/A</v>
      </c>
      <c r="R32" s="26" t="e">
        <f>HLOOKUP(O32,Hoja2!$R$2:$AV$37,36,FALSE)</f>
        <v>#N/A</v>
      </c>
      <c r="S32" s="79" t="e">
        <f>HLOOKUP(O32,Hoja2!$R$2:$AV$38,37,FALSE)</f>
        <v>#N/A</v>
      </c>
      <c r="U32" s="9">
        <v>45154</v>
      </c>
      <c r="V32">
        <v>110285</v>
      </c>
      <c r="X32" t="e">
        <f>"CPA Rescate DLocal a CSFB 2475 " &amp;R17&amp;" USD T/C "&amp;Q17&amp;".- "&amp;TEXT($O17,"dd-mm-yyy")</f>
        <v>#N/A</v>
      </c>
      <c r="Y32" s="3" t="e">
        <f>+S17</f>
        <v>#N/A</v>
      </c>
      <c r="Z32" s="10"/>
      <c r="AD32" s="1">
        <v>45169</v>
      </c>
      <c r="AE32" s="26" t="e">
        <f>HLOOKUP(AD32,Hoja2!$R$2:$AV$35,34,FALSE)</f>
        <v>#N/A</v>
      </c>
      <c r="AF32" s="77" t="e">
        <f>HLOOKUP(AD32,Hoja2!$R$2:$AV$36,35,FALSE)</f>
        <v>#N/A</v>
      </c>
      <c r="AG32" s="26" t="e">
        <f>HLOOKUP(AD32,Hoja2!$R$2:$AV$37,36,FALSE)</f>
        <v>#N/A</v>
      </c>
      <c r="AH32" s="79" t="e">
        <f>HLOOKUP(AD32,Hoja2!$R$2:$AV$38,37,FALSE)</f>
        <v>#N/A</v>
      </c>
      <c r="AJ32" s="9">
        <v>45123</v>
      </c>
      <c r="AK32">
        <v>110285</v>
      </c>
      <c r="AM32" t="e">
        <f>"CPA Rescate DLocal a CSFB 2475 " &amp;AG17&amp;" USD T/C "&amp;AF17&amp;".- "&amp;TEXT($O32,"dd-mm-yyy")</f>
        <v>#N/A</v>
      </c>
      <c r="AN32" s="3" t="e">
        <f>+AH17</f>
        <v>#N/A</v>
      </c>
      <c r="AO32" s="10"/>
      <c r="AS32" s="1">
        <v>45169</v>
      </c>
      <c r="AT32" s="26" t="e">
        <f>HLOOKUP(AS32,Hoja2!$R$2:$AV$39,38,FALSE)</f>
        <v>#N/A</v>
      </c>
      <c r="AU32" s="77" t="e">
        <f>HLOOKUP(AS32,Hoja2!$R$2:$AV$40,39,FALSE)</f>
        <v>#N/A</v>
      </c>
      <c r="AV32" s="26" t="e">
        <f>HLOOKUP(AS32,Hoja2!$R$2:$AV$41,40,FALSE)</f>
        <v>#N/A</v>
      </c>
      <c r="AW32" s="79" t="e">
        <f>HLOOKUP(AS32,Hoja2!$R$2:$AV$42,41,FALSE)</f>
        <v>#N/A</v>
      </c>
      <c r="AY32" s="9">
        <v>45154</v>
      </c>
      <c r="AZ32" s="8">
        <v>110275</v>
      </c>
      <c r="BA32" s="8" t="s">
        <v>100</v>
      </c>
      <c r="BB32" t="e">
        <f>"CPA Fondeo CSFB 2475 a NIUM " &amp;AV17&amp;" USD T/C "&amp;AU17&amp;".- "&amp;TEXT(AS17,"dd-mm-yyy")</f>
        <v>#N/A</v>
      </c>
      <c r="BC32" s="3" t="e">
        <f>+AW17</f>
        <v>#N/A</v>
      </c>
      <c r="BD32" s="10"/>
    </row>
    <row r="33" spans="1:56" x14ac:dyDescent="0.25">
      <c r="B33" s="76">
        <f>SUM(B2:B32)</f>
        <v>120042.90000000001</v>
      </c>
      <c r="C33" s="77"/>
      <c r="D33" s="3">
        <f>SUM(D2:D32)</f>
        <v>102639187</v>
      </c>
      <c r="E33" s="3"/>
      <c r="F33" s="11"/>
      <c r="G33" s="12">
        <v>211101</v>
      </c>
      <c r="H33" s="12" t="s">
        <v>18</v>
      </c>
      <c r="I33" s="12" t="str">
        <f t="shared" ref="I33" si="59">I32</f>
        <v>CPA Recaudación Clientes CFSB 1126 16-08-2023 USD 4.920,00 T/C 859,03</v>
      </c>
      <c r="J33" s="13"/>
      <c r="K33" s="18">
        <f t="shared" ref="K33" si="60">J32</f>
        <v>4226428</v>
      </c>
      <c r="P33" s="3" t="e">
        <f>SUM(P2:P32)</f>
        <v>#N/A</v>
      </c>
      <c r="S33" s="3" t="e">
        <f>SUM(S2:S32)</f>
        <v>#N/A</v>
      </c>
      <c r="U33" s="11"/>
      <c r="V33" s="12">
        <v>110276</v>
      </c>
      <c r="W33" s="12" t="s">
        <v>97</v>
      </c>
      <c r="X33" s="12" t="e">
        <f>+X32</f>
        <v>#N/A</v>
      </c>
      <c r="Y33" s="13"/>
      <c r="Z33" s="18" t="e">
        <f t="shared" si="8"/>
        <v>#N/A</v>
      </c>
      <c r="AE33" s="3" t="e">
        <f>SUM(AE2:AE32)</f>
        <v>#N/A</v>
      </c>
      <c r="AH33" s="3" t="e">
        <f>SUM(AH2:AH32)</f>
        <v>#N/A</v>
      </c>
      <c r="AJ33" s="11"/>
      <c r="AK33" s="12">
        <v>110276</v>
      </c>
      <c r="AL33" s="12" t="s">
        <v>97</v>
      </c>
      <c r="AM33" s="12" t="e">
        <f>+AM32</f>
        <v>#N/A</v>
      </c>
      <c r="AN33" s="13"/>
      <c r="AO33" s="18" t="e">
        <f t="shared" ref="AO33" si="61">+AN32</f>
        <v>#N/A</v>
      </c>
      <c r="AT33" s="3" t="e">
        <f>SUM(AT2:AT32)</f>
        <v>#N/A</v>
      </c>
      <c r="AW33" s="3" t="e">
        <f>SUM(AW2:AW32)</f>
        <v>#N/A</v>
      </c>
      <c r="AY33" s="11"/>
      <c r="AZ33" s="12">
        <v>110285</v>
      </c>
      <c r="BA33" s="12"/>
      <c r="BB33" s="12" t="e">
        <f>+BB32</f>
        <v>#N/A</v>
      </c>
      <c r="BC33" s="13"/>
      <c r="BD33" s="18" t="e">
        <f t="shared" ref="BD33" si="62">+BC32</f>
        <v>#N/A</v>
      </c>
    </row>
    <row r="34" spans="1:56" x14ac:dyDescent="0.25">
      <c r="B34" s="30"/>
      <c r="F34" s="15">
        <v>45155</v>
      </c>
      <c r="G34" s="8">
        <v>110218</v>
      </c>
      <c r="H34" s="8" t="s">
        <v>61</v>
      </c>
      <c r="I34" t="str">
        <f>"CPA Recaudación Clientes CFSB 1126 "&amp;TEXT(F34,"dd-mm-yyy")&amp;" USD "&amp;TEXT(B18,"#.##0,00")&amp;" T/C "&amp;C18&amp;""</f>
        <v>CPA Recaudación Clientes CFSB 1126 17-08-2023 USD 650,00 T/C 859,87</v>
      </c>
      <c r="J34" s="16">
        <f>+D18</f>
        <v>558916</v>
      </c>
      <c r="K34" s="17"/>
      <c r="U34" s="9">
        <v>45155</v>
      </c>
      <c r="V34">
        <v>110285</v>
      </c>
      <c r="X34" t="e">
        <f>"CPA Rescate DLocal a CSFB 2475 " &amp;R18&amp;" USD T/C "&amp;Q18&amp;".- "&amp;TEXT($O18,"dd-mm-yyy")</f>
        <v>#N/A</v>
      </c>
      <c r="Y34" s="3" t="e">
        <f>+S18</f>
        <v>#N/A</v>
      </c>
      <c r="Z34" s="10"/>
      <c r="AJ34" s="9">
        <v>45124</v>
      </c>
      <c r="AK34">
        <v>110285</v>
      </c>
      <c r="AM34" t="e">
        <f>"CPA Rescate DLocal a CSFB 2475 " &amp;AG18&amp;" USD T/C "&amp;AF18&amp;".- "&amp;TEXT($O34,"dd-mm-yyy")</f>
        <v>#N/A</v>
      </c>
      <c r="AN34" s="3" t="e">
        <f>+AH18</f>
        <v>#N/A</v>
      </c>
      <c r="AO34" s="10"/>
      <c r="AY34" s="9">
        <v>45155</v>
      </c>
      <c r="AZ34" s="8">
        <v>110275</v>
      </c>
      <c r="BA34" s="8" t="s">
        <v>100</v>
      </c>
      <c r="BB34" t="e">
        <f>"CPA Fondeo CSFB 2475 a NIUM " &amp;AV18&amp;" USD T/C "&amp;AU18&amp;".- "&amp;TEXT(AS18,"dd-mm-yyy")</f>
        <v>#N/A</v>
      </c>
      <c r="BC34" s="3" t="e">
        <f>+AW18</f>
        <v>#N/A</v>
      </c>
      <c r="BD34" s="10"/>
    </row>
    <row r="35" spans="1:56" x14ac:dyDescent="0.25">
      <c r="B35" s="30"/>
      <c r="F35" s="11"/>
      <c r="G35" s="12">
        <v>211101</v>
      </c>
      <c r="H35" s="12" t="s">
        <v>18</v>
      </c>
      <c r="I35" s="12" t="str">
        <f t="shared" ref="I35" si="63">I34</f>
        <v>CPA Recaudación Clientes CFSB 1126 17-08-2023 USD 650,00 T/C 859,87</v>
      </c>
      <c r="J35" s="13"/>
      <c r="K35" s="18">
        <f t="shared" ref="K35" si="64">J34</f>
        <v>558916</v>
      </c>
      <c r="P35" s="26"/>
      <c r="Q35" s="77"/>
      <c r="R35" s="26"/>
      <c r="S35" s="79"/>
      <c r="U35" s="11"/>
      <c r="V35" s="12">
        <v>110276</v>
      </c>
      <c r="W35" s="12" t="s">
        <v>97</v>
      </c>
      <c r="X35" s="12" t="e">
        <f>+X34</f>
        <v>#N/A</v>
      </c>
      <c r="Y35" s="13"/>
      <c r="Z35" s="18" t="e">
        <f t="shared" si="8"/>
        <v>#N/A</v>
      </c>
      <c r="AE35" s="26"/>
      <c r="AF35" s="77"/>
      <c r="AG35" s="26"/>
      <c r="AH35" s="79"/>
      <c r="AJ35" s="11"/>
      <c r="AK35" s="12">
        <v>110276</v>
      </c>
      <c r="AL35" s="12" t="s">
        <v>97</v>
      </c>
      <c r="AM35" s="12" t="e">
        <f>+AM34</f>
        <v>#N/A</v>
      </c>
      <c r="AN35" s="13"/>
      <c r="AO35" s="18" t="e">
        <f t="shared" ref="AO35" si="65">+AN34</f>
        <v>#N/A</v>
      </c>
      <c r="AT35" s="26"/>
      <c r="AU35" s="77"/>
      <c r="AV35" s="26"/>
      <c r="AW35" s="79"/>
      <c r="AY35" s="11"/>
      <c r="AZ35" s="12">
        <v>110285</v>
      </c>
      <c r="BA35" s="12"/>
      <c r="BB35" s="12" t="e">
        <f>+BB34</f>
        <v>#N/A</v>
      </c>
      <c r="BC35" s="13"/>
      <c r="BD35" s="18" t="e">
        <f t="shared" ref="BD35" si="66">+BC34</f>
        <v>#N/A</v>
      </c>
    </row>
    <row r="36" spans="1:56" x14ac:dyDescent="0.25">
      <c r="F36" s="15">
        <v>45156</v>
      </c>
      <c r="G36" s="8">
        <v>110218</v>
      </c>
      <c r="H36" s="8" t="s">
        <v>61</v>
      </c>
      <c r="I36" t="str">
        <f>"CPA Recaudación Clientes CFSB 1126 "&amp;TEXT(F36,"dd-mm-yyy")&amp;" USD "&amp;TEXT(B19,"#.##0,00")&amp;" T/C "&amp;C19&amp;""</f>
        <v>CPA Recaudación Clientes CFSB 1126 18-08-2023 USD 4.338,35 T/C 864,72</v>
      </c>
      <c r="J36" s="16">
        <f>+D19</f>
        <v>3751458</v>
      </c>
      <c r="K36" s="17"/>
      <c r="P36" s="2"/>
      <c r="U36" s="9">
        <v>45156</v>
      </c>
      <c r="V36">
        <v>110285</v>
      </c>
      <c r="X36" t="e">
        <f>"CPA Rescate DLocal a CSFB 2475 " &amp;R19&amp;" USD T/C "&amp;Q19&amp;".- "&amp;TEXT($O19,"dd-mm-yyy")</f>
        <v>#N/A</v>
      </c>
      <c r="Y36" s="3" t="e">
        <f>+S19</f>
        <v>#N/A</v>
      </c>
      <c r="Z36" s="10"/>
      <c r="AE36" s="2"/>
      <c r="AJ36" s="9">
        <v>45125</v>
      </c>
      <c r="AK36">
        <v>110285</v>
      </c>
      <c r="AM36" t="e">
        <f>"CPA Rescate DLocal a CSFB 2475 " &amp;AG19&amp;" USD T/C "&amp;AF19&amp;".- "&amp;TEXT($O36,"dd-mm-yyy")</f>
        <v>#N/A</v>
      </c>
      <c r="AN36" s="3" t="e">
        <f>+AH19</f>
        <v>#N/A</v>
      </c>
      <c r="AO36" s="10"/>
      <c r="AT36" s="2"/>
      <c r="AY36" s="9">
        <v>45156</v>
      </c>
      <c r="AZ36" s="8">
        <v>110275</v>
      </c>
      <c r="BA36" s="8" t="s">
        <v>100</v>
      </c>
      <c r="BB36" t="e">
        <f>"CPA Fondeo CSFB 2475 a NIUM " &amp;AV19&amp;" USD T/C "&amp;AU19&amp;".- "&amp;TEXT(AS19,"dd-mm-yyy")</f>
        <v>#N/A</v>
      </c>
      <c r="BC36" s="3" t="e">
        <f>+AW19</f>
        <v>#N/A</v>
      </c>
      <c r="BD36" s="10"/>
    </row>
    <row r="37" spans="1:56" x14ac:dyDescent="0.25">
      <c r="F37" s="11"/>
      <c r="G37" s="12">
        <v>211101</v>
      </c>
      <c r="H37" s="12" t="s">
        <v>18</v>
      </c>
      <c r="I37" s="12" t="str">
        <f t="shared" ref="I37" si="67">I36</f>
        <v>CPA Recaudación Clientes CFSB 1126 18-08-2023 USD 4.338,35 T/C 864,72</v>
      </c>
      <c r="J37" s="13"/>
      <c r="K37" s="18">
        <f t="shared" ref="K37" si="68">J36</f>
        <v>3751458</v>
      </c>
      <c r="P37" s="2"/>
      <c r="U37" s="11"/>
      <c r="V37" s="12">
        <v>110276</v>
      </c>
      <c r="W37" s="12" t="s">
        <v>97</v>
      </c>
      <c r="X37" s="12" t="e">
        <f>+X36</f>
        <v>#N/A</v>
      </c>
      <c r="Y37" s="13"/>
      <c r="Z37" s="18" t="e">
        <f t="shared" si="8"/>
        <v>#N/A</v>
      </c>
      <c r="AE37" s="2"/>
      <c r="AJ37" s="11"/>
      <c r="AK37" s="12">
        <v>110276</v>
      </c>
      <c r="AL37" s="12" t="s">
        <v>97</v>
      </c>
      <c r="AM37" s="12" t="e">
        <f>+AM36</f>
        <v>#N/A</v>
      </c>
      <c r="AN37" s="13"/>
      <c r="AO37" s="18" t="e">
        <f t="shared" ref="AO37" si="69">+AN36</f>
        <v>#N/A</v>
      </c>
      <c r="AT37" s="2"/>
      <c r="AY37" s="11"/>
      <c r="AZ37" s="12">
        <v>110285</v>
      </c>
      <c r="BA37" s="12"/>
      <c r="BB37" s="12" t="e">
        <f>+BB36</f>
        <v>#N/A</v>
      </c>
      <c r="BC37" s="13"/>
      <c r="BD37" s="18" t="e">
        <f t="shared" ref="BD37" si="70">+BC36</f>
        <v>#N/A</v>
      </c>
    </row>
    <row r="38" spans="1:56" x14ac:dyDescent="0.25">
      <c r="F38" s="15">
        <v>45157</v>
      </c>
      <c r="G38" s="8">
        <v>110218</v>
      </c>
      <c r="H38" s="8" t="s">
        <v>61</v>
      </c>
      <c r="I38" t="str">
        <f>"CPA Recaudación Clientes CFSB 1126 "&amp;TEXT(F38,"dd-mm-yyy")&amp;" USD "&amp;TEXT(B20,"#.##0")&amp;" T/C "&amp;C20&amp;""</f>
        <v>CPA Recaudación Clientes CFSB 1126 19-08-2023 USD 0 T/C 864,72</v>
      </c>
      <c r="J38" s="16">
        <f>+D20</f>
        <v>0</v>
      </c>
      <c r="K38" s="17"/>
      <c r="P38" s="2"/>
      <c r="U38" s="9">
        <v>45157</v>
      </c>
      <c r="V38">
        <v>110285</v>
      </c>
      <c r="X38" t="e">
        <f>"CPA Rescate DLocal a CSFB 2475 " &amp;R20&amp;" USD T/C "&amp;Q20&amp;".- "&amp;TEXT($O20,"dd-mm-yyy")</f>
        <v>#N/A</v>
      </c>
      <c r="Y38" s="3" t="e">
        <f>+S20</f>
        <v>#N/A</v>
      </c>
      <c r="Z38" s="10"/>
      <c r="AE38" s="2"/>
      <c r="AJ38" s="9">
        <v>45126</v>
      </c>
      <c r="AK38">
        <v>110285</v>
      </c>
      <c r="AM38" t="e">
        <f>"CPA Rescate DLocal a CSFB 2475 " &amp;AG20&amp;" USD T/C "&amp;AF20&amp;".- "&amp;TEXT($O38,"dd-mm-yyy")</f>
        <v>#N/A</v>
      </c>
      <c r="AN38" s="3" t="e">
        <f>+AH20</f>
        <v>#N/A</v>
      </c>
      <c r="AO38" s="10"/>
      <c r="AT38" s="2"/>
      <c r="AY38" s="9">
        <v>45157</v>
      </c>
      <c r="AZ38" s="8">
        <v>110275</v>
      </c>
      <c r="BA38" s="8" t="s">
        <v>100</v>
      </c>
      <c r="BB38" t="e">
        <f>"CPA Fondeo CSFB 2475 a NIUM " &amp;AV20&amp;" USD T/C "&amp;AU20&amp;".- "&amp;TEXT(AS20,"dd-mm-yyy")</f>
        <v>#N/A</v>
      </c>
      <c r="BC38" s="3" t="e">
        <f>+AW20</f>
        <v>#N/A</v>
      </c>
      <c r="BD38" s="10"/>
    </row>
    <row r="39" spans="1:56" x14ac:dyDescent="0.25">
      <c r="F39" s="11"/>
      <c r="G39" s="12">
        <v>211101</v>
      </c>
      <c r="H39" s="12" t="s">
        <v>18</v>
      </c>
      <c r="I39" s="12" t="str">
        <f t="shared" ref="I39" si="71">I38</f>
        <v>CPA Recaudación Clientes CFSB 1126 19-08-2023 USD 0 T/C 864,72</v>
      </c>
      <c r="J39" s="13"/>
      <c r="K39" s="18">
        <f t="shared" ref="K39" si="72">J38</f>
        <v>0</v>
      </c>
      <c r="P39" s="2"/>
      <c r="U39" s="11"/>
      <c r="V39" s="12">
        <v>110276</v>
      </c>
      <c r="W39" s="12" t="s">
        <v>97</v>
      </c>
      <c r="X39" s="12" t="e">
        <f>+X38</f>
        <v>#N/A</v>
      </c>
      <c r="Y39" s="13"/>
      <c r="Z39" s="18" t="e">
        <f t="shared" si="8"/>
        <v>#N/A</v>
      </c>
      <c r="AE39" s="2"/>
      <c r="AJ39" s="11"/>
      <c r="AK39" s="12">
        <v>110276</v>
      </c>
      <c r="AL39" s="12" t="s">
        <v>97</v>
      </c>
      <c r="AM39" s="12" t="e">
        <f>+AM38</f>
        <v>#N/A</v>
      </c>
      <c r="AN39" s="13"/>
      <c r="AO39" s="18" t="e">
        <f t="shared" ref="AO39" si="73">+AN38</f>
        <v>#N/A</v>
      </c>
      <c r="AT39" s="2"/>
      <c r="AY39" s="11"/>
      <c r="AZ39" s="12">
        <v>110285</v>
      </c>
      <c r="BA39" s="12"/>
      <c r="BB39" s="12" t="e">
        <f>+BB38</f>
        <v>#N/A</v>
      </c>
      <c r="BC39" s="13"/>
      <c r="BD39" s="18" t="e">
        <f t="shared" ref="BD39" si="74">+BC38</f>
        <v>#N/A</v>
      </c>
    </row>
    <row r="40" spans="1:56" x14ac:dyDescent="0.25">
      <c r="F40" s="15">
        <v>45158</v>
      </c>
      <c r="G40" s="8">
        <v>110218</v>
      </c>
      <c r="H40" s="8" t="s">
        <v>61</v>
      </c>
      <c r="I40" t="str">
        <f>"CPA Recaudación Clientes CFSB 1126 "&amp;TEXT(F40,"dd-mm-yyy")&amp;" USD "&amp;TEXT(B21,"#.##0")&amp;" T/C "&amp;C21&amp;""</f>
        <v>CPA Recaudación Clientes CFSB 1126 20-08-2023 USD 0 T/C 864,72</v>
      </c>
      <c r="J40" s="16">
        <f>+D21</f>
        <v>0</v>
      </c>
      <c r="K40" s="17"/>
      <c r="P40" s="2"/>
      <c r="U40" s="9">
        <v>45158</v>
      </c>
      <c r="V40">
        <v>110285</v>
      </c>
      <c r="X40" t="e">
        <f>"CPA Rescate DLocal a CSFB 2475 " &amp;R21&amp;" USD T/C "&amp;Q21&amp;".- "&amp;TEXT($O21,"dd-mm-yyy")</f>
        <v>#N/A</v>
      </c>
      <c r="Y40" s="3" t="e">
        <f>+S21</f>
        <v>#N/A</v>
      </c>
      <c r="Z40" s="10"/>
      <c r="AE40" s="2"/>
      <c r="AJ40" s="9">
        <v>45127</v>
      </c>
      <c r="AK40">
        <v>110285</v>
      </c>
      <c r="AM40" t="e">
        <f>"CPA Rescate DLocal a CSFB 2475 " &amp;AG21&amp;" USD T/C "&amp;AF21&amp;".- "&amp;TEXT($O40,"dd-mm-yyy")</f>
        <v>#N/A</v>
      </c>
      <c r="AN40" s="3" t="e">
        <f>+AH21</f>
        <v>#N/A</v>
      </c>
      <c r="AO40" s="10"/>
      <c r="AT40" s="2"/>
      <c r="AY40" s="9">
        <v>45158</v>
      </c>
      <c r="AZ40" s="8">
        <v>110275</v>
      </c>
      <c r="BA40" s="8" t="s">
        <v>100</v>
      </c>
      <c r="BB40" t="e">
        <f>"CPA Fondeo CSFB 2475 a NIUM " &amp;AV21&amp;" USD T/C "&amp;AU21&amp;".- "&amp;TEXT(AS21,"dd-mm-yyy")</f>
        <v>#N/A</v>
      </c>
      <c r="BC40" s="3" t="e">
        <f>+AW21</f>
        <v>#N/A</v>
      </c>
      <c r="BD40" s="10"/>
    </row>
    <row r="41" spans="1:56" x14ac:dyDescent="0.25">
      <c r="F41" s="11"/>
      <c r="G41" s="12">
        <v>211101</v>
      </c>
      <c r="H41" s="12" t="s">
        <v>18</v>
      </c>
      <c r="I41" s="12" t="str">
        <f t="shared" ref="I41" si="75">I40</f>
        <v>CPA Recaudación Clientes CFSB 1126 20-08-2023 USD 0 T/C 864,72</v>
      </c>
      <c r="J41" s="13"/>
      <c r="K41" s="18">
        <f t="shared" ref="K41" si="76">J40</f>
        <v>0</v>
      </c>
      <c r="P41" s="2"/>
      <c r="U41" s="11"/>
      <c r="V41" s="12">
        <v>110276</v>
      </c>
      <c r="W41" s="12" t="s">
        <v>97</v>
      </c>
      <c r="X41" s="12" t="e">
        <f>+X40</f>
        <v>#N/A</v>
      </c>
      <c r="Y41" s="13"/>
      <c r="Z41" s="18" t="e">
        <f t="shared" si="8"/>
        <v>#N/A</v>
      </c>
      <c r="AE41" s="2"/>
      <c r="AJ41" s="11"/>
      <c r="AK41" s="12">
        <v>110276</v>
      </c>
      <c r="AL41" s="12" t="s">
        <v>97</v>
      </c>
      <c r="AM41" s="12" t="e">
        <f>+AM40</f>
        <v>#N/A</v>
      </c>
      <c r="AN41" s="13"/>
      <c r="AO41" s="18" t="e">
        <f t="shared" ref="AO41" si="77">+AN40</f>
        <v>#N/A</v>
      </c>
      <c r="AT41" s="2"/>
      <c r="AY41" s="11"/>
      <c r="AZ41" s="12">
        <v>110285</v>
      </c>
      <c r="BA41" s="12"/>
      <c r="BB41" s="12" t="e">
        <f>+BB40</f>
        <v>#N/A</v>
      </c>
      <c r="BC41" s="13"/>
      <c r="BD41" s="18" t="e">
        <f t="shared" ref="BD41" si="78">+BC40</f>
        <v>#N/A</v>
      </c>
    </row>
    <row r="42" spans="1:56" x14ac:dyDescent="0.25">
      <c r="A42" s="42"/>
      <c r="F42" s="15">
        <v>45159</v>
      </c>
      <c r="G42" s="8">
        <v>110218</v>
      </c>
      <c r="H42" s="8" t="s">
        <v>61</v>
      </c>
      <c r="I42" t="str">
        <f>"CPA Recaudación Clientes CFSB 1126 "&amp;TEXT(F42,"dd-mm-yyy")&amp;" USD "&amp;TEXT(B22,"#.##0,00")&amp;" T/C "&amp;C22&amp;""</f>
        <v>CPA Recaudación Clientes CFSB 1126 21-08-2023 USD 26.513,00 T/C 867,95</v>
      </c>
      <c r="J42" s="16">
        <f>+D22</f>
        <v>23011958</v>
      </c>
      <c r="K42" s="17"/>
      <c r="P42" s="2"/>
      <c r="U42" s="9">
        <v>45159</v>
      </c>
      <c r="V42">
        <v>110285</v>
      </c>
      <c r="X42" t="e">
        <f>"CPA Rescate DLocal a CSFB 2475 " &amp;R22&amp;" USD T/C "&amp;Q22&amp;".- "&amp;TEXT($O22,"dd-mm-yyy")</f>
        <v>#N/A</v>
      </c>
      <c r="Y42" s="3" t="e">
        <f>+S22</f>
        <v>#N/A</v>
      </c>
      <c r="Z42" s="10"/>
      <c r="AE42" s="2"/>
      <c r="AJ42" s="9">
        <v>45128</v>
      </c>
      <c r="AK42">
        <v>110285</v>
      </c>
      <c r="AM42" t="e">
        <f>"CPA Rescate DLocal a CSFB 2475 " &amp;AG22&amp;" USD T/C "&amp;AF22&amp;".- "&amp;TEXT($O42,"dd-mm-yyy")</f>
        <v>#N/A</v>
      </c>
      <c r="AN42" s="3" t="e">
        <f>+AH22</f>
        <v>#N/A</v>
      </c>
      <c r="AO42" s="10"/>
      <c r="AT42" s="2"/>
      <c r="AY42" s="9">
        <v>45159</v>
      </c>
      <c r="AZ42" s="8">
        <v>110275</v>
      </c>
      <c r="BA42" s="8" t="s">
        <v>100</v>
      </c>
      <c r="BB42" t="e">
        <f>"CPA Fondeo CSFB 2475 a NIUM " &amp;AV22&amp;" USD T/C "&amp;AU22&amp;".- "&amp;TEXT(AS22,"dd-mm-yyy")</f>
        <v>#N/A</v>
      </c>
      <c r="BC42" s="3" t="e">
        <f>+AW22</f>
        <v>#N/A</v>
      </c>
      <c r="BD42" s="10"/>
    </row>
    <row r="43" spans="1:56" x14ac:dyDescent="0.25">
      <c r="A43" s="42"/>
      <c r="F43" s="11"/>
      <c r="G43" s="12">
        <v>211101</v>
      </c>
      <c r="H43" s="12" t="s">
        <v>18</v>
      </c>
      <c r="I43" s="12" t="str">
        <f t="shared" ref="I43" si="79">I42</f>
        <v>CPA Recaudación Clientes CFSB 1126 21-08-2023 USD 26.513,00 T/C 867,95</v>
      </c>
      <c r="J43" s="13"/>
      <c r="K43" s="18">
        <f t="shared" ref="K43" si="80">J42</f>
        <v>23011958</v>
      </c>
      <c r="P43" s="2"/>
      <c r="U43" s="11"/>
      <c r="V43" s="12">
        <v>110276</v>
      </c>
      <c r="W43" s="12" t="s">
        <v>97</v>
      </c>
      <c r="X43" s="12" t="e">
        <f>+X42</f>
        <v>#N/A</v>
      </c>
      <c r="Y43" s="13"/>
      <c r="Z43" s="18" t="e">
        <f t="shared" si="8"/>
        <v>#N/A</v>
      </c>
      <c r="AE43" s="2"/>
      <c r="AJ43" s="11"/>
      <c r="AK43" s="12">
        <v>110276</v>
      </c>
      <c r="AL43" s="12" t="s">
        <v>97</v>
      </c>
      <c r="AM43" s="12" t="e">
        <f>+AM42</f>
        <v>#N/A</v>
      </c>
      <c r="AN43" s="13"/>
      <c r="AO43" s="18" t="e">
        <f t="shared" ref="AO43" si="81">+AN42</f>
        <v>#N/A</v>
      </c>
      <c r="AT43" s="2"/>
      <c r="AY43" s="11"/>
      <c r="AZ43" s="12">
        <v>110285</v>
      </c>
      <c r="BA43" s="12"/>
      <c r="BB43" s="12" t="e">
        <f>+BB42</f>
        <v>#N/A</v>
      </c>
      <c r="BC43" s="13"/>
      <c r="BD43" s="18" t="e">
        <f t="shared" ref="BD43" si="82">+BC42</f>
        <v>#N/A</v>
      </c>
    </row>
    <row r="44" spans="1:56" x14ac:dyDescent="0.25">
      <c r="F44" s="15">
        <v>45160</v>
      </c>
      <c r="G44" s="8">
        <v>110218</v>
      </c>
      <c r="H44" s="8" t="s">
        <v>61</v>
      </c>
      <c r="I44" t="str">
        <f>"CPA Recaudación Clientes CFSB 1126 "&amp;TEXT(F44,"dd-mm-yyy")&amp;" USD "&amp;TEXT(B23,"#.##0,00")&amp;" T/C "&amp;C23&amp;""</f>
        <v>CPA Recaudación Clientes CFSB 1126 22-08-2023 USD 5.400,00 T/C 869,51</v>
      </c>
      <c r="J44" s="16">
        <f>+D23</f>
        <v>4695354</v>
      </c>
      <c r="K44" s="17"/>
      <c r="P44" s="2"/>
      <c r="U44" s="9">
        <v>45160</v>
      </c>
      <c r="V44">
        <v>110285</v>
      </c>
      <c r="X44" t="e">
        <f>"CPA Rescate DLocal a CSFB 2475 " &amp;R23&amp;" USD T/C "&amp;Q23&amp;".- "&amp;TEXT($O23,"dd-mm-yyy")</f>
        <v>#N/A</v>
      </c>
      <c r="Y44" s="3" t="e">
        <f>+S23</f>
        <v>#N/A</v>
      </c>
      <c r="Z44" s="10"/>
      <c r="AE44" s="2"/>
      <c r="AJ44" s="9">
        <v>45129</v>
      </c>
      <c r="AK44">
        <v>110285</v>
      </c>
      <c r="AM44" t="e">
        <f>"CPA Rescate DLocal a CSFB 2475 " &amp;AG23&amp;" USD T/C "&amp;AF23&amp;".- "&amp;TEXT($O44,"dd-mm-yyy")</f>
        <v>#N/A</v>
      </c>
      <c r="AN44" s="3" t="e">
        <f>+AH23</f>
        <v>#N/A</v>
      </c>
      <c r="AO44" s="10"/>
      <c r="AT44" s="2"/>
      <c r="AY44" s="9">
        <v>45160</v>
      </c>
      <c r="AZ44" s="8">
        <v>110275</v>
      </c>
      <c r="BA44" s="8" t="s">
        <v>100</v>
      </c>
      <c r="BB44" t="e">
        <f>"CPA Fondeo CSFB 2475 a NIUM " &amp;AV23&amp;" USD T/C "&amp;AU23&amp;".- "&amp;TEXT(AS23,"dd-mm-yyy")</f>
        <v>#N/A</v>
      </c>
      <c r="BC44" s="3" t="e">
        <f>+AW23</f>
        <v>#N/A</v>
      </c>
      <c r="BD44" s="10"/>
    </row>
    <row r="45" spans="1:56" x14ac:dyDescent="0.25">
      <c r="F45" s="11"/>
      <c r="G45" s="12">
        <v>211101</v>
      </c>
      <c r="H45" s="12" t="s">
        <v>18</v>
      </c>
      <c r="I45" s="12" t="str">
        <f t="shared" ref="I45" si="83">I44</f>
        <v>CPA Recaudación Clientes CFSB 1126 22-08-2023 USD 5.400,00 T/C 869,51</v>
      </c>
      <c r="J45" s="13"/>
      <c r="K45" s="18">
        <f t="shared" ref="K45" si="84">J44</f>
        <v>4695354</v>
      </c>
      <c r="P45" s="2"/>
      <c r="U45" s="11"/>
      <c r="V45" s="12">
        <v>110276</v>
      </c>
      <c r="W45" s="12" t="s">
        <v>97</v>
      </c>
      <c r="X45" s="12" t="e">
        <f>+X44</f>
        <v>#N/A</v>
      </c>
      <c r="Y45" s="13"/>
      <c r="Z45" s="18" t="e">
        <f t="shared" si="8"/>
        <v>#N/A</v>
      </c>
      <c r="AE45" s="2"/>
      <c r="AJ45" s="11"/>
      <c r="AK45" s="12">
        <v>110276</v>
      </c>
      <c r="AL45" s="12" t="s">
        <v>97</v>
      </c>
      <c r="AM45" s="12" t="e">
        <f>+AM44</f>
        <v>#N/A</v>
      </c>
      <c r="AN45" s="13"/>
      <c r="AO45" s="18" t="e">
        <f t="shared" ref="AO45" si="85">+AN44</f>
        <v>#N/A</v>
      </c>
      <c r="AT45" s="2"/>
      <c r="AY45" s="11"/>
      <c r="AZ45" s="12">
        <v>110285</v>
      </c>
      <c r="BA45" s="12"/>
      <c r="BB45" s="12" t="e">
        <f>+BB44</f>
        <v>#N/A</v>
      </c>
      <c r="BC45" s="13"/>
      <c r="BD45" s="18" t="e">
        <f t="shared" ref="BD45" si="86">+BC44</f>
        <v>#N/A</v>
      </c>
    </row>
    <row r="46" spans="1:56" x14ac:dyDescent="0.25">
      <c r="F46" s="15">
        <v>45161</v>
      </c>
      <c r="G46" s="8">
        <v>110218</v>
      </c>
      <c r="H46" s="8" t="s">
        <v>61</v>
      </c>
      <c r="I46" t="str">
        <f>"CPA Recaudación Clientes CFSB 1126 "&amp;TEXT(F46,"dd-mm-yyy")&amp;" USD "&amp;TEXT(B24,"#.##0,00")&amp;" T/C "&amp;C24&amp;""</f>
        <v>CPA Recaudación Clientes CFSB 1126 23-08-2023 USD 800,00 T/C 866,97</v>
      </c>
      <c r="J46" s="16">
        <f>+D24</f>
        <v>693576</v>
      </c>
      <c r="K46" s="17"/>
      <c r="P46" s="2"/>
      <c r="U46" s="9">
        <v>45161</v>
      </c>
      <c r="V46">
        <v>110285</v>
      </c>
      <c r="X46" t="e">
        <f>"CPA Rescate DLocal a CSFB 2475 " &amp;R24&amp;" USD T/C "&amp;Q24&amp;".- "&amp;TEXT($O24,"dd-mm-yyy")</f>
        <v>#N/A</v>
      </c>
      <c r="Y46" s="3" t="e">
        <f>+S24</f>
        <v>#N/A</v>
      </c>
      <c r="Z46" s="10"/>
      <c r="AE46" s="2"/>
      <c r="AJ46" s="9">
        <v>45130</v>
      </c>
      <c r="AK46">
        <v>110285</v>
      </c>
      <c r="AM46" t="e">
        <f>"CPA Rescate DLocal a CSFB 2475 " &amp;AG24&amp;" USD T/C "&amp;AF24&amp;".- "&amp;TEXT($O46,"dd-mm-yyy")</f>
        <v>#N/A</v>
      </c>
      <c r="AN46" s="3" t="e">
        <f>+AH24</f>
        <v>#N/A</v>
      </c>
      <c r="AO46" s="10"/>
      <c r="AT46" s="2"/>
      <c r="AY46" s="9">
        <v>45161</v>
      </c>
      <c r="AZ46" s="8">
        <v>110275</v>
      </c>
      <c r="BA46" s="8" t="s">
        <v>100</v>
      </c>
      <c r="BB46" t="e">
        <f>"CPA Fondeo CSFB 2475 a NIUM " &amp;AV24&amp;" USD T/C "&amp;AU24&amp;".- "&amp;TEXT(AS24,"dd-mm-yyy")</f>
        <v>#N/A</v>
      </c>
      <c r="BC46" s="3" t="e">
        <f>+AW24</f>
        <v>#N/A</v>
      </c>
      <c r="BD46" s="10"/>
    </row>
    <row r="47" spans="1:56" x14ac:dyDescent="0.25">
      <c r="F47" s="11"/>
      <c r="G47" s="12">
        <v>211101</v>
      </c>
      <c r="H47" s="12" t="s">
        <v>18</v>
      </c>
      <c r="I47" s="12" t="str">
        <f t="shared" ref="I47" si="87">I46</f>
        <v>CPA Recaudación Clientes CFSB 1126 23-08-2023 USD 800,00 T/C 866,97</v>
      </c>
      <c r="J47" s="13"/>
      <c r="K47" s="18">
        <f t="shared" ref="K47" si="88">J46</f>
        <v>693576</v>
      </c>
      <c r="P47" s="2"/>
      <c r="U47" s="11"/>
      <c r="V47" s="12">
        <v>110276</v>
      </c>
      <c r="W47" s="12" t="s">
        <v>97</v>
      </c>
      <c r="X47" s="12" t="e">
        <f>+X46</f>
        <v>#N/A</v>
      </c>
      <c r="Y47" s="13"/>
      <c r="Z47" s="18" t="e">
        <f t="shared" si="8"/>
        <v>#N/A</v>
      </c>
      <c r="AE47" s="2"/>
      <c r="AJ47" s="11"/>
      <c r="AK47" s="12">
        <v>110276</v>
      </c>
      <c r="AL47" s="12" t="s">
        <v>97</v>
      </c>
      <c r="AM47" s="12" t="e">
        <f>+AM46</f>
        <v>#N/A</v>
      </c>
      <c r="AN47" s="13"/>
      <c r="AO47" s="18" t="e">
        <f t="shared" ref="AO47" si="89">+AN46</f>
        <v>#N/A</v>
      </c>
      <c r="AT47" s="2"/>
      <c r="AY47" s="11"/>
      <c r="AZ47" s="12">
        <v>110285</v>
      </c>
      <c r="BA47" s="12"/>
      <c r="BB47" s="12" t="e">
        <f>+BB46</f>
        <v>#N/A</v>
      </c>
      <c r="BC47" s="13"/>
      <c r="BD47" s="18" t="e">
        <f t="shared" ref="BD47" si="90">+BC46</f>
        <v>#N/A</v>
      </c>
    </row>
    <row r="48" spans="1:56" x14ac:dyDescent="0.25">
      <c r="F48" s="15">
        <v>45162</v>
      </c>
      <c r="G48" s="8">
        <v>110218</v>
      </c>
      <c r="H48" s="8" t="s">
        <v>61</v>
      </c>
      <c r="I48" t="str">
        <f>"CPA Recaudación Clientes CFSB 1126 "&amp;TEXT(F48,"dd-mm-yyy")&amp;" USD "&amp;TEXT(B25,"#.##0")&amp;" T/C "&amp;C25&amp;""</f>
        <v>CPA Recaudación Clientes CFSB 1126 24-08-2023 USD 3.000 T/C 860,97</v>
      </c>
      <c r="J48" s="16">
        <f>+D25</f>
        <v>2582910</v>
      </c>
      <c r="K48" s="17"/>
      <c r="P48" s="2"/>
      <c r="U48" s="9">
        <v>45162</v>
      </c>
      <c r="V48">
        <v>110285</v>
      </c>
      <c r="X48" t="e">
        <f>"CPA Rescate DLocal a CSFB 2475 " &amp;R25&amp;" USD T/C "&amp;Q25&amp;".- "&amp;TEXT($O25,"dd-mm-yyy")</f>
        <v>#N/A</v>
      </c>
      <c r="Y48" s="3" t="e">
        <f>+S25</f>
        <v>#N/A</v>
      </c>
      <c r="Z48" s="10"/>
      <c r="AE48" s="2"/>
      <c r="AJ48" s="9">
        <v>45131</v>
      </c>
      <c r="AK48">
        <v>110285</v>
      </c>
      <c r="AM48" t="e">
        <f>"CPA Rescate DLocal a CSFB 2475 " &amp;AG25&amp;" USD T/C "&amp;AF25&amp;".- "&amp;TEXT($O48,"dd-mm-yyy")</f>
        <v>#N/A</v>
      </c>
      <c r="AN48" s="3" t="e">
        <f>+AH25</f>
        <v>#N/A</v>
      </c>
      <c r="AO48" s="10"/>
      <c r="AT48" s="2"/>
      <c r="AY48" s="9">
        <v>45162</v>
      </c>
      <c r="AZ48" s="8">
        <v>110275</v>
      </c>
      <c r="BA48" s="8" t="s">
        <v>100</v>
      </c>
      <c r="BB48" t="e">
        <f>"CPA Fondeo CSFB 2475 a NIUM " &amp;AV25&amp;" USD T/C "&amp;AU25&amp;".- "&amp;TEXT(AS25,"dd-mm-yyy")</f>
        <v>#N/A</v>
      </c>
      <c r="BC48" s="3" t="e">
        <f>+AW25</f>
        <v>#N/A</v>
      </c>
      <c r="BD48" s="10"/>
    </row>
    <row r="49" spans="6:56" x14ac:dyDescent="0.25">
      <c r="F49" s="11"/>
      <c r="G49" s="12">
        <v>211101</v>
      </c>
      <c r="H49" s="12" t="s">
        <v>18</v>
      </c>
      <c r="I49" s="12" t="str">
        <f t="shared" ref="I49" si="91">I48</f>
        <v>CPA Recaudación Clientes CFSB 1126 24-08-2023 USD 3.000 T/C 860,97</v>
      </c>
      <c r="J49" s="13"/>
      <c r="K49" s="18">
        <f t="shared" ref="K49" si="92">J48</f>
        <v>2582910</v>
      </c>
      <c r="P49" s="2"/>
      <c r="U49" s="11"/>
      <c r="V49" s="12">
        <v>110276</v>
      </c>
      <c r="W49" s="12" t="s">
        <v>97</v>
      </c>
      <c r="X49" s="12" t="e">
        <f>+X48</f>
        <v>#N/A</v>
      </c>
      <c r="Y49" s="13"/>
      <c r="Z49" s="18" t="e">
        <f t="shared" si="8"/>
        <v>#N/A</v>
      </c>
      <c r="AE49" s="2"/>
      <c r="AJ49" s="11"/>
      <c r="AK49" s="12">
        <v>110276</v>
      </c>
      <c r="AL49" s="12" t="s">
        <v>97</v>
      </c>
      <c r="AM49" s="12" t="e">
        <f>+AM48</f>
        <v>#N/A</v>
      </c>
      <c r="AN49" s="13"/>
      <c r="AO49" s="18" t="e">
        <f t="shared" ref="AO49" si="93">+AN48</f>
        <v>#N/A</v>
      </c>
      <c r="AT49" s="2"/>
      <c r="AY49" s="11"/>
      <c r="AZ49" s="12">
        <v>110285</v>
      </c>
      <c r="BA49" s="12"/>
      <c r="BB49" s="12" t="e">
        <f>+BB48</f>
        <v>#N/A</v>
      </c>
      <c r="BC49" s="13"/>
      <c r="BD49" s="18" t="e">
        <f t="shared" ref="BD49" si="94">+BC48</f>
        <v>#N/A</v>
      </c>
    </row>
    <row r="50" spans="6:56" x14ac:dyDescent="0.25">
      <c r="F50" s="15">
        <v>45163</v>
      </c>
      <c r="G50" s="8">
        <v>110218</v>
      </c>
      <c r="H50" s="8" t="s">
        <v>61</v>
      </c>
      <c r="I50" t="str">
        <f>"CPA Recaudación Clientes CFSB 1126 "&amp;TEXT(F50,"dd-mm-yyy")&amp;" USD "&amp;TEXT(B26,"#.##0,00")&amp;" T/C "&amp;C26&amp;""</f>
        <v>CPA Recaudación Clientes CFSB 1126 25-08-2023 USD 4.500,00 T/C 854,77</v>
      </c>
      <c r="J50" s="16">
        <f>+D26</f>
        <v>3846465</v>
      </c>
      <c r="K50" s="17"/>
      <c r="P50" s="2"/>
      <c r="U50" s="9">
        <v>45163</v>
      </c>
      <c r="V50">
        <v>110285</v>
      </c>
      <c r="X50" t="e">
        <f>"CPA Rescate DLocal a CSFB 2475 " &amp;R26&amp;" USD T/C "&amp;Q26&amp;".- "&amp;TEXT($O26,"dd-mm-yyy")</f>
        <v>#N/A</v>
      </c>
      <c r="Y50" s="3" t="e">
        <f>+S26</f>
        <v>#N/A</v>
      </c>
      <c r="Z50" s="10"/>
      <c r="AE50" s="2"/>
      <c r="AJ50" s="9">
        <v>45132</v>
      </c>
      <c r="AK50">
        <v>110285</v>
      </c>
      <c r="AM50" t="e">
        <f>"CPA Rescate DLocal a CSFB 2475 " &amp;AG26&amp;" USD T/C "&amp;AF26&amp;".- "&amp;TEXT($O26,"dd-mm-yyy")</f>
        <v>#N/A</v>
      </c>
      <c r="AN50" s="3" t="e">
        <f>+AH26</f>
        <v>#N/A</v>
      </c>
      <c r="AO50" s="10"/>
      <c r="AT50" s="2"/>
      <c r="AY50" s="9">
        <v>45163</v>
      </c>
      <c r="AZ50" s="8">
        <v>110275</v>
      </c>
      <c r="BA50" s="8" t="s">
        <v>100</v>
      </c>
      <c r="BB50" t="e">
        <f>"CPA Fondeo CSFB 2475 a NIUM " &amp;AV26&amp;" USD T/C "&amp;AU26&amp;".- "&amp;TEXT(AS26,"dd-mm-yyy")</f>
        <v>#N/A</v>
      </c>
      <c r="BC50" s="3" t="e">
        <f>+AW26</f>
        <v>#N/A</v>
      </c>
      <c r="BD50" s="10"/>
    </row>
    <row r="51" spans="6:56" x14ac:dyDescent="0.25">
      <c r="F51" s="11"/>
      <c r="G51" s="12">
        <v>211101</v>
      </c>
      <c r="H51" s="12" t="s">
        <v>18</v>
      </c>
      <c r="I51" s="12" t="str">
        <f t="shared" ref="I51" si="95">I50</f>
        <v>CPA Recaudación Clientes CFSB 1126 25-08-2023 USD 4.500,00 T/C 854,77</v>
      </c>
      <c r="J51" s="13"/>
      <c r="K51" s="18">
        <f t="shared" ref="K51" si="96">J50</f>
        <v>3846465</v>
      </c>
      <c r="P51" s="2"/>
      <c r="U51" s="11"/>
      <c r="V51" s="12">
        <v>110276</v>
      </c>
      <c r="W51" s="12" t="s">
        <v>97</v>
      </c>
      <c r="X51" s="12" t="e">
        <f>+X50</f>
        <v>#N/A</v>
      </c>
      <c r="Y51" s="13"/>
      <c r="Z51" s="18" t="e">
        <f t="shared" si="8"/>
        <v>#N/A</v>
      </c>
      <c r="AE51" s="2"/>
      <c r="AJ51" s="11"/>
      <c r="AK51" s="12">
        <v>110276</v>
      </c>
      <c r="AL51" s="12" t="s">
        <v>97</v>
      </c>
      <c r="AM51" s="12" t="e">
        <f>+AM50</f>
        <v>#N/A</v>
      </c>
      <c r="AN51" s="13"/>
      <c r="AO51" s="18" t="e">
        <f t="shared" ref="AO51" si="97">+AN50</f>
        <v>#N/A</v>
      </c>
      <c r="AT51" s="2"/>
      <c r="AY51" s="11"/>
      <c r="AZ51" s="12">
        <v>110285</v>
      </c>
      <c r="BA51" s="12"/>
      <c r="BB51" s="12" t="e">
        <f>+BB50</f>
        <v>#N/A</v>
      </c>
      <c r="BC51" s="13"/>
      <c r="BD51" s="18" t="e">
        <f t="shared" ref="BD51" si="98">+BC50</f>
        <v>#N/A</v>
      </c>
    </row>
    <row r="52" spans="6:56" x14ac:dyDescent="0.25">
      <c r="F52" s="15">
        <v>45164</v>
      </c>
      <c r="G52" s="8">
        <v>110218</v>
      </c>
      <c r="H52" s="8" t="s">
        <v>61</v>
      </c>
      <c r="I52" t="str">
        <f>"CPA Recaudación Clientes CFSB 1126 "&amp;TEXT(F52,"dd-mm-yyy")&amp;" USD "&amp;TEXT(B27,"#.##0")&amp;" T/C "&amp;C27&amp;""</f>
        <v>CPA Recaudación Clientes CFSB 1126 26-08-2023 USD 0 T/C 854,77</v>
      </c>
      <c r="J52" s="16">
        <f>+D27</f>
        <v>0</v>
      </c>
      <c r="K52" s="17"/>
      <c r="P52" s="2"/>
      <c r="U52" s="9">
        <v>45164</v>
      </c>
      <c r="V52">
        <v>110285</v>
      </c>
      <c r="X52" t="e">
        <f>"CPA Rescate DLocal a CSFB 2475 " &amp;R27&amp;" USD T/C "&amp;Q27&amp;".- "&amp;TEXT($O27,"dd-mm-yyy")</f>
        <v>#N/A</v>
      </c>
      <c r="Y52" s="3" t="e">
        <f>+S27</f>
        <v>#N/A</v>
      </c>
      <c r="Z52" s="10"/>
      <c r="AE52" s="2"/>
      <c r="AJ52" s="9">
        <v>45133</v>
      </c>
      <c r="AK52">
        <v>110285</v>
      </c>
      <c r="AM52" t="e">
        <f>"CPA Rescate DLocal a CSFB 2475 " &amp;AG27&amp;" USD T/C "&amp;AF27&amp;".- "&amp;TEXT($O27,"dd-mm-yyy")</f>
        <v>#N/A</v>
      </c>
      <c r="AN52" s="3" t="e">
        <f>+AH27</f>
        <v>#N/A</v>
      </c>
      <c r="AO52" s="10"/>
      <c r="AT52" s="2"/>
      <c r="AY52" s="9">
        <v>45164</v>
      </c>
      <c r="AZ52" s="8">
        <v>110275</v>
      </c>
      <c r="BA52" s="8" t="s">
        <v>100</v>
      </c>
      <c r="BB52" t="e">
        <f>"CPA Fondeo CSFB 2475 a NIUM " &amp;AV27&amp;" USD T/C "&amp;AU27&amp;".- "&amp;TEXT(AS27,"dd-mm-yyy")</f>
        <v>#N/A</v>
      </c>
      <c r="BC52" s="3" t="e">
        <f>+AW27</f>
        <v>#N/A</v>
      </c>
      <c r="BD52" s="10"/>
    </row>
    <row r="53" spans="6:56" x14ac:dyDescent="0.25">
      <c r="F53" s="11"/>
      <c r="G53" s="12">
        <v>211101</v>
      </c>
      <c r="H53" s="12" t="s">
        <v>18</v>
      </c>
      <c r="I53" s="12" t="str">
        <f t="shared" ref="I53" si="99">I52</f>
        <v>CPA Recaudación Clientes CFSB 1126 26-08-2023 USD 0 T/C 854,77</v>
      </c>
      <c r="J53" s="13"/>
      <c r="K53" s="18">
        <f t="shared" ref="K53" si="100">J52</f>
        <v>0</v>
      </c>
      <c r="P53" s="2"/>
      <c r="U53" s="11"/>
      <c r="V53" s="12">
        <v>110276</v>
      </c>
      <c r="W53" s="12" t="s">
        <v>97</v>
      </c>
      <c r="X53" s="12" t="e">
        <f>+X52</f>
        <v>#N/A</v>
      </c>
      <c r="Y53" s="13"/>
      <c r="Z53" s="18" t="e">
        <f t="shared" si="8"/>
        <v>#N/A</v>
      </c>
      <c r="AE53" s="2"/>
      <c r="AJ53" s="11"/>
      <c r="AK53" s="12">
        <v>110276</v>
      </c>
      <c r="AL53" s="12" t="s">
        <v>97</v>
      </c>
      <c r="AM53" s="12" t="e">
        <f>+AM52</f>
        <v>#N/A</v>
      </c>
      <c r="AN53" s="13"/>
      <c r="AO53" s="18" t="e">
        <f t="shared" ref="AO53" si="101">+AN52</f>
        <v>#N/A</v>
      </c>
      <c r="AT53" s="2"/>
      <c r="AY53" s="11"/>
      <c r="AZ53" s="12">
        <v>110285</v>
      </c>
      <c r="BA53" s="12"/>
      <c r="BB53" s="12" t="e">
        <f>+BB52</f>
        <v>#N/A</v>
      </c>
      <c r="BC53" s="13"/>
      <c r="BD53" s="18" t="e">
        <f t="shared" ref="BD53" si="102">+BC52</f>
        <v>#N/A</v>
      </c>
    </row>
    <row r="54" spans="6:56" x14ac:dyDescent="0.25">
      <c r="F54" s="15">
        <v>45165</v>
      </c>
      <c r="G54" s="8">
        <v>110218</v>
      </c>
      <c r="H54" s="8" t="s">
        <v>61</v>
      </c>
      <c r="I54" t="str">
        <f>"CPA Recaudación Clientes CFSB 1126 "&amp;TEXT(F54,"dd-mm-yyy")&amp;" USD "&amp;TEXT(B28,"#.##0")&amp;" T/C "&amp;C28&amp;""</f>
        <v>CPA Recaudación Clientes CFSB 1126 27-08-2023 USD 0 T/C 854,77</v>
      </c>
      <c r="J54" s="16">
        <f>+D28</f>
        <v>0</v>
      </c>
      <c r="K54" s="17"/>
      <c r="P54" s="2"/>
      <c r="U54" s="9">
        <v>45165</v>
      </c>
      <c r="V54">
        <v>110285</v>
      </c>
      <c r="X54" t="e">
        <f>"CPA Rescate DLocal a CSFB 2475 " &amp;R28&amp;" USD T/C "&amp;Q28&amp;".- "&amp;TEXT($O28,"dd-mm-yyy")</f>
        <v>#N/A</v>
      </c>
      <c r="Y54" s="3" t="e">
        <f>+S28</f>
        <v>#N/A</v>
      </c>
      <c r="Z54" s="10"/>
      <c r="AE54" s="2"/>
      <c r="AJ54" s="9">
        <v>45134</v>
      </c>
      <c r="AK54">
        <v>110285</v>
      </c>
      <c r="AM54" t="e">
        <f>"CPA Rescate DLocal a CSFB 2475 " &amp;AG28&amp;" USD T/C "&amp;AF28&amp;".- "&amp;TEXT($O28,"dd-mm-yyy")</f>
        <v>#N/A</v>
      </c>
      <c r="AN54" s="3" t="e">
        <f>+AH28</f>
        <v>#N/A</v>
      </c>
      <c r="AO54" s="10"/>
      <c r="AT54" s="2"/>
      <c r="AY54" s="9">
        <v>45165</v>
      </c>
      <c r="AZ54" s="8">
        <v>110275</v>
      </c>
      <c r="BA54" s="8" t="s">
        <v>100</v>
      </c>
      <c r="BB54" t="e">
        <f>"CPA Fondeo CSFB 2475 a NIUM " &amp;AV28&amp;" USD T/C "&amp;AU28&amp;".- "&amp;TEXT(AS28,"dd-mm-yyy")</f>
        <v>#N/A</v>
      </c>
      <c r="BC54" s="3" t="e">
        <f>+AW28</f>
        <v>#N/A</v>
      </c>
      <c r="BD54" s="10"/>
    </row>
    <row r="55" spans="6:56" x14ac:dyDescent="0.25">
      <c r="F55" s="11"/>
      <c r="G55" s="12">
        <v>211101</v>
      </c>
      <c r="H55" s="12" t="s">
        <v>18</v>
      </c>
      <c r="I55" s="12" t="str">
        <f t="shared" ref="I55" si="103">I54</f>
        <v>CPA Recaudación Clientes CFSB 1126 27-08-2023 USD 0 T/C 854,77</v>
      </c>
      <c r="J55" s="13"/>
      <c r="K55" s="18">
        <f t="shared" ref="K55" si="104">J54</f>
        <v>0</v>
      </c>
      <c r="P55" s="2"/>
      <c r="U55" s="11"/>
      <c r="V55" s="12">
        <v>110276</v>
      </c>
      <c r="W55" s="12" t="s">
        <v>97</v>
      </c>
      <c r="X55" s="12" t="e">
        <f>+X54</f>
        <v>#N/A</v>
      </c>
      <c r="Y55" s="13"/>
      <c r="Z55" s="18" t="e">
        <f t="shared" si="8"/>
        <v>#N/A</v>
      </c>
      <c r="AE55" s="2"/>
      <c r="AJ55" s="11"/>
      <c r="AK55" s="12">
        <v>110276</v>
      </c>
      <c r="AL55" s="12" t="s">
        <v>97</v>
      </c>
      <c r="AM55" s="12" t="e">
        <f>+AM54</f>
        <v>#N/A</v>
      </c>
      <c r="AN55" s="13"/>
      <c r="AO55" s="18" t="e">
        <f t="shared" ref="AO55" si="105">+AN54</f>
        <v>#N/A</v>
      </c>
      <c r="AT55" s="2"/>
      <c r="AY55" s="11"/>
      <c r="AZ55" s="12">
        <v>110285</v>
      </c>
      <c r="BA55" s="12"/>
      <c r="BB55" s="12" t="e">
        <f>+BB54</f>
        <v>#N/A</v>
      </c>
      <c r="BC55" s="13"/>
      <c r="BD55" s="18" t="e">
        <f t="shared" ref="BD55" si="106">+BC54</f>
        <v>#N/A</v>
      </c>
    </row>
    <row r="56" spans="6:56" x14ac:dyDescent="0.25">
      <c r="F56" s="15">
        <v>45166</v>
      </c>
      <c r="G56" s="8">
        <v>110218</v>
      </c>
      <c r="H56" s="8" t="s">
        <v>61</v>
      </c>
      <c r="I56" t="str">
        <f>"CPA Recaudación Clientes CFSB 1126 "&amp;TEXT(F56,"dd-mm-yyy")&amp;" USD "&amp;TEXT(B29,"#.##0")&amp;" T/C "&amp;C29&amp;""</f>
        <v>CPA Recaudación Clientes CFSB 1126 28-08-2023 USD 63 T/C 843,08</v>
      </c>
      <c r="J56" s="16">
        <f>+D29</f>
        <v>53249</v>
      </c>
      <c r="K56" s="17"/>
      <c r="P56" s="2"/>
      <c r="U56" s="9">
        <v>45166</v>
      </c>
      <c r="V56">
        <v>110285</v>
      </c>
      <c r="X56" t="e">
        <f>"CPA Rescate DLocal a CSFB 2475 " &amp;R29&amp;" USD T/C "&amp;Q29&amp;".- "&amp;TEXT($O29,"dd-mm-yyy")</f>
        <v>#N/A</v>
      </c>
      <c r="Y56" s="3" t="e">
        <f>+S29</f>
        <v>#N/A</v>
      </c>
      <c r="Z56" s="10"/>
      <c r="AE56" s="2"/>
      <c r="AJ56" s="9">
        <v>45135</v>
      </c>
      <c r="AK56">
        <v>110285</v>
      </c>
      <c r="AM56" t="e">
        <f>"CPA Rescate DLocal a CSFB 2475 " &amp;AG29&amp;" USD T/C "&amp;AF29&amp;".- "&amp;TEXT($O29,"dd-mm-yyy")</f>
        <v>#N/A</v>
      </c>
      <c r="AN56" s="3" t="e">
        <f>+AH29</f>
        <v>#N/A</v>
      </c>
      <c r="AO56" s="10"/>
      <c r="AT56" s="2"/>
      <c r="AY56" s="9">
        <v>45166</v>
      </c>
      <c r="AZ56" s="8">
        <v>110275</v>
      </c>
      <c r="BA56" s="8" t="s">
        <v>100</v>
      </c>
      <c r="BB56" t="e">
        <f>"CPA Fondeo CSFB 2475 a NIUM " &amp;AV29&amp;" USD T/C "&amp;AU29&amp;".- "&amp;TEXT(AS29,"dd-mm-yyy")</f>
        <v>#N/A</v>
      </c>
      <c r="BC56" s="3" t="e">
        <f>+AW29</f>
        <v>#N/A</v>
      </c>
      <c r="BD56" s="10"/>
    </row>
    <row r="57" spans="6:56" x14ac:dyDescent="0.25">
      <c r="F57" s="11"/>
      <c r="G57" s="12">
        <v>211101</v>
      </c>
      <c r="H57" s="12" t="s">
        <v>18</v>
      </c>
      <c r="I57" s="12" t="str">
        <f t="shared" ref="I57" si="107">I56</f>
        <v>CPA Recaudación Clientes CFSB 1126 28-08-2023 USD 63 T/C 843,08</v>
      </c>
      <c r="J57" s="13"/>
      <c r="K57" s="18">
        <f t="shared" ref="K57" si="108">J56</f>
        <v>53249</v>
      </c>
      <c r="P57" s="2"/>
      <c r="U57" s="11"/>
      <c r="V57" s="12">
        <v>110276</v>
      </c>
      <c r="W57" s="12" t="s">
        <v>97</v>
      </c>
      <c r="X57" s="12" t="e">
        <f>+X56</f>
        <v>#N/A</v>
      </c>
      <c r="Y57" s="13"/>
      <c r="Z57" s="18" t="e">
        <f t="shared" si="8"/>
        <v>#N/A</v>
      </c>
      <c r="AE57" s="2"/>
      <c r="AJ57" s="11"/>
      <c r="AK57" s="12">
        <v>110276</v>
      </c>
      <c r="AL57" s="12" t="s">
        <v>97</v>
      </c>
      <c r="AM57" s="12" t="e">
        <f>+AM56</f>
        <v>#N/A</v>
      </c>
      <c r="AN57" s="13"/>
      <c r="AO57" s="18" t="e">
        <f t="shared" ref="AO57" si="109">+AN56</f>
        <v>#N/A</v>
      </c>
      <c r="AT57" s="2"/>
      <c r="AY57" s="11"/>
      <c r="AZ57" s="12">
        <v>110285</v>
      </c>
      <c r="BA57" s="12"/>
      <c r="BB57" s="12" t="e">
        <f>+BB56</f>
        <v>#N/A</v>
      </c>
      <c r="BC57" s="13"/>
      <c r="BD57" s="18" t="e">
        <f t="shared" ref="BD57" si="110">+BC56</f>
        <v>#N/A</v>
      </c>
    </row>
    <row r="58" spans="6:56" x14ac:dyDescent="0.25">
      <c r="F58" s="15">
        <v>45167</v>
      </c>
      <c r="G58" s="8">
        <v>110218</v>
      </c>
      <c r="H58" s="8" t="s">
        <v>61</v>
      </c>
      <c r="I58" t="str">
        <f>"CPA Recaudación Clientes CFSB 1126 "&amp;TEXT(F58,"dd-mm-yyy")&amp;" USD "&amp;TEXT(B30,"#.##0,00")&amp;" T/C "&amp;C30&amp;""</f>
        <v>CPA Recaudación Clientes CFSB 1126 29-08-2023 USD 1.600,00 T/C 848,86</v>
      </c>
      <c r="J58" s="16">
        <f>+D30</f>
        <v>1358176</v>
      </c>
      <c r="K58" s="17"/>
      <c r="U58" s="9">
        <v>45167</v>
      </c>
      <c r="V58">
        <v>110285</v>
      </c>
      <c r="X58" t="e">
        <f>"CPA Rescate DLocal a CSFB 2475 " &amp;R30&amp;" USD T/C "&amp;Q30&amp;".- "&amp;TEXT($O30,"dd-mm-yyy")</f>
        <v>#N/A</v>
      </c>
      <c r="Y58" s="3" t="e">
        <f>+S30</f>
        <v>#N/A</v>
      </c>
      <c r="Z58" s="10"/>
      <c r="AJ58" s="9">
        <v>45136</v>
      </c>
      <c r="AK58">
        <v>110285</v>
      </c>
      <c r="AM58" t="e">
        <f>"CPA Rescate DLocal a CSFB 2475 " &amp;AG30&amp;" USD T/C "&amp;AF30&amp;".- "&amp;TEXT($O58,"dd-mm-yyy")</f>
        <v>#N/A</v>
      </c>
      <c r="AN58" s="3" t="e">
        <f>+AH30</f>
        <v>#N/A</v>
      </c>
      <c r="AO58" s="10"/>
      <c r="AY58" s="9">
        <v>45167</v>
      </c>
      <c r="AZ58" s="8">
        <v>110275</v>
      </c>
      <c r="BA58" s="8" t="s">
        <v>100</v>
      </c>
      <c r="BB58" t="e">
        <f>"CPA Fondeo CSFB 2475 a NIUM " &amp;AV30&amp;" USD T/C "&amp;AU30&amp;".- "&amp;TEXT(AS30,"dd-mm-yyy")</f>
        <v>#N/A</v>
      </c>
      <c r="BC58" s="3" t="e">
        <f>+AW30</f>
        <v>#N/A</v>
      </c>
      <c r="BD58" s="10"/>
    </row>
    <row r="59" spans="6:56" x14ac:dyDescent="0.25">
      <c r="F59" s="11"/>
      <c r="G59" s="12">
        <v>211101</v>
      </c>
      <c r="H59" s="12" t="s">
        <v>18</v>
      </c>
      <c r="I59" s="12" t="str">
        <f t="shared" ref="I59" si="111">I58</f>
        <v>CPA Recaudación Clientes CFSB 1126 29-08-2023 USD 1.600,00 T/C 848,86</v>
      </c>
      <c r="J59" s="13"/>
      <c r="K59" s="18">
        <f t="shared" ref="K59" si="112">J58</f>
        <v>1358176</v>
      </c>
      <c r="U59" s="11"/>
      <c r="V59" s="12">
        <v>110276</v>
      </c>
      <c r="W59" s="12" t="s">
        <v>97</v>
      </c>
      <c r="X59" s="12" t="e">
        <f>+X58</f>
        <v>#N/A</v>
      </c>
      <c r="Y59" s="13"/>
      <c r="Z59" s="18" t="e">
        <f t="shared" si="8"/>
        <v>#N/A</v>
      </c>
      <c r="AJ59" s="11"/>
      <c r="AK59" s="12">
        <v>110276</v>
      </c>
      <c r="AL59" s="12" t="s">
        <v>97</v>
      </c>
      <c r="AM59" s="12" t="e">
        <f>+AM58</f>
        <v>#N/A</v>
      </c>
      <c r="AN59" s="13"/>
      <c r="AO59" s="18" t="e">
        <f t="shared" ref="AO59" si="113">+AN58</f>
        <v>#N/A</v>
      </c>
      <c r="AY59" s="11"/>
      <c r="AZ59" s="12">
        <v>110285</v>
      </c>
      <c r="BA59" s="12"/>
      <c r="BB59" s="12" t="e">
        <f>+BB58</f>
        <v>#N/A</v>
      </c>
      <c r="BC59" s="13"/>
      <c r="BD59" s="18" t="e">
        <f t="shared" ref="BD59" si="114">+BC58</f>
        <v>#N/A</v>
      </c>
    </row>
    <row r="60" spans="6:56" x14ac:dyDescent="0.25">
      <c r="F60" s="15">
        <v>45168</v>
      </c>
      <c r="G60" s="8">
        <v>110218</v>
      </c>
      <c r="H60" s="8" t="s">
        <v>61</v>
      </c>
      <c r="I60" t="str">
        <f>"CPA Recaudación Clientes CFSB 1126 "&amp;TEXT(F60,"dd-mm-yyy")&amp;" USD "&amp;TEXT(B31,"#.##0,00")&amp;" T/C "&amp;C31&amp;""</f>
        <v>CPA Recaudación Clientes CFSB 1126 30-08-2023 USD 0,00 T/C 857,59</v>
      </c>
      <c r="J60" s="16">
        <f>+D31</f>
        <v>0</v>
      </c>
      <c r="K60" s="17"/>
      <c r="U60" s="9">
        <v>45168</v>
      </c>
      <c r="V60">
        <v>110285</v>
      </c>
      <c r="X60" t="e">
        <f>"CPA Rescate DLocal a CSFB 2475 " &amp;R31&amp;" USD T/C "&amp;Q31&amp;".- "&amp;TEXT($O31,"dd-mm-yyy")</f>
        <v>#N/A</v>
      </c>
      <c r="Y60" s="3" t="e">
        <f>+S31</f>
        <v>#N/A</v>
      </c>
      <c r="Z60" s="10"/>
      <c r="AJ60" s="9">
        <v>45137</v>
      </c>
      <c r="AK60">
        <v>110285</v>
      </c>
      <c r="AM60" t="e">
        <f>"CPA Rescate DLocal a CSFB 2475 " &amp;AG31&amp;" USD T/C "&amp;AF31&amp;".- "&amp;TEXT($O60,"dd-mm-yyy")</f>
        <v>#N/A</v>
      </c>
      <c r="AN60" s="3" t="e">
        <f>+AH31</f>
        <v>#N/A</v>
      </c>
      <c r="AO60" s="10"/>
      <c r="AY60" s="9">
        <v>45168</v>
      </c>
      <c r="AZ60" s="8">
        <v>110275</v>
      </c>
      <c r="BA60" s="8" t="s">
        <v>100</v>
      </c>
      <c r="BB60" t="e">
        <f>"CPA Fondeo CSFB 2475 a NIUM " &amp;AV31&amp;" USD T/C "&amp;AU31&amp;".- "&amp;TEXT(AS31,"dd-mm-yyy")</f>
        <v>#N/A</v>
      </c>
      <c r="BC60" s="3" t="e">
        <f>+AW31</f>
        <v>#N/A</v>
      </c>
      <c r="BD60" s="10"/>
    </row>
    <row r="61" spans="6:56" x14ac:dyDescent="0.25">
      <c r="F61" s="11"/>
      <c r="G61" s="12">
        <v>211101</v>
      </c>
      <c r="H61" s="12" t="s">
        <v>18</v>
      </c>
      <c r="I61" s="12" t="str">
        <f t="shared" ref="I61" si="115">I60</f>
        <v>CPA Recaudación Clientes CFSB 1126 30-08-2023 USD 0,00 T/C 857,59</v>
      </c>
      <c r="J61" s="13"/>
      <c r="K61" s="18">
        <f t="shared" ref="K61" si="116">J60</f>
        <v>0</v>
      </c>
      <c r="U61" s="11"/>
      <c r="V61" s="12">
        <v>110276</v>
      </c>
      <c r="W61" s="12" t="s">
        <v>97</v>
      </c>
      <c r="X61" s="12" t="e">
        <f>+X60</f>
        <v>#N/A</v>
      </c>
      <c r="Y61" s="13"/>
      <c r="Z61" s="18" t="e">
        <f t="shared" si="8"/>
        <v>#N/A</v>
      </c>
      <c r="AJ61" s="11"/>
      <c r="AK61" s="12">
        <v>110276</v>
      </c>
      <c r="AL61" s="12" t="s">
        <v>97</v>
      </c>
      <c r="AM61" s="12" t="e">
        <f>+AM60</f>
        <v>#N/A</v>
      </c>
      <c r="AN61" s="13"/>
      <c r="AO61" s="18" t="e">
        <f t="shared" ref="AO61" si="117">+AN60</f>
        <v>#N/A</v>
      </c>
      <c r="AY61" s="11"/>
      <c r="AZ61" s="12">
        <v>110285</v>
      </c>
      <c r="BA61" s="12"/>
      <c r="BB61" s="12" t="e">
        <f>+BB60</f>
        <v>#N/A</v>
      </c>
      <c r="BC61" s="13"/>
      <c r="BD61" s="18" t="e">
        <f t="shared" ref="BD61" si="118">+BC60</f>
        <v>#N/A</v>
      </c>
    </row>
    <row r="62" spans="6:56" x14ac:dyDescent="0.25">
      <c r="F62" s="15">
        <v>45169</v>
      </c>
      <c r="G62" s="8">
        <v>110218</v>
      </c>
      <c r="H62" s="8" t="s">
        <v>61</v>
      </c>
      <c r="I62" t="str">
        <f>"CPA Recaudación Clientes CFSB 1126 "&amp;TEXT(F62,"dd-mm-yyy")&amp;" USD "&amp;TEXT(B32,"#.##0")&amp;" T/C "&amp;C32&amp;""</f>
        <v>CPA Recaudación Clientes CFSB 1126 31-08-2023 USD 2.461 T/C 854,22</v>
      </c>
      <c r="J62" s="16">
        <f>+D32</f>
        <v>2101851</v>
      </c>
      <c r="K62" s="17"/>
      <c r="U62" s="9">
        <v>45169</v>
      </c>
      <c r="V62">
        <v>110285</v>
      </c>
      <c r="X62" t="e">
        <f>"CPA Rescate DLocal a CSFB 2475 " &amp;R32&amp;" USD T/C "&amp;Q32&amp;".- "&amp;TEXT($O32,"dd-mm-yyy")</f>
        <v>#N/A</v>
      </c>
      <c r="Y62" s="3" t="e">
        <f>+S32</f>
        <v>#N/A</v>
      </c>
      <c r="Z62" s="10"/>
      <c r="AJ62" s="9">
        <v>45138</v>
      </c>
      <c r="AK62">
        <v>110285</v>
      </c>
      <c r="AM62" t="e">
        <f>"CPA Rescate DLocal a CSFB 2475 " &amp;AG32&amp;" USD T/C "&amp;AF32&amp;".- "&amp;TEXT($O32,"dd-mm-yyy")</f>
        <v>#N/A</v>
      </c>
      <c r="AN62" s="3" t="e">
        <f>+AH32</f>
        <v>#N/A</v>
      </c>
      <c r="AO62" s="10"/>
      <c r="AY62" s="9">
        <v>45169</v>
      </c>
      <c r="AZ62" s="8">
        <v>110275</v>
      </c>
      <c r="BA62" s="8" t="s">
        <v>100</v>
      </c>
      <c r="BB62" t="e">
        <f>"CPA Fondeo CSFB 2475 a NIUM " &amp;AV32&amp;" USD T/C "&amp;AU32&amp;".- "&amp;TEXT(AS32,"dd-mm-yyy")</f>
        <v>#N/A</v>
      </c>
      <c r="BC62" s="3" t="e">
        <f>+AW32</f>
        <v>#N/A</v>
      </c>
      <c r="BD62" s="10"/>
    </row>
    <row r="63" spans="6:56" x14ac:dyDescent="0.25">
      <c r="F63" s="11"/>
      <c r="G63" s="12">
        <v>211101</v>
      </c>
      <c r="H63" s="12" t="s">
        <v>18</v>
      </c>
      <c r="I63" s="12" t="str">
        <f t="shared" ref="I63" si="119">I62</f>
        <v>CPA Recaudación Clientes CFSB 1126 31-08-2023 USD 2.461 T/C 854,22</v>
      </c>
      <c r="J63" s="13"/>
      <c r="K63" s="18">
        <f t="shared" ref="K63" si="120">J62</f>
        <v>2101851</v>
      </c>
      <c r="U63" s="11"/>
      <c r="V63" s="12">
        <v>110276</v>
      </c>
      <c r="W63" s="12" t="s">
        <v>97</v>
      </c>
      <c r="X63" s="12" t="e">
        <f>+X62</f>
        <v>#N/A</v>
      </c>
      <c r="Y63" s="13"/>
      <c r="Z63" s="18" t="e">
        <f t="shared" si="8"/>
        <v>#N/A</v>
      </c>
      <c r="AJ63" s="11"/>
      <c r="AK63" s="12">
        <v>110276</v>
      </c>
      <c r="AL63" s="12" t="s">
        <v>97</v>
      </c>
      <c r="AM63" s="12" t="e">
        <f>+AM62</f>
        <v>#N/A</v>
      </c>
      <c r="AN63" s="13"/>
      <c r="AO63" s="18" t="e">
        <f t="shared" ref="AO63" si="121">+AN62</f>
        <v>#N/A</v>
      </c>
      <c r="AY63" s="11"/>
      <c r="AZ63" s="12">
        <v>110285</v>
      </c>
      <c r="BA63" s="12"/>
      <c r="BB63" s="12" t="e">
        <f>+BB62</f>
        <v>#N/A</v>
      </c>
      <c r="BC63" s="13"/>
      <c r="BD63" s="18" t="e">
        <f t="shared" ref="BD63" si="122">+BC62</f>
        <v>#N/A</v>
      </c>
    </row>
    <row r="64" spans="6:56" x14ac:dyDescent="0.25">
      <c r="J64" s="3">
        <f>SUM(J2:J63)</f>
        <v>102639187</v>
      </c>
    </row>
    <row r="72" spans="3:57" x14ac:dyDescent="0.25">
      <c r="C72" s="76"/>
      <c r="E72" s="76"/>
      <c r="G72" s="76"/>
      <c r="J72" s="76"/>
      <c r="K72" s="76"/>
      <c r="L72" s="76"/>
      <c r="M72" s="76"/>
      <c r="AA72" s="76"/>
      <c r="AP72" s="76"/>
      <c r="BE72" s="76"/>
    </row>
  </sheetData>
  <autoFilter ref="AY1:BE63" xr:uid="{ACB24962-6A48-4644-B87B-B78CC1F9FA35}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10DDF-6CDF-495F-9C93-ACC8F384AAD1}">
  <dimension ref="A1:CI63"/>
  <sheetViews>
    <sheetView showGridLines="0" workbookViewId="0">
      <selection activeCell="A2" sqref="A2:A32"/>
    </sheetView>
  </sheetViews>
  <sheetFormatPr baseColWidth="10" defaultRowHeight="15" outlineLevelCol="1" x14ac:dyDescent="0.25"/>
  <cols>
    <col min="1" max="1" width="11.5703125" customWidth="1" outlineLevel="1"/>
    <col min="2" max="2" width="14.5703125" customWidth="1" outlineLevel="1"/>
    <col min="3" max="3" width="12" customWidth="1" outlineLevel="1"/>
    <col min="4" max="5" width="11.42578125" customWidth="1" outlineLevel="1"/>
    <col min="6" max="6" width="7" customWidth="1" outlineLevel="1"/>
    <col min="7" max="7" width="23.140625" customWidth="1" outlineLevel="1"/>
    <col min="8" max="8" width="42.42578125" customWidth="1" outlineLevel="1"/>
    <col min="9" max="10" width="13.5703125" customWidth="1" outlineLevel="1"/>
    <col min="14" max="14" width="11.140625" bestFit="1" customWidth="1"/>
    <col min="15" max="15" width="14.5703125" bestFit="1" customWidth="1" outlineLevel="1"/>
    <col min="16" max="17" width="12" customWidth="1" outlineLevel="1"/>
    <col min="18" max="18" width="13.5703125" bestFit="1" customWidth="1" outlineLevel="1"/>
    <col min="19" max="21" width="11.42578125" outlineLevel="1"/>
    <col min="22" max="22" width="11.85546875" bestFit="1" customWidth="1" outlineLevel="1"/>
    <col min="23" max="23" width="36.85546875" bestFit="1" customWidth="1" outlineLevel="1"/>
    <col min="24" max="25" width="13.5703125" customWidth="1" outlineLevel="1"/>
    <col min="30" max="30" width="11.5703125" customWidth="1" outlineLevel="1"/>
    <col min="31" max="31" width="13.5703125" customWidth="1" outlineLevel="1"/>
    <col min="32" max="33" width="12" customWidth="1" outlineLevel="1"/>
    <col min="34" max="34" width="14.5703125" bestFit="1" customWidth="1" outlineLevel="1"/>
    <col min="35" max="36" width="11.42578125" outlineLevel="1"/>
    <col min="37" max="37" width="7" bestFit="1" customWidth="1" outlineLevel="1"/>
    <col min="38" max="38" width="23.140625" customWidth="1" outlineLevel="1"/>
    <col min="39" max="39" width="61.42578125" customWidth="1" outlineLevel="1"/>
    <col min="40" max="41" width="13.5703125" customWidth="1" outlineLevel="1"/>
    <col min="46" max="46" width="11.5703125" customWidth="1" outlineLevel="1"/>
    <col min="47" max="47" width="13.5703125" customWidth="1" outlineLevel="1"/>
    <col min="48" max="49" width="12" customWidth="1" outlineLevel="1"/>
    <col min="50" max="50" width="16.85546875" bestFit="1" customWidth="1" outlineLevel="1"/>
    <col min="51" max="53" width="11.42578125" outlineLevel="1"/>
    <col min="54" max="54" width="25.5703125" bestFit="1" customWidth="1" outlineLevel="1"/>
    <col min="55" max="55" width="61.42578125" bestFit="1" customWidth="1" outlineLevel="1"/>
    <col min="56" max="57" width="13.5703125" customWidth="1" outlineLevel="1"/>
    <col min="61" max="61" width="10.7109375" customWidth="1" outlineLevel="1"/>
    <col min="62" max="62" width="13.5703125" bestFit="1" customWidth="1" outlineLevel="1"/>
    <col min="63" max="63" width="7.42578125" customWidth="1" outlineLevel="1"/>
    <col min="64" max="64" width="6" customWidth="1" outlineLevel="1"/>
    <col min="65" max="65" width="12.140625" customWidth="1" outlineLevel="1"/>
    <col min="66" max="66" width="11.42578125" customWidth="1" outlineLevel="1"/>
    <col min="67" max="67" width="10.7109375" customWidth="1" outlineLevel="1"/>
    <col min="68" max="68" width="7" customWidth="1" outlineLevel="1"/>
    <col min="69" max="69" width="38.5703125" customWidth="1" outlineLevel="1"/>
    <col min="70" max="70" width="53.42578125" customWidth="1" outlineLevel="1"/>
    <col min="71" max="72" width="12" customWidth="1" outlineLevel="1"/>
    <col min="76" max="76" width="11.5703125" customWidth="1" outlineLevel="1"/>
    <col min="77" max="77" width="13.5703125" customWidth="1" outlineLevel="1"/>
    <col min="78" max="79" width="12" customWidth="1" outlineLevel="1"/>
    <col min="80" max="80" width="16.85546875" customWidth="1" outlineLevel="1"/>
    <col min="81" max="83" width="11.42578125" customWidth="1" outlineLevel="1"/>
    <col min="84" max="84" width="15.7109375" customWidth="1" outlineLevel="1"/>
    <col min="85" max="85" width="61.42578125" customWidth="1" outlineLevel="1"/>
    <col min="86" max="87" width="13.5703125" customWidth="1" outlineLevel="1"/>
  </cols>
  <sheetData>
    <row r="1" spans="1:87" x14ac:dyDescent="0.25">
      <c r="A1" s="4" t="s">
        <v>0</v>
      </c>
      <c r="B1" s="4" t="s">
        <v>27</v>
      </c>
      <c r="C1" s="75" t="s">
        <v>50</v>
      </c>
      <c r="E1" s="22" t="s">
        <v>0</v>
      </c>
      <c r="F1" s="23"/>
      <c r="G1" s="23"/>
      <c r="H1" s="23"/>
      <c r="I1" s="23" t="s">
        <v>5</v>
      </c>
      <c r="J1" s="24" t="s">
        <v>6</v>
      </c>
      <c r="N1" s="4" t="s">
        <v>0</v>
      </c>
      <c r="O1" s="4"/>
      <c r="P1" s="75"/>
      <c r="T1" s="22" t="s">
        <v>0</v>
      </c>
      <c r="U1" s="23"/>
      <c r="V1" s="23"/>
      <c r="W1" s="23" t="s">
        <v>56</v>
      </c>
      <c r="X1" s="23" t="s">
        <v>5</v>
      </c>
      <c r="Y1" s="24" t="s">
        <v>6</v>
      </c>
      <c r="AD1" s="4" t="s">
        <v>0</v>
      </c>
      <c r="AE1" s="4"/>
      <c r="AF1" s="75"/>
      <c r="AH1" t="s">
        <v>79</v>
      </c>
      <c r="AJ1" s="22" t="s">
        <v>0</v>
      </c>
      <c r="AK1" s="23"/>
      <c r="AL1" s="23"/>
      <c r="AM1" s="23" t="s">
        <v>56</v>
      </c>
      <c r="AN1" s="23" t="s">
        <v>5</v>
      </c>
      <c r="AO1" s="24" t="s">
        <v>6</v>
      </c>
      <c r="AT1" s="4" t="s">
        <v>0</v>
      </c>
      <c r="AU1" s="4"/>
      <c r="AV1" s="75"/>
      <c r="AX1" t="s">
        <v>88</v>
      </c>
      <c r="AZ1" s="22" t="s">
        <v>0</v>
      </c>
      <c r="BA1" s="23"/>
      <c r="BB1" s="23"/>
      <c r="BC1" s="23" t="s">
        <v>56</v>
      </c>
      <c r="BD1" s="23" t="s">
        <v>5</v>
      </c>
      <c r="BE1" s="24" t="s">
        <v>6</v>
      </c>
      <c r="BI1" s="4" t="s">
        <v>0</v>
      </c>
      <c r="BJ1" s="4"/>
      <c r="BK1" s="75"/>
      <c r="BM1" t="s">
        <v>152</v>
      </c>
      <c r="BO1" s="22" t="s">
        <v>0</v>
      </c>
      <c r="BP1" s="23"/>
      <c r="BQ1" s="23"/>
      <c r="BR1" s="23" t="s">
        <v>56</v>
      </c>
      <c r="BS1" s="23" t="s">
        <v>5</v>
      </c>
      <c r="BT1" s="24" t="s">
        <v>6</v>
      </c>
      <c r="BX1" s="4" t="s">
        <v>0</v>
      </c>
      <c r="BY1" s="4"/>
      <c r="BZ1" s="75"/>
      <c r="CB1" t="s">
        <v>98</v>
      </c>
      <c r="CD1" s="22" t="s">
        <v>0</v>
      </c>
      <c r="CE1" s="23"/>
      <c r="CF1" s="23"/>
      <c r="CG1" s="23" t="s">
        <v>56</v>
      </c>
      <c r="CH1" s="23" t="s">
        <v>5</v>
      </c>
      <c r="CI1" s="24" t="s">
        <v>6</v>
      </c>
    </row>
    <row r="2" spans="1:87" x14ac:dyDescent="0.25">
      <c r="A2" s="1">
        <v>45566</v>
      </c>
      <c r="B2" s="26">
        <f>HLOOKUP(A2,Hoja2!$R$2:$AV$92,91,FALSE)</f>
        <v>449900000</v>
      </c>
      <c r="C2" s="3"/>
      <c r="E2" s="9">
        <v>45444</v>
      </c>
      <c r="F2">
        <v>110322</v>
      </c>
      <c r="G2" t="s">
        <v>178</v>
      </c>
      <c r="H2" t="str">
        <f>"CPA Traspaso de Fondos Bco. BCI 648 a Renta4 "</f>
        <v xml:space="preserve">CPA Traspaso de Fondos Bco. BCI 648 a Renta4 </v>
      </c>
      <c r="I2" s="3">
        <f>+B2</f>
        <v>449900000</v>
      </c>
      <c r="J2" s="10"/>
      <c r="N2" s="1">
        <v>45566</v>
      </c>
      <c r="O2" s="26">
        <f>HLOOKUP(N2,Hoja2!$R$2:$AV$96,95,FALSE)</f>
        <v>0</v>
      </c>
      <c r="P2" s="77">
        <f>HLOOKUP(N2,Hoja2!$R$2:$AV$94,93,FALSE)</f>
        <v>0</v>
      </c>
      <c r="Q2" s="26">
        <f>HLOOKUP(N2,Hoja2!$R$2:$AV$95,94,FALSE)</f>
        <v>0</v>
      </c>
      <c r="R2" s="26"/>
      <c r="T2" s="9">
        <v>45444</v>
      </c>
      <c r="U2">
        <v>110323</v>
      </c>
      <c r="V2" t="s">
        <v>179</v>
      </c>
      <c r="W2" t="str">
        <f>"CPA Compra Divisas "&amp;Q2&amp;" T/C "&amp;P2</f>
        <v>CPA Compra Divisas 0 T/C 0</v>
      </c>
      <c r="X2" s="3">
        <f>+O2</f>
        <v>0</v>
      </c>
      <c r="Y2" s="10"/>
      <c r="AD2" s="1">
        <v>45566</v>
      </c>
      <c r="AE2" s="26">
        <f>HLOOKUP(AD2,Hoja2!$R$2:$AV$97,96,FALSE)</f>
        <v>600000</v>
      </c>
      <c r="AF2" s="77">
        <f>HLOOKUP(AD2,Hoja2!$R$2:$AV$98,97,FALSE)</f>
        <v>897.68</v>
      </c>
      <c r="AG2" s="26" t="str">
        <f>HLOOKUP(AD2,Hoja2!$R$2:$AV$99,98,FALSE)</f>
        <v>600K</v>
      </c>
      <c r="AH2" s="79">
        <f>HLOOKUP(AD2,Hoja2!$R$2:$AV$100,99,FALSE)</f>
        <v>538608000</v>
      </c>
      <c r="AJ2" s="9">
        <v>45444</v>
      </c>
      <c r="AK2">
        <v>110275</v>
      </c>
      <c r="AL2" t="s">
        <v>82</v>
      </c>
      <c r="AM2" t="str">
        <f>"CPA Fondeo Renta4 USD a NIUM " &amp;AG2&amp;" USD T/C "&amp;AF2</f>
        <v>CPA Fondeo Renta4 USD a NIUM 600K USD T/C 897,68</v>
      </c>
      <c r="AN2" s="3">
        <f>+AH2</f>
        <v>538608000</v>
      </c>
      <c r="AO2" s="10"/>
      <c r="AT2" s="1">
        <v>45566</v>
      </c>
      <c r="AU2" s="26">
        <f>HLOOKUP(AT2,Hoja2!$R$2:$AV$101,100,FALSE)</f>
        <v>0</v>
      </c>
      <c r="AV2" s="77">
        <f>HLOOKUP(AT2,Hoja2!$R$2:$AV$102,101,FALSE)</f>
        <v>897.68</v>
      </c>
      <c r="AW2" s="26">
        <f>HLOOKUP(AT2,Hoja2!$R$2:$AV$103,102,FALSE)</f>
        <v>0</v>
      </c>
      <c r="AX2" s="79">
        <f>HLOOKUP(AT2,Hoja2!$R$2:$AV$104,103,FALSE)</f>
        <v>0</v>
      </c>
      <c r="AZ2" s="9">
        <v>45444</v>
      </c>
      <c r="BA2">
        <v>110820</v>
      </c>
      <c r="BB2" t="s">
        <v>92</v>
      </c>
      <c r="BC2" t="str">
        <f>"CPA Fondeo Renta4 USD a JPM COL "&amp;AW2&amp;" USD T/C "&amp;AV2&amp;""</f>
        <v>CPA Fondeo Renta4 USD a JPM COL 0 USD T/C 897,68</v>
      </c>
      <c r="BD2" s="3">
        <f>+AX2</f>
        <v>0</v>
      </c>
      <c r="BE2" s="10"/>
      <c r="BI2" s="1">
        <v>45566</v>
      </c>
      <c r="BJ2" s="26">
        <f>HLOOKUP(BI2,Hoja2!$R$2:$AV$120,119,FALSE)</f>
        <v>0</v>
      </c>
      <c r="BK2" s="77">
        <f>HLOOKUP(BI2,Hoja2!$R$2:$AV$118,117,FALSE)</f>
        <v>897.68</v>
      </c>
      <c r="BL2" s="26">
        <f>HLOOKUP(BI2,Hoja2!$R$2:$AV$119,118,FALSE)</f>
        <v>0</v>
      </c>
      <c r="BM2" s="79">
        <f>HLOOKUP(BI2,Hoja2!$R$2:$AV$117,116,FALSE)</f>
        <v>0</v>
      </c>
      <c r="BO2" s="9">
        <v>45444</v>
      </c>
      <c r="BP2">
        <v>110292</v>
      </c>
      <c r="BQ2" t="s">
        <v>153</v>
      </c>
      <c r="BR2" t="str">
        <f>"CPA Fondeo Renta4 USD a OZ CAMBIO "&amp;BL2&amp;" USD T/C "&amp;BK2&amp;""</f>
        <v>CPA Fondeo Renta4 USD a OZ CAMBIO 0 USD T/C 897,68</v>
      </c>
      <c r="BS2" s="3">
        <f>+BJ2</f>
        <v>0</v>
      </c>
      <c r="BT2" s="10"/>
      <c r="BX2" s="1">
        <v>45566</v>
      </c>
      <c r="BY2" s="26">
        <f>HLOOKUP(BX2,Hoja2!$R$2:$AV$82,81,FALSE)</f>
        <v>0</v>
      </c>
      <c r="BZ2" s="77">
        <f>HLOOKUP(BX2,Hoja2!$R$2:$AV$83,82,FALSE)</f>
        <v>0</v>
      </c>
      <c r="CA2" s="26">
        <f>HLOOKUP(BX2,Hoja2!$R$2:$AV$84,83,FALSE)</f>
        <v>0</v>
      </c>
      <c r="CB2" s="79">
        <f>HLOOKUP(BX2,Hoja2!$R$2:$AV$85,84,FALSE)</f>
        <v>0</v>
      </c>
      <c r="CD2" s="9">
        <v>45444</v>
      </c>
      <c r="CE2">
        <v>110205</v>
      </c>
      <c r="CF2" t="s">
        <v>154</v>
      </c>
      <c r="CG2" t="str">
        <f>"CPA Fondeo MBI USD a BICE USD "&amp;CA2&amp;" USD T/C "&amp;BZ2&amp;""</f>
        <v>CPA Fondeo MBI USD a BICE USD 0 USD T/C 0</v>
      </c>
      <c r="CH2" s="3">
        <f>+CB2</f>
        <v>0</v>
      </c>
      <c r="CI2" s="10"/>
    </row>
    <row r="3" spans="1:87" x14ac:dyDescent="0.25">
      <c r="A3" s="1">
        <v>45567</v>
      </c>
      <c r="B3" s="26">
        <f>HLOOKUP(A3,Hoja2!$R$2:$AV$92,91,FALSE)</f>
        <v>456150000</v>
      </c>
      <c r="E3" s="11"/>
      <c r="F3" s="12">
        <v>110208</v>
      </c>
      <c r="G3" s="12" t="s">
        <v>46</v>
      </c>
      <c r="H3" s="12" t="str">
        <f>H2</f>
        <v xml:space="preserve">CPA Traspaso de Fondos Bco. BCI 648 a Renta4 </v>
      </c>
      <c r="I3" s="13"/>
      <c r="J3" s="18">
        <f>I2</f>
        <v>449900000</v>
      </c>
      <c r="N3" s="1">
        <v>45567</v>
      </c>
      <c r="O3" s="26">
        <f>HLOOKUP(N3,Hoja2!$R$2:$AV$96,95,FALSE)</f>
        <v>0</v>
      </c>
      <c r="P3" s="77">
        <f>HLOOKUP(N3,Hoja2!$R$2:$AV$94,93,FALSE)</f>
        <v>0</v>
      </c>
      <c r="Q3" s="26">
        <f>HLOOKUP(N3,Hoja2!$R$2:$AV$95,94,FALSE)</f>
        <v>0</v>
      </c>
      <c r="R3" s="26"/>
      <c r="T3" s="11"/>
      <c r="U3" s="12">
        <v>110322</v>
      </c>
      <c r="V3" s="12" t="s">
        <v>178</v>
      </c>
      <c r="W3" s="12" t="str">
        <f>+W2</f>
        <v>CPA Compra Divisas 0 T/C 0</v>
      </c>
      <c r="X3" s="13"/>
      <c r="Y3" s="18">
        <f>+X2</f>
        <v>0</v>
      </c>
      <c r="AD3" s="1">
        <v>45567</v>
      </c>
      <c r="AE3" s="26">
        <f>HLOOKUP(AD3,Hoja2!$R$2:$AV$97,96,FALSE)</f>
        <v>500000</v>
      </c>
      <c r="AF3" s="77">
        <f>HLOOKUP(AD3,Hoja2!$R$2:$AV$98,97,FALSE)</f>
        <v>901.13</v>
      </c>
      <c r="AG3" s="26" t="str">
        <f>HLOOKUP(AD3,Hoja2!$R$2:$AV$99,98,FALSE)</f>
        <v>500K</v>
      </c>
      <c r="AH3" s="79">
        <f>HLOOKUP(AD3,Hoja2!$R$2:$AV$100,99,FALSE)</f>
        <v>450565000</v>
      </c>
      <c r="AJ3" s="11"/>
      <c r="AK3" s="12">
        <v>110323</v>
      </c>
      <c r="AL3" s="12" t="s">
        <v>179</v>
      </c>
      <c r="AM3" s="12" t="str">
        <f>+AM2</f>
        <v>CPA Fondeo Renta4 USD a NIUM 600K USD T/C 897,68</v>
      </c>
      <c r="AN3" s="13"/>
      <c r="AO3" s="18">
        <f>+AN2</f>
        <v>538608000</v>
      </c>
      <c r="AT3" s="1">
        <v>45567</v>
      </c>
      <c r="AU3" s="26">
        <f>HLOOKUP(AT3,Hoja2!$R$2:$AV$101,100,FALSE)</f>
        <v>0</v>
      </c>
      <c r="AV3" s="77">
        <f>HLOOKUP(AT3,Hoja2!$R$2:$AV$102,101,FALSE)</f>
        <v>901.13</v>
      </c>
      <c r="AW3" s="26">
        <f>HLOOKUP(AT3,Hoja2!$R$2:$AV$103,102,FALSE)</f>
        <v>0</v>
      </c>
      <c r="AX3" s="79">
        <f>HLOOKUP(AT3,Hoja2!$R$2:$AV$104,103,FALSE)</f>
        <v>0</v>
      </c>
      <c r="AZ3" s="11"/>
      <c r="BA3" s="12">
        <v>110323</v>
      </c>
      <c r="BB3" s="12" t="s">
        <v>179</v>
      </c>
      <c r="BC3" s="12" t="str">
        <f>+BC2</f>
        <v>CPA Fondeo Renta4 USD a JPM COL 0 USD T/C 897,68</v>
      </c>
      <c r="BD3" s="13"/>
      <c r="BE3" s="18">
        <f>+BD2</f>
        <v>0</v>
      </c>
      <c r="BI3" s="1">
        <v>45567</v>
      </c>
      <c r="BJ3" s="26">
        <f>HLOOKUP(BI3,Hoja2!$R$2:$AV$120,119,FALSE)</f>
        <v>0</v>
      </c>
      <c r="BK3" s="77">
        <f>HLOOKUP(BI3,Hoja2!$R$2:$AV$118,117,FALSE)</f>
        <v>901.13</v>
      </c>
      <c r="BL3" s="26">
        <f>HLOOKUP(BI3,Hoja2!$R$2:$AV$119,118,FALSE)</f>
        <v>0</v>
      </c>
      <c r="BM3" s="79">
        <f>HLOOKUP(BI3,Hoja2!$R$2:$AV$117,116,FALSE)</f>
        <v>0</v>
      </c>
      <c r="BO3" s="11"/>
      <c r="BP3" s="12">
        <v>110323</v>
      </c>
      <c r="BQ3" s="12" t="s">
        <v>179</v>
      </c>
      <c r="BR3" s="12" t="str">
        <f>+BR2</f>
        <v>CPA Fondeo Renta4 USD a OZ CAMBIO 0 USD T/C 897,68</v>
      </c>
      <c r="BS3" s="13"/>
      <c r="BT3" s="18">
        <f>+BS2</f>
        <v>0</v>
      </c>
      <c r="BX3" s="1">
        <v>45567</v>
      </c>
      <c r="BY3" s="26">
        <f>HLOOKUP(BX3,Hoja2!$R$2:$AV$82,81,FALSE)</f>
        <v>0</v>
      </c>
      <c r="BZ3" s="77">
        <f>HLOOKUP(BX3,Hoja2!$R$2:$AV$83,82,FALSE)</f>
        <v>0</v>
      </c>
      <c r="CA3" s="26">
        <f>HLOOKUP(BX3,Hoja2!$R$2:$AV$84,83,FALSE)</f>
        <v>0</v>
      </c>
      <c r="CB3" s="79">
        <f>HLOOKUP(BX3,Hoja2!$R$2:$AV$85,84,FALSE)</f>
        <v>0</v>
      </c>
      <c r="CD3" s="11"/>
      <c r="CE3" s="12">
        <v>110296</v>
      </c>
      <c r="CF3" s="12" t="s">
        <v>123</v>
      </c>
      <c r="CG3" s="12" t="str">
        <f>+CG2</f>
        <v>CPA Fondeo MBI USD a BICE USD 0 USD T/C 0</v>
      </c>
      <c r="CH3" s="13"/>
      <c r="CI3" s="18">
        <f>+CH2</f>
        <v>0</v>
      </c>
    </row>
    <row r="4" spans="1:87" x14ac:dyDescent="0.25">
      <c r="A4" s="1">
        <v>45568</v>
      </c>
      <c r="B4" s="26">
        <f>HLOOKUP(A4,Hoja2!$R$2:$AV$92,91,FALSE)</f>
        <v>460150000</v>
      </c>
      <c r="E4" s="15">
        <v>45445</v>
      </c>
      <c r="F4" s="8">
        <v>110322</v>
      </c>
      <c r="G4" s="8" t="s">
        <v>178</v>
      </c>
      <c r="H4" s="8" t="str">
        <f>"CPA Traspaso de Fondos Bco. BCI 648 a Renta4 "</f>
        <v xml:space="preserve">CPA Traspaso de Fondos Bco. BCI 648 a Renta4 </v>
      </c>
      <c r="I4" s="16">
        <f>+B3</f>
        <v>456150000</v>
      </c>
      <c r="J4" s="17"/>
      <c r="N4" s="1">
        <v>45568</v>
      </c>
      <c r="O4" s="26">
        <f>HLOOKUP(N4,Hoja2!$R$2:$AV$96,95,FALSE)</f>
        <v>0</v>
      </c>
      <c r="P4" s="77">
        <f>HLOOKUP(N4,Hoja2!$R$2:$AV$94,93,FALSE)</f>
        <v>0</v>
      </c>
      <c r="Q4" s="26">
        <f>HLOOKUP(N4,Hoja2!$R$2:$AV$95,94,FALSE)</f>
        <v>0</v>
      </c>
      <c r="R4" s="26"/>
      <c r="T4" s="15">
        <v>45445</v>
      </c>
      <c r="U4">
        <v>110323</v>
      </c>
      <c r="V4" t="s">
        <v>179</v>
      </c>
      <c r="W4" t="str">
        <f>"CPA Compra Divisas " &amp;Q3&amp;" T/C "&amp;P3</f>
        <v>CPA Compra Divisas 0 T/C 0</v>
      </c>
      <c r="X4" s="3">
        <f>+O3</f>
        <v>0</v>
      </c>
      <c r="Y4" s="10"/>
      <c r="AD4" s="1">
        <v>45568</v>
      </c>
      <c r="AE4" s="26">
        <f>HLOOKUP(AD4,Hoja2!$R$2:$AV$97,96,FALSE)</f>
        <v>500000</v>
      </c>
      <c r="AF4" s="77">
        <f>HLOOKUP(AD4,Hoja2!$R$2:$AV$98,97,FALSE)</f>
        <v>908.23</v>
      </c>
      <c r="AG4" s="26" t="str">
        <f>HLOOKUP(AD4,Hoja2!$R$2:$AV$99,98,FALSE)</f>
        <v>500K</v>
      </c>
      <c r="AH4" s="79">
        <f>HLOOKUP(AD4,Hoja2!$R$2:$AV$100,99,FALSE)</f>
        <v>454115000</v>
      </c>
      <c r="AJ4" s="15">
        <v>45445</v>
      </c>
      <c r="AK4" s="8">
        <v>110275</v>
      </c>
      <c r="AL4" t="s">
        <v>82</v>
      </c>
      <c r="AM4" t="str">
        <f>"CPA Fondeo Renta4 USD a NIUM " &amp;AG3&amp;" USD T/C "&amp;AF3</f>
        <v>CPA Fondeo Renta4 USD a NIUM 500K USD T/C 901,13</v>
      </c>
      <c r="AN4" s="3">
        <f>+AH3</f>
        <v>450565000</v>
      </c>
      <c r="AO4" s="10"/>
      <c r="AT4" s="1">
        <v>45568</v>
      </c>
      <c r="AU4" s="26">
        <f>HLOOKUP(AT4,Hoja2!$R$2:$AV$101,100,FALSE)</f>
        <v>0</v>
      </c>
      <c r="AV4" s="77">
        <f>HLOOKUP(AT4,Hoja2!$R$2:$AV$102,101,FALSE)</f>
        <v>908.23</v>
      </c>
      <c r="AW4" s="26">
        <f>HLOOKUP(AT4,Hoja2!$R$2:$AV$103,102,FALSE)</f>
        <v>0</v>
      </c>
      <c r="AX4" s="79">
        <f>HLOOKUP(AT4,Hoja2!$R$2:$AV$104,103,FALSE)</f>
        <v>0</v>
      </c>
      <c r="AZ4" s="15">
        <v>45445</v>
      </c>
      <c r="BA4">
        <v>110820</v>
      </c>
      <c r="BB4" t="s">
        <v>92</v>
      </c>
      <c r="BC4" t="str">
        <f>"CPA Fondeo Renta4 USD a JPM COL "&amp;AW3&amp;" USD T/C "&amp;AV3&amp;""</f>
        <v>CPA Fondeo Renta4 USD a JPM COL 0 USD T/C 901,13</v>
      </c>
      <c r="BD4" s="3">
        <f>+AX3</f>
        <v>0</v>
      </c>
      <c r="BE4" s="10"/>
      <c r="BI4" s="1">
        <v>45568</v>
      </c>
      <c r="BJ4" s="26">
        <f>HLOOKUP(BI4,Hoja2!$R$2:$AV$120,119,FALSE)</f>
        <v>0</v>
      </c>
      <c r="BK4" s="77">
        <f>HLOOKUP(BI4,Hoja2!$R$2:$AV$118,117,FALSE)</f>
        <v>908.23</v>
      </c>
      <c r="BL4" s="26">
        <f>HLOOKUP(BI4,Hoja2!$R$2:$AV$119,118,FALSE)</f>
        <v>0</v>
      </c>
      <c r="BM4" s="79">
        <f>HLOOKUP(BI4,Hoja2!$R$2:$AV$117,116,FALSE)</f>
        <v>0</v>
      </c>
      <c r="BO4" s="15">
        <v>45445</v>
      </c>
      <c r="BP4">
        <v>110292</v>
      </c>
      <c r="BQ4" t="s">
        <v>153</v>
      </c>
      <c r="BR4" t="str">
        <f>"CPA Fondeo Renta4 USD a OZ CAMBIO "&amp;BL3&amp;" USD T/C "&amp;BK3&amp;""</f>
        <v>CPA Fondeo Renta4 USD a OZ CAMBIO 0 USD T/C 901,13</v>
      </c>
      <c r="BS4" s="3">
        <f>+BJ3</f>
        <v>0</v>
      </c>
      <c r="BT4" s="10"/>
      <c r="BX4" s="1">
        <v>45568</v>
      </c>
      <c r="BY4" s="26">
        <f>HLOOKUP(BX4,Hoja2!$R$2:$AV$82,81,FALSE)</f>
        <v>0</v>
      </c>
      <c r="BZ4" s="77">
        <f>HLOOKUP(BX4,Hoja2!$R$2:$AV$83,82,FALSE)</f>
        <v>0</v>
      </c>
      <c r="CA4" s="26">
        <f>HLOOKUP(BX4,Hoja2!$R$2:$AV$84,83,FALSE)</f>
        <v>0</v>
      </c>
      <c r="CB4" s="79">
        <f>HLOOKUP(BX4,Hoja2!$R$2:$AV$85,84,FALSE)</f>
        <v>0</v>
      </c>
      <c r="CD4" s="15">
        <v>45445</v>
      </c>
      <c r="CE4">
        <v>110205</v>
      </c>
      <c r="CF4" t="s">
        <v>154</v>
      </c>
      <c r="CG4" t="str">
        <f>"CPA Fondeo MBI USD a BICE USD "&amp;CA3&amp;" USD T/C "&amp;BZ3&amp;""</f>
        <v>CPA Fondeo MBI USD a BICE USD 0 USD T/C 0</v>
      </c>
      <c r="CH4" s="3">
        <f>+CB3</f>
        <v>0</v>
      </c>
      <c r="CI4" s="10"/>
    </row>
    <row r="5" spans="1:87" x14ac:dyDescent="0.25">
      <c r="A5" s="1">
        <v>45569</v>
      </c>
      <c r="B5" s="26">
        <f>HLOOKUP(A5,Hoja2!$R$2:$AV$92,91,FALSE)</f>
        <v>462150000</v>
      </c>
      <c r="E5" s="11"/>
      <c r="F5" s="12">
        <v>110208</v>
      </c>
      <c r="G5" s="12" t="s">
        <v>46</v>
      </c>
      <c r="H5" s="12" t="str">
        <f t="shared" ref="H5" si="0">H4</f>
        <v xml:space="preserve">CPA Traspaso de Fondos Bco. BCI 648 a Renta4 </v>
      </c>
      <c r="I5" s="13"/>
      <c r="J5" s="18">
        <f>I4</f>
        <v>456150000</v>
      </c>
      <c r="N5" s="1">
        <v>45569</v>
      </c>
      <c r="O5" s="26">
        <f>HLOOKUP(N5,Hoja2!$R$2:$AV$96,95,FALSE)</f>
        <v>0</v>
      </c>
      <c r="P5" s="77">
        <f>HLOOKUP(N5,Hoja2!$R$2:$AV$94,93,FALSE)</f>
        <v>0</v>
      </c>
      <c r="Q5" s="26">
        <f>HLOOKUP(N5,Hoja2!$R$2:$AV$95,94,FALSE)</f>
        <v>0</v>
      </c>
      <c r="R5" s="26"/>
      <c r="T5" s="11"/>
      <c r="U5" s="12">
        <v>110322</v>
      </c>
      <c r="V5" s="12" t="s">
        <v>178</v>
      </c>
      <c r="W5" s="12" t="str">
        <f>+W4</f>
        <v>CPA Compra Divisas 0 T/C 0</v>
      </c>
      <c r="X5" s="13"/>
      <c r="Y5" s="18">
        <f t="shared" ref="Y5" si="1">+X4</f>
        <v>0</v>
      </c>
      <c r="AD5" s="1">
        <v>45569</v>
      </c>
      <c r="AE5" s="26">
        <f>HLOOKUP(AD5,Hoja2!$R$2:$AV$97,96,FALSE)</f>
        <v>750000</v>
      </c>
      <c r="AF5" s="77">
        <f>HLOOKUP(AD5,Hoja2!$R$2:$AV$98,97,FALSE)</f>
        <v>919.49</v>
      </c>
      <c r="AG5" s="26" t="str">
        <f>HLOOKUP(AD5,Hoja2!$R$2:$AV$99,98,FALSE)</f>
        <v>750K</v>
      </c>
      <c r="AH5" s="79">
        <f>HLOOKUP(AD5,Hoja2!$R$2:$AV$100,99,FALSE)</f>
        <v>689617500</v>
      </c>
      <c r="AJ5" s="11"/>
      <c r="AK5" s="12">
        <v>110323</v>
      </c>
      <c r="AL5" s="12" t="s">
        <v>179</v>
      </c>
      <c r="AM5" s="12" t="str">
        <f>+AM4</f>
        <v>CPA Fondeo Renta4 USD a NIUM 500K USD T/C 901,13</v>
      </c>
      <c r="AN5" s="13"/>
      <c r="AO5" s="18">
        <f t="shared" ref="AO5" si="2">+AN4</f>
        <v>450565000</v>
      </c>
      <c r="AT5" s="1">
        <v>45569</v>
      </c>
      <c r="AU5" s="26">
        <f>HLOOKUP(AT5,Hoja2!$R$2:$AV$101,100,FALSE)</f>
        <v>0</v>
      </c>
      <c r="AV5" s="77">
        <f>HLOOKUP(AT5,Hoja2!$R$2:$AV$102,101,FALSE)</f>
        <v>919.49</v>
      </c>
      <c r="AW5" s="26">
        <f>HLOOKUP(AT5,Hoja2!$R$2:$AV$103,102,FALSE)</f>
        <v>0</v>
      </c>
      <c r="AX5" s="79">
        <f>HLOOKUP(AT5,Hoja2!$R$2:$AV$104,103,FALSE)</f>
        <v>0</v>
      </c>
      <c r="AZ5" s="11"/>
      <c r="BA5" s="12">
        <v>110323</v>
      </c>
      <c r="BB5" s="12" t="s">
        <v>179</v>
      </c>
      <c r="BC5" s="12" t="str">
        <f>+BC4</f>
        <v>CPA Fondeo Renta4 USD a JPM COL 0 USD T/C 901,13</v>
      </c>
      <c r="BD5" s="13"/>
      <c r="BE5" s="18">
        <f t="shared" ref="BE5" si="3">+BD4</f>
        <v>0</v>
      </c>
      <c r="BI5" s="1">
        <v>45569</v>
      </c>
      <c r="BJ5" s="26">
        <f>HLOOKUP(BI5,Hoja2!$R$2:$AV$120,119,FALSE)</f>
        <v>0</v>
      </c>
      <c r="BK5" s="77">
        <f>HLOOKUP(BI5,Hoja2!$R$2:$AV$118,117,FALSE)</f>
        <v>919.49</v>
      </c>
      <c r="BL5" s="26">
        <f>HLOOKUP(BI5,Hoja2!$R$2:$AV$119,118,FALSE)</f>
        <v>0</v>
      </c>
      <c r="BM5" s="79">
        <f>HLOOKUP(BI5,Hoja2!$R$2:$AV$117,116,FALSE)</f>
        <v>0</v>
      </c>
      <c r="BO5" s="11"/>
      <c r="BP5" s="12">
        <v>110323</v>
      </c>
      <c r="BQ5" s="12" t="s">
        <v>179</v>
      </c>
      <c r="BR5" s="12" t="str">
        <f>+BR4</f>
        <v>CPA Fondeo Renta4 USD a OZ CAMBIO 0 USD T/C 901,13</v>
      </c>
      <c r="BS5" s="13"/>
      <c r="BT5" s="18">
        <f t="shared" ref="BT5" si="4">+BS4</f>
        <v>0</v>
      </c>
      <c r="BX5" s="1">
        <v>45569</v>
      </c>
      <c r="BY5" s="26">
        <f>HLOOKUP(BX5,Hoja2!$R$2:$AV$82,81,FALSE)</f>
        <v>0</v>
      </c>
      <c r="BZ5" s="77">
        <f>HLOOKUP(BX5,Hoja2!$R$2:$AV$83,82,FALSE)</f>
        <v>0</v>
      </c>
      <c r="CA5" s="26">
        <f>HLOOKUP(BX5,Hoja2!$R$2:$AV$84,83,FALSE)</f>
        <v>0</v>
      </c>
      <c r="CB5" s="79">
        <f>HLOOKUP(BX5,Hoja2!$R$2:$AV$85,84,FALSE)</f>
        <v>0</v>
      </c>
      <c r="CD5" s="11"/>
      <c r="CE5" s="12">
        <v>110296</v>
      </c>
      <c r="CF5" s="12" t="s">
        <v>123</v>
      </c>
      <c r="CG5" s="12" t="str">
        <f>+CG4</f>
        <v>CPA Fondeo MBI USD a BICE USD 0 USD T/C 0</v>
      </c>
      <c r="CH5" s="13"/>
      <c r="CI5" s="18">
        <f t="shared" ref="CI5" si="5">+CH4</f>
        <v>0</v>
      </c>
    </row>
    <row r="6" spans="1:87" x14ac:dyDescent="0.25">
      <c r="A6" s="1">
        <v>45570</v>
      </c>
      <c r="B6" s="26" t="str">
        <f>HLOOKUP(A6,Hoja2!$R$2:$AV$92,91,FALSE)</f>
        <v>-</v>
      </c>
      <c r="E6" s="15">
        <v>45446</v>
      </c>
      <c r="F6" s="8">
        <v>110322</v>
      </c>
      <c r="G6" s="8" t="s">
        <v>178</v>
      </c>
      <c r="H6" s="8" t="str">
        <f>"CPA Traspaso de Fondos Bco. BCI 648 a Renta4 "</f>
        <v xml:space="preserve">CPA Traspaso de Fondos Bco. BCI 648 a Renta4 </v>
      </c>
      <c r="I6" s="16">
        <f>+B4</f>
        <v>460150000</v>
      </c>
      <c r="J6" s="17"/>
      <c r="N6" s="1">
        <v>45570</v>
      </c>
      <c r="O6" s="26">
        <f>HLOOKUP(N6,Hoja2!$R$2:$AV$96,95,FALSE)</f>
        <v>0</v>
      </c>
      <c r="P6" s="77">
        <f>HLOOKUP(N6,Hoja2!$R$2:$AV$94,93,FALSE)</f>
        <v>0</v>
      </c>
      <c r="Q6" s="26">
        <f>HLOOKUP(N6,Hoja2!$R$2:$AV$95,94,FALSE)</f>
        <v>0</v>
      </c>
      <c r="R6" s="26"/>
      <c r="T6" s="15">
        <v>45446</v>
      </c>
      <c r="U6">
        <v>110323</v>
      </c>
      <c r="V6" t="s">
        <v>179</v>
      </c>
      <c r="W6" t="str">
        <f>"CPA Compra Divisas " &amp;Q4&amp;" T/C "&amp;P4</f>
        <v>CPA Compra Divisas 0 T/C 0</v>
      </c>
      <c r="X6" s="3">
        <f>+O4</f>
        <v>0</v>
      </c>
      <c r="Y6" s="10"/>
      <c r="AD6" s="1">
        <v>45570</v>
      </c>
      <c r="AE6" s="26">
        <f>HLOOKUP(AD6,Hoja2!$R$2:$AV$97,96,FALSE)</f>
        <v>0</v>
      </c>
      <c r="AF6" s="77">
        <f>HLOOKUP(AD6,Hoja2!$R$2:$AV$98,97,FALSE)</f>
        <v>919.49</v>
      </c>
      <c r="AG6" s="26">
        <f>HLOOKUP(AD6,Hoja2!$R$2:$AV$99,98,FALSE)</f>
        <v>0</v>
      </c>
      <c r="AH6" s="79">
        <f>HLOOKUP(AD6,Hoja2!$R$2:$AV$100,99,FALSE)</f>
        <v>0</v>
      </c>
      <c r="AJ6" s="15">
        <v>45446</v>
      </c>
      <c r="AK6" s="8">
        <v>110275</v>
      </c>
      <c r="AL6" t="s">
        <v>82</v>
      </c>
      <c r="AM6" t="str">
        <f>"CPA Fondeo Renta4 USD a NIUM " &amp;AG4&amp;" USD T/C "&amp;AF4</f>
        <v>CPA Fondeo Renta4 USD a NIUM 500K USD T/C 908,23</v>
      </c>
      <c r="AN6" s="3">
        <f>+AH4</f>
        <v>454115000</v>
      </c>
      <c r="AO6" s="10"/>
      <c r="AT6" s="1">
        <v>45570</v>
      </c>
      <c r="AU6" s="26">
        <f>HLOOKUP(AT6,Hoja2!$R$2:$AV$101,100,FALSE)</f>
        <v>0</v>
      </c>
      <c r="AV6" s="77">
        <f>HLOOKUP(AT6,Hoja2!$R$2:$AV$102,101,FALSE)</f>
        <v>919.49</v>
      </c>
      <c r="AW6" s="26">
        <f>HLOOKUP(AT6,Hoja2!$R$2:$AV$103,102,FALSE)</f>
        <v>0</v>
      </c>
      <c r="AX6" s="79">
        <f>HLOOKUP(AT6,Hoja2!$R$2:$AV$104,103,FALSE)</f>
        <v>0</v>
      </c>
      <c r="AZ6" s="15">
        <v>45446</v>
      </c>
      <c r="BA6">
        <v>110820</v>
      </c>
      <c r="BB6" t="s">
        <v>92</v>
      </c>
      <c r="BC6" t="str">
        <f>"CPA Fondeo Renta4 USD a JPM COL "&amp;AW4&amp;" USD T/C "&amp;AV4&amp;""</f>
        <v>CPA Fondeo Renta4 USD a JPM COL 0 USD T/C 908,23</v>
      </c>
      <c r="BD6" s="3">
        <f>+AX4</f>
        <v>0</v>
      </c>
      <c r="BE6" s="10"/>
      <c r="BI6" s="1">
        <v>45570</v>
      </c>
      <c r="BJ6" s="26">
        <f>HLOOKUP(BI6,Hoja2!$R$2:$AV$120,119,FALSE)</f>
        <v>0</v>
      </c>
      <c r="BK6" s="77">
        <f>HLOOKUP(BI6,Hoja2!$R$2:$AV$118,117,FALSE)</f>
        <v>919.49</v>
      </c>
      <c r="BL6" s="26">
        <f>HLOOKUP(BI6,Hoja2!$R$2:$AV$119,118,FALSE)</f>
        <v>0</v>
      </c>
      <c r="BM6" s="79">
        <f>HLOOKUP(BI6,Hoja2!$R$2:$AV$117,116,FALSE)</f>
        <v>0</v>
      </c>
      <c r="BO6" s="15">
        <v>45446</v>
      </c>
      <c r="BP6">
        <v>110292</v>
      </c>
      <c r="BQ6" t="s">
        <v>153</v>
      </c>
      <c r="BR6" t="str">
        <f>"CPA Fondeo Renta4 USD a OZ CAMBIO "&amp;BL4&amp;" USD T/C "&amp;BK4&amp;""</f>
        <v>CPA Fondeo Renta4 USD a OZ CAMBIO 0 USD T/C 908,23</v>
      </c>
      <c r="BS6" s="3">
        <f>+BJ4</f>
        <v>0</v>
      </c>
      <c r="BT6" s="10"/>
      <c r="BX6" s="1">
        <v>45570</v>
      </c>
      <c r="BY6" s="26">
        <f>HLOOKUP(BX6,Hoja2!$R$2:$AV$82,81,FALSE)</f>
        <v>0</v>
      </c>
      <c r="BZ6" s="77">
        <f>HLOOKUP(BX6,Hoja2!$R$2:$AV$83,82,FALSE)</f>
        <v>0</v>
      </c>
      <c r="CA6" s="26">
        <f>HLOOKUP(BX6,Hoja2!$R$2:$AV$84,83,FALSE)</f>
        <v>0</v>
      </c>
      <c r="CB6" s="79">
        <f>HLOOKUP(BX6,Hoja2!$R$2:$AV$85,84,FALSE)</f>
        <v>0</v>
      </c>
      <c r="CD6" s="15">
        <v>45446</v>
      </c>
      <c r="CE6">
        <v>110205</v>
      </c>
      <c r="CF6" t="s">
        <v>154</v>
      </c>
      <c r="CG6" t="str">
        <f>"CPA Fondeo MBI USD a BICE USD "&amp;CA4&amp;" USD T/C "&amp;BZ4&amp;""</f>
        <v>CPA Fondeo MBI USD a BICE USD 0 USD T/C 0</v>
      </c>
      <c r="CH6" s="3">
        <f>+CB4</f>
        <v>0</v>
      </c>
      <c r="CI6" s="10"/>
    </row>
    <row r="7" spans="1:87" x14ac:dyDescent="0.25">
      <c r="A7" s="1">
        <v>45571</v>
      </c>
      <c r="B7" s="26" t="str">
        <f>HLOOKUP(A7,Hoja2!$R$2:$AV$92,91,FALSE)</f>
        <v>-</v>
      </c>
      <c r="E7" s="11"/>
      <c r="F7" s="12">
        <v>110208</v>
      </c>
      <c r="G7" s="12" t="s">
        <v>46</v>
      </c>
      <c r="H7" s="12" t="str">
        <f t="shared" ref="H7" si="6">H6</f>
        <v xml:space="preserve">CPA Traspaso de Fondos Bco. BCI 648 a Renta4 </v>
      </c>
      <c r="I7" s="13"/>
      <c r="J7" s="18">
        <f>I6</f>
        <v>460150000</v>
      </c>
      <c r="N7" s="1">
        <v>45571</v>
      </c>
      <c r="O7" s="26">
        <f>HLOOKUP(N7,Hoja2!$R$2:$AV$96,95,FALSE)</f>
        <v>0</v>
      </c>
      <c r="P7" s="77">
        <f>HLOOKUP(N7,Hoja2!$R$2:$AV$94,93,FALSE)</f>
        <v>0</v>
      </c>
      <c r="Q7" s="26">
        <f>HLOOKUP(N7,Hoja2!$R$2:$AV$95,94,FALSE)</f>
        <v>0</v>
      </c>
      <c r="R7" s="26"/>
      <c r="T7" s="11"/>
      <c r="U7" s="12">
        <v>110322</v>
      </c>
      <c r="V7" s="12" t="s">
        <v>178</v>
      </c>
      <c r="W7" s="12" t="str">
        <f>+W6</f>
        <v>CPA Compra Divisas 0 T/C 0</v>
      </c>
      <c r="X7" s="13"/>
      <c r="Y7" s="18">
        <f t="shared" ref="Y7" si="7">+X6</f>
        <v>0</v>
      </c>
      <c r="AD7" s="1">
        <v>45571</v>
      </c>
      <c r="AE7" s="26">
        <f>HLOOKUP(AD7,Hoja2!$R$2:$AV$97,96,FALSE)</f>
        <v>0</v>
      </c>
      <c r="AF7" s="77">
        <f>HLOOKUP(AD7,Hoja2!$R$2:$AV$98,97,FALSE)</f>
        <v>919.49</v>
      </c>
      <c r="AG7" s="26">
        <f>HLOOKUP(AD7,Hoja2!$R$2:$AV$99,98,FALSE)</f>
        <v>0</v>
      </c>
      <c r="AH7" s="79">
        <f>HLOOKUP(AD7,Hoja2!$R$2:$AV$100,99,FALSE)</f>
        <v>0</v>
      </c>
      <c r="AJ7" s="11"/>
      <c r="AK7" s="12">
        <v>110323</v>
      </c>
      <c r="AL7" s="12" t="s">
        <v>179</v>
      </c>
      <c r="AM7" s="12" t="str">
        <f>+AM6</f>
        <v>CPA Fondeo Renta4 USD a NIUM 500K USD T/C 908,23</v>
      </c>
      <c r="AN7" s="13"/>
      <c r="AO7" s="18">
        <f t="shared" ref="AO7:AO63" si="8">+AN6</f>
        <v>454115000</v>
      </c>
      <c r="AT7" s="1">
        <v>45571</v>
      </c>
      <c r="AU7" s="26">
        <f>HLOOKUP(AT7,Hoja2!$R$2:$AV$101,100,FALSE)</f>
        <v>0</v>
      </c>
      <c r="AV7" s="77">
        <f>HLOOKUP(AT7,Hoja2!$R$2:$AV$102,101,FALSE)</f>
        <v>919.49</v>
      </c>
      <c r="AW7" s="26">
        <f>HLOOKUP(AT7,Hoja2!$R$2:$AV$103,102,FALSE)</f>
        <v>0</v>
      </c>
      <c r="AX7" s="79">
        <f>HLOOKUP(AT7,Hoja2!$R$2:$AV$104,103,FALSE)</f>
        <v>0</v>
      </c>
      <c r="AZ7" s="11"/>
      <c r="BA7" s="12">
        <v>110323</v>
      </c>
      <c r="BB7" s="12" t="s">
        <v>179</v>
      </c>
      <c r="BC7" s="12" t="str">
        <f>+BC6</f>
        <v>CPA Fondeo Renta4 USD a JPM COL 0 USD T/C 908,23</v>
      </c>
      <c r="BD7" s="13"/>
      <c r="BE7" s="18">
        <f t="shared" ref="BE7:BE63" si="9">+BD6</f>
        <v>0</v>
      </c>
      <c r="BI7" s="1">
        <v>45571</v>
      </c>
      <c r="BJ7" s="26">
        <f>HLOOKUP(BI7,Hoja2!$R$2:$AV$120,119,FALSE)</f>
        <v>0</v>
      </c>
      <c r="BK7" s="77">
        <f>HLOOKUP(BI7,Hoja2!$R$2:$AV$118,117,FALSE)</f>
        <v>919.49</v>
      </c>
      <c r="BL7" s="26">
        <f>HLOOKUP(BI7,Hoja2!$R$2:$AV$119,118,FALSE)</f>
        <v>0</v>
      </c>
      <c r="BM7" s="79">
        <f>HLOOKUP(BI7,Hoja2!$R$2:$AV$117,116,FALSE)</f>
        <v>0</v>
      </c>
      <c r="BO7" s="11"/>
      <c r="BP7" s="12">
        <v>110323</v>
      </c>
      <c r="BQ7" s="12" t="s">
        <v>179</v>
      </c>
      <c r="BR7" s="12" t="str">
        <f>+BR6</f>
        <v>CPA Fondeo Renta4 USD a OZ CAMBIO 0 USD T/C 908,23</v>
      </c>
      <c r="BS7" s="13"/>
      <c r="BT7" s="18">
        <f t="shared" ref="BT7" si="10">+BS6</f>
        <v>0</v>
      </c>
      <c r="BX7" s="1">
        <v>45571</v>
      </c>
      <c r="BY7" s="26">
        <f>HLOOKUP(BX7,Hoja2!$R$2:$AV$82,81,FALSE)</f>
        <v>0</v>
      </c>
      <c r="BZ7" s="77">
        <f>HLOOKUP(BX7,Hoja2!$R$2:$AV$83,82,FALSE)</f>
        <v>0</v>
      </c>
      <c r="CA7" s="26">
        <f>HLOOKUP(BX7,Hoja2!$R$2:$AV$84,83,FALSE)</f>
        <v>0</v>
      </c>
      <c r="CB7" s="79">
        <f>HLOOKUP(BX7,Hoja2!$R$2:$AV$85,84,FALSE)</f>
        <v>0</v>
      </c>
      <c r="CD7" s="11"/>
      <c r="CE7" s="12">
        <v>110296</v>
      </c>
      <c r="CF7" s="12" t="s">
        <v>123</v>
      </c>
      <c r="CG7" s="12" t="str">
        <f>+CG6</f>
        <v>CPA Fondeo MBI USD a BICE USD 0 USD T/C 0</v>
      </c>
      <c r="CH7" s="13"/>
      <c r="CI7" s="18">
        <f t="shared" ref="CI7" si="11">+CH6</f>
        <v>0</v>
      </c>
    </row>
    <row r="8" spans="1:87" x14ac:dyDescent="0.25">
      <c r="A8" s="1">
        <v>45572</v>
      </c>
      <c r="B8" s="26" t="str">
        <f>HLOOKUP(A8,Hoja2!$R$2:$AV$92,91,FALSE)</f>
        <v>-</v>
      </c>
      <c r="E8" s="15">
        <v>45447</v>
      </c>
      <c r="F8" s="8">
        <v>110322</v>
      </c>
      <c r="G8" s="8" t="s">
        <v>178</v>
      </c>
      <c r="H8" s="8" t="str">
        <f>"CPA Traspaso de Fondos Bco. BCI 648 a Renta4 "</f>
        <v xml:space="preserve">CPA Traspaso de Fondos Bco. BCI 648 a Renta4 </v>
      </c>
      <c r="I8" s="16">
        <f>+B5</f>
        <v>462150000</v>
      </c>
      <c r="J8" s="17"/>
      <c r="N8" s="1">
        <v>45572</v>
      </c>
      <c r="O8" s="26">
        <f>HLOOKUP(N8,Hoja2!$R$2:$AV$96,95,FALSE)</f>
        <v>0</v>
      </c>
      <c r="P8" s="77">
        <f>HLOOKUP(N8,Hoja2!$R$2:$AV$94,93,FALSE)</f>
        <v>0</v>
      </c>
      <c r="Q8" s="26">
        <f>HLOOKUP(N8,Hoja2!$R$2:$AV$95,94,FALSE)</f>
        <v>0</v>
      </c>
      <c r="R8" s="26"/>
      <c r="T8" s="15">
        <v>45447</v>
      </c>
      <c r="U8">
        <v>110323</v>
      </c>
      <c r="V8" t="s">
        <v>179</v>
      </c>
      <c r="W8" t="str">
        <f>"CPA Compra Divisas " &amp;Q5&amp;" T/C "&amp;P5</f>
        <v>CPA Compra Divisas 0 T/C 0</v>
      </c>
      <c r="X8" s="3">
        <f>+O5</f>
        <v>0</v>
      </c>
      <c r="Y8" s="10"/>
      <c r="AD8" s="1">
        <v>45572</v>
      </c>
      <c r="AE8" s="26">
        <f>HLOOKUP(AD8,Hoja2!$R$2:$AV$97,96,FALSE)</f>
        <v>0</v>
      </c>
      <c r="AF8" s="77">
        <f>HLOOKUP(AD8,Hoja2!$R$2:$AV$98,97,FALSE)</f>
        <v>923.74</v>
      </c>
      <c r="AG8" s="26">
        <f>HLOOKUP(AD8,Hoja2!$R$2:$AV$99,98,FALSE)</f>
        <v>0</v>
      </c>
      <c r="AH8" s="79">
        <f>HLOOKUP(AD8,Hoja2!$R$2:$AV$100,99,FALSE)</f>
        <v>0</v>
      </c>
      <c r="AJ8" s="15">
        <v>45447</v>
      </c>
      <c r="AK8" s="8">
        <v>110275</v>
      </c>
      <c r="AL8" t="s">
        <v>82</v>
      </c>
      <c r="AM8" t="str">
        <f>"CPA Fondeo Renta4 USD a NIUM " &amp;AG5&amp;" USD T/C "&amp;AF5</f>
        <v>CPA Fondeo Renta4 USD a NIUM 750K USD T/C 919,49</v>
      </c>
      <c r="AN8" s="3">
        <f>+AH5</f>
        <v>689617500</v>
      </c>
      <c r="AO8" s="10"/>
      <c r="AT8" s="1">
        <v>45572</v>
      </c>
      <c r="AU8" s="26">
        <f>HLOOKUP(AT8,Hoja2!$R$2:$AV$101,100,FALSE)</f>
        <v>0</v>
      </c>
      <c r="AV8" s="77">
        <f>HLOOKUP(AT8,Hoja2!$R$2:$AV$102,101,FALSE)</f>
        <v>923.74</v>
      </c>
      <c r="AW8" s="26">
        <f>HLOOKUP(AT8,Hoja2!$R$2:$AV$103,102,FALSE)</f>
        <v>0</v>
      </c>
      <c r="AX8" s="79">
        <f>HLOOKUP(AT8,Hoja2!$R$2:$AV$104,103,FALSE)</f>
        <v>0</v>
      </c>
      <c r="AZ8" s="15">
        <v>45447</v>
      </c>
      <c r="BA8">
        <v>110820</v>
      </c>
      <c r="BB8" t="s">
        <v>92</v>
      </c>
      <c r="BC8" t="str">
        <f>"CPA Fondeo Renta4 USD a JPM COL "&amp;AW5&amp;" USD T/C "&amp;AV5&amp;""</f>
        <v>CPA Fondeo Renta4 USD a JPM COL 0 USD T/C 919,49</v>
      </c>
      <c r="BD8" s="3">
        <f>+AX5</f>
        <v>0</v>
      </c>
      <c r="BE8" s="10"/>
      <c r="BI8" s="1">
        <v>45572</v>
      </c>
      <c r="BJ8" s="26">
        <f>HLOOKUP(BI8,Hoja2!$R$2:$AV$120,119,FALSE)</f>
        <v>0</v>
      </c>
      <c r="BK8" s="77">
        <f>HLOOKUP(BI8,Hoja2!$R$2:$AV$118,117,FALSE)</f>
        <v>923.74</v>
      </c>
      <c r="BL8" s="26">
        <f>HLOOKUP(BI8,Hoja2!$R$2:$AV$119,118,FALSE)</f>
        <v>0</v>
      </c>
      <c r="BM8" s="79">
        <f>HLOOKUP(BI8,Hoja2!$R$2:$AV$117,116,FALSE)</f>
        <v>0</v>
      </c>
      <c r="BO8" s="15">
        <v>45447</v>
      </c>
      <c r="BP8">
        <v>110292</v>
      </c>
      <c r="BQ8" t="s">
        <v>153</v>
      </c>
      <c r="BR8" t="str">
        <f>"CPA Fondeo Renta4 USD a OZ CAMBIO "&amp;BL5&amp;" USD T/C "&amp;BK5&amp;""</f>
        <v>CPA Fondeo Renta4 USD a OZ CAMBIO 0 USD T/C 919,49</v>
      </c>
      <c r="BS8" s="3">
        <f>+BJ5</f>
        <v>0</v>
      </c>
      <c r="BT8" s="10"/>
      <c r="BX8" s="1">
        <v>45572</v>
      </c>
      <c r="BY8" s="26">
        <f>HLOOKUP(BX8,Hoja2!$R$2:$AV$82,81,FALSE)</f>
        <v>0</v>
      </c>
      <c r="BZ8" s="77">
        <f>HLOOKUP(BX8,Hoja2!$R$2:$AV$83,82,FALSE)</f>
        <v>0</v>
      </c>
      <c r="CA8" s="26">
        <f>HLOOKUP(BX8,Hoja2!$R$2:$AV$84,83,FALSE)</f>
        <v>0</v>
      </c>
      <c r="CB8" s="79">
        <f>HLOOKUP(BX8,Hoja2!$R$2:$AV$85,84,FALSE)</f>
        <v>0</v>
      </c>
      <c r="CD8" s="15">
        <v>45447</v>
      </c>
      <c r="CE8">
        <v>110205</v>
      </c>
      <c r="CF8" t="s">
        <v>154</v>
      </c>
      <c r="CG8" t="str">
        <f>"CPA Fondeo MBI USD a BICE USD "&amp;CA5&amp;" USD T/C "&amp;BZ5&amp;""</f>
        <v>CPA Fondeo MBI USD a BICE USD 0 USD T/C 0</v>
      </c>
      <c r="CH8" s="3">
        <f>+CB5</f>
        <v>0</v>
      </c>
      <c r="CI8" s="10"/>
    </row>
    <row r="9" spans="1:87" x14ac:dyDescent="0.25">
      <c r="A9" s="1">
        <v>45573</v>
      </c>
      <c r="B9" s="26" t="str">
        <f>HLOOKUP(A9,Hoja2!$R$2:$AV$92,91,FALSE)</f>
        <v>-</v>
      </c>
      <c r="E9" s="20"/>
      <c r="F9">
        <v>110208</v>
      </c>
      <c r="G9" t="s">
        <v>46</v>
      </c>
      <c r="H9" t="str">
        <f t="shared" ref="H9" si="12">H8</f>
        <v xml:space="preserve">CPA Traspaso de Fondos Bco. BCI 648 a Renta4 </v>
      </c>
      <c r="J9" s="10">
        <f>I8</f>
        <v>462150000</v>
      </c>
      <c r="N9" s="1">
        <v>45573</v>
      </c>
      <c r="O9" s="26">
        <f>HLOOKUP(N9,Hoja2!$R$2:$AV$96,95,FALSE)</f>
        <v>0</v>
      </c>
      <c r="P9" s="77">
        <f>HLOOKUP(N9,Hoja2!$R$2:$AV$94,93,FALSE)</f>
        <v>0</v>
      </c>
      <c r="Q9" s="26">
        <f>HLOOKUP(N9,Hoja2!$R$2:$AV$95,94,FALSE)</f>
        <v>0</v>
      </c>
      <c r="R9" s="26"/>
      <c r="T9" s="20"/>
      <c r="U9" s="12">
        <v>110322</v>
      </c>
      <c r="V9" s="12" t="s">
        <v>178</v>
      </c>
      <c r="W9" s="12" t="str">
        <f>+W8</f>
        <v>CPA Compra Divisas 0 T/C 0</v>
      </c>
      <c r="X9" s="13"/>
      <c r="Y9" s="18">
        <f t="shared" ref="Y9" si="13">+X8</f>
        <v>0</v>
      </c>
      <c r="AD9" s="1">
        <v>45573</v>
      </c>
      <c r="AE9" s="26">
        <f>HLOOKUP(AD9,Hoja2!$R$2:$AV$97,96,FALSE)</f>
        <v>0</v>
      </c>
      <c r="AF9" s="77">
        <f>HLOOKUP(AD9,Hoja2!$R$2:$AV$98,97,FALSE)</f>
        <v>925.86</v>
      </c>
      <c r="AG9" s="26">
        <f>HLOOKUP(AD9,Hoja2!$R$2:$AV$99,98,FALSE)</f>
        <v>0</v>
      </c>
      <c r="AH9" s="79">
        <f>HLOOKUP(AD9,Hoja2!$R$2:$AV$100,99,FALSE)</f>
        <v>0</v>
      </c>
      <c r="AJ9" s="20"/>
      <c r="AK9">
        <v>110323</v>
      </c>
      <c r="AL9" s="12" t="s">
        <v>179</v>
      </c>
      <c r="AM9" s="12" t="str">
        <f>+AM8</f>
        <v>CPA Fondeo Renta4 USD a NIUM 750K USD T/C 919,49</v>
      </c>
      <c r="AN9" s="13"/>
      <c r="AO9" s="18">
        <f t="shared" si="8"/>
        <v>689617500</v>
      </c>
      <c r="AT9" s="1">
        <v>45573</v>
      </c>
      <c r="AU9" s="26">
        <f>HLOOKUP(AT9,Hoja2!$R$2:$AV$101,100,FALSE)</f>
        <v>0</v>
      </c>
      <c r="AV9" s="77">
        <f>HLOOKUP(AT9,Hoja2!$R$2:$AV$102,101,FALSE)</f>
        <v>925.86</v>
      </c>
      <c r="AW9" s="26">
        <f>HLOOKUP(AT9,Hoja2!$R$2:$AV$103,102,FALSE)</f>
        <v>0</v>
      </c>
      <c r="AX9" s="79">
        <f>HLOOKUP(AT9,Hoja2!$R$2:$AV$104,103,FALSE)</f>
        <v>0</v>
      </c>
      <c r="AZ9" s="20"/>
      <c r="BA9" s="12">
        <v>110323</v>
      </c>
      <c r="BB9" s="12" t="s">
        <v>179</v>
      </c>
      <c r="BC9" s="12" t="str">
        <f>+BC8</f>
        <v>CPA Fondeo Renta4 USD a JPM COL 0 USD T/C 919,49</v>
      </c>
      <c r="BD9" s="13"/>
      <c r="BE9" s="18">
        <f t="shared" si="9"/>
        <v>0</v>
      </c>
      <c r="BI9" s="1">
        <v>45573</v>
      </c>
      <c r="BJ9" s="26">
        <f>HLOOKUP(BI9,Hoja2!$R$2:$AV$120,119,FALSE)</f>
        <v>0</v>
      </c>
      <c r="BK9" s="77">
        <f>HLOOKUP(BI9,Hoja2!$R$2:$AV$118,117,FALSE)</f>
        <v>925.86</v>
      </c>
      <c r="BL9" s="26">
        <f>HLOOKUP(BI9,Hoja2!$R$2:$AV$119,118,FALSE)</f>
        <v>0</v>
      </c>
      <c r="BM9" s="79">
        <f>HLOOKUP(BI9,Hoja2!$R$2:$AV$117,116,FALSE)</f>
        <v>0</v>
      </c>
      <c r="BO9" s="20"/>
      <c r="BP9" s="12">
        <v>110323</v>
      </c>
      <c r="BQ9" s="12" t="s">
        <v>179</v>
      </c>
      <c r="BR9" s="12" t="str">
        <f>+BR8</f>
        <v>CPA Fondeo Renta4 USD a OZ CAMBIO 0 USD T/C 919,49</v>
      </c>
      <c r="BS9" s="13"/>
      <c r="BT9" s="18">
        <f t="shared" ref="BT9" si="14">+BS8</f>
        <v>0</v>
      </c>
      <c r="BX9" s="1">
        <v>45573</v>
      </c>
      <c r="BY9" s="26">
        <f>HLOOKUP(BX9,Hoja2!$R$2:$AV$82,81,FALSE)</f>
        <v>0</v>
      </c>
      <c r="BZ9" s="77">
        <f>HLOOKUP(BX9,Hoja2!$R$2:$AV$83,82,FALSE)</f>
        <v>0</v>
      </c>
      <c r="CA9" s="26">
        <f>HLOOKUP(BX9,Hoja2!$R$2:$AV$84,83,FALSE)</f>
        <v>0</v>
      </c>
      <c r="CB9" s="79">
        <f>HLOOKUP(BX9,Hoja2!$R$2:$AV$85,84,FALSE)</f>
        <v>0</v>
      </c>
      <c r="CD9" s="20"/>
      <c r="CE9" s="12">
        <v>110296</v>
      </c>
      <c r="CF9" s="12" t="s">
        <v>123</v>
      </c>
      <c r="CG9" s="12" t="str">
        <f>+CG8</f>
        <v>CPA Fondeo MBI USD a BICE USD 0 USD T/C 0</v>
      </c>
      <c r="CH9" s="13"/>
      <c r="CI9" s="18">
        <f t="shared" ref="CI9" si="15">+CH8</f>
        <v>0</v>
      </c>
    </row>
    <row r="10" spans="1:87" x14ac:dyDescent="0.25">
      <c r="A10" s="1">
        <v>45574</v>
      </c>
      <c r="B10" s="26" t="str">
        <f>HLOOKUP(A10,Hoja2!$R$2:$AV$92,91,FALSE)</f>
        <v>-</v>
      </c>
      <c r="E10" s="15">
        <v>45448</v>
      </c>
      <c r="F10" s="8">
        <v>110322</v>
      </c>
      <c r="G10" s="8" t="s">
        <v>178</v>
      </c>
      <c r="H10" s="8" t="str">
        <f>"CPA Traspaso de Fondos Bco. BCI 648 a Renta4 "</f>
        <v xml:space="preserve">CPA Traspaso de Fondos Bco. BCI 648 a Renta4 </v>
      </c>
      <c r="I10" s="16" t="str">
        <f>+B6</f>
        <v>-</v>
      </c>
      <c r="J10" s="17"/>
      <c r="N10" s="1">
        <v>45574</v>
      </c>
      <c r="O10" s="26">
        <f>HLOOKUP(N10,Hoja2!$R$2:$AV$96,95,FALSE)</f>
        <v>0</v>
      </c>
      <c r="P10" s="77">
        <f>HLOOKUP(N10,Hoja2!$R$2:$AV$94,93,FALSE)</f>
        <v>0</v>
      </c>
      <c r="Q10" s="26">
        <f>HLOOKUP(N10,Hoja2!$R$2:$AV$95,94,FALSE)</f>
        <v>0</v>
      </c>
      <c r="R10" s="26"/>
      <c r="T10" s="15">
        <v>45448</v>
      </c>
      <c r="U10">
        <v>110323</v>
      </c>
      <c r="V10" t="s">
        <v>179</v>
      </c>
      <c r="W10" t="str">
        <f>"CPA Compra Divisas " &amp;Q6&amp;" T/C "&amp;P6</f>
        <v>CPA Compra Divisas 0 T/C 0</v>
      </c>
      <c r="X10" s="3">
        <f>+O6</f>
        <v>0</v>
      </c>
      <c r="Y10" s="10"/>
      <c r="AD10" s="1">
        <v>45574</v>
      </c>
      <c r="AE10" s="26">
        <f>HLOOKUP(AD10,Hoja2!$R$2:$AV$97,96,FALSE)</f>
        <v>0</v>
      </c>
      <c r="AF10" s="77">
        <f>HLOOKUP(AD10,Hoja2!$R$2:$AV$98,97,FALSE)</f>
        <v>933.62</v>
      </c>
      <c r="AG10" s="26">
        <f>HLOOKUP(AD10,Hoja2!$R$2:$AV$99,98,FALSE)</f>
        <v>0</v>
      </c>
      <c r="AH10" s="79">
        <f>HLOOKUP(AD10,Hoja2!$R$2:$AV$100,99,FALSE)</f>
        <v>0</v>
      </c>
      <c r="AJ10" s="15">
        <v>45448</v>
      </c>
      <c r="AK10" s="8">
        <v>110275</v>
      </c>
      <c r="AL10" t="s">
        <v>82</v>
      </c>
      <c r="AM10" t="str">
        <f>"CPA Fondeo Renta4 USD a NIUM " &amp;AG6&amp;" USD T/C "&amp;AF6</f>
        <v>CPA Fondeo Renta4 USD a NIUM 0 USD T/C 919,49</v>
      </c>
      <c r="AN10" s="3">
        <f>+AH6</f>
        <v>0</v>
      </c>
      <c r="AO10" s="10"/>
      <c r="AT10" s="1">
        <v>45574</v>
      </c>
      <c r="AU10" s="26">
        <f>HLOOKUP(AT10,Hoja2!$R$2:$AV$101,100,FALSE)</f>
        <v>0</v>
      </c>
      <c r="AV10" s="77">
        <f>HLOOKUP(AT10,Hoja2!$R$2:$AV$102,101,FALSE)</f>
        <v>933.62</v>
      </c>
      <c r="AW10" s="26">
        <f>HLOOKUP(AT10,Hoja2!$R$2:$AV$103,102,FALSE)</f>
        <v>0</v>
      </c>
      <c r="AX10" s="79">
        <f>HLOOKUP(AT10,Hoja2!$R$2:$AV$104,103,FALSE)</f>
        <v>0</v>
      </c>
      <c r="AZ10" s="15">
        <v>45448</v>
      </c>
      <c r="BA10">
        <v>110820</v>
      </c>
      <c r="BB10" t="s">
        <v>92</v>
      </c>
      <c r="BC10" t="str">
        <f>"CPA Fondeo Renta4 USD a JPM COL "&amp;AW6&amp;" USD T/C "&amp;AV6&amp;""</f>
        <v>CPA Fondeo Renta4 USD a JPM COL 0 USD T/C 919,49</v>
      </c>
      <c r="BD10" s="3">
        <f>+AX6</f>
        <v>0</v>
      </c>
      <c r="BE10" s="10"/>
      <c r="BI10" s="1">
        <v>45574</v>
      </c>
      <c r="BJ10" s="26">
        <f>HLOOKUP(BI10,Hoja2!$R$2:$AV$120,119,FALSE)</f>
        <v>0</v>
      </c>
      <c r="BK10" s="77">
        <f>HLOOKUP(BI10,Hoja2!$R$2:$AV$118,117,FALSE)</f>
        <v>933.62</v>
      </c>
      <c r="BL10" s="26">
        <f>HLOOKUP(BI10,Hoja2!$R$2:$AV$119,118,FALSE)</f>
        <v>0</v>
      </c>
      <c r="BM10" s="79">
        <f>HLOOKUP(BI10,Hoja2!$R$2:$AV$117,116,FALSE)</f>
        <v>0</v>
      </c>
      <c r="BO10" s="15">
        <v>45448</v>
      </c>
      <c r="BP10">
        <v>110292</v>
      </c>
      <c r="BQ10" t="s">
        <v>153</v>
      </c>
      <c r="BR10" t="str">
        <f>"CPA Fondeo Renta4 USD a OZ CAMBIO "&amp;BL6&amp;" USD T/C "&amp;BK6&amp;""</f>
        <v>CPA Fondeo Renta4 USD a OZ CAMBIO 0 USD T/C 919,49</v>
      </c>
      <c r="BS10" s="3">
        <f>+BJ6</f>
        <v>0</v>
      </c>
      <c r="BT10" s="10"/>
      <c r="BX10" s="1">
        <v>45574</v>
      </c>
      <c r="BY10" s="26">
        <f>HLOOKUP(BX10,Hoja2!$R$2:$AV$82,81,FALSE)</f>
        <v>0</v>
      </c>
      <c r="BZ10" s="77">
        <f>HLOOKUP(BX10,Hoja2!$R$2:$AV$83,82,FALSE)</f>
        <v>0</v>
      </c>
      <c r="CA10" s="26">
        <f>HLOOKUP(BX10,Hoja2!$R$2:$AV$84,83,FALSE)</f>
        <v>0</v>
      </c>
      <c r="CB10" s="79">
        <f>HLOOKUP(BX10,Hoja2!$R$2:$AV$85,84,FALSE)</f>
        <v>0</v>
      </c>
      <c r="CD10" s="15">
        <v>45448</v>
      </c>
      <c r="CE10">
        <v>110205</v>
      </c>
      <c r="CF10" t="s">
        <v>154</v>
      </c>
      <c r="CG10" t="str">
        <f>"CPA Fondeo MBI USD a BICE USD "&amp;CA6&amp;" USD T/C "&amp;BZ6&amp;""</f>
        <v>CPA Fondeo MBI USD a BICE USD 0 USD T/C 0</v>
      </c>
      <c r="CH10" s="3">
        <f>+CB6</f>
        <v>0</v>
      </c>
      <c r="CI10" s="10"/>
    </row>
    <row r="11" spans="1:87" x14ac:dyDescent="0.25">
      <c r="A11" s="1">
        <v>45575</v>
      </c>
      <c r="B11" s="26" t="str">
        <f>HLOOKUP(A11,Hoja2!$R$2:$AV$92,91,FALSE)</f>
        <v>-</v>
      </c>
      <c r="E11" s="20"/>
      <c r="F11">
        <v>110208</v>
      </c>
      <c r="G11" t="s">
        <v>46</v>
      </c>
      <c r="H11" t="str">
        <f t="shared" ref="H11" si="16">H10</f>
        <v xml:space="preserve">CPA Traspaso de Fondos Bco. BCI 648 a Renta4 </v>
      </c>
      <c r="J11" s="10" t="str">
        <f>I10</f>
        <v>-</v>
      </c>
      <c r="N11" s="1">
        <v>45575</v>
      </c>
      <c r="O11" s="26">
        <f>HLOOKUP(N11,Hoja2!$R$2:$AV$96,95,FALSE)</f>
        <v>0</v>
      </c>
      <c r="P11" s="77">
        <f>HLOOKUP(N11,Hoja2!$R$2:$AV$94,93,FALSE)</f>
        <v>0</v>
      </c>
      <c r="Q11" s="26">
        <f>HLOOKUP(N11,Hoja2!$R$2:$AV$95,94,FALSE)</f>
        <v>0</v>
      </c>
      <c r="R11" s="26"/>
      <c r="T11" s="20"/>
      <c r="U11" s="12">
        <v>110322</v>
      </c>
      <c r="V11" s="12" t="s">
        <v>178</v>
      </c>
      <c r="W11" s="12" t="str">
        <f>+W10</f>
        <v>CPA Compra Divisas 0 T/C 0</v>
      </c>
      <c r="X11" s="13"/>
      <c r="Y11" s="18">
        <f t="shared" ref="Y11" si="17">+X10</f>
        <v>0</v>
      </c>
      <c r="AD11" s="1">
        <v>45575</v>
      </c>
      <c r="AE11" s="26">
        <f>HLOOKUP(AD11,Hoja2!$R$2:$AV$97,96,FALSE)</f>
        <v>0</v>
      </c>
      <c r="AF11" s="77">
        <f>HLOOKUP(AD11,Hoja2!$R$2:$AV$98,97,FALSE)</f>
        <v>934.84</v>
      </c>
      <c r="AG11" s="26">
        <f>HLOOKUP(AD11,Hoja2!$R$2:$AV$99,98,FALSE)</f>
        <v>0</v>
      </c>
      <c r="AH11" s="79">
        <f>HLOOKUP(AD11,Hoja2!$R$2:$AV$100,99,FALSE)</f>
        <v>0</v>
      </c>
      <c r="AJ11" s="20"/>
      <c r="AK11">
        <v>110323</v>
      </c>
      <c r="AL11" s="12" t="s">
        <v>179</v>
      </c>
      <c r="AM11" s="12" t="str">
        <f>+AM10</f>
        <v>CPA Fondeo Renta4 USD a NIUM 0 USD T/C 919,49</v>
      </c>
      <c r="AN11" s="13"/>
      <c r="AO11" s="18">
        <f t="shared" si="8"/>
        <v>0</v>
      </c>
      <c r="AT11" s="1">
        <v>45575</v>
      </c>
      <c r="AU11" s="26">
        <f>HLOOKUP(AT11,Hoja2!$R$2:$AV$101,100,FALSE)</f>
        <v>0</v>
      </c>
      <c r="AV11" s="77">
        <f>HLOOKUP(AT11,Hoja2!$R$2:$AV$102,101,FALSE)</f>
        <v>934.84</v>
      </c>
      <c r="AW11" s="26">
        <f>HLOOKUP(AT11,Hoja2!$R$2:$AV$103,102,FALSE)</f>
        <v>0</v>
      </c>
      <c r="AX11" s="79">
        <f>HLOOKUP(AT11,Hoja2!$R$2:$AV$104,103,FALSE)</f>
        <v>0</v>
      </c>
      <c r="AZ11" s="20"/>
      <c r="BA11" s="12">
        <v>110323</v>
      </c>
      <c r="BB11" s="12" t="s">
        <v>179</v>
      </c>
      <c r="BC11" s="12" t="str">
        <f>+BC10</f>
        <v>CPA Fondeo Renta4 USD a JPM COL 0 USD T/C 919,49</v>
      </c>
      <c r="BD11" s="13"/>
      <c r="BE11" s="18">
        <f t="shared" si="9"/>
        <v>0</v>
      </c>
      <c r="BI11" s="1">
        <v>45575</v>
      </c>
      <c r="BJ11" s="26">
        <f>HLOOKUP(BI11,Hoja2!$R$2:$AV$120,119,FALSE)</f>
        <v>0</v>
      </c>
      <c r="BK11" s="77">
        <f>HLOOKUP(BI11,Hoja2!$R$2:$AV$118,117,FALSE)</f>
        <v>934.84</v>
      </c>
      <c r="BL11" s="26">
        <f>HLOOKUP(BI11,Hoja2!$R$2:$AV$119,118,FALSE)</f>
        <v>0</v>
      </c>
      <c r="BM11" s="79">
        <f>HLOOKUP(BI11,Hoja2!$R$2:$AV$117,116,FALSE)</f>
        <v>0</v>
      </c>
      <c r="BO11" s="20"/>
      <c r="BP11" s="12">
        <v>110323</v>
      </c>
      <c r="BQ11" s="12" t="s">
        <v>179</v>
      </c>
      <c r="BR11" s="12" t="str">
        <f>+BR10</f>
        <v>CPA Fondeo Renta4 USD a OZ CAMBIO 0 USD T/C 919,49</v>
      </c>
      <c r="BS11" s="13"/>
      <c r="BT11" s="18">
        <f t="shared" ref="BT11" si="18">+BS10</f>
        <v>0</v>
      </c>
      <c r="BX11" s="1">
        <v>45575</v>
      </c>
      <c r="BY11" s="26">
        <f>HLOOKUP(BX11,Hoja2!$R$2:$AV$82,81,FALSE)</f>
        <v>0</v>
      </c>
      <c r="BZ11" s="77">
        <f>HLOOKUP(BX11,Hoja2!$R$2:$AV$83,82,FALSE)</f>
        <v>0</v>
      </c>
      <c r="CA11" s="26">
        <f>HLOOKUP(BX11,Hoja2!$R$2:$AV$84,83,FALSE)</f>
        <v>0</v>
      </c>
      <c r="CB11" s="79">
        <f>HLOOKUP(BX11,Hoja2!$R$2:$AV$85,84,FALSE)</f>
        <v>0</v>
      </c>
      <c r="CD11" s="20"/>
      <c r="CE11" s="12">
        <v>110296</v>
      </c>
      <c r="CF11" s="12" t="s">
        <v>123</v>
      </c>
      <c r="CG11" s="12" t="str">
        <f>+CG10</f>
        <v>CPA Fondeo MBI USD a BICE USD 0 USD T/C 0</v>
      </c>
      <c r="CH11" s="13"/>
      <c r="CI11" s="18">
        <f t="shared" ref="CI11" si="19">+CH10</f>
        <v>0</v>
      </c>
    </row>
    <row r="12" spans="1:87" x14ac:dyDescent="0.25">
      <c r="A12" s="1">
        <v>45576</v>
      </c>
      <c r="B12" s="26" t="str">
        <f>HLOOKUP(A12,Hoja2!$R$2:$AV$92,91,FALSE)</f>
        <v>-</v>
      </c>
      <c r="D12" s="19"/>
      <c r="E12" s="15">
        <v>45449</v>
      </c>
      <c r="F12" s="8">
        <v>110322</v>
      </c>
      <c r="G12" s="8" t="s">
        <v>178</v>
      </c>
      <c r="H12" s="8" t="str">
        <f>"CPA Traspaso de Fondos Bco. BCI 648 a Renta4 "</f>
        <v xml:space="preserve">CPA Traspaso de Fondos Bco. BCI 648 a Renta4 </v>
      </c>
      <c r="I12" s="16" t="str">
        <f>+B7</f>
        <v>-</v>
      </c>
      <c r="J12" s="17"/>
      <c r="N12" s="1">
        <v>45576</v>
      </c>
      <c r="O12" s="26">
        <f>HLOOKUP(N12,Hoja2!$R$2:$AV$96,95,FALSE)</f>
        <v>0</v>
      </c>
      <c r="P12" s="77">
        <f>HLOOKUP(N12,Hoja2!$R$2:$AV$94,93,FALSE)</f>
        <v>0</v>
      </c>
      <c r="Q12" s="26">
        <f>HLOOKUP(N12,Hoja2!$R$2:$AV$95,94,FALSE)</f>
        <v>0</v>
      </c>
      <c r="R12" s="26"/>
      <c r="T12" s="15">
        <v>45449</v>
      </c>
      <c r="U12">
        <v>110323</v>
      </c>
      <c r="V12" t="s">
        <v>179</v>
      </c>
      <c r="W12" t="str">
        <f>"CPA Compra Divisas " &amp;Q7&amp;" T/C "&amp;P7</f>
        <v>CPA Compra Divisas 0 T/C 0</v>
      </c>
      <c r="X12" s="3">
        <f>+O7</f>
        <v>0</v>
      </c>
      <c r="Y12" s="10"/>
      <c r="AD12" s="1">
        <v>45576</v>
      </c>
      <c r="AE12" s="26">
        <f>HLOOKUP(AD12,Hoja2!$R$2:$AV$97,96,FALSE)</f>
        <v>0</v>
      </c>
      <c r="AF12" s="77">
        <f>HLOOKUP(AD12,Hoja2!$R$2:$AV$98,97,FALSE)</f>
        <v>931.26</v>
      </c>
      <c r="AG12" s="26">
        <f>HLOOKUP(AD12,Hoja2!$R$2:$AV$99,98,FALSE)</f>
        <v>0</v>
      </c>
      <c r="AH12" s="79">
        <f>HLOOKUP(AD12,Hoja2!$R$2:$AV$100,99,FALSE)</f>
        <v>0</v>
      </c>
      <c r="AJ12" s="15">
        <v>45449</v>
      </c>
      <c r="AK12" s="8">
        <v>110275</v>
      </c>
      <c r="AL12" t="s">
        <v>82</v>
      </c>
      <c r="AM12" t="str">
        <f>"CPA Fondeo Renta4 USD a NIUM " &amp;AG7&amp;" USD T/C "&amp;AF7</f>
        <v>CPA Fondeo Renta4 USD a NIUM 0 USD T/C 919,49</v>
      </c>
      <c r="AN12" s="3">
        <f>+AH7</f>
        <v>0</v>
      </c>
      <c r="AO12" s="10"/>
      <c r="AT12" s="1">
        <v>45576</v>
      </c>
      <c r="AU12" s="26">
        <f>HLOOKUP(AT12,Hoja2!$R$2:$AV$101,100,FALSE)</f>
        <v>0</v>
      </c>
      <c r="AV12" s="77">
        <f>HLOOKUP(AT12,Hoja2!$R$2:$AV$102,101,FALSE)</f>
        <v>931.26</v>
      </c>
      <c r="AW12" s="26">
        <f>HLOOKUP(AT12,Hoja2!$R$2:$AV$103,102,FALSE)</f>
        <v>0</v>
      </c>
      <c r="AX12" s="79">
        <f>HLOOKUP(AT12,Hoja2!$R$2:$AV$104,103,FALSE)</f>
        <v>0</v>
      </c>
      <c r="AZ12" s="15">
        <v>45449</v>
      </c>
      <c r="BA12">
        <v>110820</v>
      </c>
      <c r="BB12" t="s">
        <v>92</v>
      </c>
      <c r="BC12" t="str">
        <f>"CPA Fondeo Renta4 USD a JPM COL "&amp;AW7&amp;" USD T/C "&amp;AV7&amp;""</f>
        <v>CPA Fondeo Renta4 USD a JPM COL 0 USD T/C 919,49</v>
      </c>
      <c r="BD12" s="3">
        <f>+AX7</f>
        <v>0</v>
      </c>
      <c r="BE12" s="10"/>
      <c r="BI12" s="1">
        <v>45576</v>
      </c>
      <c r="BJ12" s="26">
        <f>HLOOKUP(BI12,Hoja2!$R$2:$AV$120,119,FALSE)</f>
        <v>0</v>
      </c>
      <c r="BK12" s="77">
        <f>HLOOKUP(BI12,Hoja2!$R$2:$AV$118,117,FALSE)</f>
        <v>931.26</v>
      </c>
      <c r="BL12" s="26">
        <f>HLOOKUP(BI12,Hoja2!$R$2:$AV$119,118,FALSE)</f>
        <v>0</v>
      </c>
      <c r="BM12" s="79">
        <f>HLOOKUP(BI12,Hoja2!$R$2:$AV$117,116,FALSE)</f>
        <v>0</v>
      </c>
      <c r="BO12" s="15">
        <v>45449</v>
      </c>
      <c r="BP12">
        <v>110292</v>
      </c>
      <c r="BQ12" t="s">
        <v>153</v>
      </c>
      <c r="BR12" t="str">
        <f>"CPA Fondeo Renta4 USD a OZ CAMBIO "&amp;BL7&amp;" USD T/C "&amp;BK7&amp;""</f>
        <v>CPA Fondeo Renta4 USD a OZ CAMBIO 0 USD T/C 919,49</v>
      </c>
      <c r="BS12" s="3">
        <f>+BJ7</f>
        <v>0</v>
      </c>
      <c r="BT12" s="10"/>
      <c r="BX12" s="1">
        <v>45576</v>
      </c>
      <c r="BY12" s="26">
        <f>HLOOKUP(BX12,Hoja2!$R$2:$AV$82,81,FALSE)</f>
        <v>0</v>
      </c>
      <c r="BZ12" s="77">
        <f>HLOOKUP(BX12,Hoja2!$R$2:$AV$83,82,FALSE)</f>
        <v>0</v>
      </c>
      <c r="CA12" s="26">
        <f>HLOOKUP(BX12,Hoja2!$R$2:$AV$84,83,FALSE)</f>
        <v>0</v>
      </c>
      <c r="CB12" s="79">
        <f>HLOOKUP(BX12,Hoja2!$R$2:$AV$85,84,FALSE)</f>
        <v>0</v>
      </c>
      <c r="CD12" s="15">
        <v>45449</v>
      </c>
      <c r="CE12">
        <v>110205</v>
      </c>
      <c r="CF12" t="s">
        <v>154</v>
      </c>
      <c r="CG12" t="str">
        <f>"CPA Fondeo MBI USD a BICE USD "&amp;CA7&amp;" USD T/C "&amp;BZ7&amp;""</f>
        <v>CPA Fondeo MBI USD a BICE USD 0 USD T/C 0</v>
      </c>
      <c r="CH12" s="3">
        <f>+CB7</f>
        <v>0</v>
      </c>
      <c r="CI12" s="10"/>
    </row>
    <row r="13" spans="1:87" x14ac:dyDescent="0.25">
      <c r="A13" s="1">
        <v>45577</v>
      </c>
      <c r="B13" s="26" t="str">
        <f>HLOOKUP(A13,Hoja2!$R$2:$AV$92,91,FALSE)</f>
        <v>-</v>
      </c>
      <c r="D13" s="39"/>
      <c r="E13" s="20"/>
      <c r="F13">
        <v>110208</v>
      </c>
      <c r="G13" t="s">
        <v>46</v>
      </c>
      <c r="H13" t="str">
        <f t="shared" ref="H13" si="20">H12</f>
        <v xml:space="preserve">CPA Traspaso de Fondos Bco. BCI 648 a Renta4 </v>
      </c>
      <c r="I13" s="3"/>
      <c r="J13" s="10" t="str">
        <f>I12</f>
        <v>-</v>
      </c>
      <c r="N13" s="1">
        <v>45577</v>
      </c>
      <c r="O13" s="26">
        <f>HLOOKUP(N13,Hoja2!$R$2:$AV$96,95,FALSE)</f>
        <v>0</v>
      </c>
      <c r="P13" s="77">
        <f>HLOOKUP(N13,Hoja2!$R$2:$AV$94,93,FALSE)</f>
        <v>0</v>
      </c>
      <c r="Q13" s="26">
        <f>HLOOKUP(N13,Hoja2!$R$2:$AV$95,94,FALSE)</f>
        <v>0</v>
      </c>
      <c r="R13" s="26"/>
      <c r="S13" s="39"/>
      <c r="T13" s="20"/>
      <c r="U13" s="12">
        <v>110322</v>
      </c>
      <c r="V13" s="12" t="s">
        <v>178</v>
      </c>
      <c r="W13" s="12" t="str">
        <f>+W12</f>
        <v>CPA Compra Divisas 0 T/C 0</v>
      </c>
      <c r="X13" s="13"/>
      <c r="Y13" s="18">
        <f t="shared" ref="Y13" si="21">+X12</f>
        <v>0</v>
      </c>
      <c r="AD13" s="1">
        <v>45577</v>
      </c>
      <c r="AE13" s="26">
        <f>HLOOKUP(AD13,Hoja2!$R$2:$AV$97,96,FALSE)</f>
        <v>0</v>
      </c>
      <c r="AF13" s="77">
        <f>HLOOKUP(AD13,Hoja2!$R$2:$AV$98,97,FALSE)</f>
        <v>931.26</v>
      </c>
      <c r="AG13" s="26">
        <f>HLOOKUP(AD13,Hoja2!$R$2:$AV$99,98,FALSE)</f>
        <v>0</v>
      </c>
      <c r="AH13" s="79">
        <f>HLOOKUP(AD13,Hoja2!$R$2:$AV$100,99,FALSE)</f>
        <v>0</v>
      </c>
      <c r="AI13" s="39"/>
      <c r="AJ13" s="20"/>
      <c r="AK13">
        <v>110323</v>
      </c>
      <c r="AL13" s="12" t="s">
        <v>179</v>
      </c>
      <c r="AM13" s="12" t="str">
        <f>+AM12</f>
        <v>CPA Fondeo Renta4 USD a NIUM 0 USD T/C 919,49</v>
      </c>
      <c r="AN13" s="13"/>
      <c r="AO13" s="18">
        <f t="shared" si="8"/>
        <v>0</v>
      </c>
      <c r="AT13" s="1">
        <v>45577</v>
      </c>
      <c r="AU13" s="26">
        <f>HLOOKUP(AT13,Hoja2!$R$2:$AV$101,100,FALSE)</f>
        <v>0</v>
      </c>
      <c r="AV13" s="77">
        <f>HLOOKUP(AT13,Hoja2!$R$2:$AV$102,101,FALSE)</f>
        <v>931.26</v>
      </c>
      <c r="AW13" s="26">
        <f>HLOOKUP(AT13,Hoja2!$R$2:$AV$103,102,FALSE)</f>
        <v>0</v>
      </c>
      <c r="AX13" s="79">
        <f>HLOOKUP(AT13,Hoja2!$R$2:$AV$104,103,FALSE)</f>
        <v>0</v>
      </c>
      <c r="AY13" s="39"/>
      <c r="AZ13" s="20"/>
      <c r="BA13" s="12">
        <v>110323</v>
      </c>
      <c r="BB13" s="12" t="s">
        <v>179</v>
      </c>
      <c r="BC13" s="12" t="str">
        <f>+BC12</f>
        <v>CPA Fondeo Renta4 USD a JPM COL 0 USD T/C 919,49</v>
      </c>
      <c r="BD13" s="13"/>
      <c r="BE13" s="18">
        <f t="shared" si="9"/>
        <v>0</v>
      </c>
      <c r="BI13" s="1">
        <v>45577</v>
      </c>
      <c r="BJ13" s="26">
        <f>HLOOKUP(BI13,Hoja2!$R$2:$AV$120,119,FALSE)</f>
        <v>0</v>
      </c>
      <c r="BK13" s="77">
        <f>HLOOKUP(BI13,Hoja2!$R$2:$AV$118,117,FALSE)</f>
        <v>931.26</v>
      </c>
      <c r="BL13" s="26">
        <f>HLOOKUP(BI13,Hoja2!$R$2:$AV$119,118,FALSE)</f>
        <v>0</v>
      </c>
      <c r="BM13" s="79">
        <f>HLOOKUP(BI13,Hoja2!$R$2:$AV$117,116,FALSE)</f>
        <v>0</v>
      </c>
      <c r="BN13" s="39"/>
      <c r="BO13" s="20"/>
      <c r="BP13" s="12">
        <v>110323</v>
      </c>
      <c r="BQ13" s="12" t="s">
        <v>179</v>
      </c>
      <c r="BR13" s="12" t="str">
        <f>+BR12</f>
        <v>CPA Fondeo Renta4 USD a OZ CAMBIO 0 USD T/C 919,49</v>
      </c>
      <c r="BS13" s="13"/>
      <c r="BT13" s="18">
        <f t="shared" ref="BT13" si="22">+BS12</f>
        <v>0</v>
      </c>
      <c r="BX13" s="1">
        <v>45577</v>
      </c>
      <c r="BY13" s="26">
        <f>HLOOKUP(BX13,Hoja2!$R$2:$AV$82,81,FALSE)</f>
        <v>0</v>
      </c>
      <c r="BZ13" s="77">
        <f>HLOOKUP(BX13,Hoja2!$R$2:$AV$83,82,FALSE)</f>
        <v>0</v>
      </c>
      <c r="CA13" s="26">
        <f>HLOOKUP(BX13,Hoja2!$R$2:$AV$84,83,FALSE)</f>
        <v>0</v>
      </c>
      <c r="CB13" s="79">
        <f>HLOOKUP(BX13,Hoja2!$R$2:$AV$85,84,FALSE)</f>
        <v>0</v>
      </c>
      <c r="CC13" s="39"/>
      <c r="CD13" s="20"/>
      <c r="CE13" s="12">
        <v>110296</v>
      </c>
      <c r="CF13" s="12" t="s">
        <v>123</v>
      </c>
      <c r="CG13" s="12" t="str">
        <f>+CG12</f>
        <v>CPA Fondeo MBI USD a BICE USD 0 USD T/C 0</v>
      </c>
      <c r="CH13" s="13"/>
      <c r="CI13" s="18">
        <f t="shared" ref="CI13" si="23">+CH12</f>
        <v>0</v>
      </c>
    </row>
    <row r="14" spans="1:87" x14ac:dyDescent="0.25">
      <c r="A14" s="1">
        <v>45578</v>
      </c>
      <c r="B14" s="26" t="str">
        <f>HLOOKUP(A14,Hoja2!$R$2:$AV$92,91,FALSE)</f>
        <v>-</v>
      </c>
      <c r="D14" s="21"/>
      <c r="E14" s="15">
        <v>45450</v>
      </c>
      <c r="F14" s="8">
        <v>110322</v>
      </c>
      <c r="G14" s="8" t="s">
        <v>178</v>
      </c>
      <c r="H14" s="8" t="str">
        <f>"CPA Traspaso de Fondos Bco. BCI 648 a Renta4 "</f>
        <v xml:space="preserve">CPA Traspaso de Fondos Bco. BCI 648 a Renta4 </v>
      </c>
      <c r="I14" s="16" t="str">
        <f>+B8</f>
        <v>-</v>
      </c>
      <c r="J14" s="17"/>
      <c r="N14" s="1">
        <v>45578</v>
      </c>
      <c r="O14" s="26">
        <f>HLOOKUP(N14,Hoja2!$R$2:$AV$96,95,FALSE)</f>
        <v>0</v>
      </c>
      <c r="P14" s="77">
        <f>HLOOKUP(N14,Hoja2!$R$2:$AV$94,93,FALSE)</f>
        <v>0</v>
      </c>
      <c r="Q14" s="26">
        <f>HLOOKUP(N14,Hoja2!$R$2:$AV$95,94,FALSE)</f>
        <v>0</v>
      </c>
      <c r="R14" s="26"/>
      <c r="S14" s="21"/>
      <c r="T14" s="15">
        <v>45450</v>
      </c>
      <c r="U14">
        <v>110323</v>
      </c>
      <c r="V14" t="s">
        <v>179</v>
      </c>
      <c r="W14" t="str">
        <f>"CPA Compra Divisas " &amp;Q8&amp;" T/C "&amp;P8</f>
        <v>CPA Compra Divisas 0 T/C 0</v>
      </c>
      <c r="X14" s="3">
        <f>+O8</f>
        <v>0</v>
      </c>
      <c r="Y14" s="10"/>
      <c r="AD14" s="1">
        <v>45578</v>
      </c>
      <c r="AE14" s="26">
        <f>HLOOKUP(AD14,Hoja2!$R$2:$AV$97,96,FALSE)</f>
        <v>0</v>
      </c>
      <c r="AF14" s="77">
        <f>HLOOKUP(AD14,Hoja2!$R$2:$AV$98,97,FALSE)</f>
        <v>931.26</v>
      </c>
      <c r="AG14" s="26">
        <f>HLOOKUP(AD14,Hoja2!$R$2:$AV$99,98,FALSE)</f>
        <v>0</v>
      </c>
      <c r="AH14" s="79">
        <f>HLOOKUP(AD14,Hoja2!$R$2:$AV$100,99,FALSE)</f>
        <v>0</v>
      </c>
      <c r="AI14" s="21"/>
      <c r="AJ14" s="15">
        <v>45450</v>
      </c>
      <c r="AK14" s="8">
        <v>110275</v>
      </c>
      <c r="AL14" t="s">
        <v>82</v>
      </c>
      <c r="AM14" t="str">
        <f>"CPA Fondeo Renta4 USD a NIUM " &amp;AG8&amp;" USD T/C "&amp;AF8</f>
        <v>CPA Fondeo Renta4 USD a NIUM 0 USD T/C 923,74</v>
      </c>
      <c r="AN14" s="3">
        <f>+AH8</f>
        <v>0</v>
      </c>
      <c r="AO14" s="10"/>
      <c r="AT14" s="1">
        <v>45578</v>
      </c>
      <c r="AU14" s="26">
        <f>HLOOKUP(AT14,Hoja2!$R$2:$AV$101,100,FALSE)</f>
        <v>0</v>
      </c>
      <c r="AV14" s="77">
        <f>HLOOKUP(AT14,Hoja2!$R$2:$AV$102,101,FALSE)</f>
        <v>931.26</v>
      </c>
      <c r="AW14" s="26">
        <f>HLOOKUP(AT14,Hoja2!$R$2:$AV$103,102,FALSE)</f>
        <v>0</v>
      </c>
      <c r="AX14" s="79">
        <f>HLOOKUP(AT14,Hoja2!$R$2:$AV$104,103,FALSE)</f>
        <v>0</v>
      </c>
      <c r="AY14" s="21"/>
      <c r="AZ14" s="15">
        <v>45450</v>
      </c>
      <c r="BA14">
        <v>110820</v>
      </c>
      <c r="BB14" t="s">
        <v>92</v>
      </c>
      <c r="BC14" t="str">
        <f>"CPA Fondeo Renta4 USD a JPM COL "&amp;AW8&amp;" USD T/C "&amp;AV8&amp;""</f>
        <v>CPA Fondeo Renta4 USD a JPM COL 0 USD T/C 923,74</v>
      </c>
      <c r="BD14" s="3">
        <f>+AX8</f>
        <v>0</v>
      </c>
      <c r="BE14" s="10"/>
      <c r="BI14" s="1">
        <v>45578</v>
      </c>
      <c r="BJ14" s="26">
        <f>HLOOKUP(BI14,Hoja2!$R$2:$AV$120,119,FALSE)</f>
        <v>0</v>
      </c>
      <c r="BK14" s="77">
        <f>HLOOKUP(BI14,Hoja2!$R$2:$AV$118,117,FALSE)</f>
        <v>931.26</v>
      </c>
      <c r="BL14" s="26">
        <f>HLOOKUP(BI14,Hoja2!$R$2:$AV$119,118,FALSE)</f>
        <v>0</v>
      </c>
      <c r="BM14" s="79">
        <f>HLOOKUP(BI14,Hoja2!$R$2:$AV$117,116,FALSE)</f>
        <v>0</v>
      </c>
      <c r="BN14" s="21"/>
      <c r="BO14" s="15">
        <v>45450</v>
      </c>
      <c r="BP14">
        <v>110292</v>
      </c>
      <c r="BQ14" t="s">
        <v>153</v>
      </c>
      <c r="BR14" t="str">
        <f>"CPA Fondeo Renta4 USD a OZ CAMBIO "&amp;BL8&amp;" USD T/C "&amp;BK8&amp;""</f>
        <v>CPA Fondeo Renta4 USD a OZ CAMBIO 0 USD T/C 923,74</v>
      </c>
      <c r="BS14" s="3">
        <f>+BJ8</f>
        <v>0</v>
      </c>
      <c r="BT14" s="10"/>
      <c r="BX14" s="1">
        <v>45578</v>
      </c>
      <c r="BY14" s="26">
        <f>HLOOKUP(BX14,Hoja2!$R$2:$AV$82,81,FALSE)</f>
        <v>0</v>
      </c>
      <c r="BZ14" s="77">
        <f>HLOOKUP(BX14,Hoja2!$R$2:$AV$83,82,FALSE)</f>
        <v>0</v>
      </c>
      <c r="CA14" s="26">
        <f>HLOOKUP(BX14,Hoja2!$R$2:$AV$84,83,FALSE)</f>
        <v>0</v>
      </c>
      <c r="CB14" s="79">
        <f>HLOOKUP(BX14,Hoja2!$R$2:$AV$85,84,FALSE)</f>
        <v>0</v>
      </c>
      <c r="CC14" s="21"/>
      <c r="CD14" s="15">
        <v>45450</v>
      </c>
      <c r="CE14">
        <v>110205</v>
      </c>
      <c r="CF14" t="s">
        <v>154</v>
      </c>
      <c r="CG14" t="str">
        <f>"CPA Fondeo MBI USD a BICE USD "&amp;CA8&amp;" USD T/C "&amp;BZ8&amp;""</f>
        <v>CPA Fondeo MBI USD a BICE USD 0 USD T/C 0</v>
      </c>
      <c r="CH14" s="3">
        <f>+CB8</f>
        <v>0</v>
      </c>
      <c r="CI14" s="10"/>
    </row>
    <row r="15" spans="1:87" x14ac:dyDescent="0.25">
      <c r="A15" s="1">
        <v>45579</v>
      </c>
      <c r="B15" s="26" t="str">
        <f>HLOOKUP(A15,Hoja2!$R$2:$AV$92,91,FALSE)</f>
        <v>-</v>
      </c>
      <c r="D15" s="40"/>
      <c r="E15" s="20"/>
      <c r="F15">
        <v>110208</v>
      </c>
      <c r="G15" t="s">
        <v>46</v>
      </c>
      <c r="H15" t="str">
        <f t="shared" ref="H15" si="24">H14</f>
        <v xml:space="preserve">CPA Traspaso de Fondos Bco. BCI 648 a Renta4 </v>
      </c>
      <c r="I15" s="3"/>
      <c r="J15" s="10" t="str">
        <f>I14</f>
        <v>-</v>
      </c>
      <c r="N15" s="1">
        <v>45579</v>
      </c>
      <c r="O15" s="26">
        <f>HLOOKUP(N15,Hoja2!$R$2:$AV$96,95,FALSE)</f>
        <v>0</v>
      </c>
      <c r="P15" s="77">
        <f>HLOOKUP(N15,Hoja2!$R$2:$AV$94,93,FALSE)</f>
        <v>0</v>
      </c>
      <c r="Q15" s="26">
        <f>HLOOKUP(N15,Hoja2!$R$2:$AV$95,94,FALSE)</f>
        <v>0</v>
      </c>
      <c r="R15" s="26"/>
      <c r="S15" s="40"/>
      <c r="T15" s="20"/>
      <c r="U15" s="12">
        <v>110322</v>
      </c>
      <c r="V15" s="12" t="s">
        <v>178</v>
      </c>
      <c r="W15" s="12" t="str">
        <f>+W14</f>
        <v>CPA Compra Divisas 0 T/C 0</v>
      </c>
      <c r="X15" s="13"/>
      <c r="Y15" s="18">
        <f t="shared" ref="Y15" si="25">+X14</f>
        <v>0</v>
      </c>
      <c r="AD15" s="1">
        <v>45579</v>
      </c>
      <c r="AE15" s="26">
        <f>HLOOKUP(AD15,Hoja2!$R$2:$AV$97,96,FALSE)</f>
        <v>0</v>
      </c>
      <c r="AF15" s="77">
        <f>HLOOKUP(AD15,Hoja2!$R$2:$AV$98,97,FALSE)</f>
        <v>926.07</v>
      </c>
      <c r="AG15" s="26">
        <f>HLOOKUP(AD15,Hoja2!$R$2:$AV$99,98,FALSE)</f>
        <v>0</v>
      </c>
      <c r="AH15" s="79">
        <f>HLOOKUP(AD15,Hoja2!$R$2:$AV$100,99,FALSE)</f>
        <v>0</v>
      </c>
      <c r="AI15" s="40"/>
      <c r="AJ15" s="20"/>
      <c r="AK15">
        <v>110323</v>
      </c>
      <c r="AL15" s="12" t="s">
        <v>179</v>
      </c>
      <c r="AM15" s="12" t="str">
        <f>+AM14</f>
        <v>CPA Fondeo Renta4 USD a NIUM 0 USD T/C 923,74</v>
      </c>
      <c r="AN15" s="13"/>
      <c r="AO15" s="18">
        <f t="shared" si="8"/>
        <v>0</v>
      </c>
      <c r="AT15" s="1">
        <v>45579</v>
      </c>
      <c r="AU15" s="26">
        <f>HLOOKUP(AT15,Hoja2!$R$2:$AV$101,100,FALSE)</f>
        <v>0</v>
      </c>
      <c r="AV15" s="77">
        <f>HLOOKUP(AT15,Hoja2!$R$2:$AV$102,101,FALSE)</f>
        <v>926.07</v>
      </c>
      <c r="AW15" s="26">
        <f>HLOOKUP(AT15,Hoja2!$R$2:$AV$103,102,FALSE)</f>
        <v>0</v>
      </c>
      <c r="AX15" s="79">
        <f>HLOOKUP(AT15,Hoja2!$R$2:$AV$104,103,FALSE)</f>
        <v>0</v>
      </c>
      <c r="AY15" s="40"/>
      <c r="AZ15" s="20"/>
      <c r="BA15" s="12">
        <v>110323</v>
      </c>
      <c r="BB15" s="12" t="s">
        <v>179</v>
      </c>
      <c r="BC15" s="12" t="str">
        <f>+BC14</f>
        <v>CPA Fondeo Renta4 USD a JPM COL 0 USD T/C 923,74</v>
      </c>
      <c r="BD15" s="13"/>
      <c r="BE15" s="18">
        <f t="shared" si="9"/>
        <v>0</v>
      </c>
      <c r="BI15" s="1">
        <v>45579</v>
      </c>
      <c r="BJ15" s="26">
        <f>HLOOKUP(BI15,Hoja2!$R$2:$AV$120,119,FALSE)</f>
        <v>0</v>
      </c>
      <c r="BK15" s="77">
        <f>HLOOKUP(BI15,Hoja2!$R$2:$AV$118,117,FALSE)</f>
        <v>926.07</v>
      </c>
      <c r="BL15" s="26">
        <f>HLOOKUP(BI15,Hoja2!$R$2:$AV$119,118,FALSE)</f>
        <v>0</v>
      </c>
      <c r="BM15" s="79">
        <f>HLOOKUP(BI15,Hoja2!$R$2:$AV$117,116,FALSE)</f>
        <v>0</v>
      </c>
      <c r="BN15" s="40"/>
      <c r="BO15" s="20"/>
      <c r="BP15" s="12">
        <v>110323</v>
      </c>
      <c r="BQ15" s="12" t="s">
        <v>179</v>
      </c>
      <c r="BR15" s="12" t="str">
        <f>+BR14</f>
        <v>CPA Fondeo Renta4 USD a OZ CAMBIO 0 USD T/C 923,74</v>
      </c>
      <c r="BS15" s="13"/>
      <c r="BT15" s="18">
        <f t="shared" ref="BT15" si="26">+BS14</f>
        <v>0</v>
      </c>
      <c r="BX15" s="1">
        <v>45579</v>
      </c>
      <c r="BY15" s="26">
        <f>HLOOKUP(BX15,Hoja2!$R$2:$AV$82,81,FALSE)</f>
        <v>0</v>
      </c>
      <c r="BZ15" s="77">
        <f>HLOOKUP(BX15,Hoja2!$R$2:$AV$83,82,FALSE)</f>
        <v>0</v>
      </c>
      <c r="CA15" s="26">
        <f>HLOOKUP(BX15,Hoja2!$R$2:$AV$84,83,FALSE)</f>
        <v>0</v>
      </c>
      <c r="CB15" s="79">
        <f>HLOOKUP(BX15,Hoja2!$R$2:$AV$85,84,FALSE)</f>
        <v>0</v>
      </c>
      <c r="CC15" s="40"/>
      <c r="CD15" s="20"/>
      <c r="CE15" s="12">
        <v>110296</v>
      </c>
      <c r="CF15" s="12" t="s">
        <v>123</v>
      </c>
      <c r="CG15" s="12" t="str">
        <f>+CG14</f>
        <v>CPA Fondeo MBI USD a BICE USD 0 USD T/C 0</v>
      </c>
      <c r="CH15" s="13"/>
      <c r="CI15" s="18">
        <f t="shared" ref="CI15" si="27">+CH14</f>
        <v>0</v>
      </c>
    </row>
    <row r="16" spans="1:87" x14ac:dyDescent="0.25">
      <c r="A16" s="1">
        <v>45580</v>
      </c>
      <c r="B16" s="26" t="str">
        <f>HLOOKUP(A16,Hoja2!$R$2:$AV$92,91,FALSE)</f>
        <v>-</v>
      </c>
      <c r="D16" s="21"/>
      <c r="E16" s="15">
        <v>45451</v>
      </c>
      <c r="F16" s="8">
        <v>110322</v>
      </c>
      <c r="G16" s="8" t="s">
        <v>178</v>
      </c>
      <c r="H16" s="8" t="str">
        <f>"CPA Traspaso de Fondos Bco. BCI 648 a Renta4 "</f>
        <v xml:space="preserve">CPA Traspaso de Fondos Bco. BCI 648 a Renta4 </v>
      </c>
      <c r="I16" s="16" t="str">
        <f>+B9</f>
        <v>-</v>
      </c>
      <c r="J16" s="17"/>
      <c r="N16" s="1">
        <v>45580</v>
      </c>
      <c r="O16" s="26">
        <f>HLOOKUP(N16,Hoja2!$R$2:$AV$96,95,FALSE)</f>
        <v>0</v>
      </c>
      <c r="P16" s="77">
        <f>HLOOKUP(N16,Hoja2!$R$2:$AV$94,93,FALSE)</f>
        <v>0</v>
      </c>
      <c r="Q16" s="26">
        <f>HLOOKUP(N16,Hoja2!$R$2:$AV$95,94,FALSE)</f>
        <v>0</v>
      </c>
      <c r="R16" s="26"/>
      <c r="S16" s="21"/>
      <c r="T16" s="15">
        <v>45451</v>
      </c>
      <c r="U16">
        <v>110323</v>
      </c>
      <c r="V16" t="s">
        <v>179</v>
      </c>
      <c r="W16" t="str">
        <f>"CPA Compra Divisas " &amp;Q9&amp;" T/C "&amp;P9</f>
        <v>CPA Compra Divisas 0 T/C 0</v>
      </c>
      <c r="X16" s="3">
        <f>+O9</f>
        <v>0</v>
      </c>
      <c r="Y16" s="10"/>
      <c r="AD16" s="1">
        <v>45580</v>
      </c>
      <c r="AE16" s="26">
        <f>HLOOKUP(AD16,Hoja2!$R$2:$AV$97,96,FALSE)</f>
        <v>0</v>
      </c>
      <c r="AF16" s="77">
        <f>HLOOKUP(AD16,Hoja2!$R$2:$AV$98,97,FALSE)</f>
        <v>928.37</v>
      </c>
      <c r="AG16" s="26">
        <f>HLOOKUP(AD16,Hoja2!$R$2:$AV$99,98,FALSE)</f>
        <v>0</v>
      </c>
      <c r="AH16" s="79">
        <f>HLOOKUP(AD16,Hoja2!$R$2:$AV$100,99,FALSE)</f>
        <v>0</v>
      </c>
      <c r="AI16" s="21"/>
      <c r="AJ16" s="15">
        <v>45451</v>
      </c>
      <c r="AK16" s="8">
        <v>110275</v>
      </c>
      <c r="AL16" t="s">
        <v>82</v>
      </c>
      <c r="AM16" t="str">
        <f>"CPA Fondeo Renta4 USD a NIUM " &amp;AG9&amp;" USD T/C "&amp;AF9</f>
        <v>CPA Fondeo Renta4 USD a NIUM 0 USD T/C 925,86</v>
      </c>
      <c r="AN16" s="3">
        <f>+AH9</f>
        <v>0</v>
      </c>
      <c r="AO16" s="10"/>
      <c r="AT16" s="1">
        <v>45580</v>
      </c>
      <c r="AU16" s="26">
        <f>HLOOKUP(AT16,Hoja2!$R$2:$AV$101,100,FALSE)</f>
        <v>0</v>
      </c>
      <c r="AV16" s="77">
        <f>HLOOKUP(AT16,Hoja2!$R$2:$AV$102,101,FALSE)</f>
        <v>928.37</v>
      </c>
      <c r="AW16" s="26">
        <f>HLOOKUP(AT16,Hoja2!$R$2:$AV$103,102,FALSE)</f>
        <v>0</v>
      </c>
      <c r="AX16" s="79">
        <f>HLOOKUP(AT16,Hoja2!$R$2:$AV$104,103,FALSE)</f>
        <v>0</v>
      </c>
      <c r="AY16" s="21"/>
      <c r="AZ16" s="15">
        <v>45451</v>
      </c>
      <c r="BA16">
        <v>110820</v>
      </c>
      <c r="BB16" t="s">
        <v>92</v>
      </c>
      <c r="BC16" t="str">
        <f>"CPA Fondeo Renta4 USD a JPM COL "&amp;AW9&amp;" USD T/C "&amp;AV9&amp;""</f>
        <v>CPA Fondeo Renta4 USD a JPM COL 0 USD T/C 925,86</v>
      </c>
      <c r="BD16" s="3">
        <f>+AX9</f>
        <v>0</v>
      </c>
      <c r="BE16" s="10"/>
      <c r="BI16" s="1">
        <v>45580</v>
      </c>
      <c r="BJ16" s="26">
        <f>HLOOKUP(BI16,Hoja2!$R$2:$AV$120,119,FALSE)</f>
        <v>0</v>
      </c>
      <c r="BK16" s="77">
        <f>HLOOKUP(BI16,Hoja2!$R$2:$AV$118,117,FALSE)</f>
        <v>928.37</v>
      </c>
      <c r="BL16" s="26">
        <f>HLOOKUP(BI16,Hoja2!$R$2:$AV$119,118,FALSE)</f>
        <v>0</v>
      </c>
      <c r="BM16" s="79">
        <f>HLOOKUP(BI16,Hoja2!$R$2:$AV$117,116,FALSE)</f>
        <v>0</v>
      </c>
      <c r="BN16" s="21"/>
      <c r="BO16" s="15">
        <v>45451</v>
      </c>
      <c r="BP16">
        <v>110292</v>
      </c>
      <c r="BQ16" t="s">
        <v>153</v>
      </c>
      <c r="BR16" t="str">
        <f>"CPA Fondeo Renta4 USD a OZ CAMBIO "&amp;BL9&amp;" USD T/C "&amp;BK9&amp;""</f>
        <v>CPA Fondeo Renta4 USD a OZ CAMBIO 0 USD T/C 925,86</v>
      </c>
      <c r="BS16" s="3">
        <f>+BJ9</f>
        <v>0</v>
      </c>
      <c r="BT16" s="10"/>
      <c r="BX16" s="1">
        <v>45580</v>
      </c>
      <c r="BY16" s="26">
        <f>HLOOKUP(BX16,Hoja2!$R$2:$AV$82,81,FALSE)</f>
        <v>0</v>
      </c>
      <c r="BZ16" s="77">
        <f>HLOOKUP(BX16,Hoja2!$R$2:$AV$83,82,FALSE)</f>
        <v>0</v>
      </c>
      <c r="CA16" s="26">
        <f>HLOOKUP(BX16,Hoja2!$R$2:$AV$84,83,FALSE)</f>
        <v>0</v>
      </c>
      <c r="CB16" s="79">
        <f>HLOOKUP(BX16,Hoja2!$R$2:$AV$85,84,FALSE)</f>
        <v>0</v>
      </c>
      <c r="CC16" s="21"/>
      <c r="CD16" s="15">
        <v>45451</v>
      </c>
      <c r="CE16">
        <v>110205</v>
      </c>
      <c r="CF16" t="s">
        <v>154</v>
      </c>
      <c r="CG16" t="str">
        <f>"CPA Fondeo MBI USD a BICE USD "&amp;CA9&amp;" USD T/C "&amp;BZ9&amp;""</f>
        <v>CPA Fondeo MBI USD a BICE USD 0 USD T/C 0</v>
      </c>
      <c r="CH16" s="3">
        <f>+CB9</f>
        <v>0</v>
      </c>
      <c r="CI16" s="10"/>
    </row>
    <row r="17" spans="1:87" x14ac:dyDescent="0.25">
      <c r="A17" s="1">
        <v>45581</v>
      </c>
      <c r="B17" s="26">
        <f>HLOOKUP(A17,Hoja2!$R$2:$AV$92,91,FALSE)</f>
        <v>470800000</v>
      </c>
      <c r="D17" s="21"/>
      <c r="E17" s="11"/>
      <c r="F17" s="12">
        <v>110208</v>
      </c>
      <c r="G17" s="12" t="s">
        <v>46</v>
      </c>
      <c r="H17" s="12" t="str">
        <f t="shared" ref="H17" si="28">H16</f>
        <v xml:space="preserve">CPA Traspaso de Fondos Bco. BCI 648 a Renta4 </v>
      </c>
      <c r="I17" s="13"/>
      <c r="J17" s="18" t="str">
        <f>I16</f>
        <v>-</v>
      </c>
      <c r="N17" s="1">
        <v>45581</v>
      </c>
      <c r="O17" s="26">
        <f>HLOOKUP(N17,Hoja2!$R$2:$AV$96,95,FALSE)</f>
        <v>0</v>
      </c>
      <c r="P17" s="77">
        <f>HLOOKUP(N17,Hoja2!$R$2:$AV$94,93,FALSE)</f>
        <v>0</v>
      </c>
      <c r="Q17" s="26">
        <f>HLOOKUP(N17,Hoja2!$R$2:$AV$95,94,FALSE)</f>
        <v>0</v>
      </c>
      <c r="R17" s="26"/>
      <c r="S17" s="21"/>
      <c r="T17" s="11"/>
      <c r="U17" s="12">
        <v>110322</v>
      </c>
      <c r="V17" s="12" t="s">
        <v>178</v>
      </c>
      <c r="W17" s="12" t="str">
        <f>+W16</f>
        <v>CPA Compra Divisas 0 T/C 0</v>
      </c>
      <c r="X17" s="13"/>
      <c r="Y17" s="18">
        <f t="shared" ref="Y17" si="29">+X16</f>
        <v>0</v>
      </c>
      <c r="AD17" s="1">
        <v>45581</v>
      </c>
      <c r="AE17" s="26">
        <f>HLOOKUP(AD17,Hoja2!$R$2:$AV$97,96,FALSE)</f>
        <v>500000</v>
      </c>
      <c r="AF17" s="77">
        <f>HLOOKUP(AD17,Hoja2!$R$2:$AV$98,97,FALSE)</f>
        <v>937.29</v>
      </c>
      <c r="AG17" s="26" t="str">
        <f>HLOOKUP(AD17,Hoja2!$R$2:$AV$99,98,FALSE)</f>
        <v>500K</v>
      </c>
      <c r="AH17" s="79">
        <f>HLOOKUP(AD17,Hoja2!$R$2:$AV$100,99,FALSE)</f>
        <v>468645000</v>
      </c>
      <c r="AI17" s="21"/>
      <c r="AJ17" s="11"/>
      <c r="AK17" s="12">
        <v>110323</v>
      </c>
      <c r="AL17" s="12" t="s">
        <v>179</v>
      </c>
      <c r="AM17" s="12" t="str">
        <f>+AM16</f>
        <v>CPA Fondeo Renta4 USD a NIUM 0 USD T/C 925,86</v>
      </c>
      <c r="AN17" s="13"/>
      <c r="AO17" s="18">
        <f t="shared" si="8"/>
        <v>0</v>
      </c>
      <c r="AT17" s="1">
        <v>45581</v>
      </c>
      <c r="AU17" s="26">
        <f>HLOOKUP(AT17,Hoja2!$R$2:$AV$101,100,FALSE)</f>
        <v>0</v>
      </c>
      <c r="AV17" s="77">
        <f>HLOOKUP(AT17,Hoja2!$R$2:$AV$102,101,FALSE)</f>
        <v>937.29</v>
      </c>
      <c r="AW17" s="26">
        <f>HLOOKUP(AT17,Hoja2!$R$2:$AV$103,102,FALSE)</f>
        <v>0</v>
      </c>
      <c r="AX17" s="79">
        <f>HLOOKUP(AT17,Hoja2!$R$2:$AV$104,103,FALSE)</f>
        <v>0</v>
      </c>
      <c r="AY17" s="21"/>
      <c r="AZ17" s="11"/>
      <c r="BA17" s="12">
        <v>110323</v>
      </c>
      <c r="BB17" s="12" t="s">
        <v>179</v>
      </c>
      <c r="BC17" s="12" t="str">
        <f>+BC16</f>
        <v>CPA Fondeo Renta4 USD a JPM COL 0 USD T/C 925,86</v>
      </c>
      <c r="BD17" s="13"/>
      <c r="BE17" s="18">
        <f t="shared" si="9"/>
        <v>0</v>
      </c>
      <c r="BI17" s="1">
        <v>45581</v>
      </c>
      <c r="BJ17" s="26">
        <f>HLOOKUP(BI17,Hoja2!$R$2:$AV$120,119,FALSE)</f>
        <v>0</v>
      </c>
      <c r="BK17" s="77">
        <f>HLOOKUP(BI17,Hoja2!$R$2:$AV$118,117,FALSE)</f>
        <v>937.29</v>
      </c>
      <c r="BL17" s="26">
        <f>HLOOKUP(BI17,Hoja2!$R$2:$AV$119,118,FALSE)</f>
        <v>0</v>
      </c>
      <c r="BM17" s="79">
        <f>HLOOKUP(BI17,Hoja2!$R$2:$AV$117,116,FALSE)</f>
        <v>0</v>
      </c>
      <c r="BN17" s="21"/>
      <c r="BO17" s="11"/>
      <c r="BP17" s="12">
        <v>110323</v>
      </c>
      <c r="BQ17" s="12" t="s">
        <v>179</v>
      </c>
      <c r="BR17" s="12" t="str">
        <f>+BR16</f>
        <v>CPA Fondeo Renta4 USD a OZ CAMBIO 0 USD T/C 925,86</v>
      </c>
      <c r="BS17" s="13"/>
      <c r="BT17" s="18">
        <f t="shared" ref="BT17" si="30">+BS16</f>
        <v>0</v>
      </c>
      <c r="BX17" s="1">
        <v>45581</v>
      </c>
      <c r="BY17" s="26">
        <f>HLOOKUP(BX17,Hoja2!$R$2:$AV$82,81,FALSE)</f>
        <v>0</v>
      </c>
      <c r="BZ17" s="77">
        <f>HLOOKUP(BX17,Hoja2!$R$2:$AV$83,82,FALSE)</f>
        <v>0</v>
      </c>
      <c r="CA17" s="26">
        <f>HLOOKUP(BX17,Hoja2!$R$2:$AV$84,83,FALSE)</f>
        <v>0</v>
      </c>
      <c r="CB17" s="79">
        <f>HLOOKUP(BX17,Hoja2!$R$2:$AV$85,84,FALSE)</f>
        <v>0</v>
      </c>
      <c r="CC17" s="21"/>
      <c r="CD17" s="11"/>
      <c r="CE17" s="12">
        <v>110296</v>
      </c>
      <c r="CF17" s="12" t="s">
        <v>123</v>
      </c>
      <c r="CG17" s="12" t="str">
        <f>+CG16</f>
        <v>CPA Fondeo MBI USD a BICE USD 0 USD T/C 0</v>
      </c>
      <c r="CH17" s="13"/>
      <c r="CI17" s="18">
        <f t="shared" ref="CI17" si="31">+CH16</f>
        <v>0</v>
      </c>
    </row>
    <row r="18" spans="1:87" x14ac:dyDescent="0.25">
      <c r="A18" s="1">
        <v>45582</v>
      </c>
      <c r="B18" s="26" t="str">
        <f>HLOOKUP(A18,Hoja2!$R$2:$AV$92,91,FALSE)</f>
        <v>-</v>
      </c>
      <c r="D18" s="21"/>
      <c r="E18" s="15">
        <v>45452</v>
      </c>
      <c r="F18" s="8">
        <v>110322</v>
      </c>
      <c r="G18" s="8" t="s">
        <v>178</v>
      </c>
      <c r="H18" s="8" t="str">
        <f>"CPA Traspaso de Fondos Bco. BCI 648 a Renta4 "</f>
        <v xml:space="preserve">CPA Traspaso de Fondos Bco. BCI 648 a Renta4 </v>
      </c>
      <c r="I18" s="16" t="str">
        <f>+B10</f>
        <v>-</v>
      </c>
      <c r="J18" s="17"/>
      <c r="N18" s="1">
        <v>45582</v>
      </c>
      <c r="O18" s="26">
        <f>HLOOKUP(N18,Hoja2!$R$2:$AV$96,95,FALSE)</f>
        <v>0</v>
      </c>
      <c r="P18" s="77">
        <f>HLOOKUP(N18,Hoja2!$R$2:$AV$94,93,FALSE)</f>
        <v>0</v>
      </c>
      <c r="Q18" s="26">
        <f>HLOOKUP(N18,Hoja2!$R$2:$AV$95,94,FALSE)</f>
        <v>0</v>
      </c>
      <c r="R18" s="26"/>
      <c r="S18" s="21"/>
      <c r="T18" s="15">
        <v>45452</v>
      </c>
      <c r="U18">
        <v>110323</v>
      </c>
      <c r="V18" t="s">
        <v>179</v>
      </c>
      <c r="W18" t="str">
        <f>"CPA Compra Divisas " &amp;Q10&amp;" T/C "&amp;P10</f>
        <v>CPA Compra Divisas 0 T/C 0</v>
      </c>
      <c r="X18" s="3">
        <f>+O10</f>
        <v>0</v>
      </c>
      <c r="Y18" s="10"/>
      <c r="AD18" s="1">
        <v>45582</v>
      </c>
      <c r="AE18" s="26">
        <f>HLOOKUP(AD18,Hoja2!$R$2:$AV$97,96,FALSE)</f>
        <v>0</v>
      </c>
      <c r="AF18" s="77">
        <f>HLOOKUP(AD18,Hoja2!$R$2:$AV$98,97,FALSE)</f>
        <v>941.3</v>
      </c>
      <c r="AG18" s="26">
        <f>HLOOKUP(AD18,Hoja2!$R$2:$AV$99,98,FALSE)</f>
        <v>0</v>
      </c>
      <c r="AH18" s="79">
        <f>HLOOKUP(AD18,Hoja2!$R$2:$AV$100,99,FALSE)</f>
        <v>0</v>
      </c>
      <c r="AI18" s="21"/>
      <c r="AJ18" s="15">
        <v>45452</v>
      </c>
      <c r="AK18" s="8">
        <v>110275</v>
      </c>
      <c r="AL18" t="s">
        <v>82</v>
      </c>
      <c r="AM18" t="str">
        <f>"CPA Fondeo Renta4 USD a NIUM " &amp;AG10&amp;" USD T/C "&amp;AF10</f>
        <v>CPA Fondeo Renta4 USD a NIUM 0 USD T/C 933,62</v>
      </c>
      <c r="AN18" s="3">
        <f>+AH10</f>
        <v>0</v>
      </c>
      <c r="AO18" s="10"/>
      <c r="AT18" s="1">
        <v>45582</v>
      </c>
      <c r="AU18" s="26">
        <f>HLOOKUP(AT18,Hoja2!$R$2:$AV$101,100,FALSE)</f>
        <v>0</v>
      </c>
      <c r="AV18" s="77">
        <f>HLOOKUP(AT18,Hoja2!$R$2:$AV$102,101,FALSE)</f>
        <v>941.3</v>
      </c>
      <c r="AW18" s="26">
        <f>HLOOKUP(AT18,Hoja2!$R$2:$AV$103,102,FALSE)</f>
        <v>0</v>
      </c>
      <c r="AX18" s="79">
        <f>HLOOKUP(AT18,Hoja2!$R$2:$AV$104,103,FALSE)</f>
        <v>0</v>
      </c>
      <c r="AY18" s="21"/>
      <c r="AZ18" s="15">
        <v>45452</v>
      </c>
      <c r="BA18">
        <v>110820</v>
      </c>
      <c r="BB18" t="s">
        <v>92</v>
      </c>
      <c r="BC18" t="str">
        <f>"CPA Fondeo Renta4 USD a JPM COL "&amp;AW10&amp;" USD T/C "&amp;AV10&amp;""</f>
        <v>CPA Fondeo Renta4 USD a JPM COL 0 USD T/C 933,62</v>
      </c>
      <c r="BD18" s="3">
        <f>+AX10</f>
        <v>0</v>
      </c>
      <c r="BE18" s="10"/>
      <c r="BI18" s="1">
        <v>45582</v>
      </c>
      <c r="BJ18" s="26">
        <f>HLOOKUP(BI18,Hoja2!$R$2:$AV$120,119,FALSE)</f>
        <v>0</v>
      </c>
      <c r="BK18" s="77">
        <f>HLOOKUP(BI18,Hoja2!$R$2:$AV$118,117,FALSE)</f>
        <v>941.3</v>
      </c>
      <c r="BL18" s="26">
        <f>HLOOKUP(BI18,Hoja2!$R$2:$AV$119,118,FALSE)</f>
        <v>0</v>
      </c>
      <c r="BM18" s="79">
        <f>HLOOKUP(BI18,Hoja2!$R$2:$AV$117,116,FALSE)</f>
        <v>0</v>
      </c>
      <c r="BN18" s="21"/>
      <c r="BO18" s="15">
        <v>45452</v>
      </c>
      <c r="BP18">
        <v>110292</v>
      </c>
      <c r="BQ18" t="s">
        <v>153</v>
      </c>
      <c r="BR18" t="str">
        <f>"CPA Fondeo Renta4 USD a OZ CAMBIO "&amp;BL10&amp;" USD T/C "&amp;BK10&amp;""</f>
        <v>CPA Fondeo Renta4 USD a OZ CAMBIO 0 USD T/C 933,62</v>
      </c>
      <c r="BS18" s="3">
        <f>+BJ10</f>
        <v>0</v>
      </c>
      <c r="BT18" s="10"/>
      <c r="BX18" s="1">
        <v>45582</v>
      </c>
      <c r="BY18" s="26">
        <f>HLOOKUP(BX18,Hoja2!$R$2:$AV$82,81,FALSE)</f>
        <v>0</v>
      </c>
      <c r="BZ18" s="77">
        <f>HLOOKUP(BX18,Hoja2!$R$2:$AV$83,82,FALSE)</f>
        <v>0</v>
      </c>
      <c r="CA18" s="26">
        <f>HLOOKUP(BX18,Hoja2!$R$2:$AV$84,83,FALSE)</f>
        <v>0</v>
      </c>
      <c r="CB18" s="79">
        <f>HLOOKUP(BX18,Hoja2!$R$2:$AV$85,84,FALSE)</f>
        <v>0</v>
      </c>
      <c r="CC18" s="21"/>
      <c r="CD18" s="15">
        <v>45452</v>
      </c>
      <c r="CE18">
        <v>110205</v>
      </c>
      <c r="CF18" t="s">
        <v>154</v>
      </c>
      <c r="CG18" t="str">
        <f>"CPA Fondeo MBI USD a BICE USD "&amp;CA10&amp;" USD T/C "&amp;BZ10&amp;""</f>
        <v>CPA Fondeo MBI USD a BICE USD 0 USD T/C 0</v>
      </c>
      <c r="CH18" s="3">
        <f>+CB10</f>
        <v>0</v>
      </c>
      <c r="CI18" s="10"/>
    </row>
    <row r="19" spans="1:87" x14ac:dyDescent="0.25">
      <c r="A19" s="1">
        <v>45583</v>
      </c>
      <c r="B19" s="26" t="str">
        <f>HLOOKUP(A19,Hoja2!$R$2:$AV$92,91,FALSE)</f>
        <v>-</v>
      </c>
      <c r="D19" s="21"/>
      <c r="E19" s="11"/>
      <c r="F19" s="12">
        <v>110208</v>
      </c>
      <c r="G19" s="12" t="s">
        <v>46</v>
      </c>
      <c r="H19" s="12" t="str">
        <f t="shared" ref="H19" si="32">H18</f>
        <v xml:space="preserve">CPA Traspaso de Fondos Bco. BCI 648 a Renta4 </v>
      </c>
      <c r="I19" s="13"/>
      <c r="J19" s="18" t="str">
        <f>I18</f>
        <v>-</v>
      </c>
      <c r="N19" s="1">
        <v>45583</v>
      </c>
      <c r="O19" s="26">
        <f>HLOOKUP(N19,Hoja2!$R$2:$AV$96,95,FALSE)</f>
        <v>0</v>
      </c>
      <c r="P19" s="77">
        <f>HLOOKUP(N19,Hoja2!$R$2:$AV$94,93,FALSE)</f>
        <v>0</v>
      </c>
      <c r="Q19" s="26">
        <f>HLOOKUP(N19,Hoja2!$R$2:$AV$95,94,FALSE)</f>
        <v>0</v>
      </c>
      <c r="R19" s="26"/>
      <c r="S19" s="21"/>
      <c r="T19" s="11"/>
      <c r="U19" s="12">
        <v>110322</v>
      </c>
      <c r="V19" s="12" t="s">
        <v>178</v>
      </c>
      <c r="W19" s="12" t="str">
        <f>+W18</f>
        <v>CPA Compra Divisas 0 T/C 0</v>
      </c>
      <c r="X19" s="13"/>
      <c r="Y19" s="18">
        <f t="shared" ref="Y19" si="33">+X18</f>
        <v>0</v>
      </c>
      <c r="AD19" s="1">
        <v>45583</v>
      </c>
      <c r="AE19" s="26">
        <f>HLOOKUP(AD19,Hoja2!$R$2:$AV$97,96,FALSE)</f>
        <v>0</v>
      </c>
      <c r="AF19" s="77">
        <f>HLOOKUP(AD19,Hoja2!$R$2:$AV$98,97,FALSE)</f>
        <v>945.01</v>
      </c>
      <c r="AG19" s="26">
        <f>HLOOKUP(AD19,Hoja2!$R$2:$AV$99,98,FALSE)</f>
        <v>0</v>
      </c>
      <c r="AH19" s="79">
        <f>HLOOKUP(AD19,Hoja2!$R$2:$AV$100,99,FALSE)</f>
        <v>0</v>
      </c>
      <c r="AI19" s="21"/>
      <c r="AJ19" s="11"/>
      <c r="AK19" s="12">
        <v>110323</v>
      </c>
      <c r="AL19" s="12" t="s">
        <v>179</v>
      </c>
      <c r="AM19" s="12" t="str">
        <f>+AM18</f>
        <v>CPA Fondeo Renta4 USD a NIUM 0 USD T/C 933,62</v>
      </c>
      <c r="AN19" s="13"/>
      <c r="AO19" s="18">
        <f t="shared" si="8"/>
        <v>0</v>
      </c>
      <c r="AT19" s="1">
        <v>45583</v>
      </c>
      <c r="AU19" s="26">
        <f>HLOOKUP(AT19,Hoja2!$R$2:$AV$101,100,FALSE)</f>
        <v>0</v>
      </c>
      <c r="AV19" s="77">
        <f>HLOOKUP(AT19,Hoja2!$R$2:$AV$102,101,FALSE)</f>
        <v>945.01</v>
      </c>
      <c r="AW19" s="26">
        <f>HLOOKUP(AT19,Hoja2!$R$2:$AV$103,102,FALSE)</f>
        <v>0</v>
      </c>
      <c r="AX19" s="79">
        <f>HLOOKUP(AT19,Hoja2!$R$2:$AV$104,103,FALSE)</f>
        <v>0</v>
      </c>
      <c r="AY19" s="21"/>
      <c r="AZ19" s="11"/>
      <c r="BA19" s="12">
        <v>110323</v>
      </c>
      <c r="BB19" s="12" t="s">
        <v>179</v>
      </c>
      <c r="BC19" s="12" t="str">
        <f>+BC18</f>
        <v>CPA Fondeo Renta4 USD a JPM COL 0 USD T/C 933,62</v>
      </c>
      <c r="BD19" s="13"/>
      <c r="BE19" s="18">
        <f t="shared" si="9"/>
        <v>0</v>
      </c>
      <c r="BI19" s="1">
        <v>45583</v>
      </c>
      <c r="BJ19" s="26">
        <f>HLOOKUP(BI19,Hoja2!$R$2:$AV$120,119,FALSE)</f>
        <v>0</v>
      </c>
      <c r="BK19" s="77">
        <f>HLOOKUP(BI19,Hoja2!$R$2:$AV$118,117,FALSE)</f>
        <v>945.01</v>
      </c>
      <c r="BL19" s="26">
        <f>HLOOKUP(BI19,Hoja2!$R$2:$AV$119,118,FALSE)</f>
        <v>0</v>
      </c>
      <c r="BM19" s="79">
        <f>HLOOKUP(BI19,Hoja2!$R$2:$AV$117,116,FALSE)</f>
        <v>0</v>
      </c>
      <c r="BN19" s="21"/>
      <c r="BO19" s="11"/>
      <c r="BP19" s="12">
        <v>110323</v>
      </c>
      <c r="BQ19" s="12" t="s">
        <v>179</v>
      </c>
      <c r="BR19" s="12" t="str">
        <f>+BR18</f>
        <v>CPA Fondeo Renta4 USD a OZ CAMBIO 0 USD T/C 933,62</v>
      </c>
      <c r="BS19" s="13"/>
      <c r="BT19" s="18">
        <f t="shared" ref="BT19" si="34">+BS18</f>
        <v>0</v>
      </c>
      <c r="BX19" s="1">
        <v>45583</v>
      </c>
      <c r="BY19" s="26">
        <f>HLOOKUP(BX19,Hoja2!$R$2:$AV$82,81,FALSE)</f>
        <v>0</v>
      </c>
      <c r="BZ19" s="77">
        <f>HLOOKUP(BX19,Hoja2!$R$2:$AV$83,82,FALSE)</f>
        <v>0</v>
      </c>
      <c r="CA19" s="26">
        <f>HLOOKUP(BX19,Hoja2!$R$2:$AV$84,83,FALSE)</f>
        <v>0</v>
      </c>
      <c r="CB19" s="79">
        <f>HLOOKUP(BX19,Hoja2!$R$2:$AV$85,84,FALSE)</f>
        <v>0</v>
      </c>
      <c r="CC19" s="21"/>
      <c r="CD19" s="11"/>
      <c r="CE19" s="12">
        <v>110296</v>
      </c>
      <c r="CF19" s="12" t="s">
        <v>123</v>
      </c>
      <c r="CG19" s="12" t="str">
        <f>+CG18</f>
        <v>CPA Fondeo MBI USD a BICE USD 0 USD T/C 0</v>
      </c>
      <c r="CH19" s="13"/>
      <c r="CI19" s="18">
        <f t="shared" ref="CI19" si="35">+CH18</f>
        <v>0</v>
      </c>
    </row>
    <row r="20" spans="1:87" x14ac:dyDescent="0.25">
      <c r="A20" s="1">
        <v>45584</v>
      </c>
      <c r="B20" s="26" t="str">
        <f>HLOOKUP(A20,Hoja2!$R$2:$AV$92,91,FALSE)</f>
        <v>-</v>
      </c>
      <c r="D20" s="21"/>
      <c r="E20" s="15">
        <v>45453</v>
      </c>
      <c r="F20" s="8">
        <v>110322</v>
      </c>
      <c r="G20" s="8" t="s">
        <v>178</v>
      </c>
      <c r="H20" s="8" t="str">
        <f>"CPA Traspaso de Fondos Bco. BCI 648 a Renta4 "</f>
        <v xml:space="preserve">CPA Traspaso de Fondos Bco. BCI 648 a Renta4 </v>
      </c>
      <c r="I20" s="16" t="str">
        <f>+B11</f>
        <v>-</v>
      </c>
      <c r="J20" s="17"/>
      <c r="N20" s="1">
        <v>45584</v>
      </c>
      <c r="O20" s="26">
        <f>HLOOKUP(N20,Hoja2!$R$2:$AV$96,95,FALSE)</f>
        <v>0</v>
      </c>
      <c r="P20" s="77">
        <f>HLOOKUP(N20,Hoja2!$R$2:$AV$94,93,FALSE)</f>
        <v>0</v>
      </c>
      <c r="Q20" s="26">
        <f>HLOOKUP(N20,Hoja2!$R$2:$AV$95,94,FALSE)</f>
        <v>0</v>
      </c>
      <c r="R20" s="26"/>
      <c r="S20" s="21"/>
      <c r="T20" s="15">
        <v>45453</v>
      </c>
      <c r="U20">
        <v>110323</v>
      </c>
      <c r="V20" t="s">
        <v>179</v>
      </c>
      <c r="W20" t="str">
        <f>"CPA Compra Divisas " &amp;Q11&amp;" T/C "&amp;P11</f>
        <v>CPA Compra Divisas 0 T/C 0</v>
      </c>
      <c r="X20" s="3">
        <f>+O11</f>
        <v>0</v>
      </c>
      <c r="Y20" s="10"/>
      <c r="AD20" s="1">
        <v>45584</v>
      </c>
      <c r="AE20" s="26">
        <f>HLOOKUP(AD20,Hoja2!$R$2:$AV$97,96,FALSE)</f>
        <v>0</v>
      </c>
      <c r="AF20" s="77">
        <f>HLOOKUP(AD20,Hoja2!$R$2:$AV$98,97,FALSE)</f>
        <v>945.01</v>
      </c>
      <c r="AG20" s="26">
        <f>HLOOKUP(AD20,Hoja2!$R$2:$AV$99,98,FALSE)</f>
        <v>0</v>
      </c>
      <c r="AH20" s="79">
        <f>HLOOKUP(AD20,Hoja2!$R$2:$AV$100,99,FALSE)</f>
        <v>0</v>
      </c>
      <c r="AI20" s="21"/>
      <c r="AJ20" s="15">
        <v>45453</v>
      </c>
      <c r="AK20" s="8">
        <v>110275</v>
      </c>
      <c r="AL20" t="s">
        <v>82</v>
      </c>
      <c r="AM20" t="str">
        <f>"CPA Fondeo Renta4 USD a NIUM " &amp;AG11&amp;" USD T/C "&amp;AF11</f>
        <v>CPA Fondeo Renta4 USD a NIUM 0 USD T/C 934,84</v>
      </c>
      <c r="AN20" s="3">
        <f>+AH11</f>
        <v>0</v>
      </c>
      <c r="AO20" s="10"/>
      <c r="AT20" s="1">
        <v>45584</v>
      </c>
      <c r="AU20" s="26">
        <f>HLOOKUP(AT20,Hoja2!$R$2:$AV$101,100,FALSE)</f>
        <v>0</v>
      </c>
      <c r="AV20" s="77">
        <f>HLOOKUP(AT20,Hoja2!$R$2:$AV$102,101,FALSE)</f>
        <v>945.01</v>
      </c>
      <c r="AW20" s="26">
        <f>HLOOKUP(AT20,Hoja2!$R$2:$AV$103,102,FALSE)</f>
        <v>0</v>
      </c>
      <c r="AX20" s="79">
        <f>HLOOKUP(AT20,Hoja2!$R$2:$AV$104,103,FALSE)</f>
        <v>0</v>
      </c>
      <c r="AY20" s="21"/>
      <c r="AZ20" s="15">
        <v>45453</v>
      </c>
      <c r="BA20">
        <v>110820</v>
      </c>
      <c r="BB20" t="s">
        <v>92</v>
      </c>
      <c r="BC20" t="str">
        <f>"CPA Fondeo Renta4 USD a JPM COL "&amp;AW11&amp;" USD T/C "&amp;AV11&amp;""</f>
        <v>CPA Fondeo Renta4 USD a JPM COL 0 USD T/C 934,84</v>
      </c>
      <c r="BD20" s="3">
        <f>+AX11</f>
        <v>0</v>
      </c>
      <c r="BE20" s="10"/>
      <c r="BI20" s="1">
        <v>45584</v>
      </c>
      <c r="BJ20" s="26">
        <f>HLOOKUP(BI20,Hoja2!$R$2:$AV$120,119,FALSE)</f>
        <v>0</v>
      </c>
      <c r="BK20" s="77">
        <f>HLOOKUP(BI20,Hoja2!$R$2:$AV$118,117,FALSE)</f>
        <v>945.01</v>
      </c>
      <c r="BL20" s="26">
        <f>HLOOKUP(BI20,Hoja2!$R$2:$AV$119,118,FALSE)</f>
        <v>0</v>
      </c>
      <c r="BM20" s="79">
        <f>HLOOKUP(BI20,Hoja2!$R$2:$AV$117,116,FALSE)</f>
        <v>0</v>
      </c>
      <c r="BN20" s="21"/>
      <c r="BO20" s="15">
        <v>45453</v>
      </c>
      <c r="BP20">
        <v>110292</v>
      </c>
      <c r="BQ20" t="s">
        <v>153</v>
      </c>
      <c r="BR20" t="str">
        <f>"CPA Fondeo Renta4 USD a OZ CAMBIO "&amp;BL11&amp;" USD T/C "&amp;BK11&amp;""</f>
        <v>CPA Fondeo Renta4 USD a OZ CAMBIO 0 USD T/C 934,84</v>
      </c>
      <c r="BS20" s="3">
        <f>+BJ11</f>
        <v>0</v>
      </c>
      <c r="BT20" s="10"/>
      <c r="BX20" s="1">
        <v>45584</v>
      </c>
      <c r="BY20" s="26">
        <f>HLOOKUP(BX20,Hoja2!$R$2:$AV$82,81,FALSE)</f>
        <v>0</v>
      </c>
      <c r="BZ20" s="77">
        <f>HLOOKUP(BX20,Hoja2!$R$2:$AV$83,82,FALSE)</f>
        <v>0</v>
      </c>
      <c r="CA20" s="26">
        <f>HLOOKUP(BX20,Hoja2!$R$2:$AV$84,83,FALSE)</f>
        <v>0</v>
      </c>
      <c r="CB20" s="79">
        <f>HLOOKUP(BX20,Hoja2!$R$2:$AV$85,84,FALSE)</f>
        <v>0</v>
      </c>
      <c r="CC20" s="21"/>
      <c r="CD20" s="15">
        <v>45453</v>
      </c>
      <c r="CE20">
        <v>110205</v>
      </c>
      <c r="CF20" t="s">
        <v>154</v>
      </c>
      <c r="CG20" t="str">
        <f>"CPA Fondeo MBI USD a BICE USD "&amp;CA11&amp;" USD T/C "&amp;BZ11&amp;""</f>
        <v>CPA Fondeo MBI USD a BICE USD 0 USD T/C 0</v>
      </c>
      <c r="CH20" s="3">
        <f>+CB11</f>
        <v>0</v>
      </c>
      <c r="CI20" s="10"/>
    </row>
    <row r="21" spans="1:87" x14ac:dyDescent="0.25">
      <c r="A21" s="1">
        <v>45585</v>
      </c>
      <c r="B21" s="26" t="str">
        <f>HLOOKUP(A21,Hoja2!$R$2:$AV$92,91,FALSE)</f>
        <v>-</v>
      </c>
      <c r="D21" s="21"/>
      <c r="E21" s="9"/>
      <c r="F21">
        <v>110208</v>
      </c>
      <c r="G21" t="s">
        <v>46</v>
      </c>
      <c r="H21" t="str">
        <f t="shared" ref="H21" si="36">H20</f>
        <v xml:space="preserve">CPA Traspaso de Fondos Bco. BCI 648 a Renta4 </v>
      </c>
      <c r="I21" s="3"/>
      <c r="J21" s="10" t="str">
        <f>I20</f>
        <v>-</v>
      </c>
      <c r="N21" s="1">
        <v>45585</v>
      </c>
      <c r="O21" s="26">
        <f>HLOOKUP(N21,Hoja2!$R$2:$AV$96,95,FALSE)</f>
        <v>0</v>
      </c>
      <c r="P21" s="77">
        <f>HLOOKUP(N21,Hoja2!$R$2:$AV$94,93,FALSE)</f>
        <v>0</v>
      </c>
      <c r="Q21" s="26">
        <f>HLOOKUP(N21,Hoja2!$R$2:$AV$95,94,FALSE)</f>
        <v>0</v>
      </c>
      <c r="R21" s="26"/>
      <c r="S21" s="21"/>
      <c r="T21" s="9"/>
      <c r="U21" s="12">
        <v>110322</v>
      </c>
      <c r="V21" s="12" t="s">
        <v>178</v>
      </c>
      <c r="W21" s="12" t="str">
        <f>+W20</f>
        <v>CPA Compra Divisas 0 T/C 0</v>
      </c>
      <c r="X21" s="13"/>
      <c r="Y21" s="18">
        <f t="shared" ref="Y21" si="37">+X20</f>
        <v>0</v>
      </c>
      <c r="AD21" s="1">
        <v>45585</v>
      </c>
      <c r="AE21" s="26">
        <f>HLOOKUP(AD21,Hoja2!$R$2:$AV$97,96,FALSE)</f>
        <v>0</v>
      </c>
      <c r="AF21" s="77">
        <f>HLOOKUP(AD21,Hoja2!$R$2:$AV$98,97,FALSE)</f>
        <v>945.01</v>
      </c>
      <c r="AG21" s="26">
        <f>HLOOKUP(AD21,Hoja2!$R$2:$AV$99,98,FALSE)</f>
        <v>0</v>
      </c>
      <c r="AH21" s="79">
        <f>HLOOKUP(AD21,Hoja2!$R$2:$AV$100,99,FALSE)</f>
        <v>0</v>
      </c>
      <c r="AI21" s="21"/>
      <c r="AJ21" s="9"/>
      <c r="AK21">
        <v>110323</v>
      </c>
      <c r="AL21" s="12" t="s">
        <v>179</v>
      </c>
      <c r="AM21" s="12" t="str">
        <f>+AM20</f>
        <v>CPA Fondeo Renta4 USD a NIUM 0 USD T/C 934,84</v>
      </c>
      <c r="AN21" s="13"/>
      <c r="AO21" s="18">
        <f t="shared" si="8"/>
        <v>0</v>
      </c>
      <c r="AT21" s="1">
        <v>45585</v>
      </c>
      <c r="AU21" s="26">
        <f>HLOOKUP(AT21,Hoja2!$R$2:$AV$101,100,FALSE)</f>
        <v>0</v>
      </c>
      <c r="AV21" s="77">
        <f>HLOOKUP(AT21,Hoja2!$R$2:$AV$102,101,FALSE)</f>
        <v>945.01</v>
      </c>
      <c r="AW21" s="26">
        <f>HLOOKUP(AT21,Hoja2!$R$2:$AV$103,102,FALSE)</f>
        <v>0</v>
      </c>
      <c r="AX21" s="79">
        <f>HLOOKUP(AT21,Hoja2!$R$2:$AV$104,103,FALSE)</f>
        <v>0</v>
      </c>
      <c r="AY21" s="21"/>
      <c r="AZ21" s="9"/>
      <c r="BA21" s="12">
        <v>110323</v>
      </c>
      <c r="BB21" s="12" t="s">
        <v>179</v>
      </c>
      <c r="BC21" s="12" t="str">
        <f>+BC20</f>
        <v>CPA Fondeo Renta4 USD a JPM COL 0 USD T/C 934,84</v>
      </c>
      <c r="BD21" s="13"/>
      <c r="BE21" s="18">
        <f t="shared" si="9"/>
        <v>0</v>
      </c>
      <c r="BI21" s="1">
        <v>45585</v>
      </c>
      <c r="BJ21" s="26">
        <f>HLOOKUP(BI21,Hoja2!$R$2:$AV$120,119,FALSE)</f>
        <v>0</v>
      </c>
      <c r="BK21" s="77">
        <f>HLOOKUP(BI21,Hoja2!$R$2:$AV$118,117,FALSE)</f>
        <v>945.01</v>
      </c>
      <c r="BL21" s="26">
        <f>HLOOKUP(BI21,Hoja2!$R$2:$AV$119,118,FALSE)</f>
        <v>0</v>
      </c>
      <c r="BM21" s="79">
        <f>HLOOKUP(BI21,Hoja2!$R$2:$AV$117,116,FALSE)</f>
        <v>0</v>
      </c>
      <c r="BN21" s="21"/>
      <c r="BO21" s="9"/>
      <c r="BP21" s="12">
        <v>110323</v>
      </c>
      <c r="BQ21" s="12" t="s">
        <v>179</v>
      </c>
      <c r="BR21" s="12" t="str">
        <f>+BR20</f>
        <v>CPA Fondeo Renta4 USD a OZ CAMBIO 0 USD T/C 934,84</v>
      </c>
      <c r="BS21" s="13"/>
      <c r="BT21" s="18">
        <f t="shared" ref="BT21" si="38">+BS20</f>
        <v>0</v>
      </c>
      <c r="BX21" s="1">
        <v>45585</v>
      </c>
      <c r="BY21" s="26">
        <f>HLOOKUP(BX21,Hoja2!$R$2:$AV$82,81,FALSE)</f>
        <v>0</v>
      </c>
      <c r="BZ21" s="77">
        <f>HLOOKUP(BX21,Hoja2!$R$2:$AV$83,82,FALSE)</f>
        <v>0</v>
      </c>
      <c r="CA21" s="26">
        <f>HLOOKUP(BX21,Hoja2!$R$2:$AV$84,83,FALSE)</f>
        <v>0</v>
      </c>
      <c r="CB21" s="79">
        <f>HLOOKUP(BX21,Hoja2!$R$2:$AV$85,84,FALSE)</f>
        <v>0</v>
      </c>
      <c r="CC21" s="21"/>
      <c r="CD21" s="9"/>
      <c r="CE21" s="12">
        <v>110296</v>
      </c>
      <c r="CF21" s="12" t="s">
        <v>123</v>
      </c>
      <c r="CG21" s="12" t="str">
        <f>+CG20</f>
        <v>CPA Fondeo MBI USD a BICE USD 0 USD T/C 0</v>
      </c>
      <c r="CH21" s="13"/>
      <c r="CI21" s="18">
        <f t="shared" ref="CI21" si="39">+CH20</f>
        <v>0</v>
      </c>
    </row>
    <row r="22" spans="1:87" x14ac:dyDescent="0.25">
      <c r="A22" s="1">
        <v>45586</v>
      </c>
      <c r="B22" s="26">
        <f>HLOOKUP(A22,Hoja2!$R$2:$AV$92,91,FALSE)</f>
        <v>477150000</v>
      </c>
      <c r="D22" s="21"/>
      <c r="E22" s="15">
        <v>45454</v>
      </c>
      <c r="F22" s="8">
        <v>110322</v>
      </c>
      <c r="G22" s="8" t="s">
        <v>178</v>
      </c>
      <c r="H22" s="8" t="str">
        <f>"CPA Traspaso de Fondos Bco. BCI 648 a Renta4 "</f>
        <v xml:space="preserve">CPA Traspaso de Fondos Bco. BCI 648 a Renta4 </v>
      </c>
      <c r="I22" s="16" t="str">
        <f>+B12</f>
        <v>-</v>
      </c>
      <c r="J22" s="17"/>
      <c r="N22" s="1">
        <v>45586</v>
      </c>
      <c r="O22" s="26">
        <f>HLOOKUP(N22,Hoja2!$R$2:$AV$96,95,FALSE)</f>
        <v>0</v>
      </c>
      <c r="P22" s="77">
        <f>HLOOKUP(N22,Hoja2!$R$2:$AV$94,93,FALSE)</f>
        <v>0</v>
      </c>
      <c r="Q22" s="26">
        <f>HLOOKUP(N22,Hoja2!$R$2:$AV$95,94,FALSE)</f>
        <v>0</v>
      </c>
      <c r="R22" s="26"/>
      <c r="S22" s="21"/>
      <c r="T22" s="15">
        <v>45454</v>
      </c>
      <c r="U22">
        <v>110323</v>
      </c>
      <c r="V22" t="s">
        <v>179</v>
      </c>
      <c r="W22" t="str">
        <f>"CPA Compra Divisas " &amp;Q12&amp;" T/C "&amp;P12</f>
        <v>CPA Compra Divisas 0 T/C 0</v>
      </c>
      <c r="X22" s="3">
        <f>+O12</f>
        <v>0</v>
      </c>
      <c r="Y22" s="10"/>
      <c r="AD22" s="1">
        <v>45586</v>
      </c>
      <c r="AE22" s="26">
        <f>HLOOKUP(AD22,Hoja2!$R$2:$AV$97,96,FALSE)</f>
        <v>500000</v>
      </c>
      <c r="AF22" s="77">
        <f>HLOOKUP(AD22,Hoja2!$R$2:$AV$98,97,FALSE)</f>
        <v>946.99</v>
      </c>
      <c r="AG22" s="26" t="str">
        <f>HLOOKUP(AD22,Hoja2!$R$2:$AV$99,98,FALSE)</f>
        <v>500K</v>
      </c>
      <c r="AH22" s="79">
        <f>HLOOKUP(AD22,Hoja2!$R$2:$AV$100,99,FALSE)</f>
        <v>473495000</v>
      </c>
      <c r="AI22" s="21"/>
      <c r="AJ22" s="15">
        <v>45454</v>
      </c>
      <c r="AK22" s="8">
        <v>110275</v>
      </c>
      <c r="AL22" t="s">
        <v>82</v>
      </c>
      <c r="AM22" t="str">
        <f>"CPA Fondeo Renta4 USD a NIUM " &amp;AG12&amp;" USD T/C "&amp;AF12</f>
        <v>CPA Fondeo Renta4 USD a NIUM 0 USD T/C 931,26</v>
      </c>
      <c r="AN22" s="3">
        <f>+AH12</f>
        <v>0</v>
      </c>
      <c r="AO22" s="10"/>
      <c r="AT22" s="1">
        <v>45586</v>
      </c>
      <c r="AU22" s="26">
        <f>HLOOKUP(AT22,Hoja2!$R$2:$AV$101,100,FALSE)</f>
        <v>0</v>
      </c>
      <c r="AV22" s="77">
        <f>HLOOKUP(AT22,Hoja2!$R$2:$AV$102,101,FALSE)</f>
        <v>946.99</v>
      </c>
      <c r="AW22" s="26">
        <f>HLOOKUP(AT22,Hoja2!$R$2:$AV$103,102,FALSE)</f>
        <v>0</v>
      </c>
      <c r="AX22" s="79">
        <f>HLOOKUP(AT22,Hoja2!$R$2:$AV$104,103,FALSE)</f>
        <v>0</v>
      </c>
      <c r="AY22" s="21"/>
      <c r="AZ22" s="15">
        <v>45454</v>
      </c>
      <c r="BA22">
        <v>110820</v>
      </c>
      <c r="BB22" t="s">
        <v>92</v>
      </c>
      <c r="BC22" t="str">
        <f>"CPA Fondeo Renta4 USD a JPM COL "&amp;AW12&amp;" USD T/C "&amp;AV12&amp;""</f>
        <v>CPA Fondeo Renta4 USD a JPM COL 0 USD T/C 931,26</v>
      </c>
      <c r="BD22" s="3">
        <f>+AX12</f>
        <v>0</v>
      </c>
      <c r="BE22" s="10"/>
      <c r="BI22" s="1">
        <v>45586</v>
      </c>
      <c r="BJ22" s="26">
        <f>HLOOKUP(BI22,Hoja2!$R$2:$AV$120,119,FALSE)</f>
        <v>0</v>
      </c>
      <c r="BK22" s="77">
        <f>HLOOKUP(BI22,Hoja2!$R$2:$AV$118,117,FALSE)</f>
        <v>946.99</v>
      </c>
      <c r="BL22" s="26">
        <f>HLOOKUP(BI22,Hoja2!$R$2:$AV$119,118,FALSE)</f>
        <v>0</v>
      </c>
      <c r="BM22" s="79">
        <f>HLOOKUP(BI22,Hoja2!$R$2:$AV$117,116,FALSE)</f>
        <v>0</v>
      </c>
      <c r="BN22" s="21"/>
      <c r="BO22" s="15">
        <v>45454</v>
      </c>
      <c r="BP22">
        <v>110292</v>
      </c>
      <c r="BQ22" t="s">
        <v>153</v>
      </c>
      <c r="BR22" t="str">
        <f>"CPA Fondeo Renta4 USD a OZ CAMBIO "&amp;BL12&amp;" USD T/C "&amp;BK12&amp;""</f>
        <v>CPA Fondeo Renta4 USD a OZ CAMBIO 0 USD T/C 931,26</v>
      </c>
      <c r="BS22" s="3">
        <f>+BJ12</f>
        <v>0</v>
      </c>
      <c r="BT22" s="10"/>
      <c r="BX22" s="1">
        <v>45586</v>
      </c>
      <c r="BY22" s="26">
        <f>HLOOKUP(BX22,Hoja2!$R$2:$AV$82,81,FALSE)</f>
        <v>0</v>
      </c>
      <c r="BZ22" s="77">
        <f>HLOOKUP(BX22,Hoja2!$R$2:$AV$83,82,FALSE)</f>
        <v>0</v>
      </c>
      <c r="CA22" s="26">
        <f>HLOOKUP(BX22,Hoja2!$R$2:$AV$84,83,FALSE)</f>
        <v>0</v>
      </c>
      <c r="CB22" s="79">
        <f>HLOOKUP(BX22,Hoja2!$R$2:$AV$85,84,FALSE)</f>
        <v>0</v>
      </c>
      <c r="CC22" s="21"/>
      <c r="CD22" s="15">
        <v>45454</v>
      </c>
      <c r="CE22">
        <v>110205</v>
      </c>
      <c r="CF22" t="s">
        <v>154</v>
      </c>
      <c r="CG22" t="str">
        <f>"CPA Fondeo MBI USD a BICE USD "&amp;CA12&amp;" USD T/C "&amp;BZ12&amp;""</f>
        <v>CPA Fondeo MBI USD a BICE USD 0 USD T/C 0</v>
      </c>
      <c r="CH22" s="3">
        <f>+CB12</f>
        <v>0</v>
      </c>
      <c r="CI22" s="10"/>
    </row>
    <row r="23" spans="1:87" x14ac:dyDescent="0.25">
      <c r="A23" s="1">
        <v>45587</v>
      </c>
      <c r="B23" s="26">
        <f>HLOOKUP(A23,Hoja2!$R$2:$AV$92,91,FALSE)</f>
        <v>570480000</v>
      </c>
      <c r="D23" s="21"/>
      <c r="E23" s="9"/>
      <c r="F23">
        <v>110208</v>
      </c>
      <c r="G23" t="s">
        <v>46</v>
      </c>
      <c r="H23" t="str">
        <f t="shared" ref="H23" si="40">H22</f>
        <v xml:space="preserve">CPA Traspaso de Fondos Bco. BCI 648 a Renta4 </v>
      </c>
      <c r="I23" s="3"/>
      <c r="J23" s="10" t="str">
        <f>I22</f>
        <v>-</v>
      </c>
      <c r="N23" s="1">
        <v>45587</v>
      </c>
      <c r="O23" s="26">
        <f>HLOOKUP(N23,Hoja2!$R$2:$AV$96,95,FALSE)</f>
        <v>0</v>
      </c>
      <c r="P23" s="77">
        <f>HLOOKUP(N23,Hoja2!$R$2:$AV$94,93,FALSE)</f>
        <v>0</v>
      </c>
      <c r="Q23" s="26">
        <f>HLOOKUP(N23,Hoja2!$R$2:$AV$95,94,FALSE)</f>
        <v>0</v>
      </c>
      <c r="R23" s="26"/>
      <c r="S23" s="21"/>
      <c r="T23" s="9"/>
      <c r="U23" s="12">
        <v>110322</v>
      </c>
      <c r="V23" s="12" t="s">
        <v>178</v>
      </c>
      <c r="W23" s="12" t="str">
        <f>+W22</f>
        <v>CPA Compra Divisas 0 T/C 0</v>
      </c>
      <c r="X23" s="13"/>
      <c r="Y23" s="18">
        <f t="shared" ref="Y23" si="41">+X22</f>
        <v>0</v>
      </c>
      <c r="AD23" s="1">
        <v>45587</v>
      </c>
      <c r="AE23" s="26">
        <f>HLOOKUP(AD23,Hoja2!$R$2:$AV$97,96,FALSE)</f>
        <v>600000</v>
      </c>
      <c r="AF23" s="77">
        <f>HLOOKUP(AD23,Hoja2!$R$2:$AV$98,97,FALSE)</f>
        <v>954.39</v>
      </c>
      <c r="AG23" s="26" t="str">
        <f>HLOOKUP(AD23,Hoja2!$R$2:$AV$99,98,FALSE)</f>
        <v>600k</v>
      </c>
      <c r="AH23" s="79">
        <f>HLOOKUP(AD23,Hoja2!$R$2:$AV$100,99,FALSE)</f>
        <v>572634000</v>
      </c>
      <c r="AI23" s="21"/>
      <c r="AJ23" s="9"/>
      <c r="AK23">
        <v>110323</v>
      </c>
      <c r="AL23" s="12" t="s">
        <v>179</v>
      </c>
      <c r="AM23" s="12" t="str">
        <f>+AM22</f>
        <v>CPA Fondeo Renta4 USD a NIUM 0 USD T/C 931,26</v>
      </c>
      <c r="AN23" s="13"/>
      <c r="AO23" s="18">
        <f t="shared" si="8"/>
        <v>0</v>
      </c>
      <c r="AT23" s="1">
        <v>45587</v>
      </c>
      <c r="AU23" s="26">
        <f>HLOOKUP(AT23,Hoja2!$R$2:$AV$101,100,FALSE)</f>
        <v>0</v>
      </c>
      <c r="AV23" s="77">
        <f>HLOOKUP(AT23,Hoja2!$R$2:$AV$102,101,FALSE)</f>
        <v>954.39</v>
      </c>
      <c r="AW23" s="26">
        <f>HLOOKUP(AT23,Hoja2!$R$2:$AV$103,102,FALSE)</f>
        <v>0</v>
      </c>
      <c r="AX23" s="79">
        <f>HLOOKUP(AT23,Hoja2!$R$2:$AV$104,103,FALSE)</f>
        <v>0</v>
      </c>
      <c r="AY23" s="21"/>
      <c r="AZ23" s="9"/>
      <c r="BA23" s="12">
        <v>110323</v>
      </c>
      <c r="BB23" s="12" t="s">
        <v>179</v>
      </c>
      <c r="BC23" s="12" t="str">
        <f>+BC22</f>
        <v>CPA Fondeo Renta4 USD a JPM COL 0 USD T/C 931,26</v>
      </c>
      <c r="BD23" s="13"/>
      <c r="BE23" s="18">
        <f t="shared" si="9"/>
        <v>0</v>
      </c>
      <c r="BI23" s="1">
        <v>45587</v>
      </c>
      <c r="BJ23" s="26">
        <f>HLOOKUP(BI23,Hoja2!$R$2:$AV$120,119,FALSE)</f>
        <v>0</v>
      </c>
      <c r="BK23" s="77">
        <f>HLOOKUP(BI23,Hoja2!$R$2:$AV$118,117,FALSE)</f>
        <v>954.39</v>
      </c>
      <c r="BL23" s="26">
        <f>HLOOKUP(BI23,Hoja2!$R$2:$AV$119,118,FALSE)</f>
        <v>0</v>
      </c>
      <c r="BM23" s="79">
        <f>HLOOKUP(BI23,Hoja2!$R$2:$AV$117,116,FALSE)</f>
        <v>0</v>
      </c>
      <c r="BN23" s="21"/>
      <c r="BO23" s="9"/>
      <c r="BP23" s="12">
        <v>110323</v>
      </c>
      <c r="BQ23" s="12" t="s">
        <v>179</v>
      </c>
      <c r="BR23" s="12" t="str">
        <f>+BR22</f>
        <v>CPA Fondeo Renta4 USD a OZ CAMBIO 0 USD T/C 931,26</v>
      </c>
      <c r="BS23" s="13"/>
      <c r="BT23" s="18">
        <f t="shared" ref="BT23" si="42">+BS22</f>
        <v>0</v>
      </c>
      <c r="BX23" s="1">
        <v>45587</v>
      </c>
      <c r="BY23" s="26">
        <f>HLOOKUP(BX23,Hoja2!$R$2:$AV$82,81,FALSE)</f>
        <v>0</v>
      </c>
      <c r="BZ23" s="77">
        <f>HLOOKUP(BX23,Hoja2!$R$2:$AV$83,82,FALSE)</f>
        <v>0</v>
      </c>
      <c r="CA23" s="26">
        <f>HLOOKUP(BX23,Hoja2!$R$2:$AV$84,83,FALSE)</f>
        <v>0</v>
      </c>
      <c r="CB23" s="79">
        <f>HLOOKUP(BX23,Hoja2!$R$2:$AV$85,84,FALSE)</f>
        <v>0</v>
      </c>
      <c r="CC23" s="21"/>
      <c r="CD23" s="9"/>
      <c r="CE23" s="12">
        <v>110296</v>
      </c>
      <c r="CF23" s="12" t="s">
        <v>123</v>
      </c>
      <c r="CG23" s="12" t="str">
        <f>+CG22</f>
        <v>CPA Fondeo MBI USD a BICE USD 0 USD T/C 0</v>
      </c>
      <c r="CH23" s="13"/>
      <c r="CI23" s="18">
        <f t="shared" ref="CI23" si="43">+CH22</f>
        <v>0</v>
      </c>
    </row>
    <row r="24" spans="1:87" x14ac:dyDescent="0.25">
      <c r="A24" s="1">
        <v>45588</v>
      </c>
      <c r="B24" s="26">
        <f>HLOOKUP(A24,Hoja2!$R$2:$AV$92,91,FALSE)</f>
        <v>473650000</v>
      </c>
      <c r="D24" s="21"/>
      <c r="E24" s="15">
        <v>45455</v>
      </c>
      <c r="F24" s="8">
        <v>110322</v>
      </c>
      <c r="G24" s="8" t="s">
        <v>178</v>
      </c>
      <c r="H24" s="8" t="str">
        <f>"CPA Traspaso de Fondos Bco. BCI 648 a Renta4 "</f>
        <v xml:space="preserve">CPA Traspaso de Fondos Bco. BCI 648 a Renta4 </v>
      </c>
      <c r="I24" s="16" t="str">
        <f>+B13</f>
        <v>-</v>
      </c>
      <c r="J24" s="17"/>
      <c r="N24" s="1">
        <v>45588</v>
      </c>
      <c r="O24" s="26">
        <f>HLOOKUP(N24,Hoja2!$R$2:$AV$96,95,FALSE)</f>
        <v>0</v>
      </c>
      <c r="P24" s="77">
        <f>HLOOKUP(N24,Hoja2!$R$2:$AV$94,93,FALSE)</f>
        <v>0</v>
      </c>
      <c r="Q24" s="26">
        <f>HLOOKUP(N24,Hoja2!$R$2:$AV$95,94,FALSE)</f>
        <v>0</v>
      </c>
      <c r="R24" s="26"/>
      <c r="S24" s="21"/>
      <c r="T24" s="15">
        <v>45455</v>
      </c>
      <c r="U24">
        <v>110323</v>
      </c>
      <c r="V24" t="s">
        <v>179</v>
      </c>
      <c r="W24" t="str">
        <f>"CPA Compra Divisas " &amp;Q13&amp;" T/C "&amp;P13</f>
        <v>CPA Compra Divisas 0 T/C 0</v>
      </c>
      <c r="X24" s="3">
        <f>+O13</f>
        <v>0</v>
      </c>
      <c r="Y24" s="10"/>
      <c r="AD24" s="1">
        <v>45588</v>
      </c>
      <c r="AE24" s="26">
        <f>HLOOKUP(AD24,Hoja2!$R$2:$AV$97,96,FALSE)</f>
        <v>650000</v>
      </c>
      <c r="AF24" s="77">
        <f>HLOOKUP(AD24,Hoja2!$R$2:$AV$98,97,FALSE)</f>
        <v>949</v>
      </c>
      <c r="AG24" s="26" t="str">
        <f>HLOOKUP(AD24,Hoja2!$R$2:$AV$99,98,FALSE)</f>
        <v>650k</v>
      </c>
      <c r="AH24" s="79">
        <f>HLOOKUP(AD24,Hoja2!$R$2:$AV$100,99,FALSE)</f>
        <v>616850000</v>
      </c>
      <c r="AI24" s="21"/>
      <c r="AJ24" s="15">
        <v>45455</v>
      </c>
      <c r="AK24" s="8">
        <v>110275</v>
      </c>
      <c r="AL24" t="s">
        <v>82</v>
      </c>
      <c r="AM24" t="str">
        <f>"CPA Fondeo Renta4 USD a NIUM " &amp;AG13&amp;" USD T/C "&amp;AF13</f>
        <v>CPA Fondeo Renta4 USD a NIUM 0 USD T/C 931,26</v>
      </c>
      <c r="AN24" s="3">
        <f>+AH13</f>
        <v>0</v>
      </c>
      <c r="AO24" s="10"/>
      <c r="AT24" s="1">
        <v>45588</v>
      </c>
      <c r="AU24" s="26">
        <f>HLOOKUP(AT24,Hoja2!$R$2:$AV$101,100,FALSE)</f>
        <v>0</v>
      </c>
      <c r="AV24" s="77">
        <f>HLOOKUP(AT24,Hoja2!$R$2:$AV$102,101,FALSE)</f>
        <v>949</v>
      </c>
      <c r="AW24" s="26">
        <f>HLOOKUP(AT24,Hoja2!$R$2:$AV$103,102,FALSE)</f>
        <v>0</v>
      </c>
      <c r="AX24" s="79">
        <f>HLOOKUP(AT24,Hoja2!$R$2:$AV$104,103,FALSE)</f>
        <v>0</v>
      </c>
      <c r="AY24" s="21"/>
      <c r="AZ24" s="15">
        <v>45455</v>
      </c>
      <c r="BA24">
        <v>110820</v>
      </c>
      <c r="BB24" t="s">
        <v>92</v>
      </c>
      <c r="BC24" t="str">
        <f>"CPA Fondeo Renta4 USD a JPM COL "&amp;AW13&amp;" USD T/C "&amp;AV13&amp;""</f>
        <v>CPA Fondeo Renta4 USD a JPM COL 0 USD T/C 931,26</v>
      </c>
      <c r="BD24" s="3">
        <f>+AX13</f>
        <v>0</v>
      </c>
      <c r="BE24" s="10"/>
      <c r="BI24" s="1">
        <v>45588</v>
      </c>
      <c r="BJ24" s="26">
        <f>HLOOKUP(BI24,Hoja2!$R$2:$AV$120,119,FALSE)</f>
        <v>0</v>
      </c>
      <c r="BK24" s="77">
        <f>HLOOKUP(BI24,Hoja2!$R$2:$AV$118,117,FALSE)</f>
        <v>949</v>
      </c>
      <c r="BL24" s="26">
        <f>HLOOKUP(BI24,Hoja2!$R$2:$AV$119,118,FALSE)</f>
        <v>0</v>
      </c>
      <c r="BM24" s="79">
        <f>HLOOKUP(BI24,Hoja2!$R$2:$AV$117,116,FALSE)</f>
        <v>0</v>
      </c>
      <c r="BN24" s="21"/>
      <c r="BO24" s="15">
        <v>45455</v>
      </c>
      <c r="BP24">
        <v>110292</v>
      </c>
      <c r="BQ24" t="s">
        <v>153</v>
      </c>
      <c r="BR24" t="str">
        <f>"CPA Fondeo Renta4 USD a OZ CAMBIO "&amp;BL13&amp;" USD T/C "&amp;BK13&amp;""</f>
        <v>CPA Fondeo Renta4 USD a OZ CAMBIO 0 USD T/C 931,26</v>
      </c>
      <c r="BS24" s="3">
        <f>+BJ13</f>
        <v>0</v>
      </c>
      <c r="BT24" s="10"/>
      <c r="BX24" s="1">
        <v>45588</v>
      </c>
      <c r="BY24" s="26">
        <f>HLOOKUP(BX24,Hoja2!$R$2:$AV$82,81,FALSE)</f>
        <v>0</v>
      </c>
      <c r="BZ24" s="77">
        <f>HLOOKUP(BX24,Hoja2!$R$2:$AV$83,82,FALSE)</f>
        <v>0</v>
      </c>
      <c r="CA24" s="26">
        <f>HLOOKUP(BX24,Hoja2!$R$2:$AV$84,83,FALSE)</f>
        <v>0</v>
      </c>
      <c r="CB24" s="79">
        <f>HLOOKUP(BX24,Hoja2!$R$2:$AV$85,84,FALSE)</f>
        <v>0</v>
      </c>
      <c r="CC24" s="21"/>
      <c r="CD24" s="15">
        <v>45455</v>
      </c>
      <c r="CE24">
        <v>110205</v>
      </c>
      <c r="CF24" t="s">
        <v>154</v>
      </c>
      <c r="CG24" t="str">
        <f>"CPA Fondeo MBI USD a BICE USD "&amp;CA13&amp;" USD T/C "&amp;BZ13&amp;""</f>
        <v>CPA Fondeo MBI USD a BICE USD 0 USD T/C 0</v>
      </c>
      <c r="CH24" s="3">
        <f>+CB13</f>
        <v>0</v>
      </c>
      <c r="CI24" s="10"/>
    </row>
    <row r="25" spans="1:87" x14ac:dyDescent="0.25">
      <c r="A25" s="1">
        <v>45589</v>
      </c>
      <c r="B25" s="26">
        <f>HLOOKUP(A25,Hoja2!$R$2:$AV$92,91,FALSE)</f>
        <v>474350000</v>
      </c>
      <c r="D25" s="21"/>
      <c r="E25" s="9"/>
      <c r="F25">
        <v>110208</v>
      </c>
      <c r="G25" t="s">
        <v>46</v>
      </c>
      <c r="H25" t="str">
        <f t="shared" ref="H25" si="44">H24</f>
        <v xml:space="preserve">CPA Traspaso de Fondos Bco. BCI 648 a Renta4 </v>
      </c>
      <c r="I25" s="3"/>
      <c r="J25" s="10" t="str">
        <f>I24</f>
        <v>-</v>
      </c>
      <c r="N25" s="1">
        <v>45589</v>
      </c>
      <c r="O25" s="26">
        <f>HLOOKUP(N25,Hoja2!$R$2:$AV$96,95,FALSE)</f>
        <v>0</v>
      </c>
      <c r="P25" s="77">
        <f>HLOOKUP(N25,Hoja2!$R$2:$AV$94,93,FALSE)</f>
        <v>0</v>
      </c>
      <c r="Q25" s="26">
        <f>HLOOKUP(N25,Hoja2!$R$2:$AV$95,94,FALSE)</f>
        <v>0</v>
      </c>
      <c r="R25" s="26"/>
      <c r="S25" s="21"/>
      <c r="T25" s="9"/>
      <c r="U25" s="12">
        <v>110322</v>
      </c>
      <c r="V25" s="12" t="s">
        <v>178</v>
      </c>
      <c r="W25" s="12" t="str">
        <f>+W24</f>
        <v>CPA Compra Divisas 0 T/C 0</v>
      </c>
      <c r="X25" s="13"/>
      <c r="Y25" s="18">
        <f t="shared" ref="Y25" si="45">+X24</f>
        <v>0</v>
      </c>
      <c r="AD25" s="1">
        <v>45589</v>
      </c>
      <c r="AE25" s="26">
        <f>HLOOKUP(AD25,Hoja2!$R$2:$AV$97,96,FALSE)</f>
        <v>600000</v>
      </c>
      <c r="AF25" s="77">
        <f>HLOOKUP(AD25,Hoja2!$R$2:$AV$98,97,FALSE)</f>
        <v>948.2</v>
      </c>
      <c r="AG25" s="26" t="str">
        <f>HLOOKUP(AD25,Hoja2!$R$2:$AV$99,98,FALSE)</f>
        <v>600k</v>
      </c>
      <c r="AH25" s="79">
        <f>HLOOKUP(AD25,Hoja2!$R$2:$AV$100,99,FALSE)</f>
        <v>568920000</v>
      </c>
      <c r="AI25" s="21"/>
      <c r="AJ25" s="9"/>
      <c r="AK25">
        <v>110323</v>
      </c>
      <c r="AL25" s="12" t="s">
        <v>179</v>
      </c>
      <c r="AM25" s="12" t="str">
        <f>+AM24</f>
        <v>CPA Fondeo Renta4 USD a NIUM 0 USD T/C 931,26</v>
      </c>
      <c r="AN25" s="13"/>
      <c r="AO25" s="18">
        <f t="shared" si="8"/>
        <v>0</v>
      </c>
      <c r="AT25" s="1">
        <v>45589</v>
      </c>
      <c r="AU25" s="26">
        <f>HLOOKUP(AT25,Hoja2!$R$2:$AV$101,100,FALSE)</f>
        <v>0</v>
      </c>
      <c r="AV25" s="77">
        <f>HLOOKUP(AT25,Hoja2!$R$2:$AV$102,101,FALSE)</f>
        <v>948.2</v>
      </c>
      <c r="AW25" s="26">
        <f>HLOOKUP(AT25,Hoja2!$R$2:$AV$103,102,FALSE)</f>
        <v>0</v>
      </c>
      <c r="AX25" s="79">
        <f>HLOOKUP(AT25,Hoja2!$R$2:$AV$104,103,FALSE)</f>
        <v>0</v>
      </c>
      <c r="AY25" s="21"/>
      <c r="AZ25" s="9"/>
      <c r="BA25" s="12">
        <v>110323</v>
      </c>
      <c r="BB25" s="12" t="s">
        <v>179</v>
      </c>
      <c r="BC25" s="12" t="str">
        <f>+BC24</f>
        <v>CPA Fondeo Renta4 USD a JPM COL 0 USD T/C 931,26</v>
      </c>
      <c r="BD25" s="13"/>
      <c r="BE25" s="18">
        <f t="shared" si="9"/>
        <v>0</v>
      </c>
      <c r="BI25" s="1">
        <v>45589</v>
      </c>
      <c r="BJ25" s="26">
        <f>HLOOKUP(BI25,Hoja2!$R$2:$AV$120,119,FALSE)</f>
        <v>0</v>
      </c>
      <c r="BK25" s="77">
        <f>HLOOKUP(BI25,Hoja2!$R$2:$AV$118,117,FALSE)</f>
        <v>948.2</v>
      </c>
      <c r="BL25" s="26">
        <f>HLOOKUP(BI25,Hoja2!$R$2:$AV$119,118,FALSE)</f>
        <v>0</v>
      </c>
      <c r="BM25" s="79">
        <f>HLOOKUP(BI25,Hoja2!$R$2:$AV$117,116,FALSE)</f>
        <v>0</v>
      </c>
      <c r="BN25" s="21"/>
      <c r="BO25" s="9"/>
      <c r="BP25" s="12">
        <v>110323</v>
      </c>
      <c r="BQ25" s="12" t="s">
        <v>179</v>
      </c>
      <c r="BR25" s="12" t="str">
        <f>+BR24</f>
        <v>CPA Fondeo Renta4 USD a OZ CAMBIO 0 USD T/C 931,26</v>
      </c>
      <c r="BS25" s="13"/>
      <c r="BT25" s="18">
        <f t="shared" ref="BT25" si="46">+BS24</f>
        <v>0</v>
      </c>
      <c r="BX25" s="1">
        <v>45589</v>
      </c>
      <c r="BY25" s="26">
        <f>HLOOKUP(BX25,Hoja2!$R$2:$AV$82,81,FALSE)</f>
        <v>0</v>
      </c>
      <c r="BZ25" s="77">
        <f>HLOOKUP(BX25,Hoja2!$R$2:$AV$83,82,FALSE)</f>
        <v>0</v>
      </c>
      <c r="CA25" s="26">
        <f>HLOOKUP(BX25,Hoja2!$R$2:$AV$84,83,FALSE)</f>
        <v>0</v>
      </c>
      <c r="CB25" s="79">
        <f>HLOOKUP(BX25,Hoja2!$R$2:$AV$85,84,FALSE)</f>
        <v>0</v>
      </c>
      <c r="CC25" s="21"/>
      <c r="CD25" s="9"/>
      <c r="CE25" s="12">
        <v>110296</v>
      </c>
      <c r="CF25" s="12" t="s">
        <v>123</v>
      </c>
      <c r="CG25" s="12" t="str">
        <f>+CG24</f>
        <v>CPA Fondeo MBI USD a BICE USD 0 USD T/C 0</v>
      </c>
      <c r="CH25" s="13"/>
      <c r="CI25" s="18">
        <f t="shared" ref="CI25" si="47">+CH24</f>
        <v>0</v>
      </c>
    </row>
    <row r="26" spans="1:87" x14ac:dyDescent="0.25">
      <c r="A26" s="1">
        <v>45590</v>
      </c>
      <c r="B26" s="26">
        <f>HLOOKUP(A26,Hoja2!$R$2:$AV$92,91,FALSE)</f>
        <v>475300000</v>
      </c>
      <c r="D26" s="21"/>
      <c r="E26" s="15">
        <v>45456</v>
      </c>
      <c r="F26" s="8">
        <v>110322</v>
      </c>
      <c r="G26" s="8" t="s">
        <v>178</v>
      </c>
      <c r="H26" s="8" t="str">
        <f>"CPA Traspaso de Fondos Bco. BCI 648 a Renta4 "</f>
        <v xml:space="preserve">CPA Traspaso de Fondos Bco. BCI 648 a Renta4 </v>
      </c>
      <c r="I26" s="16" t="str">
        <f>+B14</f>
        <v>-</v>
      </c>
      <c r="J26" s="17"/>
      <c r="N26" s="1">
        <v>45590</v>
      </c>
      <c r="O26" s="26">
        <f>HLOOKUP(N26,Hoja2!$R$2:$AV$96,95,FALSE)</f>
        <v>0</v>
      </c>
      <c r="P26" s="77">
        <f>HLOOKUP(N26,Hoja2!$R$2:$AV$94,93,FALSE)</f>
        <v>0</v>
      </c>
      <c r="Q26" s="26">
        <f>HLOOKUP(N26,Hoja2!$R$2:$AV$95,94,FALSE)</f>
        <v>0</v>
      </c>
      <c r="R26" s="26"/>
      <c r="S26" s="21"/>
      <c r="T26" s="15">
        <v>45456</v>
      </c>
      <c r="U26">
        <v>110323</v>
      </c>
      <c r="V26" t="s">
        <v>179</v>
      </c>
      <c r="W26" t="str">
        <f>"CPA Compra Divisas " &amp;Q14&amp;" T/C "&amp;P14</f>
        <v>CPA Compra Divisas 0 T/C 0</v>
      </c>
      <c r="X26" s="3">
        <f>+O14</f>
        <v>0</v>
      </c>
      <c r="Y26" s="10"/>
      <c r="AD26" s="1">
        <v>45590</v>
      </c>
      <c r="AE26" s="26">
        <f>HLOOKUP(AD26,Hoja2!$R$2:$AV$97,96,FALSE)</f>
        <v>500000</v>
      </c>
      <c r="AF26" s="77">
        <f>HLOOKUP(AD26,Hoja2!$R$2:$AV$98,97,FALSE)</f>
        <v>945.29</v>
      </c>
      <c r="AG26" s="26" t="str">
        <f>HLOOKUP(AD26,Hoja2!$R$2:$AV$99,98,FALSE)</f>
        <v>500K</v>
      </c>
      <c r="AH26" s="79">
        <f>HLOOKUP(AD26,Hoja2!$R$2:$AV$100,99,FALSE)</f>
        <v>472645000</v>
      </c>
      <c r="AI26" s="21"/>
      <c r="AJ26" s="15">
        <v>45456</v>
      </c>
      <c r="AK26" s="8">
        <v>110275</v>
      </c>
      <c r="AL26" t="s">
        <v>82</v>
      </c>
      <c r="AM26" t="str">
        <f>"CPA Fondeo Renta4 USD a NIUM " &amp;AG14&amp;" USD T/C "&amp;AF14</f>
        <v>CPA Fondeo Renta4 USD a NIUM 0 USD T/C 931,26</v>
      </c>
      <c r="AN26" s="3">
        <f>+AH14</f>
        <v>0</v>
      </c>
      <c r="AO26" s="10"/>
      <c r="AT26" s="1">
        <v>45590</v>
      </c>
      <c r="AU26" s="26">
        <f>HLOOKUP(AT26,Hoja2!$R$2:$AV$101,100,FALSE)</f>
        <v>0</v>
      </c>
      <c r="AV26" s="77">
        <f>HLOOKUP(AT26,Hoja2!$R$2:$AV$102,101,FALSE)</f>
        <v>945.29</v>
      </c>
      <c r="AW26" s="26">
        <f>HLOOKUP(AT26,Hoja2!$R$2:$AV$103,102,FALSE)</f>
        <v>0</v>
      </c>
      <c r="AX26" s="79">
        <f>HLOOKUP(AT26,Hoja2!$R$2:$AV$104,103,FALSE)</f>
        <v>0</v>
      </c>
      <c r="AY26" s="21"/>
      <c r="AZ26" s="15">
        <v>45456</v>
      </c>
      <c r="BA26">
        <v>110820</v>
      </c>
      <c r="BB26" t="s">
        <v>92</v>
      </c>
      <c r="BC26" t="str">
        <f>"CPA Fondeo Renta4 USD a JPM COL "&amp;AW14&amp;" USD T/C "&amp;AV14&amp;""</f>
        <v>CPA Fondeo Renta4 USD a JPM COL 0 USD T/C 931,26</v>
      </c>
      <c r="BD26" s="3">
        <f>+AX14</f>
        <v>0</v>
      </c>
      <c r="BE26" s="10"/>
      <c r="BI26" s="1">
        <v>45590</v>
      </c>
      <c r="BJ26" s="26">
        <f>HLOOKUP(BI26,Hoja2!$R$2:$AV$120,119,FALSE)</f>
        <v>0</v>
      </c>
      <c r="BK26" s="77">
        <f>HLOOKUP(BI26,Hoja2!$R$2:$AV$118,117,FALSE)</f>
        <v>945.29</v>
      </c>
      <c r="BL26" s="26">
        <f>HLOOKUP(BI26,Hoja2!$R$2:$AV$119,118,FALSE)</f>
        <v>0</v>
      </c>
      <c r="BM26" s="79">
        <f>HLOOKUP(BI26,Hoja2!$R$2:$AV$117,116,FALSE)</f>
        <v>0</v>
      </c>
      <c r="BN26" s="21"/>
      <c r="BO26" s="15">
        <v>45456</v>
      </c>
      <c r="BP26">
        <v>110292</v>
      </c>
      <c r="BQ26" t="s">
        <v>153</v>
      </c>
      <c r="BR26" t="str">
        <f>"CPA Fondeo Renta4 USD a OZ CAMBIO "&amp;BL14&amp;" USD T/C "&amp;BK14&amp;""</f>
        <v>CPA Fondeo Renta4 USD a OZ CAMBIO 0 USD T/C 931,26</v>
      </c>
      <c r="BS26" s="3">
        <f>+BJ14</f>
        <v>0</v>
      </c>
      <c r="BT26" s="10"/>
      <c r="BX26" s="1">
        <v>45590</v>
      </c>
      <c r="BY26" s="26">
        <f>HLOOKUP(BX26,Hoja2!$R$2:$AV$82,81,FALSE)</f>
        <v>0</v>
      </c>
      <c r="BZ26" s="77">
        <f>HLOOKUP(BX26,Hoja2!$R$2:$AV$83,82,FALSE)</f>
        <v>0</v>
      </c>
      <c r="CA26" s="26">
        <f>HLOOKUP(BX26,Hoja2!$R$2:$AV$84,83,FALSE)</f>
        <v>0</v>
      </c>
      <c r="CB26" s="79">
        <f>HLOOKUP(BX26,Hoja2!$R$2:$AV$85,84,FALSE)</f>
        <v>0</v>
      </c>
      <c r="CC26" s="21"/>
      <c r="CD26" s="15">
        <v>45456</v>
      </c>
      <c r="CE26">
        <v>110205</v>
      </c>
      <c r="CF26" t="s">
        <v>154</v>
      </c>
      <c r="CG26" t="str">
        <f>"CPA Fondeo MBI USD a BICE USD "&amp;CA14&amp;" USD T/C "&amp;BZ14&amp;""</f>
        <v>CPA Fondeo MBI USD a BICE USD 0 USD T/C 0</v>
      </c>
      <c r="CH26" s="3">
        <f>+CB14</f>
        <v>0</v>
      </c>
      <c r="CI26" s="10"/>
    </row>
    <row r="27" spans="1:87" x14ac:dyDescent="0.25">
      <c r="A27" s="1">
        <v>45591</v>
      </c>
      <c r="B27" s="26" t="str">
        <f>HLOOKUP(A27,Hoja2!$R$2:$AV$92,91,FALSE)</f>
        <v>-</v>
      </c>
      <c r="D27" s="21"/>
      <c r="E27" s="9"/>
      <c r="F27">
        <v>110208</v>
      </c>
      <c r="G27" t="s">
        <v>46</v>
      </c>
      <c r="H27" t="str">
        <f t="shared" ref="H27" si="48">H26</f>
        <v xml:space="preserve">CPA Traspaso de Fondos Bco. BCI 648 a Renta4 </v>
      </c>
      <c r="I27" s="3"/>
      <c r="J27" s="10" t="str">
        <f>I26</f>
        <v>-</v>
      </c>
      <c r="N27" s="1">
        <v>45591</v>
      </c>
      <c r="O27" s="26">
        <f>HLOOKUP(N27,Hoja2!$R$2:$AV$96,95,FALSE)</f>
        <v>0</v>
      </c>
      <c r="P27" s="77">
        <f>HLOOKUP(N27,Hoja2!$R$2:$AV$94,93,FALSE)</f>
        <v>0</v>
      </c>
      <c r="Q27" s="26">
        <f>HLOOKUP(N27,Hoja2!$R$2:$AV$95,94,FALSE)</f>
        <v>0</v>
      </c>
      <c r="R27" s="26"/>
      <c r="S27" s="21"/>
      <c r="T27" s="9"/>
      <c r="U27" s="12">
        <v>110322</v>
      </c>
      <c r="V27" s="12" t="s">
        <v>178</v>
      </c>
      <c r="W27" s="12" t="str">
        <f>+W26</f>
        <v>CPA Compra Divisas 0 T/C 0</v>
      </c>
      <c r="X27" s="13"/>
      <c r="Y27" s="18">
        <f t="shared" ref="Y27" si="49">+X26</f>
        <v>0</v>
      </c>
      <c r="AD27" s="1">
        <v>45591</v>
      </c>
      <c r="AE27" s="26">
        <f>HLOOKUP(AD27,Hoja2!$R$2:$AV$97,96,FALSE)</f>
        <v>0</v>
      </c>
      <c r="AF27" s="77">
        <f>HLOOKUP(AD27,Hoja2!$R$2:$AV$98,97,FALSE)</f>
        <v>945.29</v>
      </c>
      <c r="AG27" s="26">
        <f>HLOOKUP(AD27,Hoja2!$R$2:$AV$99,98,FALSE)</f>
        <v>0</v>
      </c>
      <c r="AH27" s="79">
        <f>HLOOKUP(AD27,Hoja2!$R$2:$AV$100,99,FALSE)</f>
        <v>0</v>
      </c>
      <c r="AI27" s="21"/>
      <c r="AJ27" s="9"/>
      <c r="AK27">
        <v>110323</v>
      </c>
      <c r="AL27" s="12" t="s">
        <v>179</v>
      </c>
      <c r="AM27" s="12" t="str">
        <f>+AM26</f>
        <v>CPA Fondeo Renta4 USD a NIUM 0 USD T/C 931,26</v>
      </c>
      <c r="AN27" s="13"/>
      <c r="AO27" s="18">
        <f t="shared" si="8"/>
        <v>0</v>
      </c>
      <c r="AT27" s="1">
        <v>45591</v>
      </c>
      <c r="AU27" s="26">
        <f>HLOOKUP(AT27,Hoja2!$R$2:$AV$101,100,FALSE)</f>
        <v>0</v>
      </c>
      <c r="AV27" s="77">
        <f>HLOOKUP(AT27,Hoja2!$R$2:$AV$102,101,FALSE)</f>
        <v>945.29</v>
      </c>
      <c r="AW27" s="26">
        <f>HLOOKUP(AT27,Hoja2!$R$2:$AV$103,102,FALSE)</f>
        <v>0</v>
      </c>
      <c r="AX27" s="79">
        <f>HLOOKUP(AT27,Hoja2!$R$2:$AV$104,103,FALSE)</f>
        <v>0</v>
      </c>
      <c r="AY27" s="21"/>
      <c r="AZ27" s="9"/>
      <c r="BA27" s="12">
        <v>110323</v>
      </c>
      <c r="BB27" s="12" t="s">
        <v>179</v>
      </c>
      <c r="BC27" s="12" t="str">
        <f>+BC26</f>
        <v>CPA Fondeo Renta4 USD a JPM COL 0 USD T/C 931,26</v>
      </c>
      <c r="BD27" s="13"/>
      <c r="BE27" s="18">
        <f t="shared" si="9"/>
        <v>0</v>
      </c>
      <c r="BI27" s="1">
        <v>45591</v>
      </c>
      <c r="BJ27" s="26">
        <f>HLOOKUP(BI27,Hoja2!$R$2:$AV$120,119,FALSE)</f>
        <v>0</v>
      </c>
      <c r="BK27" s="77">
        <f>HLOOKUP(BI27,Hoja2!$R$2:$AV$118,117,FALSE)</f>
        <v>945.29</v>
      </c>
      <c r="BL27" s="26">
        <f>HLOOKUP(BI27,Hoja2!$R$2:$AV$119,118,FALSE)</f>
        <v>0</v>
      </c>
      <c r="BM27" s="79">
        <f>HLOOKUP(BI27,Hoja2!$R$2:$AV$117,116,FALSE)</f>
        <v>0</v>
      </c>
      <c r="BN27" s="21"/>
      <c r="BO27" s="9"/>
      <c r="BP27" s="12">
        <v>110323</v>
      </c>
      <c r="BQ27" s="12" t="s">
        <v>179</v>
      </c>
      <c r="BR27" s="12" t="str">
        <f>+BR26</f>
        <v>CPA Fondeo Renta4 USD a OZ CAMBIO 0 USD T/C 931,26</v>
      </c>
      <c r="BS27" s="13"/>
      <c r="BT27" s="18">
        <f t="shared" ref="BT27" si="50">+BS26</f>
        <v>0</v>
      </c>
      <c r="BX27" s="1">
        <v>45591</v>
      </c>
      <c r="BY27" s="26">
        <f>HLOOKUP(BX27,Hoja2!$R$2:$AV$82,81,FALSE)</f>
        <v>0</v>
      </c>
      <c r="BZ27" s="77">
        <f>HLOOKUP(BX27,Hoja2!$R$2:$AV$83,82,FALSE)</f>
        <v>0</v>
      </c>
      <c r="CA27" s="26">
        <f>HLOOKUP(BX27,Hoja2!$R$2:$AV$84,83,FALSE)</f>
        <v>0</v>
      </c>
      <c r="CB27" s="79">
        <f>HLOOKUP(BX27,Hoja2!$R$2:$AV$85,84,FALSE)</f>
        <v>0</v>
      </c>
      <c r="CC27" s="21"/>
      <c r="CD27" s="9"/>
      <c r="CE27" s="12">
        <v>110296</v>
      </c>
      <c r="CF27" s="12" t="s">
        <v>123</v>
      </c>
      <c r="CG27" s="12" t="str">
        <f>+CG26</f>
        <v>CPA Fondeo MBI USD a BICE USD 0 USD T/C 0</v>
      </c>
      <c r="CH27" s="13"/>
      <c r="CI27" s="18">
        <f t="shared" ref="CI27" si="51">+CH26</f>
        <v>0</v>
      </c>
    </row>
    <row r="28" spans="1:87" x14ac:dyDescent="0.25">
      <c r="A28" s="1">
        <v>45592</v>
      </c>
      <c r="B28" s="26" t="str">
        <f>HLOOKUP(A28,Hoja2!$R$2:$AV$92,91,FALSE)</f>
        <v>-</v>
      </c>
      <c r="E28" s="15">
        <v>45457</v>
      </c>
      <c r="F28" s="8">
        <v>110322</v>
      </c>
      <c r="G28" s="8" t="s">
        <v>178</v>
      </c>
      <c r="H28" s="8" t="str">
        <f>"CPA Traspaso de Fondos Bco. BCI 648 a Renta4 "</f>
        <v xml:space="preserve">CPA Traspaso de Fondos Bco. BCI 648 a Renta4 </v>
      </c>
      <c r="I28" s="16" t="str">
        <f>+B15</f>
        <v>-</v>
      </c>
      <c r="J28" s="17"/>
      <c r="N28" s="1">
        <v>45592</v>
      </c>
      <c r="O28" s="26">
        <f>HLOOKUP(N28,Hoja2!$R$2:$AV$96,95,FALSE)</f>
        <v>0</v>
      </c>
      <c r="P28" s="77">
        <f>HLOOKUP(N28,Hoja2!$R$2:$AV$94,93,FALSE)</f>
        <v>0</v>
      </c>
      <c r="Q28" s="26">
        <f>HLOOKUP(N28,Hoja2!$R$2:$AV$95,94,FALSE)</f>
        <v>0</v>
      </c>
      <c r="R28" s="26"/>
      <c r="T28" s="15">
        <v>45457</v>
      </c>
      <c r="U28">
        <v>110323</v>
      </c>
      <c r="V28" t="s">
        <v>179</v>
      </c>
      <c r="W28" t="str">
        <f>"CPA Compra Divisas " &amp;Q15&amp;" T/C "&amp;P15</f>
        <v>CPA Compra Divisas 0 T/C 0</v>
      </c>
      <c r="X28" s="3">
        <f>+O15</f>
        <v>0</v>
      </c>
      <c r="Y28" s="10"/>
      <c r="AD28" s="1">
        <v>45592</v>
      </c>
      <c r="AE28" s="26">
        <f>HLOOKUP(AD28,Hoja2!$R$2:$AV$97,96,FALSE)</f>
        <v>0</v>
      </c>
      <c r="AF28" s="77">
        <f>HLOOKUP(AD28,Hoja2!$R$2:$AV$98,97,FALSE)</f>
        <v>945.29</v>
      </c>
      <c r="AG28" s="26">
        <f>HLOOKUP(AD28,Hoja2!$R$2:$AV$99,98,FALSE)</f>
        <v>0</v>
      </c>
      <c r="AH28" s="79">
        <f>HLOOKUP(AD28,Hoja2!$R$2:$AV$100,99,FALSE)</f>
        <v>0</v>
      </c>
      <c r="AJ28" s="15">
        <v>45457</v>
      </c>
      <c r="AK28" s="8">
        <v>110275</v>
      </c>
      <c r="AL28" t="s">
        <v>82</v>
      </c>
      <c r="AM28" t="str">
        <f>"CPA Fondeo Renta4 USD a NIUM " &amp;AG15&amp;" USD T/C "&amp;AF15</f>
        <v>CPA Fondeo Renta4 USD a NIUM 0 USD T/C 926,07</v>
      </c>
      <c r="AN28" s="3">
        <f>+AH15</f>
        <v>0</v>
      </c>
      <c r="AO28" s="10"/>
      <c r="AT28" s="1">
        <v>45592</v>
      </c>
      <c r="AU28" s="26">
        <f>HLOOKUP(AT28,Hoja2!$R$2:$AV$101,100,FALSE)</f>
        <v>0</v>
      </c>
      <c r="AV28" s="77">
        <f>HLOOKUP(AT28,Hoja2!$R$2:$AV$102,101,FALSE)</f>
        <v>945.29</v>
      </c>
      <c r="AW28" s="26">
        <f>HLOOKUP(AT28,Hoja2!$R$2:$AV$103,102,FALSE)</f>
        <v>0</v>
      </c>
      <c r="AX28" s="79">
        <f>HLOOKUP(AT28,Hoja2!$R$2:$AV$104,103,FALSE)</f>
        <v>0</v>
      </c>
      <c r="AZ28" s="15">
        <v>45457</v>
      </c>
      <c r="BA28">
        <v>110820</v>
      </c>
      <c r="BB28" t="s">
        <v>92</v>
      </c>
      <c r="BC28" t="str">
        <f>"CPA Fondeo Renta4 USD a JPM COL "&amp;AW15&amp;" USD T/C "&amp;AV15&amp;""</f>
        <v>CPA Fondeo Renta4 USD a JPM COL 0 USD T/C 926,07</v>
      </c>
      <c r="BD28" s="3">
        <f>+AX15</f>
        <v>0</v>
      </c>
      <c r="BE28" s="10"/>
      <c r="BI28" s="1">
        <v>45592</v>
      </c>
      <c r="BJ28" s="26">
        <f>HLOOKUP(BI28,Hoja2!$R$2:$AV$120,119,FALSE)</f>
        <v>0</v>
      </c>
      <c r="BK28" s="77">
        <f>HLOOKUP(BI28,Hoja2!$R$2:$AV$118,117,FALSE)</f>
        <v>945.29</v>
      </c>
      <c r="BL28" s="26">
        <f>HLOOKUP(BI28,Hoja2!$R$2:$AV$119,118,FALSE)</f>
        <v>0</v>
      </c>
      <c r="BM28" s="79">
        <f>HLOOKUP(BI28,Hoja2!$R$2:$AV$117,116,FALSE)</f>
        <v>0</v>
      </c>
      <c r="BO28" s="15">
        <v>45457</v>
      </c>
      <c r="BP28">
        <v>110292</v>
      </c>
      <c r="BQ28" t="s">
        <v>153</v>
      </c>
      <c r="BR28" t="str">
        <f>"CPA Fondeo Renta4 USD a OZ CAMBIO "&amp;BL15&amp;" USD T/C "&amp;BK15&amp;""</f>
        <v>CPA Fondeo Renta4 USD a OZ CAMBIO 0 USD T/C 926,07</v>
      </c>
      <c r="BS28" s="3">
        <f>+BJ15</f>
        <v>0</v>
      </c>
      <c r="BT28" s="10"/>
      <c r="BX28" s="1">
        <v>45592</v>
      </c>
      <c r="BY28" s="26">
        <f>HLOOKUP(BX28,Hoja2!$R$2:$AV$82,81,FALSE)</f>
        <v>0</v>
      </c>
      <c r="BZ28" s="77">
        <f>HLOOKUP(BX28,Hoja2!$R$2:$AV$83,82,FALSE)</f>
        <v>0</v>
      </c>
      <c r="CA28" s="26">
        <f>HLOOKUP(BX28,Hoja2!$R$2:$AV$84,83,FALSE)</f>
        <v>0</v>
      </c>
      <c r="CB28" s="79">
        <f>HLOOKUP(BX28,Hoja2!$R$2:$AV$85,84,FALSE)</f>
        <v>0</v>
      </c>
      <c r="CD28" s="15">
        <v>45457</v>
      </c>
      <c r="CE28">
        <v>110205</v>
      </c>
      <c r="CF28" t="s">
        <v>154</v>
      </c>
      <c r="CG28" t="str">
        <f>"CPA Fondeo MBI USD a BICE USD "&amp;CA15&amp;" USD T/C "&amp;BZ15&amp;""</f>
        <v>CPA Fondeo MBI USD a BICE USD 0 USD T/C 0</v>
      </c>
      <c r="CH28" s="3">
        <f>+CB15</f>
        <v>0</v>
      </c>
      <c r="CI28" s="10"/>
    </row>
    <row r="29" spans="1:87" x14ac:dyDescent="0.25">
      <c r="A29" s="1">
        <v>45593</v>
      </c>
      <c r="B29" s="26" t="str">
        <f>HLOOKUP(A29,Hoja2!$R$2:$AV$92,91,FALSE)</f>
        <v>-</v>
      </c>
      <c r="D29" s="39"/>
      <c r="E29" s="9"/>
      <c r="F29">
        <v>110208</v>
      </c>
      <c r="G29" t="s">
        <v>46</v>
      </c>
      <c r="H29" t="str">
        <f t="shared" ref="H29" si="52">H28</f>
        <v xml:space="preserve">CPA Traspaso de Fondos Bco. BCI 648 a Renta4 </v>
      </c>
      <c r="I29" s="3"/>
      <c r="J29" s="10" t="str">
        <f>I28</f>
        <v>-</v>
      </c>
      <c r="N29" s="1">
        <v>45593</v>
      </c>
      <c r="O29" s="26">
        <f>HLOOKUP(N29,Hoja2!$R$2:$AV$96,95,FALSE)</f>
        <v>0</v>
      </c>
      <c r="P29" s="77">
        <f>HLOOKUP(N29,Hoja2!$R$2:$AV$94,93,FALSE)</f>
        <v>0</v>
      </c>
      <c r="Q29" s="26">
        <f>HLOOKUP(N29,Hoja2!$R$2:$AV$95,94,FALSE)</f>
        <v>0</v>
      </c>
      <c r="R29" s="26"/>
      <c r="S29" s="39"/>
      <c r="T29" s="9"/>
      <c r="U29" s="12">
        <v>110322</v>
      </c>
      <c r="V29" s="12" t="s">
        <v>178</v>
      </c>
      <c r="W29" s="12" t="str">
        <f>+W28</f>
        <v>CPA Compra Divisas 0 T/C 0</v>
      </c>
      <c r="X29" s="13"/>
      <c r="Y29" s="18">
        <f t="shared" ref="Y29" si="53">+X28</f>
        <v>0</v>
      </c>
      <c r="AD29" s="1">
        <v>45593</v>
      </c>
      <c r="AE29" s="26">
        <f>HLOOKUP(AD29,Hoja2!$R$2:$AV$97,96,FALSE)</f>
        <v>0</v>
      </c>
      <c r="AF29" s="77">
        <f>HLOOKUP(AD29,Hoja2!$R$2:$AV$98,97,FALSE)</f>
        <v>949.34</v>
      </c>
      <c r="AG29" s="26">
        <f>HLOOKUP(AD29,Hoja2!$R$2:$AV$99,98,FALSE)</f>
        <v>0</v>
      </c>
      <c r="AH29" s="79">
        <f>HLOOKUP(AD29,Hoja2!$R$2:$AV$100,99,FALSE)</f>
        <v>0</v>
      </c>
      <c r="AI29" s="39"/>
      <c r="AJ29" s="9"/>
      <c r="AK29">
        <v>110323</v>
      </c>
      <c r="AL29" s="12" t="s">
        <v>179</v>
      </c>
      <c r="AM29" s="12" t="str">
        <f>+AM28</f>
        <v>CPA Fondeo Renta4 USD a NIUM 0 USD T/C 926,07</v>
      </c>
      <c r="AN29" s="13"/>
      <c r="AO29" s="18">
        <f t="shared" si="8"/>
        <v>0</v>
      </c>
      <c r="AT29" s="1">
        <v>45593</v>
      </c>
      <c r="AU29" s="26">
        <f>HLOOKUP(AT29,Hoja2!$R$2:$AV$101,100,FALSE)</f>
        <v>0</v>
      </c>
      <c r="AV29" s="77">
        <f>HLOOKUP(AT29,Hoja2!$R$2:$AV$102,101,FALSE)</f>
        <v>949.34</v>
      </c>
      <c r="AW29" s="26">
        <f>HLOOKUP(AT29,Hoja2!$R$2:$AV$103,102,FALSE)</f>
        <v>0</v>
      </c>
      <c r="AX29" s="79">
        <f>HLOOKUP(AT29,Hoja2!$R$2:$AV$104,103,FALSE)</f>
        <v>0</v>
      </c>
      <c r="AY29" s="39"/>
      <c r="AZ29" s="9"/>
      <c r="BA29" s="12">
        <v>110323</v>
      </c>
      <c r="BB29" s="12" t="s">
        <v>179</v>
      </c>
      <c r="BC29" s="12" t="str">
        <f>+BC28</f>
        <v>CPA Fondeo Renta4 USD a JPM COL 0 USD T/C 926,07</v>
      </c>
      <c r="BD29" s="13"/>
      <c r="BE29" s="18">
        <f t="shared" si="9"/>
        <v>0</v>
      </c>
      <c r="BI29" s="1">
        <v>45593</v>
      </c>
      <c r="BJ29" s="26">
        <f>HLOOKUP(BI29,Hoja2!$R$2:$AV$120,119,FALSE)</f>
        <v>0</v>
      </c>
      <c r="BK29" s="77">
        <f>HLOOKUP(BI29,Hoja2!$R$2:$AV$118,117,FALSE)</f>
        <v>949.34</v>
      </c>
      <c r="BL29" s="26">
        <f>HLOOKUP(BI29,Hoja2!$R$2:$AV$119,118,FALSE)</f>
        <v>0</v>
      </c>
      <c r="BM29" s="79">
        <f>HLOOKUP(BI29,Hoja2!$R$2:$AV$117,116,FALSE)</f>
        <v>0</v>
      </c>
      <c r="BN29" s="39"/>
      <c r="BO29" s="9"/>
      <c r="BP29" s="12">
        <v>110323</v>
      </c>
      <c r="BQ29" s="12" t="s">
        <v>179</v>
      </c>
      <c r="BR29" s="12" t="str">
        <f>+BR28</f>
        <v>CPA Fondeo Renta4 USD a OZ CAMBIO 0 USD T/C 926,07</v>
      </c>
      <c r="BS29" s="13"/>
      <c r="BT29" s="18">
        <f t="shared" ref="BT29" si="54">+BS28</f>
        <v>0</v>
      </c>
      <c r="BX29" s="1">
        <v>45593</v>
      </c>
      <c r="BY29" s="26">
        <f>HLOOKUP(BX29,Hoja2!$R$2:$AV$82,81,FALSE)</f>
        <v>0</v>
      </c>
      <c r="BZ29" s="77">
        <f>HLOOKUP(BX29,Hoja2!$R$2:$AV$83,82,FALSE)</f>
        <v>0</v>
      </c>
      <c r="CA29" s="26">
        <f>HLOOKUP(BX29,Hoja2!$R$2:$AV$84,83,FALSE)</f>
        <v>0</v>
      </c>
      <c r="CB29" s="79">
        <f>HLOOKUP(BX29,Hoja2!$R$2:$AV$85,84,FALSE)</f>
        <v>0</v>
      </c>
      <c r="CC29" s="39"/>
      <c r="CD29" s="9"/>
      <c r="CE29" s="12">
        <v>110296</v>
      </c>
      <c r="CF29" s="12" t="s">
        <v>123</v>
      </c>
      <c r="CG29" s="12" t="str">
        <f>+CG28</f>
        <v>CPA Fondeo MBI USD a BICE USD 0 USD T/C 0</v>
      </c>
      <c r="CH29" s="13"/>
      <c r="CI29" s="18">
        <f t="shared" ref="CI29" si="55">+CH28</f>
        <v>0</v>
      </c>
    </row>
    <row r="30" spans="1:87" x14ac:dyDescent="0.25">
      <c r="A30" s="1">
        <v>45594</v>
      </c>
      <c r="B30" s="26" t="str">
        <f>HLOOKUP(A30,Hoja2!$R$2:$AV$92,91,FALSE)</f>
        <v>-</v>
      </c>
      <c r="E30" s="15">
        <v>45458</v>
      </c>
      <c r="F30" s="8">
        <v>110322</v>
      </c>
      <c r="G30" s="8" t="s">
        <v>178</v>
      </c>
      <c r="H30" s="8" t="str">
        <f>"CPA Traspaso de Fondos Bco. BCI 648 a Renta4 "</f>
        <v xml:space="preserve">CPA Traspaso de Fondos Bco. BCI 648 a Renta4 </v>
      </c>
      <c r="I30" s="16" t="str">
        <f>+B16</f>
        <v>-</v>
      </c>
      <c r="J30" s="17"/>
      <c r="N30" s="1">
        <v>45594</v>
      </c>
      <c r="O30" s="26">
        <f>HLOOKUP(N30,Hoja2!$R$2:$AV$96,95,FALSE)</f>
        <v>0</v>
      </c>
      <c r="P30" s="77">
        <f>HLOOKUP(N30,Hoja2!$R$2:$AV$94,93,FALSE)</f>
        <v>0</v>
      </c>
      <c r="Q30" s="26">
        <f>HLOOKUP(N30,Hoja2!$R$2:$AV$95,94,FALSE)</f>
        <v>0</v>
      </c>
      <c r="R30" s="26"/>
      <c r="T30" s="15">
        <v>45458</v>
      </c>
      <c r="U30">
        <v>110323</v>
      </c>
      <c r="V30" t="s">
        <v>179</v>
      </c>
      <c r="W30" t="str">
        <f>"CPA Compra Divisas " &amp;Q16&amp;" T/C "&amp;P16</f>
        <v>CPA Compra Divisas 0 T/C 0</v>
      </c>
      <c r="X30" s="3">
        <f>+O16</f>
        <v>0</v>
      </c>
      <c r="Y30" s="10"/>
      <c r="AD30" s="1">
        <v>45594</v>
      </c>
      <c r="AE30" s="26">
        <f>HLOOKUP(AD30,Hoja2!$R$2:$AV$97,96,FALSE)</f>
        <v>0</v>
      </c>
      <c r="AF30" s="77">
        <f>HLOOKUP(AD30,Hoja2!$R$2:$AV$98,97,FALSE)</f>
        <v>945.88</v>
      </c>
      <c r="AG30" s="26">
        <f>HLOOKUP(AD30,Hoja2!$R$2:$AV$99,98,FALSE)</f>
        <v>0</v>
      </c>
      <c r="AH30" s="79">
        <f>HLOOKUP(AD30,Hoja2!$R$2:$AV$100,99,FALSE)</f>
        <v>0</v>
      </c>
      <c r="AJ30" s="15">
        <v>45458</v>
      </c>
      <c r="AK30" s="8">
        <v>110275</v>
      </c>
      <c r="AL30" t="s">
        <v>82</v>
      </c>
      <c r="AM30" t="str">
        <f>"CPA Fondeo Renta4 USD a NIUM " &amp;AG16&amp;" USD T/C "&amp;AF16</f>
        <v>CPA Fondeo Renta4 USD a NIUM 0 USD T/C 928,37</v>
      </c>
      <c r="AN30" s="3">
        <f>+AH16</f>
        <v>0</v>
      </c>
      <c r="AO30" s="10"/>
      <c r="AT30" s="1">
        <v>45594</v>
      </c>
      <c r="AU30" s="26">
        <f>HLOOKUP(AT30,Hoja2!$R$2:$AV$101,100,FALSE)</f>
        <v>0</v>
      </c>
      <c r="AV30" s="77">
        <f>HLOOKUP(AT30,Hoja2!$R$2:$AV$102,101,FALSE)</f>
        <v>945.88</v>
      </c>
      <c r="AW30" s="26">
        <f>HLOOKUP(AT30,Hoja2!$R$2:$AV$103,102,FALSE)</f>
        <v>0</v>
      </c>
      <c r="AX30" s="79">
        <f>HLOOKUP(AT30,Hoja2!$R$2:$AV$104,103,FALSE)</f>
        <v>0</v>
      </c>
      <c r="AZ30" s="15">
        <v>45458</v>
      </c>
      <c r="BA30">
        <v>110820</v>
      </c>
      <c r="BB30" t="s">
        <v>92</v>
      </c>
      <c r="BC30" t="str">
        <f>"CPA Fondeo Renta4 USD a JPM COL " &amp;AW16&amp;" USD T/C "&amp;AV16</f>
        <v>CPA Fondeo Renta4 USD a JPM COL 0 USD T/C 928,37</v>
      </c>
      <c r="BD30" s="3">
        <f>+AX16</f>
        <v>0</v>
      </c>
      <c r="BE30" s="10"/>
      <c r="BI30" s="1">
        <v>45594</v>
      </c>
      <c r="BJ30" s="26">
        <f>HLOOKUP(BI30,Hoja2!$R$2:$AV$120,119,FALSE)</f>
        <v>0</v>
      </c>
      <c r="BK30" s="77">
        <f>HLOOKUP(BI30,Hoja2!$R$2:$AV$118,117,FALSE)</f>
        <v>945.88</v>
      </c>
      <c r="BL30" s="26">
        <f>HLOOKUP(BI30,Hoja2!$R$2:$AV$119,118,FALSE)</f>
        <v>0</v>
      </c>
      <c r="BM30" s="79">
        <f>HLOOKUP(BI30,Hoja2!$R$2:$AV$117,116,FALSE)</f>
        <v>0</v>
      </c>
      <c r="BO30" s="15">
        <v>45458</v>
      </c>
      <c r="BP30">
        <v>110292</v>
      </c>
      <c r="BQ30" t="s">
        <v>153</v>
      </c>
      <c r="BR30" t="str">
        <f>"CPA Fondeo Renta4 USD a OZ CAMBIO " &amp;BL16&amp;" USD T/C "&amp;BK16</f>
        <v>CPA Fondeo Renta4 USD a OZ CAMBIO 0 USD T/C 928,37</v>
      </c>
      <c r="BS30" s="3">
        <f>+BJ16</f>
        <v>0</v>
      </c>
      <c r="BT30" s="10"/>
      <c r="BX30" s="1">
        <v>45594</v>
      </c>
      <c r="BY30" s="26">
        <f>HLOOKUP(BX30,Hoja2!$R$2:$AV$82,81,FALSE)</f>
        <v>0</v>
      </c>
      <c r="BZ30" s="77">
        <f>HLOOKUP(BX30,Hoja2!$R$2:$AV$83,82,FALSE)</f>
        <v>0</v>
      </c>
      <c r="CA30" s="26">
        <f>HLOOKUP(BX30,Hoja2!$R$2:$AV$84,83,FALSE)</f>
        <v>0</v>
      </c>
      <c r="CB30" s="79">
        <f>HLOOKUP(BX30,Hoja2!$R$2:$AV$85,84,FALSE)</f>
        <v>0</v>
      </c>
      <c r="CD30" s="15">
        <v>45458</v>
      </c>
      <c r="CE30">
        <v>110205</v>
      </c>
      <c r="CF30" t="s">
        <v>154</v>
      </c>
      <c r="CG30" t="str">
        <f>"CPA Fondeo MBI USD a BICE USD " &amp;CA16&amp;" USD T/C "&amp;BZ16</f>
        <v>CPA Fondeo MBI USD a BICE USD 0 USD T/C 0</v>
      </c>
      <c r="CH30" s="3">
        <f>+CB16</f>
        <v>0</v>
      </c>
      <c r="CI30" s="10"/>
    </row>
    <row r="31" spans="1:87" x14ac:dyDescent="0.25">
      <c r="A31" s="1">
        <v>45595</v>
      </c>
      <c r="B31" s="26">
        <f>HLOOKUP(A31,Hoja2!$R$2:$AV$92,91,FALSE)</f>
        <v>479650000</v>
      </c>
      <c r="E31" s="11"/>
      <c r="F31" s="12">
        <v>110208</v>
      </c>
      <c r="G31" s="12" t="s">
        <v>46</v>
      </c>
      <c r="H31" s="12" t="str">
        <f t="shared" ref="H31" si="56">H30</f>
        <v xml:space="preserve">CPA Traspaso de Fondos Bco. BCI 648 a Renta4 </v>
      </c>
      <c r="I31" s="13"/>
      <c r="J31" s="18" t="str">
        <f>I30</f>
        <v>-</v>
      </c>
      <c r="N31" s="1">
        <v>45595</v>
      </c>
      <c r="O31" s="26">
        <f>HLOOKUP(N31,Hoja2!$R$2:$AV$96,95,FALSE)</f>
        <v>0</v>
      </c>
      <c r="P31" s="77">
        <f>HLOOKUP(N31,Hoja2!$R$2:$AV$94,93,FALSE)</f>
        <v>0</v>
      </c>
      <c r="Q31" s="26">
        <f>HLOOKUP(N31,Hoja2!$R$2:$AV$95,94,FALSE)</f>
        <v>0</v>
      </c>
      <c r="R31" s="26"/>
      <c r="T31" s="11"/>
      <c r="U31" s="12">
        <v>110322</v>
      </c>
      <c r="V31" s="12" t="s">
        <v>178</v>
      </c>
      <c r="W31" s="12" t="str">
        <f>+W30</f>
        <v>CPA Compra Divisas 0 T/C 0</v>
      </c>
      <c r="X31" s="13"/>
      <c r="Y31" s="18">
        <f t="shared" ref="Y31" si="57">+X30</f>
        <v>0</v>
      </c>
      <c r="AD31" s="1">
        <v>45595</v>
      </c>
      <c r="AE31" s="26">
        <f>HLOOKUP(AD31,Hoja2!$R$2:$AV$97,96,FALSE)</f>
        <v>600000</v>
      </c>
      <c r="AF31" s="77">
        <f>HLOOKUP(AD31,Hoja2!$R$2:$AV$98,97,FALSE)</f>
        <v>950.89</v>
      </c>
      <c r="AG31" s="26" t="str">
        <f>HLOOKUP(AD31,Hoja2!$R$2:$AV$99,98,FALSE)</f>
        <v>600K</v>
      </c>
      <c r="AH31" s="79">
        <f>HLOOKUP(AD31,Hoja2!$R$2:$AV$100,99,FALSE)</f>
        <v>570534000</v>
      </c>
      <c r="AJ31" s="11"/>
      <c r="AK31" s="12">
        <v>110323</v>
      </c>
      <c r="AL31" s="12" t="s">
        <v>179</v>
      </c>
      <c r="AM31" s="12" t="str">
        <f>+AM30</f>
        <v>CPA Fondeo Renta4 USD a NIUM 0 USD T/C 928,37</v>
      </c>
      <c r="AN31" s="13"/>
      <c r="AO31" s="18">
        <f t="shared" si="8"/>
        <v>0</v>
      </c>
      <c r="AT31" s="1">
        <v>45595</v>
      </c>
      <c r="AU31" s="26">
        <f>HLOOKUP(AT31,Hoja2!$R$2:$AV$101,100,FALSE)</f>
        <v>0</v>
      </c>
      <c r="AV31" s="77">
        <f>HLOOKUP(AT31,Hoja2!$R$2:$AV$102,101,FALSE)</f>
        <v>950.89</v>
      </c>
      <c r="AW31" s="26">
        <f>HLOOKUP(AT31,Hoja2!$R$2:$AV$103,102,FALSE)</f>
        <v>0</v>
      </c>
      <c r="AX31" s="79">
        <f>HLOOKUP(AT31,Hoja2!$R$2:$AV$104,103,FALSE)</f>
        <v>0</v>
      </c>
      <c r="AZ31" s="11"/>
      <c r="BA31" s="12">
        <v>110323</v>
      </c>
      <c r="BB31" s="12" t="s">
        <v>179</v>
      </c>
      <c r="BC31" s="12" t="str">
        <f>+BC30</f>
        <v>CPA Fondeo Renta4 USD a JPM COL 0 USD T/C 928,37</v>
      </c>
      <c r="BD31" s="13"/>
      <c r="BE31" s="18">
        <f t="shared" si="9"/>
        <v>0</v>
      </c>
      <c r="BI31" s="1">
        <v>45595</v>
      </c>
      <c r="BJ31" s="26">
        <f>HLOOKUP(BI31,Hoja2!$R$2:$AV$120,119,FALSE)</f>
        <v>0</v>
      </c>
      <c r="BK31" s="77">
        <f>HLOOKUP(BI31,Hoja2!$R$2:$AV$118,117,FALSE)</f>
        <v>950.89</v>
      </c>
      <c r="BL31" s="26">
        <f>HLOOKUP(BI31,Hoja2!$R$2:$AV$119,118,FALSE)</f>
        <v>0</v>
      </c>
      <c r="BM31" s="79">
        <f>HLOOKUP(BI31,Hoja2!$R$2:$AV$117,116,FALSE)</f>
        <v>0</v>
      </c>
      <c r="BO31" s="11"/>
      <c r="BP31" s="12">
        <v>110323</v>
      </c>
      <c r="BQ31" s="12" t="s">
        <v>179</v>
      </c>
      <c r="BR31" s="12" t="str">
        <f>+BR30</f>
        <v>CPA Fondeo Renta4 USD a OZ CAMBIO 0 USD T/C 928,37</v>
      </c>
      <c r="BS31" s="13"/>
      <c r="BT31" s="18">
        <f t="shared" ref="BT31" si="58">+BS30</f>
        <v>0</v>
      </c>
      <c r="BX31" s="1">
        <v>45595</v>
      </c>
      <c r="BY31" s="26">
        <f>HLOOKUP(BX31,Hoja2!$R$2:$AV$82,81,FALSE)</f>
        <v>0</v>
      </c>
      <c r="BZ31" s="77">
        <f>HLOOKUP(BX31,Hoja2!$R$2:$AV$83,82,FALSE)</f>
        <v>0</v>
      </c>
      <c r="CA31" s="26">
        <f>HLOOKUP(BX31,Hoja2!$R$2:$AV$84,83,FALSE)</f>
        <v>0</v>
      </c>
      <c r="CB31" s="79">
        <f>HLOOKUP(BX31,Hoja2!$R$2:$AV$85,84,FALSE)</f>
        <v>0</v>
      </c>
      <c r="CD31" s="11"/>
      <c r="CE31" s="12">
        <v>110296</v>
      </c>
      <c r="CF31" s="12" t="s">
        <v>123</v>
      </c>
      <c r="CG31" s="12" t="str">
        <f>+CG30</f>
        <v>CPA Fondeo MBI USD a BICE USD 0 USD T/C 0</v>
      </c>
      <c r="CH31" s="13"/>
      <c r="CI31" s="18">
        <f t="shared" ref="CI31" si="59">+CH30</f>
        <v>0</v>
      </c>
    </row>
    <row r="32" spans="1:87" x14ac:dyDescent="0.25">
      <c r="A32" s="1">
        <v>45596</v>
      </c>
      <c r="B32" s="26" t="str">
        <f>HLOOKUP(A32,Hoja2!$R$2:$AV$92,91,FALSE)</f>
        <v>-</v>
      </c>
      <c r="E32" s="15">
        <v>45459</v>
      </c>
      <c r="F32" s="8">
        <v>110322</v>
      </c>
      <c r="G32" s="8" t="s">
        <v>178</v>
      </c>
      <c r="H32" s="8" t="str">
        <f>"CPA Traspaso de Fondos Bco. BCI 648 a Renta4 "</f>
        <v xml:space="preserve">CPA Traspaso de Fondos Bco. BCI 648 a Renta4 </v>
      </c>
      <c r="I32" s="16">
        <f>+B17</f>
        <v>470800000</v>
      </c>
      <c r="J32" s="17"/>
      <c r="N32" s="1">
        <v>45596</v>
      </c>
      <c r="O32" s="26">
        <f>HLOOKUP(N32,Hoja2!$R$2:$AV$96,95,FALSE)</f>
        <v>0</v>
      </c>
      <c r="P32" s="77">
        <f>HLOOKUP(N32,Hoja2!$R$2:$AV$94,93,FALSE)</f>
        <v>0</v>
      </c>
      <c r="Q32" s="26">
        <f>HLOOKUP(N32,Hoja2!$R$2:$AV$95,94,FALSE)</f>
        <v>0</v>
      </c>
      <c r="R32" s="26"/>
      <c r="T32" s="15">
        <v>45459</v>
      </c>
      <c r="U32">
        <v>110323</v>
      </c>
      <c r="V32" t="s">
        <v>179</v>
      </c>
      <c r="W32" t="str">
        <f>"CPA Compra Divisas " &amp;Q17&amp;" T/C "&amp;P17</f>
        <v>CPA Compra Divisas 0 T/C 0</v>
      </c>
      <c r="X32" s="3">
        <f>+O17</f>
        <v>0</v>
      </c>
      <c r="Y32" s="10"/>
      <c r="AD32" s="1">
        <v>45596</v>
      </c>
      <c r="AE32" s="26">
        <f>HLOOKUP(AD32,Hoja2!$R$2:$AV$97,96,FALSE)</f>
        <v>0</v>
      </c>
      <c r="AF32" s="77">
        <f>HLOOKUP(AD32,Hoja2!$R$2:$AV$98,97,FALSE)</f>
        <v>950.89</v>
      </c>
      <c r="AG32" s="26">
        <f>HLOOKUP(AD32,Hoja2!$R$2:$AV$99,98,FALSE)</f>
        <v>0</v>
      </c>
      <c r="AH32" s="79">
        <f>HLOOKUP(AD32,Hoja2!$R$2:$AV$100,99,FALSE)</f>
        <v>0</v>
      </c>
      <c r="AJ32" s="15">
        <v>45459</v>
      </c>
      <c r="AK32" s="8">
        <v>110275</v>
      </c>
      <c r="AL32" t="s">
        <v>82</v>
      </c>
      <c r="AM32" t="str">
        <f>"CPA Fondeo Renta4 USD a NIUM " &amp;AG17&amp;" USD T/C "&amp;AF17</f>
        <v>CPA Fondeo Renta4 USD a NIUM 500K USD T/C 937,29</v>
      </c>
      <c r="AN32" s="3">
        <f>+AH17</f>
        <v>468645000</v>
      </c>
      <c r="AO32" s="10"/>
      <c r="AT32" s="1">
        <v>45596</v>
      </c>
      <c r="AU32" s="26">
        <f>HLOOKUP(AT32,Hoja2!$R$2:$AV$101,100,FALSE)</f>
        <v>0</v>
      </c>
      <c r="AV32" s="77">
        <f>HLOOKUP(AT32,Hoja2!$R$2:$AV$102,101,FALSE)</f>
        <v>950.89</v>
      </c>
      <c r="AW32" s="26">
        <f>HLOOKUP(AT32,Hoja2!$R$2:$AV$103,102,FALSE)</f>
        <v>0</v>
      </c>
      <c r="AX32" s="79">
        <f>HLOOKUP(AT32,Hoja2!$R$2:$AV$104,103,FALSE)</f>
        <v>0</v>
      </c>
      <c r="AZ32" s="15">
        <v>45459</v>
      </c>
      <c r="BA32">
        <v>110820</v>
      </c>
      <c r="BB32" t="s">
        <v>92</v>
      </c>
      <c r="BC32" t="str">
        <f>"CPA Fondeo Renta4 USD a JPM COL " &amp;AW17&amp;" USD T/C "&amp;AV17</f>
        <v>CPA Fondeo Renta4 USD a JPM COL 0 USD T/C 937,29</v>
      </c>
      <c r="BD32" s="3">
        <f>+AX17</f>
        <v>0</v>
      </c>
      <c r="BE32" s="10"/>
      <c r="BI32" s="1">
        <v>45596</v>
      </c>
      <c r="BJ32" s="26">
        <f>HLOOKUP(BI32,Hoja2!$R$2:$AV$120,119,FALSE)</f>
        <v>0</v>
      </c>
      <c r="BK32" s="77">
        <f>HLOOKUP(BI32,Hoja2!$R$2:$AV$118,117,FALSE)</f>
        <v>950.89</v>
      </c>
      <c r="BL32" s="26">
        <f>HLOOKUP(BI32,Hoja2!$R$2:$AV$119,118,FALSE)</f>
        <v>0</v>
      </c>
      <c r="BM32" s="79">
        <f>HLOOKUP(BI32,Hoja2!$R$2:$AV$117,116,FALSE)</f>
        <v>0</v>
      </c>
      <c r="BO32" s="15">
        <v>45459</v>
      </c>
      <c r="BP32">
        <v>110292</v>
      </c>
      <c r="BQ32" t="s">
        <v>153</v>
      </c>
      <c r="BR32" t="str">
        <f>"CPA Fondeo Renta4 USD a OZ CAMBIO " &amp;BL17&amp;" USD T/C "&amp;BK17</f>
        <v>CPA Fondeo Renta4 USD a OZ CAMBIO 0 USD T/C 937,29</v>
      </c>
      <c r="BS32" s="3">
        <f>+BJ17</f>
        <v>0</v>
      </c>
      <c r="BT32" s="10"/>
      <c r="BX32" s="1">
        <v>45596</v>
      </c>
      <c r="BY32" s="26">
        <f>HLOOKUP(BX32,Hoja2!$R$2:$AV$82,81,FALSE)</f>
        <v>0</v>
      </c>
      <c r="BZ32" s="77">
        <f>HLOOKUP(BX32,Hoja2!$R$2:$AV$83,82,FALSE)</f>
        <v>0</v>
      </c>
      <c r="CA32" s="26">
        <f>HLOOKUP(BX32,Hoja2!$R$2:$AV$84,83,FALSE)</f>
        <v>0</v>
      </c>
      <c r="CB32" s="79">
        <f>HLOOKUP(BX32,Hoja2!$R$2:$AV$85,84,FALSE)</f>
        <v>0</v>
      </c>
      <c r="CD32" s="15">
        <v>45459</v>
      </c>
      <c r="CE32">
        <v>110205</v>
      </c>
      <c r="CF32" t="s">
        <v>154</v>
      </c>
      <c r="CG32" t="str">
        <f>"CPA Fondeo MBI USD a BICE USD " &amp;CA17&amp;" USD T/C "&amp;BZ17</f>
        <v>CPA Fondeo MBI USD a BICE USD 0 USD T/C 0</v>
      </c>
      <c r="CH32" s="3">
        <f>+CB17</f>
        <v>0</v>
      </c>
      <c r="CI32" s="10"/>
    </row>
    <row r="33" spans="2:87" x14ac:dyDescent="0.25">
      <c r="B33" s="26">
        <f>SUM(B2:B32)</f>
        <v>5249730000</v>
      </c>
      <c r="E33" s="11"/>
      <c r="F33" s="12">
        <v>110208</v>
      </c>
      <c r="G33" s="12" t="s">
        <v>46</v>
      </c>
      <c r="H33" s="12" t="str">
        <f t="shared" ref="H33" si="60">H32</f>
        <v xml:space="preserve">CPA Traspaso de Fondos Bco. BCI 648 a Renta4 </v>
      </c>
      <c r="I33" s="13"/>
      <c r="J33" s="18">
        <f>I32</f>
        <v>470800000</v>
      </c>
      <c r="O33" s="3">
        <f>SUM(O2:O32)</f>
        <v>0</v>
      </c>
      <c r="T33" s="11"/>
      <c r="U33" s="12">
        <v>110322</v>
      </c>
      <c r="V33" s="12" t="s">
        <v>178</v>
      </c>
      <c r="W33" s="12" t="str">
        <f>+W32</f>
        <v>CPA Compra Divisas 0 T/C 0</v>
      </c>
      <c r="X33" s="13"/>
      <c r="Y33" s="18">
        <f t="shared" ref="Y33" si="61">+X32</f>
        <v>0</v>
      </c>
      <c r="AD33" s="1"/>
      <c r="AE33" s="3">
        <f>SUM(AE2:AE32)</f>
        <v>6300000</v>
      </c>
      <c r="AH33" s="3">
        <f>SUM(AH2:AH32)</f>
        <v>5876628500</v>
      </c>
      <c r="AJ33" s="11"/>
      <c r="AK33" s="12">
        <v>110323</v>
      </c>
      <c r="AL33" s="12" t="s">
        <v>179</v>
      </c>
      <c r="AM33" s="12" t="str">
        <f>+AM32</f>
        <v>CPA Fondeo Renta4 USD a NIUM 500K USD T/C 937,29</v>
      </c>
      <c r="AN33" s="13"/>
      <c r="AO33" s="18">
        <f t="shared" si="8"/>
        <v>468645000</v>
      </c>
      <c r="AU33" s="3">
        <f>SUM(AU2:AU32)</f>
        <v>0</v>
      </c>
      <c r="AX33" s="79" t="e">
        <f>HLOOKUP(AT33,Hoja2!$R$2:$AV$104,103,FALSE)</f>
        <v>#N/A</v>
      </c>
      <c r="AZ33" s="11"/>
      <c r="BA33" s="12">
        <v>110323</v>
      </c>
      <c r="BB33" s="12" t="s">
        <v>179</v>
      </c>
      <c r="BC33" s="12" t="str">
        <f>+BC32</f>
        <v>CPA Fondeo Renta4 USD a JPM COL 0 USD T/C 937,29</v>
      </c>
      <c r="BD33" s="13"/>
      <c r="BE33" s="18">
        <f t="shared" si="9"/>
        <v>0</v>
      </c>
      <c r="BJ33" s="3">
        <f>SUM(BJ2:BJ32)</f>
        <v>0</v>
      </c>
      <c r="BM33" s="3">
        <f>SUM(BM2:BM32)</f>
        <v>0</v>
      </c>
      <c r="BO33" s="11"/>
      <c r="BP33" s="12">
        <v>110323</v>
      </c>
      <c r="BQ33" s="12" t="s">
        <v>179</v>
      </c>
      <c r="BR33" s="12" t="str">
        <f>+BR32</f>
        <v>CPA Fondeo Renta4 USD a OZ CAMBIO 0 USD T/C 937,29</v>
      </c>
      <c r="BS33" s="13"/>
      <c r="BT33" s="18">
        <f t="shared" ref="BT33" si="62">+BS32</f>
        <v>0</v>
      </c>
      <c r="BY33" s="3">
        <f>SUM(BY2:BY32)</f>
        <v>0</v>
      </c>
      <c r="CB33" s="3">
        <f>SUM(CB2:CB32)</f>
        <v>0</v>
      </c>
      <c r="CD33" s="11"/>
      <c r="CE33" s="12">
        <v>110296</v>
      </c>
      <c r="CF33" s="12" t="s">
        <v>123</v>
      </c>
      <c r="CG33" s="12" t="str">
        <f>+CG32</f>
        <v>CPA Fondeo MBI USD a BICE USD 0 USD T/C 0</v>
      </c>
      <c r="CH33" s="13"/>
      <c r="CI33" s="18">
        <f t="shared" ref="CI33" si="63">+CH32</f>
        <v>0</v>
      </c>
    </row>
    <row r="34" spans="2:87" x14ac:dyDescent="0.25">
      <c r="B34" s="26"/>
      <c r="E34" s="15">
        <v>45460</v>
      </c>
      <c r="F34" s="8">
        <v>110322</v>
      </c>
      <c r="G34" s="8" t="s">
        <v>178</v>
      </c>
      <c r="H34" s="8" t="str">
        <f>"CPA Traspaso de Fondos Bco. BCI 648 a Renta4 "</f>
        <v xml:space="preserve">CPA Traspaso de Fondos Bco. BCI 648 a Renta4 </v>
      </c>
      <c r="I34" s="16" t="str">
        <f>+B18</f>
        <v>-</v>
      </c>
      <c r="J34" s="17"/>
      <c r="T34" s="15">
        <v>45460</v>
      </c>
      <c r="U34">
        <v>110323</v>
      </c>
      <c r="V34" t="s">
        <v>179</v>
      </c>
      <c r="W34" t="str">
        <f>"CPA Compra Divisas " &amp;Q18&amp;" T/C "&amp;P18</f>
        <v>CPA Compra Divisas 0 T/C 0</v>
      </c>
      <c r="X34" s="3">
        <f>+O18</f>
        <v>0</v>
      </c>
      <c r="Y34" s="10"/>
      <c r="AJ34" s="15">
        <v>45460</v>
      </c>
      <c r="AK34" s="8">
        <v>110275</v>
      </c>
      <c r="AL34" t="s">
        <v>82</v>
      </c>
      <c r="AM34" t="str">
        <f>"CPA Fondeo Renta4 USD a NIUM " &amp;AG18&amp;" USD T/C "&amp;AF18</f>
        <v>CPA Fondeo Renta4 USD a NIUM 0 USD T/C 941,3</v>
      </c>
      <c r="AN34" s="3">
        <f>+AH18</f>
        <v>0</v>
      </c>
      <c r="AO34" s="10"/>
      <c r="AZ34" s="15">
        <v>45460</v>
      </c>
      <c r="BA34">
        <v>110820</v>
      </c>
      <c r="BB34" t="s">
        <v>92</v>
      </c>
      <c r="BC34" t="str">
        <f>"CPA Fondeo Renta4 USD a JPM COL " &amp;AW18&amp;" USD T/C "&amp;AV18</f>
        <v>CPA Fondeo Renta4 USD a JPM COL 0 USD T/C 941,3</v>
      </c>
      <c r="BD34" s="3">
        <f>+AX18</f>
        <v>0</v>
      </c>
      <c r="BE34" s="10"/>
      <c r="BO34" s="15">
        <v>45460</v>
      </c>
      <c r="BP34">
        <v>110292</v>
      </c>
      <c r="BQ34" t="s">
        <v>153</v>
      </c>
      <c r="BR34" t="str">
        <f>"CPA Fondeo Renta4 USD a OZ CAMBIO " &amp;BL18&amp;" USD T/C "&amp;BK18</f>
        <v>CPA Fondeo Renta4 USD a OZ CAMBIO 0 USD T/C 941,3</v>
      </c>
      <c r="BS34" s="3">
        <f>+BJ18</f>
        <v>0</v>
      </c>
      <c r="BT34" s="10"/>
      <c r="CD34" s="15">
        <v>45460</v>
      </c>
      <c r="CE34">
        <v>110205</v>
      </c>
      <c r="CF34" t="s">
        <v>154</v>
      </c>
      <c r="CG34" t="str">
        <f>"CPA Fondeo MBI USD a BICE USD " &amp;CA18&amp;" USD T/C "&amp;BZ18</f>
        <v>CPA Fondeo MBI USD a BICE USD 0 USD T/C 0</v>
      </c>
      <c r="CH34" s="3">
        <f>+CB18</f>
        <v>0</v>
      </c>
      <c r="CI34" s="10"/>
    </row>
    <row r="35" spans="2:87" x14ac:dyDescent="0.25">
      <c r="B35" s="26"/>
      <c r="E35" s="11"/>
      <c r="F35" s="12">
        <v>110208</v>
      </c>
      <c r="G35" s="12" t="s">
        <v>46</v>
      </c>
      <c r="H35" s="12" t="str">
        <f t="shared" ref="H35" si="64">H34</f>
        <v xml:space="preserve">CPA Traspaso de Fondos Bco. BCI 648 a Renta4 </v>
      </c>
      <c r="I35" s="13"/>
      <c r="J35" s="18" t="str">
        <f>I34</f>
        <v>-</v>
      </c>
      <c r="T35" s="11"/>
      <c r="U35" s="12">
        <v>110322</v>
      </c>
      <c r="V35" s="12" t="s">
        <v>178</v>
      </c>
      <c r="W35" s="12" t="str">
        <f>+W34</f>
        <v>CPA Compra Divisas 0 T/C 0</v>
      </c>
      <c r="X35" s="13"/>
      <c r="Y35" s="18">
        <f t="shared" ref="Y35" si="65">+X34</f>
        <v>0</v>
      </c>
      <c r="AJ35" s="11"/>
      <c r="AK35" s="12">
        <v>110323</v>
      </c>
      <c r="AL35" s="12" t="s">
        <v>179</v>
      </c>
      <c r="AM35" s="12" t="str">
        <f>+AM34</f>
        <v>CPA Fondeo Renta4 USD a NIUM 0 USD T/C 941,3</v>
      </c>
      <c r="AN35" s="13"/>
      <c r="AO35" s="18">
        <f t="shared" si="8"/>
        <v>0</v>
      </c>
      <c r="AZ35" s="11"/>
      <c r="BA35" s="12">
        <v>110323</v>
      </c>
      <c r="BB35" s="12" t="s">
        <v>179</v>
      </c>
      <c r="BC35" s="12" t="str">
        <f>+BC34</f>
        <v>CPA Fondeo Renta4 USD a JPM COL 0 USD T/C 941,3</v>
      </c>
      <c r="BD35" s="13"/>
      <c r="BE35" s="18">
        <f t="shared" si="9"/>
        <v>0</v>
      </c>
      <c r="BO35" s="11"/>
      <c r="BP35" s="12">
        <v>110323</v>
      </c>
      <c r="BQ35" s="12" t="s">
        <v>179</v>
      </c>
      <c r="BR35" s="12" t="str">
        <f>+BR34</f>
        <v>CPA Fondeo Renta4 USD a OZ CAMBIO 0 USD T/C 941,3</v>
      </c>
      <c r="BS35" s="13"/>
      <c r="BT35" s="18">
        <f t="shared" ref="BT35" si="66">+BS34</f>
        <v>0</v>
      </c>
      <c r="CD35" s="11"/>
      <c r="CE35" s="12">
        <v>110296</v>
      </c>
      <c r="CF35" s="12" t="s">
        <v>123</v>
      </c>
      <c r="CG35" s="12" t="str">
        <f>+CG34</f>
        <v>CPA Fondeo MBI USD a BICE USD 0 USD T/C 0</v>
      </c>
      <c r="CH35" s="13"/>
      <c r="CI35" s="18">
        <f t="shared" ref="CI35" si="67">+CH34</f>
        <v>0</v>
      </c>
    </row>
    <row r="36" spans="2:87" x14ac:dyDescent="0.25">
      <c r="E36" s="15">
        <v>45461</v>
      </c>
      <c r="F36" s="8">
        <v>110322</v>
      </c>
      <c r="G36" s="8" t="s">
        <v>178</v>
      </c>
      <c r="H36" s="8" t="str">
        <f>"CPA Traspaso de Fondos Bco. BCI 648 a Renta4 "</f>
        <v xml:space="preserve">CPA Traspaso de Fondos Bco. BCI 648 a Renta4 </v>
      </c>
      <c r="I36" s="16" t="str">
        <f>+B19</f>
        <v>-</v>
      </c>
      <c r="J36" s="17"/>
      <c r="T36" s="15">
        <v>45461</v>
      </c>
      <c r="U36">
        <v>110323</v>
      </c>
      <c r="V36" t="s">
        <v>179</v>
      </c>
      <c r="W36" t="str">
        <f>"CPA Compra Divisas " &amp;Q19&amp;" T/C "&amp;P19</f>
        <v>CPA Compra Divisas 0 T/C 0</v>
      </c>
      <c r="X36" s="3">
        <f>+O19</f>
        <v>0</v>
      </c>
      <c r="Y36" s="10"/>
      <c r="AE36" s="2"/>
      <c r="AJ36" s="15">
        <v>45461</v>
      </c>
      <c r="AK36" s="8">
        <v>110275</v>
      </c>
      <c r="AL36" t="s">
        <v>82</v>
      </c>
      <c r="AM36" t="str">
        <f>"CPA Fondeo Renta4 USD a NIUM " &amp;AG19&amp;" USD T/C "&amp;AF19</f>
        <v>CPA Fondeo Renta4 USD a NIUM 0 USD T/C 945,01</v>
      </c>
      <c r="AN36" s="3">
        <f>+AH19</f>
        <v>0</v>
      </c>
      <c r="AO36" s="10"/>
      <c r="AU36" s="2"/>
      <c r="AZ36" s="15">
        <v>45461</v>
      </c>
      <c r="BA36">
        <v>110820</v>
      </c>
      <c r="BB36" t="s">
        <v>92</v>
      </c>
      <c r="BC36" t="str">
        <f>"CPA Fondeo Renta4 USD a JPM COL " &amp;AW19&amp;" USD T/C "&amp;AV19</f>
        <v>CPA Fondeo Renta4 USD a JPM COL 0 USD T/C 945,01</v>
      </c>
      <c r="BD36" s="3">
        <f>+AX19</f>
        <v>0</v>
      </c>
      <c r="BE36" s="10"/>
      <c r="BJ36" s="2"/>
      <c r="BO36" s="15">
        <v>45461</v>
      </c>
      <c r="BP36">
        <v>110292</v>
      </c>
      <c r="BQ36" t="s">
        <v>153</v>
      </c>
      <c r="BR36" t="str">
        <f>"CPA Fondeo Renta4 USD a OZ CAMBIO " &amp;BL19&amp;" USD T/C "&amp;BK19</f>
        <v>CPA Fondeo Renta4 USD a OZ CAMBIO 0 USD T/C 945,01</v>
      </c>
      <c r="BS36" s="3">
        <f>+BJ19</f>
        <v>0</v>
      </c>
      <c r="BT36" s="10"/>
      <c r="BY36" s="2"/>
      <c r="CD36" s="15">
        <v>45461</v>
      </c>
      <c r="CE36">
        <v>110205</v>
      </c>
      <c r="CF36" t="s">
        <v>154</v>
      </c>
      <c r="CG36" t="str">
        <f>"CPA Fondeo MBI USD a BICE USD " &amp;CA19&amp;" USD T/C "&amp;BZ19</f>
        <v>CPA Fondeo MBI USD a BICE USD 0 USD T/C 0</v>
      </c>
      <c r="CH36" s="3">
        <f>+CB19</f>
        <v>0</v>
      </c>
      <c r="CI36" s="10"/>
    </row>
    <row r="37" spans="2:87" x14ac:dyDescent="0.25">
      <c r="E37" s="11"/>
      <c r="F37" s="12">
        <v>110208</v>
      </c>
      <c r="G37" s="12" t="s">
        <v>46</v>
      </c>
      <c r="H37" s="12" t="str">
        <f t="shared" ref="H37" si="68">H36</f>
        <v xml:space="preserve">CPA Traspaso de Fondos Bco. BCI 648 a Renta4 </v>
      </c>
      <c r="I37" s="13"/>
      <c r="J37" s="18" t="str">
        <f>I36</f>
        <v>-</v>
      </c>
      <c r="T37" s="11"/>
      <c r="U37" s="12">
        <v>110322</v>
      </c>
      <c r="V37" s="12" t="s">
        <v>178</v>
      </c>
      <c r="W37" s="12" t="str">
        <f>+W36</f>
        <v>CPA Compra Divisas 0 T/C 0</v>
      </c>
      <c r="X37" s="13"/>
      <c r="Y37" s="18">
        <f t="shared" ref="Y37" si="69">+X36</f>
        <v>0</v>
      </c>
      <c r="AE37" s="2"/>
      <c r="AJ37" s="11"/>
      <c r="AK37" s="12">
        <v>110323</v>
      </c>
      <c r="AL37" s="12" t="s">
        <v>179</v>
      </c>
      <c r="AM37" s="12" t="str">
        <f>+AM36</f>
        <v>CPA Fondeo Renta4 USD a NIUM 0 USD T/C 945,01</v>
      </c>
      <c r="AN37" s="13"/>
      <c r="AO37" s="18">
        <f t="shared" si="8"/>
        <v>0</v>
      </c>
      <c r="AU37" s="2"/>
      <c r="AZ37" s="11"/>
      <c r="BA37" s="12">
        <v>110323</v>
      </c>
      <c r="BB37" s="12" t="s">
        <v>179</v>
      </c>
      <c r="BC37" s="12" t="str">
        <f>+BC36</f>
        <v>CPA Fondeo Renta4 USD a JPM COL 0 USD T/C 945,01</v>
      </c>
      <c r="BD37" s="13"/>
      <c r="BE37" s="18">
        <f t="shared" si="9"/>
        <v>0</v>
      </c>
      <c r="BJ37" s="2"/>
      <c r="BO37" s="11"/>
      <c r="BP37" s="12">
        <v>110323</v>
      </c>
      <c r="BQ37" s="12" t="s">
        <v>179</v>
      </c>
      <c r="BR37" s="12" t="str">
        <f>+BR36</f>
        <v>CPA Fondeo Renta4 USD a OZ CAMBIO 0 USD T/C 945,01</v>
      </c>
      <c r="BS37" s="13"/>
      <c r="BT37" s="18">
        <f t="shared" ref="BT37" si="70">+BS36</f>
        <v>0</v>
      </c>
      <c r="BY37" s="2"/>
      <c r="CD37" s="11"/>
      <c r="CE37" s="12">
        <v>110296</v>
      </c>
      <c r="CF37" s="12" t="s">
        <v>123</v>
      </c>
      <c r="CG37" s="12" t="str">
        <f>+CG36</f>
        <v>CPA Fondeo MBI USD a BICE USD 0 USD T/C 0</v>
      </c>
      <c r="CH37" s="13"/>
      <c r="CI37" s="18">
        <f t="shared" ref="CI37" si="71">+CH36</f>
        <v>0</v>
      </c>
    </row>
    <row r="38" spans="2:87" x14ac:dyDescent="0.25">
      <c r="E38" s="15">
        <v>45462</v>
      </c>
      <c r="F38" s="8">
        <v>110322</v>
      </c>
      <c r="G38" s="8" t="s">
        <v>178</v>
      </c>
      <c r="H38" s="8" t="str">
        <f>"CPA Traspaso de Fondos Bco. BCI 648 a Renta4 "</f>
        <v xml:space="preserve">CPA Traspaso de Fondos Bco. BCI 648 a Renta4 </v>
      </c>
      <c r="I38" s="16" t="str">
        <f>+B20</f>
        <v>-</v>
      </c>
      <c r="J38" s="17"/>
      <c r="T38" s="15">
        <v>45462</v>
      </c>
      <c r="U38">
        <v>110323</v>
      </c>
      <c r="V38" t="s">
        <v>179</v>
      </c>
      <c r="W38" t="str">
        <f>"CPA Compra Divisas " &amp;Q20&amp;" T/C "&amp;P20</f>
        <v>CPA Compra Divisas 0 T/C 0</v>
      </c>
      <c r="X38" s="3">
        <f>+O20</f>
        <v>0</v>
      </c>
      <c r="Y38" s="10"/>
      <c r="AE38" s="2"/>
      <c r="AJ38" s="15">
        <v>45462</v>
      </c>
      <c r="AK38" s="8">
        <v>110275</v>
      </c>
      <c r="AL38" t="s">
        <v>82</v>
      </c>
      <c r="AM38" t="str">
        <f>"CPA Fondeo Renta4 USD a NIUM " &amp;AG20&amp;" USD T/C "&amp;AF20</f>
        <v>CPA Fondeo Renta4 USD a NIUM 0 USD T/C 945,01</v>
      </c>
      <c r="AN38" s="3">
        <f>+AH20</f>
        <v>0</v>
      </c>
      <c r="AO38" s="10"/>
      <c r="AU38" s="2"/>
      <c r="AZ38" s="15">
        <v>45462</v>
      </c>
      <c r="BA38">
        <v>110820</v>
      </c>
      <c r="BB38" t="s">
        <v>92</v>
      </c>
      <c r="BC38" t="str">
        <f>"CPA Fondeo Renta4 USD a JPM COL " &amp;AW20&amp;" USD T/C "&amp;AV20</f>
        <v>CPA Fondeo Renta4 USD a JPM COL 0 USD T/C 945,01</v>
      </c>
      <c r="BD38" s="3">
        <f>+AX20</f>
        <v>0</v>
      </c>
      <c r="BE38" s="10"/>
      <c r="BJ38" s="2"/>
      <c r="BO38" s="15">
        <v>45462</v>
      </c>
      <c r="BP38">
        <v>110292</v>
      </c>
      <c r="BQ38" t="s">
        <v>153</v>
      </c>
      <c r="BR38" t="str">
        <f>"CPA Fondeo Renta4 USD a OZ CAMBIO " &amp;BL20&amp;" USD T/C "&amp;BK20</f>
        <v>CPA Fondeo Renta4 USD a OZ CAMBIO 0 USD T/C 945,01</v>
      </c>
      <c r="BS38" s="3">
        <f>+BJ20</f>
        <v>0</v>
      </c>
      <c r="BT38" s="10"/>
      <c r="BY38" s="2"/>
      <c r="CD38" s="15">
        <v>45462</v>
      </c>
      <c r="CE38">
        <v>110205</v>
      </c>
      <c r="CF38" t="s">
        <v>154</v>
      </c>
      <c r="CG38" t="str">
        <f>"CPA Fondeo MBI USD a BICE USD " &amp;CA20&amp;" USD T/C "&amp;BZ20</f>
        <v>CPA Fondeo MBI USD a BICE USD 0 USD T/C 0</v>
      </c>
      <c r="CH38" s="3">
        <f>+CB20</f>
        <v>0</v>
      </c>
      <c r="CI38" s="10"/>
    </row>
    <row r="39" spans="2:87" x14ac:dyDescent="0.25">
      <c r="E39" s="11"/>
      <c r="F39" s="12">
        <v>110208</v>
      </c>
      <c r="G39" s="12" t="s">
        <v>46</v>
      </c>
      <c r="H39" s="12" t="str">
        <f t="shared" ref="H39" si="72">H38</f>
        <v xml:space="preserve">CPA Traspaso de Fondos Bco. BCI 648 a Renta4 </v>
      </c>
      <c r="I39" s="13"/>
      <c r="J39" s="18" t="str">
        <f>I38</f>
        <v>-</v>
      </c>
      <c r="T39" s="11"/>
      <c r="U39" s="12">
        <v>110322</v>
      </c>
      <c r="V39" s="12" t="s">
        <v>178</v>
      </c>
      <c r="W39" s="12" t="str">
        <f>+W38</f>
        <v>CPA Compra Divisas 0 T/C 0</v>
      </c>
      <c r="X39" s="13"/>
      <c r="Y39" s="18">
        <f t="shared" ref="Y39" si="73">+X38</f>
        <v>0</v>
      </c>
      <c r="AE39" s="2"/>
      <c r="AJ39" s="11"/>
      <c r="AK39" s="12">
        <v>110323</v>
      </c>
      <c r="AL39" s="12" t="s">
        <v>179</v>
      </c>
      <c r="AM39" s="12" t="str">
        <f>+AM38</f>
        <v>CPA Fondeo Renta4 USD a NIUM 0 USD T/C 945,01</v>
      </c>
      <c r="AN39" s="13"/>
      <c r="AO39" s="18">
        <f t="shared" si="8"/>
        <v>0</v>
      </c>
      <c r="AU39" s="2"/>
      <c r="AZ39" s="11"/>
      <c r="BA39" s="12">
        <v>110323</v>
      </c>
      <c r="BB39" s="12" t="s">
        <v>179</v>
      </c>
      <c r="BC39" s="12" t="str">
        <f>+BC38</f>
        <v>CPA Fondeo Renta4 USD a JPM COL 0 USD T/C 945,01</v>
      </c>
      <c r="BD39" s="13"/>
      <c r="BE39" s="18">
        <f t="shared" si="9"/>
        <v>0</v>
      </c>
      <c r="BJ39" s="2"/>
      <c r="BO39" s="11"/>
      <c r="BP39" s="12">
        <v>110323</v>
      </c>
      <c r="BQ39" s="12" t="s">
        <v>179</v>
      </c>
      <c r="BR39" s="12" t="str">
        <f>+BR38</f>
        <v>CPA Fondeo Renta4 USD a OZ CAMBIO 0 USD T/C 945,01</v>
      </c>
      <c r="BS39" s="13"/>
      <c r="BT39" s="18">
        <f t="shared" ref="BT39" si="74">+BS38</f>
        <v>0</v>
      </c>
      <c r="BY39" s="2"/>
      <c r="CD39" s="11"/>
      <c r="CE39" s="12">
        <v>110296</v>
      </c>
      <c r="CF39" s="12" t="s">
        <v>123</v>
      </c>
      <c r="CG39" s="12" t="str">
        <f>+CG38</f>
        <v>CPA Fondeo MBI USD a BICE USD 0 USD T/C 0</v>
      </c>
      <c r="CH39" s="13"/>
      <c r="CI39" s="18">
        <f t="shared" ref="CI39" si="75">+CH38</f>
        <v>0</v>
      </c>
    </row>
    <row r="40" spans="2:87" x14ac:dyDescent="0.25">
      <c r="E40" s="15">
        <v>45463</v>
      </c>
      <c r="F40" s="8">
        <v>110322</v>
      </c>
      <c r="G40" s="8" t="s">
        <v>178</v>
      </c>
      <c r="H40" s="8" t="str">
        <f>"CPA Traspaso de Fondos Bco. BCI 648 a Renta4 "</f>
        <v xml:space="preserve">CPA Traspaso de Fondos Bco. BCI 648 a Renta4 </v>
      </c>
      <c r="I40" s="16" t="str">
        <f>+B21</f>
        <v>-</v>
      </c>
      <c r="J40" s="17"/>
      <c r="T40" s="15">
        <v>45463</v>
      </c>
      <c r="U40">
        <v>110323</v>
      </c>
      <c r="V40" t="s">
        <v>179</v>
      </c>
      <c r="W40" t="str">
        <f>"CPA Compra Divisas " &amp;Q21&amp;" T/C "&amp;P21</f>
        <v>CPA Compra Divisas 0 T/C 0</v>
      </c>
      <c r="X40" s="3">
        <f>+O21</f>
        <v>0</v>
      </c>
      <c r="Y40" s="10"/>
      <c r="AE40" s="2"/>
      <c r="AJ40" s="15">
        <v>45463</v>
      </c>
      <c r="AK40" s="8">
        <v>110275</v>
      </c>
      <c r="AL40" t="s">
        <v>82</v>
      </c>
      <c r="AM40" t="str">
        <f>"CPA Fondeo Renta4 USD a NIUM " &amp;AG21&amp;" USD T/C "&amp;AF21</f>
        <v>CPA Fondeo Renta4 USD a NIUM 0 USD T/C 945,01</v>
      </c>
      <c r="AN40" s="3">
        <f>+AH21</f>
        <v>0</v>
      </c>
      <c r="AO40" s="10"/>
      <c r="AU40" s="2"/>
      <c r="AZ40" s="15">
        <v>45463</v>
      </c>
      <c r="BA40">
        <v>110820</v>
      </c>
      <c r="BB40" t="s">
        <v>92</v>
      </c>
      <c r="BC40" t="str">
        <f>"CPA Fondeo Renta4 USD a JPM COL " &amp;AW21&amp;" USD T/C "&amp;AV21</f>
        <v>CPA Fondeo Renta4 USD a JPM COL 0 USD T/C 945,01</v>
      </c>
      <c r="BD40" s="3">
        <f>+AX21</f>
        <v>0</v>
      </c>
      <c r="BE40" s="10"/>
      <c r="BJ40" s="2"/>
      <c r="BO40" s="15">
        <v>45463</v>
      </c>
      <c r="BP40">
        <v>110292</v>
      </c>
      <c r="BQ40" t="s">
        <v>153</v>
      </c>
      <c r="BR40" t="str">
        <f>"CPA Fondeo Renta4 USD a OZ CAMBIO " &amp;BL21&amp;" USD T/C "&amp;BK21</f>
        <v>CPA Fondeo Renta4 USD a OZ CAMBIO 0 USD T/C 945,01</v>
      </c>
      <c r="BS40" s="3">
        <f>+BJ21</f>
        <v>0</v>
      </c>
      <c r="BT40" s="10"/>
      <c r="BY40" s="2"/>
      <c r="CD40" s="15">
        <v>45463</v>
      </c>
      <c r="CE40">
        <v>110205</v>
      </c>
      <c r="CF40" t="s">
        <v>154</v>
      </c>
      <c r="CG40" t="str">
        <f>"CPA Fondeo MBI USD a BICE USD " &amp;CA21&amp;" USD T/C "&amp;BZ21</f>
        <v>CPA Fondeo MBI USD a BICE USD 0 USD T/C 0</v>
      </c>
      <c r="CH40" s="3">
        <f>+CB21</f>
        <v>0</v>
      </c>
      <c r="CI40" s="10"/>
    </row>
    <row r="41" spans="2:87" x14ac:dyDescent="0.25">
      <c r="E41" s="11"/>
      <c r="F41" s="12">
        <v>110208</v>
      </c>
      <c r="G41" s="12" t="s">
        <v>46</v>
      </c>
      <c r="H41" s="12" t="str">
        <f t="shared" ref="H41" si="76">H40</f>
        <v xml:space="preserve">CPA Traspaso de Fondos Bco. BCI 648 a Renta4 </v>
      </c>
      <c r="I41" s="13"/>
      <c r="J41" s="18" t="str">
        <f>I40</f>
        <v>-</v>
      </c>
      <c r="N41" s="42"/>
      <c r="T41" s="11"/>
      <c r="U41" s="12">
        <v>110322</v>
      </c>
      <c r="V41" s="12" t="s">
        <v>178</v>
      </c>
      <c r="W41" s="12" t="str">
        <f>+W40</f>
        <v>CPA Compra Divisas 0 T/C 0</v>
      </c>
      <c r="X41" s="13"/>
      <c r="Y41" s="18">
        <f t="shared" ref="Y41" si="77">+X40</f>
        <v>0</v>
      </c>
      <c r="AE41" s="2"/>
      <c r="AJ41" s="11"/>
      <c r="AK41" s="12">
        <v>110323</v>
      </c>
      <c r="AL41" s="12" t="s">
        <v>179</v>
      </c>
      <c r="AM41" s="12" t="str">
        <f>+AM40</f>
        <v>CPA Fondeo Renta4 USD a NIUM 0 USD T/C 945,01</v>
      </c>
      <c r="AN41" s="13"/>
      <c r="AO41" s="18">
        <f t="shared" si="8"/>
        <v>0</v>
      </c>
      <c r="AU41" s="2"/>
      <c r="AZ41" s="11"/>
      <c r="BA41" s="12">
        <v>110323</v>
      </c>
      <c r="BB41" s="12" t="s">
        <v>179</v>
      </c>
      <c r="BC41" s="12" t="str">
        <f>+BC40</f>
        <v>CPA Fondeo Renta4 USD a JPM COL 0 USD T/C 945,01</v>
      </c>
      <c r="BD41" s="13"/>
      <c r="BE41" s="18">
        <f t="shared" si="9"/>
        <v>0</v>
      </c>
      <c r="BJ41" s="2"/>
      <c r="BO41" s="11"/>
      <c r="BP41" s="12">
        <v>110323</v>
      </c>
      <c r="BQ41" s="12" t="s">
        <v>179</v>
      </c>
      <c r="BR41" s="12" t="str">
        <f>+BR40</f>
        <v>CPA Fondeo Renta4 USD a OZ CAMBIO 0 USD T/C 945,01</v>
      </c>
      <c r="BS41" s="13"/>
      <c r="BT41" s="18">
        <f t="shared" ref="BT41" si="78">+BS40</f>
        <v>0</v>
      </c>
      <c r="BY41" s="2"/>
      <c r="CD41" s="11"/>
      <c r="CE41" s="12">
        <v>110296</v>
      </c>
      <c r="CF41" s="12" t="s">
        <v>123</v>
      </c>
      <c r="CG41" s="12" t="str">
        <f>+CG40</f>
        <v>CPA Fondeo MBI USD a BICE USD 0 USD T/C 0</v>
      </c>
      <c r="CH41" s="13"/>
      <c r="CI41" s="18">
        <f t="shared" ref="CI41" si="79">+CH40</f>
        <v>0</v>
      </c>
    </row>
    <row r="42" spans="2:87" x14ac:dyDescent="0.25">
      <c r="E42" s="15">
        <v>45464</v>
      </c>
      <c r="F42" s="8">
        <v>110322</v>
      </c>
      <c r="G42" s="8" t="s">
        <v>178</v>
      </c>
      <c r="H42" s="8" t="str">
        <f>"CPA Traspaso de Fondos Bco. BCI 648 a Renta4 "</f>
        <v xml:space="preserve">CPA Traspaso de Fondos Bco. BCI 648 a Renta4 </v>
      </c>
      <c r="I42" s="16">
        <f>+B22</f>
        <v>477150000</v>
      </c>
      <c r="J42" s="17"/>
      <c r="N42" s="42"/>
      <c r="T42" s="15">
        <v>45464</v>
      </c>
      <c r="U42">
        <v>110323</v>
      </c>
      <c r="V42" t="s">
        <v>179</v>
      </c>
      <c r="W42" t="str">
        <f>"CPA Compra Divisas " &amp;Q22&amp;" T/C "&amp;P22</f>
        <v>CPA Compra Divisas 0 T/C 0</v>
      </c>
      <c r="X42" s="3">
        <f>+O22</f>
        <v>0</v>
      </c>
      <c r="Y42" s="10"/>
      <c r="AE42" s="2"/>
      <c r="AJ42" s="15">
        <v>45464</v>
      </c>
      <c r="AK42" s="8">
        <v>110275</v>
      </c>
      <c r="AL42" t="s">
        <v>82</v>
      </c>
      <c r="AM42" t="str">
        <f>"CPA Fondeo Renta4 USD a NIUM " &amp;AG22&amp;" USD T/C "&amp;AF22</f>
        <v>CPA Fondeo Renta4 USD a NIUM 500K USD T/C 946,99</v>
      </c>
      <c r="AN42" s="3">
        <f>+AH22</f>
        <v>473495000</v>
      </c>
      <c r="AO42" s="10"/>
      <c r="AU42" s="2"/>
      <c r="AZ42" s="15">
        <v>45464</v>
      </c>
      <c r="BA42">
        <v>110820</v>
      </c>
      <c r="BB42" t="s">
        <v>92</v>
      </c>
      <c r="BC42" t="str">
        <f>"CPA Fondeo Renta4 USD a JPM COL " &amp;AW22&amp;" USD T/C "&amp;AV22</f>
        <v>CPA Fondeo Renta4 USD a JPM COL 0 USD T/C 946,99</v>
      </c>
      <c r="BD42" s="3">
        <f>+AX22</f>
        <v>0</v>
      </c>
      <c r="BE42" s="10"/>
      <c r="BJ42" s="2"/>
      <c r="BO42" s="15">
        <v>45464</v>
      </c>
      <c r="BP42">
        <v>110292</v>
      </c>
      <c r="BQ42" t="s">
        <v>153</v>
      </c>
      <c r="BR42" t="str">
        <f>"CPA Fondeo Renta4 USD a OZ CAMBIO " &amp;BL22&amp;" USD T/C "&amp;BK22</f>
        <v>CPA Fondeo Renta4 USD a OZ CAMBIO 0 USD T/C 946,99</v>
      </c>
      <c r="BS42" s="3">
        <f>+BJ22</f>
        <v>0</v>
      </c>
      <c r="BT42" s="10"/>
      <c r="BY42" s="2"/>
      <c r="CD42" s="15">
        <v>45464</v>
      </c>
      <c r="CE42">
        <v>110205</v>
      </c>
      <c r="CF42" t="s">
        <v>154</v>
      </c>
      <c r="CG42" t="str">
        <f>"CPA Fondeo MBI USD a BICE USD " &amp;CA22&amp;" USD T/C "&amp;BZ22</f>
        <v>CPA Fondeo MBI USD a BICE USD 0 USD T/C 0</v>
      </c>
      <c r="CH42" s="3">
        <f>+CB22</f>
        <v>0</v>
      </c>
      <c r="CI42" s="10"/>
    </row>
    <row r="43" spans="2:87" x14ac:dyDescent="0.25">
      <c r="E43" s="11"/>
      <c r="F43" s="12">
        <v>110208</v>
      </c>
      <c r="G43" s="12" t="s">
        <v>46</v>
      </c>
      <c r="H43" s="12" t="str">
        <f t="shared" ref="H43" si="80">H42</f>
        <v xml:space="preserve">CPA Traspaso de Fondos Bco. BCI 648 a Renta4 </v>
      </c>
      <c r="I43" s="13"/>
      <c r="J43" s="18">
        <f>I42</f>
        <v>477150000</v>
      </c>
      <c r="N43" s="42"/>
      <c r="T43" s="11"/>
      <c r="U43" s="12">
        <v>110322</v>
      </c>
      <c r="V43" s="12" t="s">
        <v>178</v>
      </c>
      <c r="W43" s="12" t="str">
        <f>+W42</f>
        <v>CPA Compra Divisas 0 T/C 0</v>
      </c>
      <c r="X43" s="13"/>
      <c r="Y43" s="18">
        <f t="shared" ref="Y43" si="81">+X42</f>
        <v>0</v>
      </c>
      <c r="AE43" s="2"/>
      <c r="AJ43" s="11"/>
      <c r="AK43" s="12">
        <v>110323</v>
      </c>
      <c r="AL43" s="12" t="s">
        <v>179</v>
      </c>
      <c r="AM43" s="12" t="str">
        <f>+AM42</f>
        <v>CPA Fondeo Renta4 USD a NIUM 500K USD T/C 946,99</v>
      </c>
      <c r="AN43" s="13"/>
      <c r="AO43" s="18">
        <f t="shared" si="8"/>
        <v>473495000</v>
      </c>
      <c r="AU43" s="2"/>
      <c r="AZ43" s="11"/>
      <c r="BA43" s="12">
        <v>110323</v>
      </c>
      <c r="BB43" s="12" t="s">
        <v>179</v>
      </c>
      <c r="BC43" s="12" t="str">
        <f>+BC42</f>
        <v>CPA Fondeo Renta4 USD a JPM COL 0 USD T/C 946,99</v>
      </c>
      <c r="BD43" s="13"/>
      <c r="BE43" s="18">
        <f t="shared" si="9"/>
        <v>0</v>
      </c>
      <c r="BJ43" s="2"/>
      <c r="BO43" s="11"/>
      <c r="BP43" s="12">
        <v>110323</v>
      </c>
      <c r="BQ43" s="12" t="s">
        <v>179</v>
      </c>
      <c r="BR43" s="12" t="str">
        <f>+BR42</f>
        <v>CPA Fondeo Renta4 USD a OZ CAMBIO 0 USD T/C 946,99</v>
      </c>
      <c r="BS43" s="13"/>
      <c r="BT43" s="18">
        <f t="shared" ref="BT43" si="82">+BS42</f>
        <v>0</v>
      </c>
      <c r="BY43" s="2"/>
      <c r="CD43" s="11"/>
      <c r="CE43" s="12">
        <v>110296</v>
      </c>
      <c r="CF43" s="12" t="s">
        <v>123</v>
      </c>
      <c r="CG43" s="12" t="str">
        <f>+CG42</f>
        <v>CPA Fondeo MBI USD a BICE USD 0 USD T/C 0</v>
      </c>
      <c r="CH43" s="13"/>
      <c r="CI43" s="18">
        <f t="shared" ref="CI43" si="83">+CH42</f>
        <v>0</v>
      </c>
    </row>
    <row r="44" spans="2:87" x14ac:dyDescent="0.25">
      <c r="E44" s="15">
        <v>45465</v>
      </c>
      <c r="F44" s="8">
        <v>110322</v>
      </c>
      <c r="G44" s="8" t="s">
        <v>178</v>
      </c>
      <c r="H44" s="8" t="str">
        <f>"CPA Traspaso de Fondos Bco. BCI 648 a Renta4 "</f>
        <v xml:space="preserve">CPA Traspaso de Fondos Bco. BCI 648 a Renta4 </v>
      </c>
      <c r="I44" s="16">
        <f>+B23</f>
        <v>570480000</v>
      </c>
      <c r="J44" s="17"/>
      <c r="T44" s="15">
        <v>45465</v>
      </c>
      <c r="U44">
        <v>110323</v>
      </c>
      <c r="V44" t="s">
        <v>179</v>
      </c>
      <c r="W44" t="str">
        <f>"CPA Compra Divisas " &amp;Q23&amp;" T/C "&amp;P23</f>
        <v>CPA Compra Divisas 0 T/C 0</v>
      </c>
      <c r="X44" s="3">
        <f>+O23</f>
        <v>0</v>
      </c>
      <c r="Y44" s="10"/>
      <c r="AE44" s="2"/>
      <c r="AJ44" s="15">
        <v>45465</v>
      </c>
      <c r="AK44" s="8">
        <v>110275</v>
      </c>
      <c r="AL44" t="s">
        <v>82</v>
      </c>
      <c r="AM44" t="str">
        <f>"CPA Fondeo Renta4 USD a NIUM " &amp;AG23&amp;" USD T/C "&amp;AF23</f>
        <v>CPA Fondeo Renta4 USD a NIUM 600k USD T/C 954,39</v>
      </c>
      <c r="AN44" s="3">
        <f>+AH23</f>
        <v>572634000</v>
      </c>
      <c r="AO44" s="10"/>
      <c r="AU44" s="2"/>
      <c r="AZ44" s="15">
        <v>45465</v>
      </c>
      <c r="BA44">
        <v>110820</v>
      </c>
      <c r="BB44" t="s">
        <v>92</v>
      </c>
      <c r="BC44" t="str">
        <f>"CPA Fondeo Renta4 USD a JPM COL " &amp;AW23&amp;" USD T/C "&amp;AV23</f>
        <v>CPA Fondeo Renta4 USD a JPM COL 0 USD T/C 954,39</v>
      </c>
      <c r="BD44" s="3">
        <f>+AX23</f>
        <v>0</v>
      </c>
      <c r="BE44" s="10"/>
      <c r="BJ44" s="2"/>
      <c r="BO44" s="15">
        <v>45465</v>
      </c>
      <c r="BP44">
        <v>110292</v>
      </c>
      <c r="BQ44" t="s">
        <v>153</v>
      </c>
      <c r="BR44" t="str">
        <f>"CPA Fondeo Renta4 USD a OZ CAMBIO " &amp;BL23&amp;" USD T/C "&amp;BK23</f>
        <v>CPA Fondeo Renta4 USD a OZ CAMBIO 0 USD T/C 954,39</v>
      </c>
      <c r="BS44" s="3">
        <f>+BJ23</f>
        <v>0</v>
      </c>
      <c r="BT44" s="10"/>
      <c r="BY44" s="2"/>
      <c r="CD44" s="15">
        <v>45465</v>
      </c>
      <c r="CE44">
        <v>110205</v>
      </c>
      <c r="CF44" t="s">
        <v>154</v>
      </c>
      <c r="CG44" t="str">
        <f>"CPA Fondeo MBI USD a BICE USD " &amp;CA23&amp;" USD T/C "&amp;BZ23</f>
        <v>CPA Fondeo MBI USD a BICE USD 0 USD T/C 0</v>
      </c>
      <c r="CH44" s="3">
        <f>+CB23</f>
        <v>0</v>
      </c>
      <c r="CI44" s="10"/>
    </row>
    <row r="45" spans="2:87" x14ac:dyDescent="0.25">
      <c r="E45" s="11"/>
      <c r="F45" s="12">
        <v>110208</v>
      </c>
      <c r="G45" s="12" t="s">
        <v>46</v>
      </c>
      <c r="H45" s="12" t="str">
        <f t="shared" ref="H45" si="84">H44</f>
        <v xml:space="preserve">CPA Traspaso de Fondos Bco. BCI 648 a Renta4 </v>
      </c>
      <c r="I45" s="13"/>
      <c r="J45" s="18">
        <f>I44</f>
        <v>570480000</v>
      </c>
      <c r="T45" s="11"/>
      <c r="U45" s="12">
        <v>110322</v>
      </c>
      <c r="V45" s="12" t="s">
        <v>178</v>
      </c>
      <c r="W45" s="12" t="str">
        <f>+W44</f>
        <v>CPA Compra Divisas 0 T/C 0</v>
      </c>
      <c r="X45" s="13"/>
      <c r="Y45" s="18">
        <f t="shared" ref="Y45" si="85">+X44</f>
        <v>0</v>
      </c>
      <c r="AE45" s="2"/>
      <c r="AJ45" s="11"/>
      <c r="AK45" s="12">
        <v>110323</v>
      </c>
      <c r="AL45" s="12" t="s">
        <v>179</v>
      </c>
      <c r="AM45" s="12" t="str">
        <f>+AM44</f>
        <v>CPA Fondeo Renta4 USD a NIUM 600k USD T/C 954,39</v>
      </c>
      <c r="AN45" s="13"/>
      <c r="AO45" s="18">
        <f t="shared" si="8"/>
        <v>572634000</v>
      </c>
      <c r="AU45" s="2"/>
      <c r="AZ45" s="11"/>
      <c r="BA45" s="12">
        <v>110323</v>
      </c>
      <c r="BB45" s="12" t="s">
        <v>179</v>
      </c>
      <c r="BC45" s="12" t="str">
        <f>+BC44</f>
        <v>CPA Fondeo Renta4 USD a JPM COL 0 USD T/C 954,39</v>
      </c>
      <c r="BD45" s="13"/>
      <c r="BE45" s="18">
        <f t="shared" si="9"/>
        <v>0</v>
      </c>
      <c r="BJ45" s="2"/>
      <c r="BO45" s="11"/>
      <c r="BP45" s="12">
        <v>110323</v>
      </c>
      <c r="BQ45" s="12" t="s">
        <v>179</v>
      </c>
      <c r="BR45" s="12" t="str">
        <f>+BR44</f>
        <v>CPA Fondeo Renta4 USD a OZ CAMBIO 0 USD T/C 954,39</v>
      </c>
      <c r="BS45" s="13"/>
      <c r="BT45" s="18">
        <f t="shared" ref="BT45" si="86">+BS44</f>
        <v>0</v>
      </c>
      <c r="BY45" s="2"/>
      <c r="CD45" s="11"/>
      <c r="CE45" s="12">
        <v>110296</v>
      </c>
      <c r="CF45" s="12" t="s">
        <v>123</v>
      </c>
      <c r="CG45" s="12" t="str">
        <f>+CG44</f>
        <v>CPA Fondeo MBI USD a BICE USD 0 USD T/C 0</v>
      </c>
      <c r="CH45" s="13"/>
      <c r="CI45" s="18">
        <f t="shared" ref="CI45" si="87">+CH44</f>
        <v>0</v>
      </c>
    </row>
    <row r="46" spans="2:87" x14ac:dyDescent="0.25">
      <c r="E46" s="15">
        <v>45466</v>
      </c>
      <c r="F46" s="8">
        <v>110322</v>
      </c>
      <c r="G46" s="8" t="s">
        <v>178</v>
      </c>
      <c r="H46" s="8" t="str">
        <f>"CPA Traspaso de Fondos Bco. BCI 648 a Renta4 "</f>
        <v xml:space="preserve">CPA Traspaso de Fondos Bco. BCI 648 a Renta4 </v>
      </c>
      <c r="I46" s="16">
        <f>+B24</f>
        <v>473650000</v>
      </c>
      <c r="J46" s="17"/>
      <c r="T46" s="15">
        <v>45466</v>
      </c>
      <c r="U46">
        <v>110323</v>
      </c>
      <c r="V46" t="s">
        <v>179</v>
      </c>
      <c r="W46" t="str">
        <f>"CPA Compra Divisas " &amp;Q24&amp;" T/C "&amp;P24</f>
        <v>CPA Compra Divisas 0 T/C 0</v>
      </c>
      <c r="X46" s="3">
        <f>+O24</f>
        <v>0</v>
      </c>
      <c r="Y46" s="10"/>
      <c r="AE46" s="2"/>
      <c r="AJ46" s="15">
        <v>45466</v>
      </c>
      <c r="AK46" s="8">
        <v>110275</v>
      </c>
      <c r="AL46" t="s">
        <v>82</v>
      </c>
      <c r="AM46" t="str">
        <f>"CPA Fondeo Renta4 USD a NIUM " &amp;AG24&amp;" USD T/C "&amp;AF24</f>
        <v>CPA Fondeo Renta4 USD a NIUM 650k USD T/C 949</v>
      </c>
      <c r="AN46" s="3">
        <f>+AH24</f>
        <v>616850000</v>
      </c>
      <c r="AO46" s="10"/>
      <c r="AU46" s="2"/>
      <c r="AZ46" s="15">
        <v>45466</v>
      </c>
      <c r="BA46">
        <v>110820</v>
      </c>
      <c r="BB46" t="s">
        <v>92</v>
      </c>
      <c r="BC46" t="str">
        <f>"CPA Fondeo Renta4 USD a JPM COL " &amp;AW24&amp;" USD T/C "&amp;AV24</f>
        <v>CPA Fondeo Renta4 USD a JPM COL 0 USD T/C 949</v>
      </c>
      <c r="BD46" s="3">
        <f>+AX24</f>
        <v>0</v>
      </c>
      <c r="BE46" s="10"/>
      <c r="BJ46" s="2"/>
      <c r="BO46" s="15">
        <v>45466</v>
      </c>
      <c r="BP46">
        <v>110292</v>
      </c>
      <c r="BQ46" t="s">
        <v>153</v>
      </c>
      <c r="BR46" t="str">
        <f>"CPA Fondeo Renta4 USD a OZ CAMBIO " &amp;BL24&amp;" USD T/C "&amp;BK24</f>
        <v>CPA Fondeo Renta4 USD a OZ CAMBIO 0 USD T/C 949</v>
      </c>
      <c r="BS46" s="3">
        <f>+BJ24</f>
        <v>0</v>
      </c>
      <c r="BT46" s="10"/>
      <c r="BY46" s="2"/>
      <c r="CD46" s="15">
        <v>45466</v>
      </c>
      <c r="CE46">
        <v>110205</v>
      </c>
      <c r="CF46" t="s">
        <v>154</v>
      </c>
      <c r="CG46" t="str">
        <f>"CPA Fondeo MBI USD a BICE USD " &amp;CA24&amp;" USD T/C "&amp;BZ24</f>
        <v>CPA Fondeo MBI USD a BICE USD 0 USD T/C 0</v>
      </c>
      <c r="CH46" s="3">
        <f>+CB24</f>
        <v>0</v>
      </c>
      <c r="CI46" s="10"/>
    </row>
    <row r="47" spans="2:87" x14ac:dyDescent="0.25">
      <c r="E47" s="11"/>
      <c r="F47" s="12">
        <v>110208</v>
      </c>
      <c r="G47" s="12" t="s">
        <v>46</v>
      </c>
      <c r="H47" s="12" t="str">
        <f t="shared" ref="H47" si="88">H46</f>
        <v xml:space="preserve">CPA Traspaso de Fondos Bco. BCI 648 a Renta4 </v>
      </c>
      <c r="I47" s="13"/>
      <c r="J47" s="18">
        <f>I46</f>
        <v>473650000</v>
      </c>
      <c r="T47" s="11"/>
      <c r="U47" s="12">
        <v>110322</v>
      </c>
      <c r="V47" s="12" t="s">
        <v>178</v>
      </c>
      <c r="W47" s="12" t="str">
        <f>+W46</f>
        <v>CPA Compra Divisas 0 T/C 0</v>
      </c>
      <c r="X47" s="13"/>
      <c r="Y47" s="18">
        <f t="shared" ref="Y47" si="89">+X46</f>
        <v>0</v>
      </c>
      <c r="AE47" s="2"/>
      <c r="AJ47" s="11"/>
      <c r="AK47" s="12">
        <v>110323</v>
      </c>
      <c r="AL47" s="12" t="s">
        <v>179</v>
      </c>
      <c r="AM47" s="12" t="str">
        <f>+AM46</f>
        <v>CPA Fondeo Renta4 USD a NIUM 650k USD T/C 949</v>
      </c>
      <c r="AN47" s="13"/>
      <c r="AO47" s="18">
        <f t="shared" si="8"/>
        <v>616850000</v>
      </c>
      <c r="AU47" s="2"/>
      <c r="AZ47" s="11"/>
      <c r="BA47" s="12">
        <v>110323</v>
      </c>
      <c r="BB47" s="12" t="s">
        <v>179</v>
      </c>
      <c r="BC47" s="12" t="str">
        <f>+BC46</f>
        <v>CPA Fondeo Renta4 USD a JPM COL 0 USD T/C 949</v>
      </c>
      <c r="BD47" s="13"/>
      <c r="BE47" s="18">
        <f t="shared" si="9"/>
        <v>0</v>
      </c>
      <c r="BJ47" s="2"/>
      <c r="BO47" s="11"/>
      <c r="BP47" s="12">
        <v>110323</v>
      </c>
      <c r="BQ47" s="12" t="s">
        <v>179</v>
      </c>
      <c r="BR47" s="12" t="str">
        <f>+BR46</f>
        <v>CPA Fondeo Renta4 USD a OZ CAMBIO 0 USD T/C 949</v>
      </c>
      <c r="BS47" s="13"/>
      <c r="BT47" s="18">
        <f t="shared" ref="BT47" si="90">+BS46</f>
        <v>0</v>
      </c>
      <c r="BY47" s="2"/>
      <c r="CD47" s="11"/>
      <c r="CE47" s="12">
        <v>110296</v>
      </c>
      <c r="CF47" s="12" t="s">
        <v>123</v>
      </c>
      <c r="CG47" s="12" t="str">
        <f>+CG46</f>
        <v>CPA Fondeo MBI USD a BICE USD 0 USD T/C 0</v>
      </c>
      <c r="CH47" s="13"/>
      <c r="CI47" s="18">
        <f t="shared" ref="CI47" si="91">+CH46</f>
        <v>0</v>
      </c>
    </row>
    <row r="48" spans="2:87" x14ac:dyDescent="0.25">
      <c r="E48" s="15">
        <v>45467</v>
      </c>
      <c r="F48" s="8">
        <v>110322</v>
      </c>
      <c r="G48" s="8" t="s">
        <v>178</v>
      </c>
      <c r="H48" s="8" t="str">
        <f>"CPA Traspaso de Fondos Bco. BCI 648 a Renta4 "</f>
        <v xml:space="preserve">CPA Traspaso de Fondos Bco. BCI 648 a Renta4 </v>
      </c>
      <c r="I48" s="16">
        <f>+B25</f>
        <v>474350000</v>
      </c>
      <c r="J48" s="17"/>
      <c r="T48" s="15">
        <v>45467</v>
      </c>
      <c r="U48">
        <v>110323</v>
      </c>
      <c r="V48" t="s">
        <v>179</v>
      </c>
      <c r="W48" t="str">
        <f>"CPA Compra Divisas " &amp;Q25&amp;" T/C "&amp;P25</f>
        <v>CPA Compra Divisas 0 T/C 0</v>
      </c>
      <c r="X48" s="3">
        <f>+O25</f>
        <v>0</v>
      </c>
      <c r="Y48" s="10"/>
      <c r="AE48" s="2"/>
      <c r="AJ48" s="15">
        <v>45467</v>
      </c>
      <c r="AK48" s="8">
        <v>110275</v>
      </c>
      <c r="AL48" t="s">
        <v>82</v>
      </c>
      <c r="AM48" t="str">
        <f>"CPA Fondeo Renta4 USD a NIUM " &amp;AG25&amp;" USD T/C "&amp;AF25</f>
        <v>CPA Fondeo Renta4 USD a NIUM 600k USD T/C 948,2</v>
      </c>
      <c r="AN48" s="3">
        <f>+AH25</f>
        <v>568920000</v>
      </c>
      <c r="AO48" s="10"/>
      <c r="AU48" s="2"/>
      <c r="AZ48" s="15">
        <v>45467</v>
      </c>
      <c r="BA48">
        <v>110820</v>
      </c>
      <c r="BB48" t="s">
        <v>92</v>
      </c>
      <c r="BC48" t="str">
        <f>"CPA Fondeo Renta4 USD a JPM COL " &amp;AW25&amp;" USD T/C "&amp;AV25</f>
        <v>CPA Fondeo Renta4 USD a JPM COL 0 USD T/C 948,2</v>
      </c>
      <c r="BD48" s="3">
        <f>+AX25</f>
        <v>0</v>
      </c>
      <c r="BE48" s="10"/>
      <c r="BJ48" s="2"/>
      <c r="BO48" s="15">
        <v>45467</v>
      </c>
      <c r="BP48">
        <v>110292</v>
      </c>
      <c r="BQ48" t="s">
        <v>153</v>
      </c>
      <c r="BR48" t="str">
        <f>"CPA Fondeo Renta4 USD a OZ CAMBIO " &amp;BL25&amp;" USD T/C "&amp;BK25</f>
        <v>CPA Fondeo Renta4 USD a OZ CAMBIO 0 USD T/C 948,2</v>
      </c>
      <c r="BS48" s="3">
        <f>+BJ25</f>
        <v>0</v>
      </c>
      <c r="BT48" s="10"/>
      <c r="BY48" s="2"/>
      <c r="CD48" s="15">
        <v>45467</v>
      </c>
      <c r="CE48">
        <v>110205</v>
      </c>
      <c r="CF48" t="s">
        <v>154</v>
      </c>
      <c r="CG48" t="str">
        <f>"CPA Fondeo MBI USD a BICE USD " &amp;CA25&amp;" USD T/C "&amp;BZ25</f>
        <v>CPA Fondeo MBI USD a BICE USD 0 USD T/C 0</v>
      </c>
      <c r="CH48" s="3">
        <f>+CB25</f>
        <v>0</v>
      </c>
      <c r="CI48" s="10"/>
    </row>
    <row r="49" spans="5:87" x14ac:dyDescent="0.25">
      <c r="E49" s="11"/>
      <c r="F49" s="12">
        <v>110208</v>
      </c>
      <c r="G49" s="12" t="s">
        <v>46</v>
      </c>
      <c r="H49" s="12" t="str">
        <f t="shared" ref="H49" si="92">H48</f>
        <v xml:space="preserve">CPA Traspaso de Fondos Bco. BCI 648 a Renta4 </v>
      </c>
      <c r="I49" s="13"/>
      <c r="J49" s="18">
        <f>I48</f>
        <v>474350000</v>
      </c>
      <c r="T49" s="11"/>
      <c r="U49" s="12">
        <v>110322</v>
      </c>
      <c r="V49" s="12" t="s">
        <v>178</v>
      </c>
      <c r="W49" s="12" t="str">
        <f>+W48</f>
        <v>CPA Compra Divisas 0 T/C 0</v>
      </c>
      <c r="X49" s="13"/>
      <c r="Y49" s="18">
        <f t="shared" ref="Y49" si="93">+X48</f>
        <v>0</v>
      </c>
      <c r="AE49" s="2"/>
      <c r="AJ49" s="11"/>
      <c r="AK49" s="12">
        <v>110323</v>
      </c>
      <c r="AL49" s="12" t="s">
        <v>179</v>
      </c>
      <c r="AM49" s="12" t="str">
        <f>+AM48</f>
        <v>CPA Fondeo Renta4 USD a NIUM 600k USD T/C 948,2</v>
      </c>
      <c r="AN49" s="13"/>
      <c r="AO49" s="18">
        <f t="shared" si="8"/>
        <v>568920000</v>
      </c>
      <c r="AU49" s="2"/>
      <c r="AZ49" s="11"/>
      <c r="BA49" s="12">
        <v>110323</v>
      </c>
      <c r="BB49" s="12" t="s">
        <v>179</v>
      </c>
      <c r="BC49" s="12" t="str">
        <f>+BC48</f>
        <v>CPA Fondeo Renta4 USD a JPM COL 0 USD T/C 948,2</v>
      </c>
      <c r="BD49" s="13"/>
      <c r="BE49" s="18">
        <f t="shared" si="9"/>
        <v>0</v>
      </c>
      <c r="BJ49" s="2"/>
      <c r="BO49" s="11"/>
      <c r="BP49" s="12">
        <v>110323</v>
      </c>
      <c r="BQ49" s="12" t="s">
        <v>179</v>
      </c>
      <c r="BR49" s="12" t="str">
        <f>+BR48</f>
        <v>CPA Fondeo Renta4 USD a OZ CAMBIO 0 USD T/C 948,2</v>
      </c>
      <c r="BS49" s="13"/>
      <c r="BT49" s="18">
        <f t="shared" ref="BT49" si="94">+BS48</f>
        <v>0</v>
      </c>
      <c r="BY49" s="2"/>
      <c r="CD49" s="11"/>
      <c r="CE49" s="12">
        <v>110296</v>
      </c>
      <c r="CF49" s="12" t="s">
        <v>123</v>
      </c>
      <c r="CG49" s="12" t="str">
        <f>+CG48</f>
        <v>CPA Fondeo MBI USD a BICE USD 0 USD T/C 0</v>
      </c>
      <c r="CH49" s="13"/>
      <c r="CI49" s="18">
        <f t="shared" ref="CI49" si="95">+CH48</f>
        <v>0</v>
      </c>
    </row>
    <row r="50" spans="5:87" x14ac:dyDescent="0.25">
      <c r="E50" s="15">
        <v>45468</v>
      </c>
      <c r="F50" s="8">
        <v>110322</v>
      </c>
      <c r="G50" s="8" t="s">
        <v>178</v>
      </c>
      <c r="H50" s="8" t="str">
        <f>"CPA Traspaso de Fondos Bco. BCI 648 a Renta4 "</f>
        <v xml:space="preserve">CPA Traspaso de Fondos Bco. BCI 648 a Renta4 </v>
      </c>
      <c r="I50" s="16">
        <f>+B26</f>
        <v>475300000</v>
      </c>
      <c r="J50" s="17"/>
      <c r="T50" s="15">
        <v>45468</v>
      </c>
      <c r="U50">
        <v>110323</v>
      </c>
      <c r="V50" t="s">
        <v>179</v>
      </c>
      <c r="W50" t="str">
        <f>"CPA Compra Divisas " &amp;Q26&amp;" T/C "&amp;P26</f>
        <v>CPA Compra Divisas 0 T/C 0</v>
      </c>
      <c r="X50" s="3">
        <f>+O26</f>
        <v>0</v>
      </c>
      <c r="Y50" s="10"/>
      <c r="AE50" s="2"/>
      <c r="AJ50" s="15">
        <v>45468</v>
      </c>
      <c r="AK50" s="8">
        <v>110275</v>
      </c>
      <c r="AL50" t="s">
        <v>82</v>
      </c>
      <c r="AM50" t="str">
        <f>"CPA Fondeo Renta4 USD a NIUM " &amp;AG26&amp;" USD T/C "&amp;AF26</f>
        <v>CPA Fondeo Renta4 USD a NIUM 500K USD T/C 945,29</v>
      </c>
      <c r="AN50" s="3">
        <f>+AH26</f>
        <v>472645000</v>
      </c>
      <c r="AO50" s="10"/>
      <c r="AU50" s="2"/>
      <c r="AZ50" s="15">
        <v>45468</v>
      </c>
      <c r="BA50">
        <v>110820</v>
      </c>
      <c r="BB50" t="s">
        <v>92</v>
      </c>
      <c r="BC50" t="str">
        <f>"CPA Fondeo Renta4 USD a JPM COL " &amp;AW26&amp;" USD T/C "&amp;AV26</f>
        <v>CPA Fondeo Renta4 USD a JPM COL 0 USD T/C 945,29</v>
      </c>
      <c r="BD50" s="3">
        <f>+AX26</f>
        <v>0</v>
      </c>
      <c r="BE50" s="10"/>
      <c r="BJ50" s="2"/>
      <c r="BO50" s="15">
        <v>45468</v>
      </c>
      <c r="BP50">
        <v>110292</v>
      </c>
      <c r="BQ50" t="s">
        <v>153</v>
      </c>
      <c r="BR50" t="str">
        <f>"CPA Fondeo Renta4 USD a OZ CAMBIO " &amp;BL26&amp;" USD T/C "&amp;BK26</f>
        <v>CPA Fondeo Renta4 USD a OZ CAMBIO 0 USD T/C 945,29</v>
      </c>
      <c r="BS50" s="3">
        <f>+BJ26</f>
        <v>0</v>
      </c>
      <c r="BT50" s="10"/>
      <c r="BY50" s="2"/>
      <c r="CD50" s="15">
        <v>45468</v>
      </c>
      <c r="CE50">
        <v>110205</v>
      </c>
      <c r="CF50" t="s">
        <v>154</v>
      </c>
      <c r="CG50" t="str">
        <f>"CPA Fondeo MBI USD a BICE USD " &amp;CA26&amp;" USD T/C "&amp;BZ26</f>
        <v>CPA Fondeo MBI USD a BICE USD 0 USD T/C 0</v>
      </c>
      <c r="CH50" s="3">
        <f>+CB26</f>
        <v>0</v>
      </c>
      <c r="CI50" s="10"/>
    </row>
    <row r="51" spans="5:87" x14ac:dyDescent="0.25">
      <c r="E51" s="11"/>
      <c r="F51" s="12">
        <v>110208</v>
      </c>
      <c r="G51" s="12" t="s">
        <v>46</v>
      </c>
      <c r="H51" s="12" t="str">
        <f t="shared" ref="H51" si="96">H50</f>
        <v xml:space="preserve">CPA Traspaso de Fondos Bco. BCI 648 a Renta4 </v>
      </c>
      <c r="I51" s="13"/>
      <c r="J51" s="18">
        <f>I50</f>
        <v>475300000</v>
      </c>
      <c r="T51" s="11"/>
      <c r="U51" s="12">
        <v>110322</v>
      </c>
      <c r="V51" s="12" t="s">
        <v>178</v>
      </c>
      <c r="W51" s="12" t="str">
        <f>+W50</f>
        <v>CPA Compra Divisas 0 T/C 0</v>
      </c>
      <c r="X51" s="13"/>
      <c r="Y51" s="18">
        <f t="shared" ref="Y51" si="97">+X50</f>
        <v>0</v>
      </c>
      <c r="AE51" s="2"/>
      <c r="AJ51" s="11"/>
      <c r="AK51" s="12">
        <v>110323</v>
      </c>
      <c r="AL51" s="12" t="s">
        <v>179</v>
      </c>
      <c r="AM51" s="12" t="str">
        <f>+AM50</f>
        <v>CPA Fondeo Renta4 USD a NIUM 500K USD T/C 945,29</v>
      </c>
      <c r="AN51" s="13"/>
      <c r="AO51" s="18">
        <f t="shared" si="8"/>
        <v>472645000</v>
      </c>
      <c r="AU51" s="2"/>
      <c r="AZ51" s="11"/>
      <c r="BA51" s="12">
        <v>110323</v>
      </c>
      <c r="BB51" s="12" t="s">
        <v>179</v>
      </c>
      <c r="BC51" s="12" t="str">
        <f>+BC50</f>
        <v>CPA Fondeo Renta4 USD a JPM COL 0 USD T/C 945,29</v>
      </c>
      <c r="BD51" s="13"/>
      <c r="BE51" s="18">
        <f t="shared" si="9"/>
        <v>0</v>
      </c>
      <c r="BJ51" s="2"/>
      <c r="BO51" s="11"/>
      <c r="BP51" s="12">
        <v>110323</v>
      </c>
      <c r="BQ51" s="12" t="s">
        <v>179</v>
      </c>
      <c r="BR51" s="12" t="str">
        <f>+BR50</f>
        <v>CPA Fondeo Renta4 USD a OZ CAMBIO 0 USD T/C 945,29</v>
      </c>
      <c r="BS51" s="13"/>
      <c r="BT51" s="18">
        <f t="shared" ref="BT51" si="98">+BS50</f>
        <v>0</v>
      </c>
      <c r="BY51" s="2"/>
      <c r="CD51" s="11"/>
      <c r="CE51" s="12">
        <v>110296</v>
      </c>
      <c r="CF51" s="12" t="s">
        <v>123</v>
      </c>
      <c r="CG51" s="12" t="str">
        <f>+CG50</f>
        <v>CPA Fondeo MBI USD a BICE USD 0 USD T/C 0</v>
      </c>
      <c r="CH51" s="13"/>
      <c r="CI51" s="18">
        <f t="shared" ref="CI51" si="99">+CH50</f>
        <v>0</v>
      </c>
    </row>
    <row r="52" spans="5:87" x14ac:dyDescent="0.25">
      <c r="E52" s="15">
        <v>45469</v>
      </c>
      <c r="F52" s="8">
        <v>110322</v>
      </c>
      <c r="G52" s="8" t="s">
        <v>178</v>
      </c>
      <c r="H52" s="8" t="str">
        <f>"CPA Traspaso de Fondos Bco. BCI 648 a Renta4 "</f>
        <v xml:space="preserve">CPA Traspaso de Fondos Bco. BCI 648 a Renta4 </v>
      </c>
      <c r="I52" s="16" t="str">
        <f>+B27</f>
        <v>-</v>
      </c>
      <c r="J52" s="17"/>
      <c r="T52" s="15">
        <v>45469</v>
      </c>
      <c r="U52">
        <v>110323</v>
      </c>
      <c r="V52" t="s">
        <v>179</v>
      </c>
      <c r="W52" t="str">
        <f>"CPA Compra Divisas " &amp;Q27&amp;" T/C "&amp;P27</f>
        <v>CPA Compra Divisas 0 T/C 0</v>
      </c>
      <c r="X52" s="3">
        <f>+O27</f>
        <v>0</v>
      </c>
      <c r="Y52" s="10"/>
      <c r="AE52" s="2"/>
      <c r="AJ52" s="15">
        <v>45469</v>
      </c>
      <c r="AK52" s="8">
        <v>110275</v>
      </c>
      <c r="AL52" t="s">
        <v>82</v>
      </c>
      <c r="AM52" t="str">
        <f>"CPA Fondeo Renta4 USD a NIUM " &amp;AG27&amp;" USD T/C "&amp;AF27</f>
        <v>CPA Fondeo Renta4 USD a NIUM 0 USD T/C 945,29</v>
      </c>
      <c r="AN52" s="3">
        <f>+AH27</f>
        <v>0</v>
      </c>
      <c r="AO52" s="10"/>
      <c r="AU52" s="2"/>
      <c r="AZ52" s="15">
        <v>45469</v>
      </c>
      <c r="BA52">
        <v>110820</v>
      </c>
      <c r="BB52" t="s">
        <v>92</v>
      </c>
      <c r="BC52" t="str">
        <f>"CPA Fondeo Renta4 USD a JPM COL " &amp;AW27&amp;" USD T/C "&amp;AV27</f>
        <v>CPA Fondeo Renta4 USD a JPM COL 0 USD T/C 945,29</v>
      </c>
      <c r="BD52" s="3">
        <f>+AX27</f>
        <v>0</v>
      </c>
      <c r="BE52" s="10"/>
      <c r="BJ52" s="2"/>
      <c r="BO52" s="15">
        <v>45469</v>
      </c>
      <c r="BP52">
        <v>110292</v>
      </c>
      <c r="BQ52" t="s">
        <v>153</v>
      </c>
      <c r="BR52" t="str">
        <f>"CPA Fondeo Renta4 USD a OZ CAMBIO " &amp;BL27&amp;" USD T/C "&amp;BK27</f>
        <v>CPA Fondeo Renta4 USD a OZ CAMBIO 0 USD T/C 945,29</v>
      </c>
      <c r="BS52" s="3">
        <f>+BJ27</f>
        <v>0</v>
      </c>
      <c r="BT52" s="10"/>
      <c r="BY52" s="2"/>
      <c r="CD52" s="15">
        <v>45469</v>
      </c>
      <c r="CE52">
        <v>110205</v>
      </c>
      <c r="CF52" t="s">
        <v>154</v>
      </c>
      <c r="CG52" t="str">
        <f>"CPA Fondeo MBI USD a BICE USD " &amp;CA27&amp;" USD T/C "&amp;BZ27</f>
        <v>CPA Fondeo MBI USD a BICE USD 0 USD T/C 0</v>
      </c>
      <c r="CH52" s="3">
        <f>+CB27</f>
        <v>0</v>
      </c>
      <c r="CI52" s="10"/>
    </row>
    <row r="53" spans="5:87" x14ac:dyDescent="0.25">
      <c r="E53" s="11"/>
      <c r="F53" s="12">
        <v>110208</v>
      </c>
      <c r="G53" s="12" t="s">
        <v>46</v>
      </c>
      <c r="H53" s="12" t="str">
        <f t="shared" ref="H53" si="100">H52</f>
        <v xml:space="preserve">CPA Traspaso de Fondos Bco. BCI 648 a Renta4 </v>
      </c>
      <c r="I53" s="13"/>
      <c r="J53" s="18" t="str">
        <f>I52</f>
        <v>-</v>
      </c>
      <c r="T53" s="11"/>
      <c r="U53" s="12">
        <v>110322</v>
      </c>
      <c r="V53" s="12" t="s">
        <v>178</v>
      </c>
      <c r="W53" s="12" t="str">
        <f>+W52</f>
        <v>CPA Compra Divisas 0 T/C 0</v>
      </c>
      <c r="X53" s="13"/>
      <c r="Y53" s="18">
        <f t="shared" ref="Y53" si="101">+X52</f>
        <v>0</v>
      </c>
      <c r="AE53" s="2"/>
      <c r="AJ53" s="11"/>
      <c r="AK53" s="12">
        <v>110323</v>
      </c>
      <c r="AL53" s="12" t="s">
        <v>179</v>
      </c>
      <c r="AM53" s="12" t="str">
        <f>+AM52</f>
        <v>CPA Fondeo Renta4 USD a NIUM 0 USD T/C 945,29</v>
      </c>
      <c r="AN53" s="13"/>
      <c r="AO53" s="18">
        <f t="shared" si="8"/>
        <v>0</v>
      </c>
      <c r="AU53" s="2"/>
      <c r="AZ53" s="11"/>
      <c r="BA53" s="12">
        <v>110323</v>
      </c>
      <c r="BB53" s="12" t="s">
        <v>179</v>
      </c>
      <c r="BC53" s="12" t="str">
        <f>+BC52</f>
        <v>CPA Fondeo Renta4 USD a JPM COL 0 USD T/C 945,29</v>
      </c>
      <c r="BD53" s="13"/>
      <c r="BE53" s="18">
        <f t="shared" si="9"/>
        <v>0</v>
      </c>
      <c r="BJ53" s="2"/>
      <c r="BO53" s="11"/>
      <c r="BP53" s="12">
        <v>110323</v>
      </c>
      <c r="BQ53" s="12" t="s">
        <v>179</v>
      </c>
      <c r="BR53" s="12" t="str">
        <f>+BR52</f>
        <v>CPA Fondeo Renta4 USD a OZ CAMBIO 0 USD T/C 945,29</v>
      </c>
      <c r="BS53" s="13"/>
      <c r="BT53" s="18">
        <f t="shared" ref="BT53" si="102">+BS52</f>
        <v>0</v>
      </c>
      <c r="BY53" s="2"/>
      <c r="CD53" s="11"/>
      <c r="CE53" s="12">
        <v>110296</v>
      </c>
      <c r="CF53" s="12" t="s">
        <v>123</v>
      </c>
      <c r="CG53" s="12" t="str">
        <f>+CG52</f>
        <v>CPA Fondeo MBI USD a BICE USD 0 USD T/C 0</v>
      </c>
      <c r="CH53" s="13"/>
      <c r="CI53" s="18">
        <f t="shared" ref="CI53" si="103">+CH52</f>
        <v>0</v>
      </c>
    </row>
    <row r="54" spans="5:87" x14ac:dyDescent="0.25">
      <c r="E54" s="15">
        <v>45470</v>
      </c>
      <c r="F54" s="8">
        <v>110322</v>
      </c>
      <c r="G54" s="8" t="s">
        <v>178</v>
      </c>
      <c r="H54" s="8" t="str">
        <f>"CPA Traspaso de Fondos Bco. BCI 648 a Renta4 "</f>
        <v xml:space="preserve">CPA Traspaso de Fondos Bco. BCI 648 a Renta4 </v>
      </c>
      <c r="I54" s="16" t="str">
        <f>+B28</f>
        <v>-</v>
      </c>
      <c r="J54" s="17"/>
      <c r="T54" s="15">
        <v>45470</v>
      </c>
      <c r="U54">
        <v>110323</v>
      </c>
      <c r="V54" t="s">
        <v>179</v>
      </c>
      <c r="W54" t="str">
        <f>"CPA Compra Divisas " &amp;Q28&amp;" T/C "&amp;P28</f>
        <v>CPA Compra Divisas 0 T/C 0</v>
      </c>
      <c r="X54" s="3">
        <f>+O28</f>
        <v>0</v>
      </c>
      <c r="Y54" s="10"/>
      <c r="AE54" s="2"/>
      <c r="AJ54" s="15">
        <v>45470</v>
      </c>
      <c r="AK54" s="8">
        <v>110275</v>
      </c>
      <c r="AL54" t="s">
        <v>82</v>
      </c>
      <c r="AM54" t="str">
        <f>"CPA Fondeo Renta4 USD a NIUM " &amp;AG28&amp;" USD T/C "&amp;AF28</f>
        <v>CPA Fondeo Renta4 USD a NIUM 0 USD T/C 945,29</v>
      </c>
      <c r="AN54" s="3">
        <f>+AH28</f>
        <v>0</v>
      </c>
      <c r="AO54" s="10"/>
      <c r="AU54" s="2"/>
      <c r="AZ54" s="15">
        <v>45470</v>
      </c>
      <c r="BA54">
        <v>110820</v>
      </c>
      <c r="BB54" t="s">
        <v>92</v>
      </c>
      <c r="BC54" t="str">
        <f>"CPA Fondeo Renta4 USD a JPM COL " &amp;AW28&amp;" USD T/C "&amp;AV28</f>
        <v>CPA Fondeo Renta4 USD a JPM COL 0 USD T/C 945,29</v>
      </c>
      <c r="BD54" s="3">
        <f>+AX28</f>
        <v>0</v>
      </c>
      <c r="BE54" s="10"/>
      <c r="BJ54" s="2"/>
      <c r="BO54" s="15">
        <v>45470</v>
      </c>
      <c r="BP54">
        <v>110292</v>
      </c>
      <c r="BQ54" t="s">
        <v>153</v>
      </c>
      <c r="BR54" t="str">
        <f>"CPA Fondeo Renta4 USD a OZ CAMBIO " &amp;BL28&amp;" USD T/C "&amp;BK28</f>
        <v>CPA Fondeo Renta4 USD a OZ CAMBIO 0 USD T/C 945,29</v>
      </c>
      <c r="BS54" s="3">
        <f>+BJ28</f>
        <v>0</v>
      </c>
      <c r="BT54" s="10"/>
      <c r="BY54" s="2"/>
      <c r="CD54" s="15">
        <v>45470</v>
      </c>
      <c r="CE54">
        <v>110205</v>
      </c>
      <c r="CF54" t="s">
        <v>154</v>
      </c>
      <c r="CG54" t="str">
        <f>"CPA Fondeo MBI USD a BICE USD " &amp;CA28&amp;" USD T/C "&amp;BZ28</f>
        <v>CPA Fondeo MBI USD a BICE USD 0 USD T/C 0</v>
      </c>
      <c r="CH54" s="3">
        <f>+CB28</f>
        <v>0</v>
      </c>
      <c r="CI54" s="10"/>
    </row>
    <row r="55" spans="5:87" x14ac:dyDescent="0.25">
      <c r="E55" s="11"/>
      <c r="F55" s="12">
        <v>110208</v>
      </c>
      <c r="G55" s="12" t="s">
        <v>46</v>
      </c>
      <c r="H55" s="12" t="str">
        <f t="shared" ref="H55" si="104">H54</f>
        <v xml:space="preserve">CPA Traspaso de Fondos Bco. BCI 648 a Renta4 </v>
      </c>
      <c r="I55" s="13"/>
      <c r="J55" s="18" t="str">
        <f>I54</f>
        <v>-</v>
      </c>
      <c r="T55" s="11"/>
      <c r="U55" s="12">
        <v>110322</v>
      </c>
      <c r="V55" s="12" t="s">
        <v>178</v>
      </c>
      <c r="W55" s="12" t="str">
        <f>+W54</f>
        <v>CPA Compra Divisas 0 T/C 0</v>
      </c>
      <c r="X55" s="13"/>
      <c r="Y55" s="18">
        <f t="shared" ref="Y55" si="105">+X54</f>
        <v>0</v>
      </c>
      <c r="AE55" s="2"/>
      <c r="AJ55" s="11"/>
      <c r="AK55" s="12">
        <v>110323</v>
      </c>
      <c r="AL55" s="12" t="s">
        <v>179</v>
      </c>
      <c r="AM55" s="12" t="str">
        <f>+AM54</f>
        <v>CPA Fondeo Renta4 USD a NIUM 0 USD T/C 945,29</v>
      </c>
      <c r="AN55" s="13"/>
      <c r="AO55" s="18">
        <f t="shared" si="8"/>
        <v>0</v>
      </c>
      <c r="AU55" s="2"/>
      <c r="AZ55" s="11"/>
      <c r="BA55" s="12">
        <v>110323</v>
      </c>
      <c r="BB55" s="12" t="s">
        <v>179</v>
      </c>
      <c r="BC55" s="12" t="str">
        <f>+BC54</f>
        <v>CPA Fondeo Renta4 USD a JPM COL 0 USD T/C 945,29</v>
      </c>
      <c r="BD55" s="13"/>
      <c r="BE55" s="18">
        <f t="shared" si="9"/>
        <v>0</v>
      </c>
      <c r="BJ55" s="2"/>
      <c r="BO55" s="11"/>
      <c r="BP55" s="12">
        <v>110323</v>
      </c>
      <c r="BQ55" s="12" t="s">
        <v>179</v>
      </c>
      <c r="BR55" s="12" t="str">
        <f>+BR54</f>
        <v>CPA Fondeo Renta4 USD a OZ CAMBIO 0 USD T/C 945,29</v>
      </c>
      <c r="BS55" s="13"/>
      <c r="BT55" s="18">
        <f t="shared" ref="BT55" si="106">+BS54</f>
        <v>0</v>
      </c>
      <c r="BY55" s="2"/>
      <c r="CD55" s="11"/>
      <c r="CE55" s="12">
        <v>110296</v>
      </c>
      <c r="CF55" s="12" t="s">
        <v>123</v>
      </c>
      <c r="CG55" s="12" t="str">
        <f>+CG54</f>
        <v>CPA Fondeo MBI USD a BICE USD 0 USD T/C 0</v>
      </c>
      <c r="CH55" s="13"/>
      <c r="CI55" s="18">
        <f t="shared" ref="CI55" si="107">+CH54</f>
        <v>0</v>
      </c>
    </row>
    <row r="56" spans="5:87" x14ac:dyDescent="0.25">
      <c r="E56" s="15">
        <v>45471</v>
      </c>
      <c r="F56" s="8">
        <v>110322</v>
      </c>
      <c r="G56" s="8" t="s">
        <v>178</v>
      </c>
      <c r="H56" s="8" t="str">
        <f>"CPA Traspaso de Fondos Bco. BCI 648 a Renta4 "</f>
        <v xml:space="preserve">CPA Traspaso de Fondos Bco. BCI 648 a Renta4 </v>
      </c>
      <c r="I56" s="16" t="str">
        <f>+B29</f>
        <v>-</v>
      </c>
      <c r="J56" s="17"/>
      <c r="T56" s="15">
        <v>45471</v>
      </c>
      <c r="U56">
        <v>110323</v>
      </c>
      <c r="V56" t="s">
        <v>179</v>
      </c>
      <c r="W56" t="str">
        <f>"CPA Compra Divisas " &amp;Q29&amp;" T/C "&amp;P29</f>
        <v>CPA Compra Divisas 0 T/C 0</v>
      </c>
      <c r="X56" s="3">
        <f>+O29</f>
        <v>0</v>
      </c>
      <c r="Y56" s="10"/>
      <c r="AE56" s="2"/>
      <c r="AJ56" s="15">
        <v>45471</v>
      </c>
      <c r="AK56" s="8">
        <v>110275</v>
      </c>
      <c r="AL56" t="s">
        <v>82</v>
      </c>
      <c r="AM56" t="str">
        <f>"CPA Fondeo Renta4 USD a NIUM " &amp;AG29&amp;" USD T/C "&amp;AF29</f>
        <v>CPA Fondeo Renta4 USD a NIUM 0 USD T/C 949,34</v>
      </c>
      <c r="AN56" s="3">
        <f>+AH29</f>
        <v>0</v>
      </c>
      <c r="AO56" s="10"/>
      <c r="AU56" s="2"/>
      <c r="AZ56" s="15">
        <v>45471</v>
      </c>
      <c r="BA56">
        <v>110820</v>
      </c>
      <c r="BB56" t="s">
        <v>92</v>
      </c>
      <c r="BC56" t="str">
        <f>"CPA Fondeo Renta4 USD a JPM COL " &amp;AW29&amp;" USD T/C "&amp;AV29</f>
        <v>CPA Fondeo Renta4 USD a JPM COL 0 USD T/C 949,34</v>
      </c>
      <c r="BD56" s="3">
        <f>+AX29</f>
        <v>0</v>
      </c>
      <c r="BE56" s="10"/>
      <c r="BJ56" s="2"/>
      <c r="BO56" s="15">
        <v>45471</v>
      </c>
      <c r="BP56">
        <v>110292</v>
      </c>
      <c r="BQ56" t="s">
        <v>153</v>
      </c>
      <c r="BR56" t="str">
        <f>"CPA Fondeo Renta4 USD a OZ CAMBIO " &amp;BL29&amp;" USD T/C "&amp;BK29</f>
        <v>CPA Fondeo Renta4 USD a OZ CAMBIO 0 USD T/C 949,34</v>
      </c>
      <c r="BS56" s="3">
        <f>+BJ29</f>
        <v>0</v>
      </c>
      <c r="BT56" s="10"/>
      <c r="BY56" s="2"/>
      <c r="CD56" s="15">
        <v>45471</v>
      </c>
      <c r="CE56">
        <v>110205</v>
      </c>
      <c r="CF56" t="s">
        <v>154</v>
      </c>
      <c r="CG56" t="str">
        <f>"CPA Fondeo MBI USD a BICE USD " &amp;CA29&amp;" USD T/C "&amp;BZ29</f>
        <v>CPA Fondeo MBI USD a BICE USD 0 USD T/C 0</v>
      </c>
      <c r="CH56" s="3">
        <f>+CB29</f>
        <v>0</v>
      </c>
      <c r="CI56" s="10"/>
    </row>
    <row r="57" spans="5:87" x14ac:dyDescent="0.25">
      <c r="E57" s="11"/>
      <c r="F57" s="12">
        <v>110208</v>
      </c>
      <c r="G57" s="12" t="s">
        <v>46</v>
      </c>
      <c r="H57" s="12" t="str">
        <f t="shared" ref="H57" si="108">H56</f>
        <v xml:space="preserve">CPA Traspaso de Fondos Bco. BCI 648 a Renta4 </v>
      </c>
      <c r="I57" s="13"/>
      <c r="J57" s="18" t="str">
        <f>I56</f>
        <v>-</v>
      </c>
      <c r="T57" s="11"/>
      <c r="U57" s="12">
        <v>110322</v>
      </c>
      <c r="V57" s="12" t="s">
        <v>178</v>
      </c>
      <c r="W57" s="12" t="str">
        <f>+W56</f>
        <v>CPA Compra Divisas 0 T/C 0</v>
      </c>
      <c r="X57" s="13"/>
      <c r="Y57" s="18">
        <f t="shared" ref="Y57" si="109">+X56</f>
        <v>0</v>
      </c>
      <c r="AE57" s="2"/>
      <c r="AJ57" s="11"/>
      <c r="AK57" s="12">
        <v>110323</v>
      </c>
      <c r="AL57" s="12" t="s">
        <v>179</v>
      </c>
      <c r="AM57" s="12" t="str">
        <f>+AM56</f>
        <v>CPA Fondeo Renta4 USD a NIUM 0 USD T/C 949,34</v>
      </c>
      <c r="AN57" s="13"/>
      <c r="AO57" s="18">
        <f t="shared" si="8"/>
        <v>0</v>
      </c>
      <c r="AU57" s="2"/>
      <c r="AZ57" s="11"/>
      <c r="BA57" s="12">
        <v>110323</v>
      </c>
      <c r="BB57" s="12" t="s">
        <v>179</v>
      </c>
      <c r="BC57" s="12" t="str">
        <f>+BC56</f>
        <v>CPA Fondeo Renta4 USD a JPM COL 0 USD T/C 949,34</v>
      </c>
      <c r="BD57" s="13"/>
      <c r="BE57" s="18">
        <f t="shared" si="9"/>
        <v>0</v>
      </c>
      <c r="BJ57" s="2"/>
      <c r="BO57" s="11"/>
      <c r="BP57" s="12">
        <v>110323</v>
      </c>
      <c r="BQ57" s="12" t="s">
        <v>179</v>
      </c>
      <c r="BR57" s="12" t="str">
        <f>+BR56</f>
        <v>CPA Fondeo Renta4 USD a OZ CAMBIO 0 USD T/C 949,34</v>
      </c>
      <c r="BS57" s="13"/>
      <c r="BT57" s="18">
        <f t="shared" ref="BT57" si="110">+BS56</f>
        <v>0</v>
      </c>
      <c r="BY57" s="2"/>
      <c r="CD57" s="11"/>
      <c r="CE57" s="12">
        <v>110296</v>
      </c>
      <c r="CF57" s="12" t="s">
        <v>123</v>
      </c>
      <c r="CG57" s="12" t="str">
        <f>+CG56</f>
        <v>CPA Fondeo MBI USD a BICE USD 0 USD T/C 0</v>
      </c>
      <c r="CH57" s="13"/>
      <c r="CI57" s="18">
        <f t="shared" ref="CI57" si="111">+CH56</f>
        <v>0</v>
      </c>
    </row>
    <row r="58" spans="5:87" x14ac:dyDescent="0.25">
      <c r="E58" s="15">
        <v>45472</v>
      </c>
      <c r="F58" s="8">
        <v>110322</v>
      </c>
      <c r="G58" s="8" t="s">
        <v>178</v>
      </c>
      <c r="H58" s="8" t="str">
        <f>"CPA Traspaso de Fondos Bco. BCI 648 a Renta4 "</f>
        <v xml:space="preserve">CPA Traspaso de Fondos Bco. BCI 648 a Renta4 </v>
      </c>
      <c r="I58" s="16" t="str">
        <f>+B30</f>
        <v>-</v>
      </c>
      <c r="J58" s="17"/>
      <c r="T58" s="15">
        <v>45472</v>
      </c>
      <c r="U58">
        <v>110323</v>
      </c>
      <c r="V58" t="s">
        <v>179</v>
      </c>
      <c r="W58" t="str">
        <f>"CPA Compra Divisas " &amp;Q30&amp;" T/C "&amp;P30</f>
        <v>CPA Compra Divisas 0 T/C 0</v>
      </c>
      <c r="X58" s="3">
        <f>+O30</f>
        <v>0</v>
      </c>
      <c r="Y58" s="10"/>
      <c r="AJ58" s="15">
        <v>45472</v>
      </c>
      <c r="AK58" s="8">
        <v>110275</v>
      </c>
      <c r="AL58" t="s">
        <v>82</v>
      </c>
      <c r="AM58" t="str">
        <f>"CPA Fondeo Renta4 USD a NIUM " &amp;AG30&amp;" USD T/C "&amp;AF30</f>
        <v>CPA Fondeo Renta4 USD a NIUM 0 USD T/C 945,88</v>
      </c>
      <c r="AN58" s="3">
        <f>+AH30</f>
        <v>0</v>
      </c>
      <c r="AO58" s="10"/>
      <c r="AZ58" s="15">
        <v>45472</v>
      </c>
      <c r="BA58">
        <v>110820</v>
      </c>
      <c r="BB58" t="s">
        <v>92</v>
      </c>
      <c r="BC58" t="str">
        <f>"CPA Fondeo Renta4 USD a JPM COL " &amp;AW30&amp;" USD T/C "&amp;AV30</f>
        <v>CPA Fondeo Renta4 USD a JPM COL 0 USD T/C 945,88</v>
      </c>
      <c r="BD58" s="3">
        <f>+AX30</f>
        <v>0</v>
      </c>
      <c r="BE58" s="10"/>
      <c r="BO58" s="15">
        <v>45472</v>
      </c>
      <c r="BP58">
        <v>110292</v>
      </c>
      <c r="BQ58" t="s">
        <v>153</v>
      </c>
      <c r="BR58" t="str">
        <f>"CPA Fondeo Renta4 USD a OZ CAMBIO " &amp;BL30&amp;" USD T/C "&amp;BK30</f>
        <v>CPA Fondeo Renta4 USD a OZ CAMBIO 0 USD T/C 945,88</v>
      </c>
      <c r="BS58" s="3">
        <f>+BJ30</f>
        <v>0</v>
      </c>
      <c r="BT58" s="10"/>
      <c r="CD58" s="15">
        <v>45472</v>
      </c>
      <c r="CE58">
        <v>110205</v>
      </c>
      <c r="CF58" t="s">
        <v>154</v>
      </c>
      <c r="CG58" t="str">
        <f>"CPA Fondeo MBI USD a BICE USD " &amp;CA30&amp;" USD T/C "&amp;BZ30</f>
        <v>CPA Fondeo MBI USD a BICE USD 0 USD T/C 0</v>
      </c>
      <c r="CH58" s="3">
        <f>+CB30</f>
        <v>0</v>
      </c>
      <c r="CI58" s="10"/>
    </row>
    <row r="59" spans="5:87" x14ac:dyDescent="0.25">
      <c r="E59" s="11"/>
      <c r="F59" s="12">
        <v>110208</v>
      </c>
      <c r="G59" s="12" t="s">
        <v>46</v>
      </c>
      <c r="H59" s="12" t="str">
        <f t="shared" ref="H59" si="112">H58</f>
        <v xml:space="preserve">CPA Traspaso de Fondos Bco. BCI 648 a Renta4 </v>
      </c>
      <c r="I59" s="13"/>
      <c r="J59" s="18" t="str">
        <f>I58</f>
        <v>-</v>
      </c>
      <c r="T59" s="11"/>
      <c r="U59" s="12">
        <v>110322</v>
      </c>
      <c r="V59" s="12" t="s">
        <v>178</v>
      </c>
      <c r="W59" s="12" t="str">
        <f>+W58</f>
        <v>CPA Compra Divisas 0 T/C 0</v>
      </c>
      <c r="X59" s="13"/>
      <c r="Y59" s="18">
        <f t="shared" ref="Y59" si="113">+X58</f>
        <v>0</v>
      </c>
      <c r="AJ59" s="11"/>
      <c r="AK59" s="12">
        <v>110323</v>
      </c>
      <c r="AL59" s="12" t="s">
        <v>179</v>
      </c>
      <c r="AM59" s="12" t="str">
        <f>+AM58</f>
        <v>CPA Fondeo Renta4 USD a NIUM 0 USD T/C 945,88</v>
      </c>
      <c r="AN59" s="13"/>
      <c r="AO59" s="18">
        <f t="shared" si="8"/>
        <v>0</v>
      </c>
      <c r="AZ59" s="11"/>
      <c r="BA59" s="12">
        <v>110323</v>
      </c>
      <c r="BB59" s="12" t="s">
        <v>179</v>
      </c>
      <c r="BC59" s="12" t="str">
        <f>+BC58</f>
        <v>CPA Fondeo Renta4 USD a JPM COL 0 USD T/C 945,88</v>
      </c>
      <c r="BD59" s="13"/>
      <c r="BE59" s="18">
        <f t="shared" si="9"/>
        <v>0</v>
      </c>
      <c r="BO59" s="11"/>
      <c r="BP59" s="12">
        <v>110323</v>
      </c>
      <c r="BQ59" s="12" t="s">
        <v>179</v>
      </c>
      <c r="BR59" s="12" t="str">
        <f>+BR58</f>
        <v>CPA Fondeo Renta4 USD a OZ CAMBIO 0 USD T/C 945,88</v>
      </c>
      <c r="BS59" s="13"/>
      <c r="BT59" s="18">
        <f t="shared" ref="BT59" si="114">+BS58</f>
        <v>0</v>
      </c>
      <c r="CD59" s="11"/>
      <c r="CE59" s="12">
        <v>110296</v>
      </c>
      <c r="CF59" s="12" t="s">
        <v>123</v>
      </c>
      <c r="CG59" s="12" t="str">
        <f>+CG58</f>
        <v>CPA Fondeo MBI USD a BICE USD 0 USD T/C 0</v>
      </c>
      <c r="CH59" s="13"/>
      <c r="CI59" s="18">
        <f t="shared" ref="CI59" si="115">+CH58</f>
        <v>0</v>
      </c>
    </row>
    <row r="60" spans="5:87" x14ac:dyDescent="0.25">
      <c r="E60" s="15">
        <v>45473</v>
      </c>
      <c r="F60" s="8">
        <v>110322</v>
      </c>
      <c r="G60" s="8" t="s">
        <v>178</v>
      </c>
      <c r="H60" s="8" t="str">
        <f>"CPA Traspaso de Fondos Bco. BCI 648 a Renta4 "</f>
        <v xml:space="preserve">CPA Traspaso de Fondos Bco. BCI 648 a Renta4 </v>
      </c>
      <c r="I60" s="16">
        <f>+B31</f>
        <v>479650000</v>
      </c>
      <c r="J60" s="17"/>
      <c r="T60" s="15">
        <v>45473</v>
      </c>
      <c r="U60">
        <v>110323</v>
      </c>
      <c r="V60" t="s">
        <v>179</v>
      </c>
      <c r="W60" t="str">
        <f>"CPA Compra Divisas " &amp;Q31&amp;" T/C "&amp;P31</f>
        <v>CPA Compra Divisas 0 T/C 0</v>
      </c>
      <c r="X60" s="3">
        <f>+O31</f>
        <v>0</v>
      </c>
      <c r="Y60" s="10"/>
      <c r="AJ60" s="15">
        <v>45473</v>
      </c>
      <c r="AK60" s="8">
        <v>110275</v>
      </c>
      <c r="AL60" t="s">
        <v>82</v>
      </c>
      <c r="AM60" t="str">
        <f>"CPA Fondeo Renta4 USD a NIUM " &amp;AG31&amp;" USD T/C "&amp;AF31</f>
        <v>CPA Fondeo Renta4 USD a NIUM 600K USD T/C 950,89</v>
      </c>
      <c r="AN60" s="3">
        <f>+AH31</f>
        <v>570534000</v>
      </c>
      <c r="AO60" s="10"/>
      <c r="AZ60" s="15">
        <v>45473</v>
      </c>
      <c r="BA60">
        <v>110820</v>
      </c>
      <c r="BB60" t="s">
        <v>92</v>
      </c>
      <c r="BC60" t="str">
        <f>"CPA Fondeo Renta4 USD a JPM COL " &amp;AW31&amp;" USD T/C "&amp;AV31</f>
        <v>CPA Fondeo Renta4 USD a JPM COL 0 USD T/C 950,89</v>
      </c>
      <c r="BD60" s="3">
        <f>+AX31</f>
        <v>0</v>
      </c>
      <c r="BE60" s="10"/>
      <c r="BO60" s="15">
        <v>45473</v>
      </c>
      <c r="BP60">
        <v>110292</v>
      </c>
      <c r="BQ60" t="s">
        <v>153</v>
      </c>
      <c r="BR60" t="str">
        <f>"CPA Fondeo Renta4 USD a OZ CAMBIO " &amp;BL31&amp;" USD T/C "&amp;BK31</f>
        <v>CPA Fondeo Renta4 USD a OZ CAMBIO 0 USD T/C 950,89</v>
      </c>
      <c r="BS60" s="3">
        <f>+BJ31</f>
        <v>0</v>
      </c>
      <c r="BT60" s="10"/>
      <c r="CD60" s="15">
        <v>45473</v>
      </c>
      <c r="CE60">
        <v>110205</v>
      </c>
      <c r="CF60" t="s">
        <v>154</v>
      </c>
      <c r="CG60" t="str">
        <f>"CPA Fondeo MBI USD a BICE USD " &amp;CA31&amp;" USD T/C "&amp;BZ31</f>
        <v>CPA Fondeo MBI USD a BICE USD 0 USD T/C 0</v>
      </c>
      <c r="CH60" s="3">
        <f>+CB31</f>
        <v>0</v>
      </c>
      <c r="CI60" s="10"/>
    </row>
    <row r="61" spans="5:87" x14ac:dyDescent="0.25">
      <c r="E61" s="11"/>
      <c r="F61" s="12">
        <v>110208</v>
      </c>
      <c r="G61" s="12" t="s">
        <v>46</v>
      </c>
      <c r="H61" s="12" t="str">
        <f t="shared" ref="H61" si="116">H60</f>
        <v xml:space="preserve">CPA Traspaso de Fondos Bco. BCI 648 a Renta4 </v>
      </c>
      <c r="I61" s="13"/>
      <c r="J61" s="18">
        <f>I60</f>
        <v>479650000</v>
      </c>
      <c r="T61" s="11"/>
      <c r="U61" s="12">
        <v>110322</v>
      </c>
      <c r="V61" s="12" t="s">
        <v>178</v>
      </c>
      <c r="W61" s="12" t="str">
        <f>+W60</f>
        <v>CPA Compra Divisas 0 T/C 0</v>
      </c>
      <c r="X61" s="13"/>
      <c r="Y61" s="18">
        <f t="shared" ref="Y61" si="117">+X60</f>
        <v>0</v>
      </c>
      <c r="AJ61" s="11"/>
      <c r="AK61" s="12">
        <v>110323</v>
      </c>
      <c r="AL61" s="12" t="s">
        <v>179</v>
      </c>
      <c r="AM61" s="12" t="str">
        <f>+AM60</f>
        <v>CPA Fondeo Renta4 USD a NIUM 600K USD T/C 950,89</v>
      </c>
      <c r="AN61" s="13"/>
      <c r="AO61" s="18">
        <f t="shared" si="8"/>
        <v>570534000</v>
      </c>
      <c r="AZ61" s="11"/>
      <c r="BA61" s="12">
        <v>110323</v>
      </c>
      <c r="BB61" s="12" t="s">
        <v>179</v>
      </c>
      <c r="BC61" s="12" t="str">
        <f>+BC60</f>
        <v>CPA Fondeo Renta4 USD a JPM COL 0 USD T/C 950,89</v>
      </c>
      <c r="BD61" s="13"/>
      <c r="BE61" s="18">
        <f t="shared" si="9"/>
        <v>0</v>
      </c>
      <c r="BO61" s="11"/>
      <c r="BP61" s="12">
        <v>110323</v>
      </c>
      <c r="BQ61" s="12" t="s">
        <v>179</v>
      </c>
      <c r="BR61" s="12" t="str">
        <f>+BR60</f>
        <v>CPA Fondeo Renta4 USD a OZ CAMBIO 0 USD T/C 950,89</v>
      </c>
      <c r="BS61" s="13"/>
      <c r="BT61" s="18">
        <f t="shared" ref="BT61" si="118">+BS60</f>
        <v>0</v>
      </c>
      <c r="CD61" s="11"/>
      <c r="CE61" s="12">
        <v>110296</v>
      </c>
      <c r="CF61" s="12" t="s">
        <v>123</v>
      </c>
      <c r="CG61" s="12" t="str">
        <f>+CG60</f>
        <v>CPA Fondeo MBI USD a BICE USD 0 USD T/C 0</v>
      </c>
      <c r="CH61" s="13"/>
      <c r="CI61" s="18">
        <f t="shared" ref="CI61" si="119">+CH60</f>
        <v>0</v>
      </c>
    </row>
    <row r="62" spans="5:87" x14ac:dyDescent="0.25">
      <c r="E62" s="15" t="s">
        <v>143</v>
      </c>
      <c r="F62" s="8">
        <v>110322</v>
      </c>
      <c r="G62" s="8" t="s">
        <v>178</v>
      </c>
      <c r="H62" s="8" t="str">
        <f>"CPA Traspaso de Fondos Bco. BCI 648 a Renta4 "</f>
        <v xml:space="preserve">CPA Traspaso de Fondos Bco. BCI 648 a Renta4 </v>
      </c>
      <c r="I62" s="16" t="str">
        <f>+B32</f>
        <v>-</v>
      </c>
      <c r="J62" s="17"/>
      <c r="T62" s="15" t="s">
        <v>143</v>
      </c>
      <c r="U62">
        <v>110323</v>
      </c>
      <c r="V62" t="s">
        <v>179</v>
      </c>
      <c r="W62" t="str">
        <f>"CPA Compra Divisas " &amp;Q32&amp;" T/C "&amp;P32</f>
        <v>CPA Compra Divisas 0 T/C 0</v>
      </c>
      <c r="X62" s="3">
        <f>+O32</f>
        <v>0</v>
      </c>
      <c r="Y62" s="10"/>
      <c r="AJ62" s="15" t="s">
        <v>143</v>
      </c>
      <c r="AK62" s="8">
        <v>110275</v>
      </c>
      <c r="AL62" t="s">
        <v>82</v>
      </c>
      <c r="AM62" t="str">
        <f>"CPA Fondeo Renta4 USD a NIUM " &amp;AG32&amp;" USD T/C "&amp;AF32</f>
        <v>CPA Fondeo Renta4 USD a NIUM 0 USD T/C 950,89</v>
      </c>
      <c r="AN62" s="3">
        <f>+AH32</f>
        <v>0</v>
      </c>
      <c r="AO62" s="10"/>
      <c r="AZ62" s="15" t="s">
        <v>143</v>
      </c>
      <c r="BA62">
        <v>110820</v>
      </c>
      <c r="BB62" t="s">
        <v>92</v>
      </c>
      <c r="BC62" t="str">
        <f>"CPA Fondeo Renta4 USD a JPM COL " &amp;AW32&amp;" USD T/C "&amp;AV32</f>
        <v>CPA Fondeo Renta4 USD a JPM COL 0 USD T/C 950,89</v>
      </c>
      <c r="BD62" s="3">
        <f>+AX32</f>
        <v>0</v>
      </c>
      <c r="BE62" s="10"/>
      <c r="BO62" s="15" t="s">
        <v>143</v>
      </c>
      <c r="BP62">
        <v>110292</v>
      </c>
      <c r="BQ62" t="s">
        <v>153</v>
      </c>
      <c r="BR62" t="str">
        <f>"CPA Fondeo Renta4 USD a OZ CAMBIO " &amp;BL32&amp;" USD T/C "&amp;BK32</f>
        <v>CPA Fondeo Renta4 USD a OZ CAMBIO 0 USD T/C 950,89</v>
      </c>
      <c r="BS62" s="3">
        <f>+BJ32</f>
        <v>0</v>
      </c>
      <c r="BT62" s="10"/>
      <c r="CD62" s="15" t="s">
        <v>143</v>
      </c>
      <c r="CE62">
        <v>110205</v>
      </c>
      <c r="CF62" t="s">
        <v>154</v>
      </c>
      <c r="CG62" t="str">
        <f>"CPA Fondeo MBI USD a BICE USD " &amp;CA32&amp;" USD T/C "&amp;BZ32</f>
        <v>CPA Fondeo MBI USD a BICE USD 0 USD T/C 0</v>
      </c>
      <c r="CH62" s="3">
        <f>+CB32</f>
        <v>0</v>
      </c>
      <c r="CI62" s="10"/>
    </row>
    <row r="63" spans="5:87" x14ac:dyDescent="0.25">
      <c r="E63" s="11"/>
      <c r="F63" s="12">
        <v>110208</v>
      </c>
      <c r="G63" s="12" t="s">
        <v>46</v>
      </c>
      <c r="H63" s="12" t="str">
        <f t="shared" ref="H63" si="120">H62</f>
        <v xml:space="preserve">CPA Traspaso de Fondos Bco. BCI 648 a Renta4 </v>
      </c>
      <c r="I63" s="13"/>
      <c r="J63" s="18" t="str">
        <f>I62</f>
        <v>-</v>
      </c>
      <c r="T63" s="11"/>
      <c r="U63" s="12">
        <v>110322</v>
      </c>
      <c r="V63" s="12" t="s">
        <v>178</v>
      </c>
      <c r="W63" s="12" t="str">
        <f>+W62</f>
        <v>CPA Compra Divisas 0 T/C 0</v>
      </c>
      <c r="X63" s="13"/>
      <c r="Y63" s="18">
        <f t="shared" ref="Y63" si="121">+X62</f>
        <v>0</v>
      </c>
      <c r="AJ63" s="11"/>
      <c r="AK63" s="12">
        <v>110323</v>
      </c>
      <c r="AL63" s="12" t="s">
        <v>179</v>
      </c>
      <c r="AM63" s="12" t="str">
        <f>+AM62</f>
        <v>CPA Fondeo Renta4 USD a NIUM 0 USD T/C 950,89</v>
      </c>
      <c r="AN63" s="13"/>
      <c r="AO63" s="18">
        <f t="shared" si="8"/>
        <v>0</v>
      </c>
      <c r="AZ63" s="11"/>
      <c r="BA63" s="12">
        <v>110323</v>
      </c>
      <c r="BB63" s="12" t="s">
        <v>179</v>
      </c>
      <c r="BC63" s="12" t="str">
        <f>+BC62</f>
        <v>CPA Fondeo Renta4 USD a JPM COL 0 USD T/C 950,89</v>
      </c>
      <c r="BD63" s="13"/>
      <c r="BE63" s="18">
        <f t="shared" si="9"/>
        <v>0</v>
      </c>
      <c r="BO63" s="11"/>
      <c r="BP63" s="12">
        <v>110323</v>
      </c>
      <c r="BQ63" s="12" t="s">
        <v>179</v>
      </c>
      <c r="BR63" s="12" t="str">
        <f>+BR62</f>
        <v>CPA Fondeo Renta4 USD a OZ CAMBIO 0 USD T/C 950,89</v>
      </c>
      <c r="BS63" s="13"/>
      <c r="BT63" s="18">
        <f t="shared" ref="BT63" si="122">+BS62</f>
        <v>0</v>
      </c>
      <c r="CD63" s="11"/>
      <c r="CE63" s="12">
        <v>110296</v>
      </c>
      <c r="CF63" s="12" t="s">
        <v>123</v>
      </c>
      <c r="CG63" s="12" t="str">
        <f>+CG62</f>
        <v>CPA Fondeo MBI USD a BICE USD 0 USD T/C 0</v>
      </c>
      <c r="CH63" s="13"/>
      <c r="CI63" s="18">
        <f t="shared" ref="CI63" si="123">+CH62</f>
        <v>0</v>
      </c>
    </row>
  </sheetData>
  <autoFilter ref="BO1:BT63" xr:uid="{CC710DDF-6CDF-495F-9C93-ACC8F384AAD1}"/>
  <pageMargins left="0.7" right="0.7" top="0.75" bottom="0.75" header="0.3" footer="0.3"/>
  <pageSetup paperSize="9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9439F-E3A1-4264-8B8C-9690F30578C7}">
  <dimension ref="A1:CF74"/>
  <sheetViews>
    <sheetView showGridLines="0" tabSelected="1" topLeftCell="J1" zoomScale="110" zoomScaleNormal="110" workbookViewId="0">
      <selection activeCell="AD65" sqref="AD65"/>
    </sheetView>
  </sheetViews>
  <sheetFormatPr baseColWidth="10" defaultRowHeight="15.75" outlineLevelCol="1" x14ac:dyDescent="0.25"/>
  <cols>
    <col min="1" max="1" width="12.28515625" style="83" bestFit="1" customWidth="1" outlineLevel="1"/>
    <col min="2" max="2" width="13.5703125" style="83" customWidth="1" outlineLevel="1"/>
    <col min="3" max="3" width="11.42578125" style="83" customWidth="1" outlineLevel="1"/>
    <col min="4" max="4" width="12.28515625" style="83" bestFit="1" customWidth="1" outlineLevel="1"/>
    <col min="5" max="5" width="8.140625" style="83" bestFit="1" customWidth="1" outlineLevel="1"/>
    <col min="6" max="6" width="24.5703125" style="83" customWidth="1" outlineLevel="1"/>
    <col min="7" max="7" width="34.85546875" style="83" customWidth="1" outlineLevel="1"/>
    <col min="8" max="9" width="13.7109375" style="83" bestFit="1" customWidth="1" outlineLevel="1"/>
    <col min="10" max="10" width="12" style="83" bestFit="1" customWidth="1"/>
    <col min="11" max="11" width="11.42578125" style="83"/>
    <col min="12" max="12" width="11.5703125" style="83" hidden="1" customWidth="1" outlineLevel="1"/>
    <col min="13" max="13" width="13.5703125" style="83" hidden="1" customWidth="1" outlineLevel="1"/>
    <col min="14" max="15" width="11.42578125" style="83" hidden="1" customWidth="1" outlineLevel="1"/>
    <col min="16" max="16" width="7" style="83" hidden="1" customWidth="1" outlineLevel="1"/>
    <col min="17" max="17" width="24.5703125" style="83" hidden="1" customWidth="1" outlineLevel="1"/>
    <col min="18" max="18" width="38.140625" style="83" hidden="1" customWidth="1" outlineLevel="1"/>
    <col min="19" max="19" width="12" style="83" hidden="1" customWidth="1" outlineLevel="1"/>
    <col min="20" max="20" width="11" style="83" hidden="1" customWidth="1" outlineLevel="1"/>
    <col min="21" max="21" width="11.42578125" style="83" collapsed="1"/>
    <col min="22" max="22" width="12.28515625" style="83" bestFit="1" customWidth="1" outlineLevel="1"/>
    <col min="23" max="23" width="13.5703125" style="83" customWidth="1" outlineLevel="1"/>
    <col min="24" max="24" width="15.42578125" style="83" bestFit="1" customWidth="1" outlineLevel="1"/>
    <col min="25" max="25" width="12.28515625" style="83" customWidth="1" outlineLevel="1"/>
    <col min="26" max="26" width="12.28515625" style="83" bestFit="1" customWidth="1" outlineLevel="1"/>
    <col min="27" max="27" width="8.140625" style="83" bestFit="1" customWidth="1" outlineLevel="1"/>
    <col min="28" max="28" width="24.5703125" style="83" customWidth="1" outlineLevel="1"/>
    <col min="29" max="29" width="38.140625" style="83" customWidth="1" outlineLevel="1"/>
    <col min="30" max="31" width="13.7109375" style="83" bestFit="1" customWidth="1" outlineLevel="1"/>
    <col min="32" max="32" width="9.7109375" style="83" bestFit="1" customWidth="1"/>
    <col min="33" max="34" width="11.42578125" style="83"/>
    <col min="35" max="35" width="12.28515625" style="83" bestFit="1" customWidth="1" outlineLevel="1"/>
    <col min="36" max="37" width="14.85546875" style="83" bestFit="1" customWidth="1" outlineLevel="1"/>
    <col min="38" max="38" width="11.42578125" style="83" customWidth="1" outlineLevel="1"/>
    <col min="39" max="39" width="12.28515625" style="83" bestFit="1" customWidth="1" outlineLevel="1"/>
    <col min="40" max="40" width="8.140625" style="83" bestFit="1" customWidth="1" outlineLevel="1"/>
    <col min="41" max="41" width="24.5703125" style="83" customWidth="1" outlineLevel="1"/>
    <col min="42" max="42" width="38.140625" style="83" customWidth="1" outlineLevel="1"/>
    <col min="43" max="43" width="14" style="83" bestFit="1" customWidth="1" outlineLevel="1"/>
    <col min="44" max="44" width="13.7109375" style="83" bestFit="1" customWidth="1" outlineLevel="1"/>
    <col min="45" max="47" width="11.42578125" style="83"/>
    <col min="48" max="48" width="11.5703125" style="83" customWidth="1" outlineLevel="1"/>
    <col min="49" max="49" width="14.5703125" style="83" bestFit="1" customWidth="1" outlineLevel="1"/>
    <col min="50" max="50" width="13.5703125" style="83" customWidth="1" outlineLevel="1"/>
    <col min="51" max="51" width="11.42578125" style="83" outlineLevel="1"/>
    <col min="52" max="52" width="12.28515625" style="83" bestFit="1" customWidth="1" outlineLevel="1"/>
    <col min="53" max="53" width="8.140625" style="83" bestFit="1" customWidth="1" outlineLevel="1"/>
    <col min="54" max="54" width="24.5703125" style="83" customWidth="1" outlineLevel="1"/>
    <col min="55" max="55" width="38.140625" style="83" customWidth="1" outlineLevel="1"/>
    <col min="56" max="56" width="12.85546875" style="83" bestFit="1" customWidth="1" outlineLevel="1"/>
    <col min="57" max="57" width="12.42578125" style="83" bestFit="1" customWidth="1" outlineLevel="1"/>
    <col min="58" max="60" width="11.42578125" style="83"/>
    <col min="61" max="61" width="12.28515625" style="83" bestFit="1" customWidth="1" outlineLevel="1"/>
    <col min="62" max="63" width="13.5703125" style="83" customWidth="1" outlineLevel="1"/>
    <col min="64" max="64" width="11.42578125" style="83" outlineLevel="1"/>
    <col min="65" max="65" width="12.28515625" style="83" bestFit="1" customWidth="1" outlineLevel="1"/>
    <col min="66" max="66" width="8.140625" style="83" bestFit="1" customWidth="1" outlineLevel="1"/>
    <col min="67" max="67" width="26.42578125" style="83" bestFit="1" customWidth="1" outlineLevel="1"/>
    <col min="68" max="68" width="38.140625" style="83" customWidth="1" outlineLevel="1"/>
    <col min="69" max="69" width="12.85546875" style="83" bestFit="1" customWidth="1" outlineLevel="1"/>
    <col min="70" max="70" width="12.42578125" style="83" bestFit="1" customWidth="1" outlineLevel="1"/>
    <col min="71" max="73" width="11.42578125" style="83"/>
    <col min="74" max="74" width="11.5703125" style="83" customWidth="1" outlineLevel="1"/>
    <col min="75" max="76" width="13.5703125" style="83" customWidth="1" outlineLevel="1"/>
    <col min="77" max="77" width="11.42578125" style="83" outlineLevel="1"/>
    <col min="78" max="78" width="12.28515625" style="83" bestFit="1" customWidth="1" outlineLevel="1"/>
    <col min="79" max="79" width="8.140625" style="83" bestFit="1" customWidth="1" outlineLevel="1"/>
    <col min="80" max="80" width="24.5703125" style="83" customWidth="1" outlineLevel="1"/>
    <col min="81" max="81" width="38.140625" style="83" customWidth="1" outlineLevel="1"/>
    <col min="82" max="82" width="12.85546875" style="83" bestFit="1" customWidth="1" outlineLevel="1"/>
    <col min="83" max="83" width="12.42578125" style="83" bestFit="1" customWidth="1" outlineLevel="1"/>
    <col min="84" max="16384" width="11.42578125" style="83"/>
  </cols>
  <sheetData>
    <row r="1" spans="1:84" x14ac:dyDescent="0.25">
      <c r="A1" s="137" t="s">
        <v>0</v>
      </c>
      <c r="B1" s="137" t="s">
        <v>27</v>
      </c>
      <c r="D1" s="138" t="s">
        <v>0</v>
      </c>
      <c r="E1" s="139"/>
      <c r="F1" s="139"/>
      <c r="G1" s="139"/>
      <c r="H1" s="139" t="s">
        <v>5</v>
      </c>
      <c r="I1" s="140" t="s">
        <v>6</v>
      </c>
      <c r="J1" s="137" t="s">
        <v>64</v>
      </c>
      <c r="L1" s="137" t="s">
        <v>0</v>
      </c>
      <c r="M1" s="137" t="s">
        <v>27</v>
      </c>
      <c r="O1" s="138" t="s">
        <v>0</v>
      </c>
      <c r="P1" s="139"/>
      <c r="Q1" s="139"/>
      <c r="R1" s="139"/>
      <c r="S1" s="139" t="s">
        <v>5</v>
      </c>
      <c r="T1" s="140" t="s">
        <v>6</v>
      </c>
      <c r="V1" s="137" t="s">
        <v>0</v>
      </c>
      <c r="W1" s="137" t="s">
        <v>27</v>
      </c>
      <c r="Z1" s="138" t="s">
        <v>0</v>
      </c>
      <c r="AA1" s="139"/>
      <c r="AB1" s="139"/>
      <c r="AC1" s="139"/>
      <c r="AD1" s="139" t="s">
        <v>5</v>
      </c>
      <c r="AE1" s="140" t="s">
        <v>6</v>
      </c>
      <c r="AF1" s="83" t="s">
        <v>98</v>
      </c>
      <c r="AI1" s="137" t="s">
        <v>0</v>
      </c>
      <c r="AJ1" s="137" t="s">
        <v>27</v>
      </c>
      <c r="AK1" s="137"/>
      <c r="AM1" s="138" t="s">
        <v>0</v>
      </c>
      <c r="AN1" s="139"/>
      <c r="AO1" s="139"/>
      <c r="AP1" s="139"/>
      <c r="AQ1" s="139" t="s">
        <v>5</v>
      </c>
      <c r="AR1" s="140" t="s">
        <v>6</v>
      </c>
      <c r="AS1" s="83" t="s">
        <v>102</v>
      </c>
      <c r="AV1" s="137" t="s">
        <v>0</v>
      </c>
      <c r="AW1" s="137" t="s">
        <v>27</v>
      </c>
      <c r="AX1" s="137"/>
      <c r="AZ1" s="138" t="s">
        <v>0</v>
      </c>
      <c r="BA1" s="139"/>
      <c r="BB1" s="139"/>
      <c r="BC1" s="139"/>
      <c r="BD1" s="139" t="s">
        <v>5</v>
      </c>
      <c r="BE1" s="140" t="s">
        <v>6</v>
      </c>
      <c r="BF1" s="83" t="s">
        <v>183</v>
      </c>
      <c r="BI1" s="137" t="s">
        <v>0</v>
      </c>
      <c r="BJ1" s="137" t="s">
        <v>27</v>
      </c>
      <c r="BK1" s="137"/>
      <c r="BM1" s="138" t="s">
        <v>0</v>
      </c>
      <c r="BN1" s="139"/>
      <c r="BO1" s="139"/>
      <c r="BP1" s="139"/>
      <c r="BQ1" s="139" t="s">
        <v>5</v>
      </c>
      <c r="BR1" s="140" t="s">
        <v>6</v>
      </c>
      <c r="BS1" s="83" t="s">
        <v>183</v>
      </c>
      <c r="BV1" s="137" t="s">
        <v>0</v>
      </c>
      <c r="BW1" s="137" t="s">
        <v>27</v>
      </c>
      <c r="BX1" s="137"/>
      <c r="BZ1" s="138" t="s">
        <v>0</v>
      </c>
      <c r="CA1" s="139"/>
      <c r="CB1" s="139"/>
      <c r="CC1" s="139"/>
      <c r="CD1" s="139" t="s">
        <v>5</v>
      </c>
      <c r="CE1" s="140" t="s">
        <v>6</v>
      </c>
      <c r="CF1" s="83" t="s">
        <v>183</v>
      </c>
    </row>
    <row r="2" spans="1:84" x14ac:dyDescent="0.25">
      <c r="A2" s="1">
        <v>45566</v>
      </c>
      <c r="B2" s="97">
        <v>-917000</v>
      </c>
      <c r="C2" s="95"/>
      <c r="D2" s="141">
        <v>45108</v>
      </c>
      <c r="E2" s="83">
        <v>430105</v>
      </c>
      <c r="F2" s="83" t="s">
        <v>25</v>
      </c>
      <c r="G2" s="83" t="str">
        <f>"CPA Ajuste T/C Renta4 USD"</f>
        <v>CPA Ajuste T/C Renta4 USD</v>
      </c>
      <c r="H2" s="90">
        <f>+B2*-1</f>
        <v>917000</v>
      </c>
      <c r="I2" s="142"/>
      <c r="J2" s="90"/>
      <c r="L2" s="88">
        <v>45261</v>
      </c>
      <c r="M2" s="97">
        <f>ROUND(N2,0)</f>
        <v>-6773</v>
      </c>
      <c r="N2" s="95">
        <v>-6773.27</v>
      </c>
      <c r="O2" s="141">
        <v>45261</v>
      </c>
      <c r="P2" s="83">
        <v>430105</v>
      </c>
      <c r="Q2" s="83" t="s">
        <v>25</v>
      </c>
      <c r="R2" s="83" t="str">
        <f>"CPA Ajuste T/C JP Morgan USD " &amp;TEXT(O2,"dd-mm-yyy")</f>
        <v>CPA Ajuste T/C JP Morgan USD 01-12-yyy</v>
      </c>
      <c r="S2" s="90">
        <f>+M2*-1</f>
        <v>6773</v>
      </c>
      <c r="T2" s="142"/>
      <c r="V2" s="1">
        <v>45566</v>
      </c>
      <c r="W2" s="97">
        <f>ROUND(X2,0)</f>
        <v>-3276000</v>
      </c>
      <c r="X2" s="95">
        <v>-3276000</v>
      </c>
      <c r="Y2" s="95"/>
      <c r="Z2" s="141">
        <v>45413</v>
      </c>
      <c r="AA2" s="83">
        <v>430105</v>
      </c>
      <c r="AB2" s="83" t="s">
        <v>25</v>
      </c>
      <c r="AC2" s="83" t="str">
        <f>"CPA Ajuste T/C Bco. Bice USD " &amp;TEXT(Z2,)</f>
        <v xml:space="preserve">CPA Ajuste T/C Bco. Bice USD </v>
      </c>
      <c r="AD2" s="90">
        <f>+W2*-1</f>
        <v>3276000</v>
      </c>
      <c r="AE2" s="142"/>
      <c r="AI2" s="1">
        <v>45566</v>
      </c>
      <c r="AJ2" s="97">
        <f>ROUND(AK2,0)</f>
        <v>-4365000</v>
      </c>
      <c r="AK2" s="97">
        <v>-4365000</v>
      </c>
      <c r="AL2" s="95"/>
      <c r="AM2" s="141">
        <v>45413</v>
      </c>
      <c r="AN2" s="83">
        <v>430105</v>
      </c>
      <c r="AO2" s="83" t="s">
        <v>25</v>
      </c>
      <c r="AP2" s="83" t="str">
        <f>"CPA Ajuste T/C MBI USD " &amp;TEXT(AM2,)</f>
        <v xml:space="preserve">CPA Ajuste T/C MBI USD </v>
      </c>
      <c r="AQ2" s="90">
        <f>+AJ2*-1</f>
        <v>4365000</v>
      </c>
      <c r="AR2" s="142"/>
      <c r="AV2" s="1">
        <v>45566</v>
      </c>
      <c r="AW2" s="97">
        <f>ROUND(AX2,0)</f>
        <v>0</v>
      </c>
      <c r="AX2" s="97">
        <v>0</v>
      </c>
      <c r="AY2" s="95"/>
      <c r="AZ2" s="141">
        <v>45413</v>
      </c>
      <c r="BA2" s="83">
        <v>430105</v>
      </c>
      <c r="BB2" s="83" t="s">
        <v>25</v>
      </c>
      <c r="BC2" s="83" t="str">
        <f>"CPA Ajuste T/C Partner Dlocal LLP " &amp;TEXT(AZ2,)</f>
        <v xml:space="preserve">CPA Ajuste T/C Partner Dlocal LLP </v>
      </c>
      <c r="BD2" s="90">
        <f>+AW2*-1</f>
        <v>0</v>
      </c>
      <c r="BE2" s="142"/>
      <c r="BI2" s="1">
        <v>45566</v>
      </c>
      <c r="BJ2" s="97">
        <f>ROUND(BK2,0)</f>
        <v>0</v>
      </c>
      <c r="BK2" s="97">
        <v>0</v>
      </c>
      <c r="BL2" s="95"/>
      <c r="BM2" s="141">
        <v>45413</v>
      </c>
      <c r="BN2" s="83">
        <v>430105</v>
      </c>
      <c r="BO2" s="83" t="s">
        <v>25</v>
      </c>
      <c r="BP2" s="83" t="str">
        <f>"CPA Ajuste T/C Partner Dlocal PEN " &amp;TEXT(BM2,)</f>
        <v xml:space="preserve">CPA Ajuste T/C Partner Dlocal PEN </v>
      </c>
      <c r="BQ2" s="90">
        <f>+BJ2*-1</f>
        <v>0</v>
      </c>
      <c r="BR2" s="142"/>
      <c r="BV2" s="1">
        <v>45566</v>
      </c>
      <c r="BW2" s="97">
        <f>ROUND(BX2,0)</f>
        <v>0</v>
      </c>
      <c r="BX2" s="97">
        <v>0</v>
      </c>
      <c r="BY2" s="95"/>
      <c r="BZ2" s="141">
        <v>45413</v>
      </c>
      <c r="CA2" s="83">
        <v>430105</v>
      </c>
      <c r="CB2" s="83" t="s">
        <v>25</v>
      </c>
      <c r="CC2" s="83" t="str">
        <f>"CPA Ajuste T/C Partner Dlocal ARG " &amp;TEXT(BZ2,)</f>
        <v xml:space="preserve">CPA Ajuste T/C Partner Dlocal ARG </v>
      </c>
      <c r="CD2" s="90">
        <f>+BW2*-1</f>
        <v>0</v>
      </c>
      <c r="CE2" s="142"/>
    </row>
    <row r="3" spans="1:84" x14ac:dyDescent="0.25">
      <c r="A3" s="1">
        <v>45567</v>
      </c>
      <c r="B3" s="97">
        <v>-5585000</v>
      </c>
      <c r="D3" s="143"/>
      <c r="E3" s="144">
        <v>110323</v>
      </c>
      <c r="F3" s="144" t="s">
        <v>186</v>
      </c>
      <c r="G3" s="144" t="str">
        <f>G2</f>
        <v>CPA Ajuste T/C Renta4 USD</v>
      </c>
      <c r="H3" s="145"/>
      <c r="I3" s="146">
        <f>H2</f>
        <v>917000</v>
      </c>
      <c r="J3" s="90"/>
      <c r="L3" s="88">
        <v>45262</v>
      </c>
      <c r="M3" s="97">
        <f t="shared" ref="M3:M32" si="0">ROUND(N3,0)</f>
        <v>0</v>
      </c>
      <c r="N3" s="95">
        <v>0</v>
      </c>
      <c r="O3" s="143"/>
      <c r="P3" s="144">
        <v>110212</v>
      </c>
      <c r="Q3" s="144" t="s">
        <v>63</v>
      </c>
      <c r="R3" s="144" t="str">
        <f>R2</f>
        <v>CPA Ajuste T/C JP Morgan USD 01-12-yyy</v>
      </c>
      <c r="S3" s="145"/>
      <c r="T3" s="146">
        <f>S2</f>
        <v>6773</v>
      </c>
      <c r="V3" s="1">
        <v>45567</v>
      </c>
      <c r="W3" s="97">
        <f t="shared" ref="W3:W31" si="1">ROUND(X3,0)</f>
        <v>-4631700</v>
      </c>
      <c r="X3" s="95">
        <v>-4631699.72</v>
      </c>
      <c r="Z3" s="143"/>
      <c r="AA3" s="144">
        <v>110205</v>
      </c>
      <c r="AB3" s="144" t="s">
        <v>59</v>
      </c>
      <c r="AC3" s="144" t="str">
        <f>AC2</f>
        <v xml:space="preserve">CPA Ajuste T/C Bco. Bice USD </v>
      </c>
      <c r="AD3" s="145"/>
      <c r="AE3" s="146">
        <f>AD2</f>
        <v>3276000</v>
      </c>
      <c r="AI3" s="1">
        <v>45567</v>
      </c>
      <c r="AJ3" s="97">
        <f t="shared" ref="AJ3:AJ32" si="2">ROUND(AK3,0)</f>
        <v>-21640000</v>
      </c>
      <c r="AK3" s="97">
        <v>-21640000</v>
      </c>
      <c r="AM3" s="143"/>
      <c r="AN3" s="144">
        <v>110296</v>
      </c>
      <c r="AO3" s="144" t="s">
        <v>123</v>
      </c>
      <c r="AP3" s="144" t="str">
        <f>AP2</f>
        <v xml:space="preserve">CPA Ajuste T/C MBI USD </v>
      </c>
      <c r="AQ3" s="145"/>
      <c r="AR3" s="146">
        <f>AQ2</f>
        <v>4365000</v>
      </c>
      <c r="AV3" s="1">
        <v>45567</v>
      </c>
      <c r="AW3" s="97">
        <f t="shared" ref="AW3:AW32" si="3">ROUND(AX3,0)</f>
        <v>1270760</v>
      </c>
      <c r="AX3" s="97">
        <v>1270760</v>
      </c>
      <c r="AZ3" s="143"/>
      <c r="BA3" s="144">
        <v>110252</v>
      </c>
      <c r="BB3" s="144" t="s">
        <v>184</v>
      </c>
      <c r="BC3" s="144" t="str">
        <f>BC2</f>
        <v xml:space="preserve">CPA Ajuste T/C Partner Dlocal LLP </v>
      </c>
      <c r="BD3" s="145"/>
      <c r="BE3" s="146">
        <f>BD2</f>
        <v>0</v>
      </c>
      <c r="BI3" s="1">
        <v>45567</v>
      </c>
      <c r="BJ3" s="97">
        <f t="shared" ref="BJ3:BJ32" si="4">ROUND(BK3,0)</f>
        <v>-610454</v>
      </c>
      <c r="BK3" s="97">
        <v>-610454</v>
      </c>
      <c r="BM3" s="143"/>
      <c r="BN3" s="144">
        <v>110269</v>
      </c>
      <c r="BO3" s="144" t="s">
        <v>2</v>
      </c>
      <c r="BP3" s="144" t="str">
        <f>BP2</f>
        <v xml:space="preserve">CPA Ajuste T/C Partner Dlocal PEN </v>
      </c>
      <c r="BQ3" s="145"/>
      <c r="BR3" s="146">
        <f>BQ2</f>
        <v>0</v>
      </c>
      <c r="BV3" s="1">
        <v>45567</v>
      </c>
      <c r="BW3" s="97">
        <f t="shared" ref="BW3:BW32" si="5">ROUND(BX3,0)</f>
        <v>478188</v>
      </c>
      <c r="BX3" s="97">
        <v>478188</v>
      </c>
      <c r="BZ3" s="143"/>
      <c r="CA3" s="144">
        <v>110266</v>
      </c>
      <c r="CB3" s="144" t="s">
        <v>185</v>
      </c>
      <c r="CC3" s="144" t="str">
        <f>CC2</f>
        <v xml:space="preserve">CPA Ajuste T/C Partner Dlocal ARG </v>
      </c>
      <c r="CD3" s="145"/>
      <c r="CE3" s="146">
        <f>CD2</f>
        <v>0</v>
      </c>
    </row>
    <row r="4" spans="1:84" x14ac:dyDescent="0.25">
      <c r="A4" s="1">
        <v>45568</v>
      </c>
      <c r="B4" s="97">
        <v>-6035000</v>
      </c>
      <c r="D4" s="147">
        <v>45109</v>
      </c>
      <c r="E4" s="83">
        <v>430105</v>
      </c>
      <c r="F4" s="83" t="s">
        <v>25</v>
      </c>
      <c r="G4" s="83" t="str">
        <f t="shared" ref="G4" si="6">"CPA Ajuste T/C Renta4 USD"</f>
        <v>CPA Ajuste T/C Renta4 USD</v>
      </c>
      <c r="H4" s="90">
        <f>+B3*-1</f>
        <v>5585000</v>
      </c>
      <c r="I4" s="148"/>
      <c r="J4" s="90"/>
      <c r="L4" s="88">
        <v>45263</v>
      </c>
      <c r="M4" s="97">
        <f t="shared" si="0"/>
        <v>-6061</v>
      </c>
      <c r="N4" s="95">
        <v>-6060.95</v>
      </c>
      <c r="O4" s="147">
        <v>45262</v>
      </c>
      <c r="P4" s="83">
        <v>110212</v>
      </c>
      <c r="Q4" s="83" t="s">
        <v>63</v>
      </c>
      <c r="R4" s="83" t="str">
        <f>"CPA Ajuste T/C JP Morgan USD " &amp;TEXT(O4,"dd-mm-yyy")</f>
        <v>CPA Ajuste T/C JP Morgan USD 02-12-yyy</v>
      </c>
      <c r="S4" s="90">
        <f>+M3</f>
        <v>0</v>
      </c>
      <c r="T4" s="148"/>
      <c r="V4" s="1">
        <v>45568</v>
      </c>
      <c r="W4" s="97">
        <f t="shared" si="1"/>
        <v>7241296</v>
      </c>
      <c r="X4" s="95">
        <v>7241296.1100000003</v>
      </c>
      <c r="Z4" s="147">
        <v>45414</v>
      </c>
      <c r="AA4" s="83">
        <v>430105</v>
      </c>
      <c r="AB4" s="83" t="s">
        <v>25</v>
      </c>
      <c r="AC4" s="83" t="str">
        <f>"CPA Ajuste T/C Bco. Bice USD " &amp;TEXT(Z4,)</f>
        <v xml:space="preserve">CPA Ajuste T/C Bco. Bice USD </v>
      </c>
      <c r="AD4" s="90">
        <f>+W3*-1</f>
        <v>4631700</v>
      </c>
      <c r="AE4" s="148"/>
      <c r="AI4" s="1">
        <v>45568</v>
      </c>
      <c r="AJ4" s="97">
        <f t="shared" si="2"/>
        <v>-14512500</v>
      </c>
      <c r="AK4" s="97">
        <v>-14512500</v>
      </c>
      <c r="AM4" s="147">
        <v>45414</v>
      </c>
      <c r="AN4" s="83">
        <v>430105</v>
      </c>
      <c r="AO4" s="83" t="s">
        <v>25</v>
      </c>
      <c r="AP4" s="83" t="str">
        <f>"CPA Ajuste T/C MBI USD " &amp;TEXT(AM4,)</f>
        <v xml:space="preserve">CPA Ajuste T/C MBI USD </v>
      </c>
      <c r="AQ4" s="90">
        <f>+AJ3*-1</f>
        <v>21640000</v>
      </c>
      <c r="AR4" s="148"/>
      <c r="AV4" s="1">
        <v>45568</v>
      </c>
      <c r="AW4" s="97">
        <f t="shared" si="3"/>
        <v>2159950</v>
      </c>
      <c r="AX4" s="97">
        <v>2159950</v>
      </c>
      <c r="AZ4" s="147">
        <v>45414</v>
      </c>
      <c r="BA4" s="83">
        <v>110252</v>
      </c>
      <c r="BB4" s="83" t="s">
        <v>184</v>
      </c>
      <c r="BC4" s="83" t="str">
        <f>"CPA Ajuste T/C Partner Dlocal LLP " &amp;TEXT(AZ4,)</f>
        <v xml:space="preserve">CPA Ajuste T/C Partner Dlocal LLP </v>
      </c>
      <c r="BD4" s="90">
        <f>+AW3</f>
        <v>1270760</v>
      </c>
      <c r="BE4" s="148"/>
      <c r="BI4" s="1">
        <v>45568</v>
      </c>
      <c r="BJ4" s="97">
        <f t="shared" si="4"/>
        <v>7045282</v>
      </c>
      <c r="BK4" s="97">
        <v>7045282</v>
      </c>
      <c r="BM4" s="147">
        <v>45414</v>
      </c>
      <c r="BN4" s="83">
        <v>430105</v>
      </c>
      <c r="BO4" s="83" t="s">
        <v>25</v>
      </c>
      <c r="BP4" s="83" t="str">
        <f>"CPA Ajuste T/C Partner Dlocal PEN " &amp;TEXT(BM4,)</f>
        <v xml:space="preserve">CPA Ajuste T/C Partner Dlocal PEN </v>
      </c>
      <c r="BQ4" s="90">
        <f>+BJ3*-1</f>
        <v>610454</v>
      </c>
      <c r="BR4" s="148"/>
      <c r="BV4" s="1">
        <v>45568</v>
      </c>
      <c r="BW4" s="97">
        <f t="shared" si="5"/>
        <v>1254095</v>
      </c>
      <c r="BX4" s="97">
        <v>1254095</v>
      </c>
      <c r="BZ4" s="147">
        <v>45414</v>
      </c>
      <c r="CA4" s="83">
        <v>110266</v>
      </c>
      <c r="CB4" s="83" t="s">
        <v>185</v>
      </c>
      <c r="CC4" s="83" t="str">
        <f>"CPA Ajuste T/C Partner Dlocal ARG " &amp;TEXT(BZ4,)</f>
        <v xml:space="preserve">CPA Ajuste T/C Partner Dlocal ARG </v>
      </c>
      <c r="CD4" s="90">
        <f>+BW3</f>
        <v>478188</v>
      </c>
      <c r="CE4" s="148"/>
    </row>
    <row r="5" spans="1:84" x14ac:dyDescent="0.25">
      <c r="A5" s="1">
        <v>45569</v>
      </c>
      <c r="B5" s="97">
        <v>410000</v>
      </c>
      <c r="D5" s="143"/>
      <c r="E5" s="144">
        <v>110323</v>
      </c>
      <c r="F5" s="144" t="s">
        <v>186</v>
      </c>
      <c r="G5" s="144" t="str">
        <f t="shared" ref="G5" si="7">G4</f>
        <v>CPA Ajuste T/C Renta4 USD</v>
      </c>
      <c r="H5" s="145"/>
      <c r="I5" s="146">
        <f t="shared" ref="I5" si="8">H4</f>
        <v>5585000</v>
      </c>
      <c r="J5" s="90"/>
      <c r="L5" s="88">
        <v>45264</v>
      </c>
      <c r="M5" s="97">
        <f t="shared" si="0"/>
        <v>0</v>
      </c>
      <c r="N5" s="95">
        <v>0</v>
      </c>
      <c r="O5" s="143"/>
      <c r="P5" s="144">
        <v>430105</v>
      </c>
      <c r="Q5" s="144" t="s">
        <v>25</v>
      </c>
      <c r="R5" s="144" t="str">
        <f t="shared" ref="R5" si="9">R4</f>
        <v>CPA Ajuste T/C JP Morgan USD 02-12-yyy</v>
      </c>
      <c r="S5" s="145"/>
      <c r="T5" s="146">
        <f t="shared" ref="T5" si="10">S4</f>
        <v>0</v>
      </c>
      <c r="V5" s="1">
        <v>45569</v>
      </c>
      <c r="W5" s="97">
        <f t="shared" si="1"/>
        <v>8139864</v>
      </c>
      <c r="X5" s="95">
        <v>8139863.6799999997</v>
      </c>
      <c r="Z5" s="143"/>
      <c r="AA5" s="144">
        <v>110205</v>
      </c>
      <c r="AB5" s="144" t="s">
        <v>59</v>
      </c>
      <c r="AC5" s="144" t="str">
        <f t="shared" ref="AC5" si="11">AC4</f>
        <v xml:space="preserve">CPA Ajuste T/C Bco. Bice USD </v>
      </c>
      <c r="AD5" s="145"/>
      <c r="AE5" s="146">
        <f t="shared" ref="AE5" si="12">AD4</f>
        <v>4631700</v>
      </c>
      <c r="AI5" s="1">
        <v>45569</v>
      </c>
      <c r="AJ5" s="97">
        <f t="shared" si="2"/>
        <v>-5556500</v>
      </c>
      <c r="AK5" s="97">
        <v>-5556500</v>
      </c>
      <c r="AM5" s="143"/>
      <c r="AN5" s="144">
        <v>110296</v>
      </c>
      <c r="AO5" s="144" t="s">
        <v>123</v>
      </c>
      <c r="AP5" s="144" t="str">
        <f t="shared" ref="AP5" si="13">AP4</f>
        <v xml:space="preserve">CPA Ajuste T/C MBI USD </v>
      </c>
      <c r="AQ5" s="145"/>
      <c r="AR5" s="146">
        <f t="shared" ref="AR5" si="14">AQ4</f>
        <v>21640000</v>
      </c>
      <c r="AV5" s="1">
        <v>45569</v>
      </c>
      <c r="AW5" s="97">
        <f t="shared" si="3"/>
        <v>3587019</v>
      </c>
      <c r="AX5" s="97">
        <v>3587019</v>
      </c>
      <c r="AZ5" s="143"/>
      <c r="BA5" s="144">
        <v>430105</v>
      </c>
      <c r="BB5" s="144" t="s">
        <v>25</v>
      </c>
      <c r="BC5" s="144" t="str">
        <f t="shared" ref="BC5" si="15">BC4</f>
        <v xml:space="preserve">CPA Ajuste T/C Partner Dlocal LLP </v>
      </c>
      <c r="BD5" s="145"/>
      <c r="BE5" s="146">
        <f t="shared" ref="BE5" si="16">BD4</f>
        <v>1270760</v>
      </c>
      <c r="BI5" s="1">
        <v>45569</v>
      </c>
      <c r="BJ5" s="97">
        <f t="shared" si="4"/>
        <v>6394863</v>
      </c>
      <c r="BK5" s="97">
        <v>6394863</v>
      </c>
      <c r="BM5" s="143"/>
      <c r="BN5" s="144">
        <v>110269</v>
      </c>
      <c r="BO5" s="144" t="s">
        <v>2</v>
      </c>
      <c r="BP5" s="144" t="str">
        <f t="shared" ref="BP5" si="17">BP4</f>
        <v xml:space="preserve">CPA Ajuste T/C Partner Dlocal PEN </v>
      </c>
      <c r="BQ5" s="145"/>
      <c r="BR5" s="146">
        <f t="shared" ref="BR5" si="18">BQ4</f>
        <v>610454</v>
      </c>
      <c r="BV5" s="1">
        <v>45569</v>
      </c>
      <c r="BW5" s="97">
        <f t="shared" si="5"/>
        <v>2074147</v>
      </c>
      <c r="BX5" s="97">
        <v>2074147</v>
      </c>
      <c r="BZ5" s="143"/>
      <c r="CA5" s="144">
        <v>430105</v>
      </c>
      <c r="CB5" s="144" t="s">
        <v>25</v>
      </c>
      <c r="CC5" s="144" t="str">
        <f t="shared" ref="CC5" si="19">CC4</f>
        <v xml:space="preserve">CPA Ajuste T/C Partner Dlocal ARG </v>
      </c>
      <c r="CD5" s="145"/>
      <c r="CE5" s="146">
        <f t="shared" ref="CE5" si="20">CD4</f>
        <v>478188</v>
      </c>
    </row>
    <row r="6" spans="1:84" x14ac:dyDescent="0.25">
      <c r="A6" s="1">
        <v>45570</v>
      </c>
      <c r="B6" s="97">
        <v>0</v>
      </c>
      <c r="D6" s="147">
        <v>45110</v>
      </c>
      <c r="E6" s="83">
        <v>430105</v>
      </c>
      <c r="F6" s="83" t="s">
        <v>25</v>
      </c>
      <c r="G6" s="83" t="str">
        <f t="shared" ref="G6" si="21">"CPA Ajuste T/C Renta4 USD"</f>
        <v>CPA Ajuste T/C Renta4 USD</v>
      </c>
      <c r="H6" s="149">
        <f>+B4*-1</f>
        <v>6035000</v>
      </c>
      <c r="I6" s="148"/>
      <c r="J6" s="90"/>
      <c r="L6" s="88">
        <v>45265</v>
      </c>
      <c r="M6" s="97">
        <f t="shared" si="0"/>
        <v>0</v>
      </c>
      <c r="N6" s="95">
        <v>0</v>
      </c>
      <c r="O6" s="147">
        <v>45263</v>
      </c>
      <c r="P6" s="83">
        <v>430105</v>
      </c>
      <c r="Q6" s="83" t="s">
        <v>25</v>
      </c>
      <c r="R6" s="83" t="str">
        <f>"CPA Ajuste T/C JP Morgan USD " &amp;TEXT(O6,"dd-mm-yyy")</f>
        <v>CPA Ajuste T/C JP Morgan USD 03-12-yyy</v>
      </c>
      <c r="S6" s="149">
        <f>+M4*-1</f>
        <v>6061</v>
      </c>
      <c r="T6" s="148"/>
      <c r="V6" s="1">
        <v>45570</v>
      </c>
      <c r="W6" s="97">
        <f t="shared" si="1"/>
        <v>0</v>
      </c>
      <c r="X6" s="95">
        <v>0</v>
      </c>
      <c r="Z6" s="147">
        <v>45415</v>
      </c>
      <c r="AA6" s="83">
        <v>110205</v>
      </c>
      <c r="AB6" s="83" t="s">
        <v>59</v>
      </c>
      <c r="AC6" s="83" t="str">
        <f>"CPA Ajuste T/C Bco. Bice USD " &amp;TEXT(Z6,)</f>
        <v xml:space="preserve">CPA Ajuste T/C Bco. Bice USD </v>
      </c>
      <c r="AD6" s="149">
        <f>+W4</f>
        <v>7241296</v>
      </c>
      <c r="AE6" s="148"/>
      <c r="AI6" s="1">
        <v>45570</v>
      </c>
      <c r="AJ6" s="97">
        <f t="shared" si="2"/>
        <v>0</v>
      </c>
      <c r="AK6" s="97">
        <v>0</v>
      </c>
      <c r="AM6" s="147">
        <v>45415</v>
      </c>
      <c r="AN6" s="83">
        <v>430105</v>
      </c>
      <c r="AO6" s="83" t="s">
        <v>25</v>
      </c>
      <c r="AP6" s="83" t="str">
        <f>"CPA Ajuste T/C MBI USD " &amp;TEXT(AM6,)</f>
        <v xml:space="preserve">CPA Ajuste T/C MBI USD </v>
      </c>
      <c r="AQ6" s="149">
        <f>+AJ4*-1</f>
        <v>14512500</v>
      </c>
      <c r="AR6" s="148"/>
      <c r="AV6" s="1">
        <v>45570</v>
      </c>
      <c r="AW6" s="97">
        <f t="shared" si="3"/>
        <v>0</v>
      </c>
      <c r="AX6" s="97">
        <v>0</v>
      </c>
      <c r="AZ6" s="147">
        <v>45415</v>
      </c>
      <c r="BA6" s="83">
        <v>110252</v>
      </c>
      <c r="BB6" s="83" t="s">
        <v>184</v>
      </c>
      <c r="BC6" s="83" t="str">
        <f>"CPA Ajuste T/C Partner Dlocal LLP " &amp;TEXT(AZ6,)</f>
        <v xml:space="preserve">CPA Ajuste T/C Partner Dlocal LLP </v>
      </c>
      <c r="BD6" s="149">
        <f>+AW4</f>
        <v>2159950</v>
      </c>
      <c r="BE6" s="148"/>
      <c r="BI6" s="1">
        <v>45570</v>
      </c>
      <c r="BJ6" s="97">
        <f t="shared" si="4"/>
        <v>0</v>
      </c>
      <c r="BK6" s="97">
        <v>0</v>
      </c>
      <c r="BM6" s="147">
        <v>45415</v>
      </c>
      <c r="BN6" s="83">
        <v>110269</v>
      </c>
      <c r="BO6" s="83" t="s">
        <v>2</v>
      </c>
      <c r="BP6" s="83" t="str">
        <f>"CPA Ajuste T/C Partner Dlocal PEN " &amp;TEXT(BM6,)</f>
        <v xml:space="preserve">CPA Ajuste T/C Partner Dlocal PEN </v>
      </c>
      <c r="BQ6" s="149">
        <f>+BJ4</f>
        <v>7045282</v>
      </c>
      <c r="BR6" s="148"/>
      <c r="BV6" s="1">
        <v>45570</v>
      </c>
      <c r="BW6" s="97">
        <f t="shared" si="5"/>
        <v>0</v>
      </c>
      <c r="BX6" s="97">
        <v>0</v>
      </c>
      <c r="BZ6" s="147">
        <v>45415</v>
      </c>
      <c r="CA6" s="83">
        <v>110266</v>
      </c>
      <c r="CB6" s="83" t="s">
        <v>185</v>
      </c>
      <c r="CC6" s="83" t="str">
        <f>"CPA Ajuste T/C Partner Dlocal ARG " &amp;TEXT(BZ6,)</f>
        <v xml:space="preserve">CPA Ajuste T/C Partner Dlocal ARG </v>
      </c>
      <c r="CD6" s="149">
        <f>+BW4</f>
        <v>1254095</v>
      </c>
      <c r="CE6" s="148"/>
    </row>
    <row r="7" spans="1:84" x14ac:dyDescent="0.25">
      <c r="A7" s="1">
        <v>45571</v>
      </c>
      <c r="B7" s="97">
        <v>0</v>
      </c>
      <c r="D7" s="143"/>
      <c r="E7" s="144">
        <v>110323</v>
      </c>
      <c r="F7" s="144" t="s">
        <v>186</v>
      </c>
      <c r="G7" s="144" t="str">
        <f t="shared" ref="G7" si="22">G6</f>
        <v>CPA Ajuste T/C Renta4 USD</v>
      </c>
      <c r="H7" s="145"/>
      <c r="I7" s="146">
        <f t="shared" ref="I7" si="23">H6</f>
        <v>6035000</v>
      </c>
      <c r="J7" s="90"/>
      <c r="L7" s="88">
        <v>45266</v>
      </c>
      <c r="M7" s="97">
        <f t="shared" si="0"/>
        <v>-5274</v>
      </c>
      <c r="N7" s="95">
        <v>-5273.65</v>
      </c>
      <c r="O7" s="143"/>
      <c r="P7" s="144">
        <v>110212</v>
      </c>
      <c r="Q7" s="144" t="s">
        <v>63</v>
      </c>
      <c r="R7" s="144" t="str">
        <f t="shared" ref="R7" si="24">R6</f>
        <v>CPA Ajuste T/C JP Morgan USD 03-12-yyy</v>
      </c>
      <c r="S7" s="145"/>
      <c r="T7" s="146">
        <f t="shared" ref="T7" si="25">S6</f>
        <v>6061</v>
      </c>
      <c r="V7" s="1">
        <v>45571</v>
      </c>
      <c r="W7" s="97">
        <f t="shared" si="1"/>
        <v>0</v>
      </c>
      <c r="X7" s="95">
        <v>0</v>
      </c>
      <c r="Z7" s="143"/>
      <c r="AA7" s="144">
        <v>430105</v>
      </c>
      <c r="AB7" s="144" t="s">
        <v>25</v>
      </c>
      <c r="AC7" s="144" t="str">
        <f t="shared" ref="AC7" si="26">AC6</f>
        <v xml:space="preserve">CPA Ajuste T/C Bco. Bice USD </v>
      </c>
      <c r="AD7" s="145"/>
      <c r="AE7" s="146">
        <f t="shared" ref="AE7" si="27">AD6</f>
        <v>7241296</v>
      </c>
      <c r="AI7" s="1">
        <v>45571</v>
      </c>
      <c r="AJ7" s="97">
        <f t="shared" si="2"/>
        <v>0</v>
      </c>
      <c r="AK7" s="97">
        <v>0</v>
      </c>
      <c r="AM7" s="143"/>
      <c r="AN7" s="144">
        <v>110296</v>
      </c>
      <c r="AO7" s="144" t="s">
        <v>123</v>
      </c>
      <c r="AP7" s="144" t="str">
        <f t="shared" ref="AP7" si="28">AP6</f>
        <v xml:space="preserve">CPA Ajuste T/C MBI USD </v>
      </c>
      <c r="AQ7" s="145"/>
      <c r="AR7" s="146">
        <f t="shared" ref="AR7" si="29">AQ6</f>
        <v>14512500</v>
      </c>
      <c r="AV7" s="1">
        <v>45571</v>
      </c>
      <c r="AW7" s="97">
        <f t="shared" si="3"/>
        <v>0</v>
      </c>
      <c r="AX7" s="97">
        <v>0</v>
      </c>
      <c r="AZ7" s="143"/>
      <c r="BA7" s="144">
        <v>430105</v>
      </c>
      <c r="BB7" s="144" t="s">
        <v>25</v>
      </c>
      <c r="BC7" s="144" t="str">
        <f t="shared" ref="BC7" si="30">BC6</f>
        <v xml:space="preserve">CPA Ajuste T/C Partner Dlocal LLP </v>
      </c>
      <c r="BD7" s="145"/>
      <c r="BE7" s="146">
        <f t="shared" ref="BE7" si="31">BD6</f>
        <v>2159950</v>
      </c>
      <c r="BI7" s="1">
        <v>45571</v>
      </c>
      <c r="BJ7" s="97">
        <f t="shared" si="4"/>
        <v>0</v>
      </c>
      <c r="BK7" s="97">
        <v>0</v>
      </c>
      <c r="BM7" s="143"/>
      <c r="BN7" s="144">
        <v>430105</v>
      </c>
      <c r="BO7" s="144" t="s">
        <v>25</v>
      </c>
      <c r="BP7" s="144" t="str">
        <f t="shared" ref="BP7" si="32">BP6</f>
        <v xml:space="preserve">CPA Ajuste T/C Partner Dlocal PEN </v>
      </c>
      <c r="BQ7" s="145"/>
      <c r="BR7" s="146">
        <f t="shared" ref="BR7" si="33">BQ6</f>
        <v>7045282</v>
      </c>
      <c r="BV7" s="1">
        <v>45571</v>
      </c>
      <c r="BW7" s="97">
        <f t="shared" si="5"/>
        <v>0</v>
      </c>
      <c r="BX7" s="97">
        <v>0</v>
      </c>
      <c r="BZ7" s="143"/>
      <c r="CA7" s="144">
        <v>430105</v>
      </c>
      <c r="CB7" s="144" t="s">
        <v>25</v>
      </c>
      <c r="CC7" s="144" t="str">
        <f t="shared" ref="CC7" si="34">CC6</f>
        <v xml:space="preserve">CPA Ajuste T/C Partner Dlocal ARG </v>
      </c>
      <c r="CD7" s="145"/>
      <c r="CE7" s="146">
        <f t="shared" ref="CE7" si="35">CD6</f>
        <v>1254095</v>
      </c>
    </row>
    <row r="8" spans="1:84" x14ac:dyDescent="0.25">
      <c r="A8" s="1">
        <v>45572</v>
      </c>
      <c r="B8" s="97">
        <v>0</v>
      </c>
      <c r="D8" s="147">
        <v>45111</v>
      </c>
      <c r="E8" s="83">
        <v>110323</v>
      </c>
      <c r="F8" s="83" t="s">
        <v>186</v>
      </c>
      <c r="G8" s="83" t="str">
        <f t="shared" ref="G8" si="36">"CPA Ajuste T/C Renta4 USD"</f>
        <v>CPA Ajuste T/C Renta4 USD</v>
      </c>
      <c r="H8" s="149">
        <f>+B5</f>
        <v>410000</v>
      </c>
      <c r="I8" s="148"/>
      <c r="J8" s="90"/>
      <c r="L8" s="88">
        <v>45267</v>
      </c>
      <c r="M8" s="97">
        <f t="shared" si="0"/>
        <v>-950</v>
      </c>
      <c r="N8" s="95">
        <v>-949.76</v>
      </c>
      <c r="O8" s="147">
        <v>45264</v>
      </c>
      <c r="P8" s="83">
        <v>430105</v>
      </c>
      <c r="Q8" s="83" t="s">
        <v>25</v>
      </c>
      <c r="R8" s="83" t="str">
        <f>"CPA Ajuste T/C JP Morgan USD " &amp;TEXT(O8,"dd-mm-yyy")</f>
        <v>CPA Ajuste T/C JP Morgan USD 04-12-yyy</v>
      </c>
      <c r="S8" s="149">
        <f>+M5*-1</f>
        <v>0</v>
      </c>
      <c r="T8" s="148"/>
      <c r="V8" s="1">
        <v>45572</v>
      </c>
      <c r="W8" s="97">
        <f t="shared" si="1"/>
        <v>167879</v>
      </c>
      <c r="X8" s="95">
        <v>167878.73</v>
      </c>
      <c r="Z8" s="147">
        <v>45416</v>
      </c>
      <c r="AA8" s="83">
        <v>110205</v>
      </c>
      <c r="AB8" s="83" t="s">
        <v>59</v>
      </c>
      <c r="AC8" s="83" t="str">
        <f>"CPA Ajuste T/C Bco. Bice USD " &amp;TEXT(Z8,)</f>
        <v xml:space="preserve">CPA Ajuste T/C Bco. Bice USD </v>
      </c>
      <c r="AD8" s="149">
        <f>+W5</f>
        <v>8139864</v>
      </c>
      <c r="AE8" s="148"/>
      <c r="AI8" s="1">
        <v>45572</v>
      </c>
      <c r="AJ8" s="97">
        <f t="shared" si="2"/>
        <v>-4210000</v>
      </c>
      <c r="AK8" s="97">
        <v>-4210000</v>
      </c>
      <c r="AM8" s="147">
        <v>45416</v>
      </c>
      <c r="AN8" s="83">
        <v>430105</v>
      </c>
      <c r="AO8" s="83" t="s">
        <v>25</v>
      </c>
      <c r="AP8" s="83" t="str">
        <f>"CPA Ajuste T/C MBI USD " &amp;TEXT(AM8,)</f>
        <v xml:space="preserve">CPA Ajuste T/C MBI USD </v>
      </c>
      <c r="AQ8" s="149">
        <f>+AJ5*-1</f>
        <v>5556500</v>
      </c>
      <c r="AR8" s="148"/>
      <c r="AV8" s="1">
        <v>45572</v>
      </c>
      <c r="AW8" s="97">
        <f t="shared" si="3"/>
        <v>3107090</v>
      </c>
      <c r="AX8" s="97">
        <v>3107090</v>
      </c>
      <c r="AZ8" s="147">
        <v>45416</v>
      </c>
      <c r="BA8" s="83">
        <v>110252</v>
      </c>
      <c r="BB8" s="83" t="s">
        <v>184</v>
      </c>
      <c r="BC8" s="83" t="str">
        <f>"CPA Ajuste T/C Partner Dlocal LLP " &amp;TEXT(AZ8,)</f>
        <v xml:space="preserve">CPA Ajuste T/C Partner Dlocal LLP </v>
      </c>
      <c r="BD8" s="149">
        <f>+AW5</f>
        <v>3587019</v>
      </c>
      <c r="BE8" s="148"/>
      <c r="BI8" s="1">
        <v>45572</v>
      </c>
      <c r="BJ8" s="97">
        <f t="shared" si="4"/>
        <v>1568037</v>
      </c>
      <c r="BK8" s="97">
        <v>1568037</v>
      </c>
      <c r="BM8" s="147">
        <v>45416</v>
      </c>
      <c r="BN8" s="83">
        <v>110269</v>
      </c>
      <c r="BO8" s="83" t="s">
        <v>2</v>
      </c>
      <c r="BP8" s="83" t="str">
        <f>"CPA Ajuste T/C Partner Dlocal PEN " &amp;TEXT(BM8,)</f>
        <v xml:space="preserve">CPA Ajuste T/C Partner Dlocal PEN </v>
      </c>
      <c r="BQ8" s="149">
        <f>+BJ5</f>
        <v>6394863</v>
      </c>
      <c r="BR8" s="148"/>
      <c r="BV8" s="1">
        <v>45572</v>
      </c>
      <c r="BW8" s="97">
        <f t="shared" si="5"/>
        <v>630838</v>
      </c>
      <c r="BX8" s="97">
        <v>630838</v>
      </c>
      <c r="BZ8" s="147">
        <v>45416</v>
      </c>
      <c r="CA8" s="83">
        <v>110266</v>
      </c>
      <c r="CB8" s="83" t="s">
        <v>185</v>
      </c>
      <c r="CC8" s="83" t="str">
        <f>"CPA Ajuste T/C Partner Dlocal ARG " &amp;TEXT(BZ8,)</f>
        <v xml:space="preserve">CPA Ajuste T/C Partner Dlocal ARG </v>
      </c>
      <c r="CD8" s="149">
        <f>+BW5</f>
        <v>2074147</v>
      </c>
      <c r="CE8" s="148"/>
    </row>
    <row r="9" spans="1:84" x14ac:dyDescent="0.25">
      <c r="A9" s="1">
        <v>45573</v>
      </c>
      <c r="B9" s="97">
        <v>0</v>
      </c>
      <c r="D9" s="150"/>
      <c r="E9" s="144">
        <v>430105</v>
      </c>
      <c r="F9" s="144" t="s">
        <v>25</v>
      </c>
      <c r="G9" s="144" t="str">
        <f t="shared" ref="G9" si="37">G8</f>
        <v>CPA Ajuste T/C Renta4 USD</v>
      </c>
      <c r="I9" s="142">
        <f t="shared" ref="I9" si="38">H8</f>
        <v>410000</v>
      </c>
      <c r="J9" s="90"/>
      <c r="L9" s="88">
        <v>45268</v>
      </c>
      <c r="M9" s="97">
        <f t="shared" si="0"/>
        <v>4061</v>
      </c>
      <c r="N9" s="95">
        <v>4061.46</v>
      </c>
      <c r="O9" s="150"/>
      <c r="P9" s="144">
        <v>110212</v>
      </c>
      <c r="Q9" s="144" t="s">
        <v>63</v>
      </c>
      <c r="R9" s="144" t="str">
        <f t="shared" ref="R9" si="39">R8</f>
        <v>CPA Ajuste T/C JP Morgan USD 04-12-yyy</v>
      </c>
      <c r="T9" s="142">
        <f t="shared" ref="T9" si="40">S8</f>
        <v>0</v>
      </c>
      <c r="V9" s="1">
        <v>45573</v>
      </c>
      <c r="W9" s="97">
        <f t="shared" si="1"/>
        <v>-8378828</v>
      </c>
      <c r="X9" s="95">
        <v>-8378827.5499999998</v>
      </c>
      <c r="Z9" s="150"/>
      <c r="AA9" s="144">
        <v>430105</v>
      </c>
      <c r="AB9" s="144" t="s">
        <v>25</v>
      </c>
      <c r="AC9" s="144" t="str">
        <f t="shared" ref="AC9" si="41">AC8</f>
        <v xml:space="preserve">CPA Ajuste T/C Bco. Bice USD </v>
      </c>
      <c r="AE9" s="142">
        <f t="shared" ref="AE9" si="42">AD8</f>
        <v>8139864</v>
      </c>
      <c r="AI9" s="1">
        <v>45573</v>
      </c>
      <c r="AJ9" s="97">
        <f t="shared" si="2"/>
        <v>-11160000</v>
      </c>
      <c r="AK9" s="97">
        <v>-11160000</v>
      </c>
      <c r="AM9" s="150"/>
      <c r="AN9" s="144">
        <v>110296</v>
      </c>
      <c r="AO9" s="144" t="s">
        <v>123</v>
      </c>
      <c r="AP9" s="144" t="str">
        <f t="shared" ref="AP9" si="43">AP8</f>
        <v xml:space="preserve">CPA Ajuste T/C MBI USD </v>
      </c>
      <c r="AR9" s="142">
        <f t="shared" ref="AR9" si="44">AQ8</f>
        <v>5556500</v>
      </c>
      <c r="AV9" s="1">
        <v>45573</v>
      </c>
      <c r="AW9" s="97">
        <f t="shared" si="3"/>
        <v>665012</v>
      </c>
      <c r="AX9" s="97">
        <v>665012</v>
      </c>
      <c r="AZ9" s="150"/>
      <c r="BA9" s="144">
        <v>430105</v>
      </c>
      <c r="BB9" s="144" t="s">
        <v>25</v>
      </c>
      <c r="BC9" s="144" t="str">
        <f t="shared" ref="BC9" si="45">BC8</f>
        <v xml:space="preserve">CPA Ajuste T/C Partner Dlocal LLP </v>
      </c>
      <c r="BE9" s="142">
        <f t="shared" ref="BE9" si="46">BD8</f>
        <v>3587019</v>
      </c>
      <c r="BI9" s="1">
        <v>45573</v>
      </c>
      <c r="BJ9" s="97">
        <f t="shared" si="4"/>
        <v>107787</v>
      </c>
      <c r="BK9" s="97">
        <v>107787</v>
      </c>
      <c r="BM9" s="150"/>
      <c r="BN9" s="144">
        <v>430105</v>
      </c>
      <c r="BO9" s="144" t="s">
        <v>25</v>
      </c>
      <c r="BP9" s="144" t="str">
        <f t="shared" ref="BP9" si="47">BP8</f>
        <v xml:space="preserve">CPA Ajuste T/C Partner Dlocal PEN </v>
      </c>
      <c r="BR9" s="142">
        <f t="shared" ref="BR9" si="48">BQ8</f>
        <v>6394863</v>
      </c>
      <c r="BV9" s="1">
        <v>45573</v>
      </c>
      <c r="BW9" s="97">
        <f t="shared" si="5"/>
        <v>328097</v>
      </c>
      <c r="BX9" s="97">
        <v>328097</v>
      </c>
      <c r="BZ9" s="150"/>
      <c r="CA9" s="144">
        <v>430105</v>
      </c>
      <c r="CB9" s="144" t="s">
        <v>25</v>
      </c>
      <c r="CC9" s="144" t="str">
        <f t="shared" ref="CC9" si="49">CC8</f>
        <v xml:space="preserve">CPA Ajuste T/C Partner Dlocal ARG </v>
      </c>
      <c r="CE9" s="142">
        <f t="shared" ref="CE9" si="50">CD8</f>
        <v>2074147</v>
      </c>
    </row>
    <row r="10" spans="1:84" x14ac:dyDescent="0.25">
      <c r="A10" s="1">
        <v>45574</v>
      </c>
      <c r="B10" s="97">
        <v>0</v>
      </c>
      <c r="D10" s="147">
        <v>45112</v>
      </c>
      <c r="E10" s="83">
        <v>110323</v>
      </c>
      <c r="F10" s="83" t="s">
        <v>186</v>
      </c>
      <c r="G10" s="83" t="str">
        <f t="shared" ref="G10" si="51">"CPA Ajuste T/C Renta4 USD"</f>
        <v>CPA Ajuste T/C Renta4 USD</v>
      </c>
      <c r="H10" s="149">
        <f>+B6</f>
        <v>0</v>
      </c>
      <c r="I10" s="148"/>
      <c r="J10" s="90"/>
      <c r="L10" s="88">
        <v>45269</v>
      </c>
      <c r="M10" s="97">
        <f t="shared" si="0"/>
        <v>6073</v>
      </c>
      <c r="N10" s="95">
        <v>6073.44</v>
      </c>
      <c r="O10" s="147">
        <v>45265</v>
      </c>
      <c r="P10" s="83">
        <v>110212</v>
      </c>
      <c r="Q10" s="83" t="s">
        <v>63</v>
      </c>
      <c r="R10" s="83" t="str">
        <f>"CPA Ajuste T/C JP Morgan USD " &amp;TEXT(O10,"dd-mm-yyy")</f>
        <v>CPA Ajuste T/C JP Morgan USD 05-12-yyy</v>
      </c>
      <c r="S10" s="149">
        <f>+M6</f>
        <v>0</v>
      </c>
      <c r="T10" s="148"/>
      <c r="V10" s="1">
        <v>45574</v>
      </c>
      <c r="W10" s="97">
        <f t="shared" si="1"/>
        <v>13745726</v>
      </c>
      <c r="X10" s="95">
        <v>13745725.9</v>
      </c>
      <c r="Z10" s="147">
        <v>45417</v>
      </c>
      <c r="AA10" s="83">
        <v>110205</v>
      </c>
      <c r="AB10" s="83" t="s">
        <v>59</v>
      </c>
      <c r="AC10" s="83" t="str">
        <f>"CPA Ajuste T/C Bco. Bice USD " &amp;TEXT(Z10,)</f>
        <v xml:space="preserve">CPA Ajuste T/C Bco. Bice USD </v>
      </c>
      <c r="AD10" s="149">
        <f>+W6</f>
        <v>0</v>
      </c>
      <c r="AE10" s="148"/>
      <c r="AI10" s="1">
        <v>45574</v>
      </c>
      <c r="AJ10" s="97">
        <f t="shared" si="2"/>
        <v>-3065000</v>
      </c>
      <c r="AK10" s="97">
        <v>-3065000</v>
      </c>
      <c r="AM10" s="147">
        <v>45417</v>
      </c>
      <c r="AN10" s="83">
        <v>430105</v>
      </c>
      <c r="AO10" s="83" t="s">
        <v>25</v>
      </c>
      <c r="AP10" s="83" t="str">
        <f>"CPA Ajuste T/C MBI USD " &amp;TEXT(AM10,)</f>
        <v xml:space="preserve">CPA Ajuste T/C MBI USD </v>
      </c>
      <c r="AQ10" s="149">
        <f>+AJ6*-1</f>
        <v>0</v>
      </c>
      <c r="AR10" s="148"/>
      <c r="AV10" s="1">
        <v>45574</v>
      </c>
      <c r="AW10" s="97">
        <f t="shared" si="3"/>
        <v>3630975</v>
      </c>
      <c r="AX10" s="97">
        <v>3630975</v>
      </c>
      <c r="AZ10" s="147">
        <v>45417</v>
      </c>
      <c r="BA10" s="83">
        <v>110252</v>
      </c>
      <c r="BB10" s="83" t="s">
        <v>184</v>
      </c>
      <c r="BC10" s="83" t="str">
        <f>"CPA Ajuste T/C Partner Dlocal LLP " &amp;TEXT(AZ10,)</f>
        <v xml:space="preserve">CPA Ajuste T/C Partner Dlocal LLP </v>
      </c>
      <c r="BD10" s="149">
        <f>+AW6</f>
        <v>0</v>
      </c>
      <c r="BE10" s="148"/>
      <c r="BI10" s="1">
        <v>45574</v>
      </c>
      <c r="BJ10" s="97">
        <f t="shared" si="4"/>
        <v>5064650</v>
      </c>
      <c r="BK10" s="97">
        <v>5064650</v>
      </c>
      <c r="BM10" s="147">
        <v>45417</v>
      </c>
      <c r="BN10" s="83">
        <v>110269</v>
      </c>
      <c r="BO10" s="83" t="s">
        <v>2</v>
      </c>
      <c r="BP10" s="83" t="str">
        <f>"CPA Ajuste T/C Partner Dlocal PEN " &amp;TEXT(BM10,)</f>
        <v xml:space="preserve">CPA Ajuste T/C Partner Dlocal PEN </v>
      </c>
      <c r="BQ10" s="149">
        <f>+BJ6</f>
        <v>0</v>
      </c>
      <c r="BR10" s="148"/>
      <c r="BV10" s="1">
        <v>45574</v>
      </c>
      <c r="BW10" s="97">
        <f t="shared" si="5"/>
        <v>1309830</v>
      </c>
      <c r="BX10" s="97">
        <v>1309830</v>
      </c>
      <c r="BZ10" s="147">
        <v>45417</v>
      </c>
      <c r="CA10" s="83">
        <v>110266</v>
      </c>
      <c r="CB10" s="83" t="s">
        <v>185</v>
      </c>
      <c r="CC10" s="83" t="str">
        <f>"CPA Ajuste T/C Partner Dlocal ARG " &amp;TEXT(BZ10,)</f>
        <v xml:space="preserve">CPA Ajuste T/C Partner Dlocal ARG </v>
      </c>
      <c r="CD10" s="149">
        <f>+BW6</f>
        <v>0</v>
      </c>
      <c r="CE10" s="148"/>
    </row>
    <row r="11" spans="1:84" x14ac:dyDescent="0.25">
      <c r="A11" s="1">
        <v>45575</v>
      </c>
      <c r="B11" s="97">
        <v>0</v>
      </c>
      <c r="D11" s="150"/>
      <c r="E11" s="144">
        <v>430105</v>
      </c>
      <c r="F11" s="144" t="s">
        <v>25</v>
      </c>
      <c r="G11" s="144" t="str">
        <f t="shared" ref="G11" si="52">G10</f>
        <v>CPA Ajuste T/C Renta4 USD</v>
      </c>
      <c r="I11" s="142">
        <f t="shared" ref="I11" si="53">H10</f>
        <v>0</v>
      </c>
      <c r="J11" s="90"/>
      <c r="L11" s="88">
        <v>45270</v>
      </c>
      <c r="M11" s="97">
        <f t="shared" si="0"/>
        <v>4305</v>
      </c>
      <c r="N11" s="95">
        <v>4305.1499999999996</v>
      </c>
      <c r="O11" s="150"/>
      <c r="P11" s="144">
        <v>430105</v>
      </c>
      <c r="Q11" s="144" t="s">
        <v>25</v>
      </c>
      <c r="R11" s="144" t="str">
        <f t="shared" ref="R11" si="54">R10</f>
        <v>CPA Ajuste T/C JP Morgan USD 05-12-yyy</v>
      </c>
      <c r="T11" s="142">
        <f t="shared" ref="T11" si="55">S10</f>
        <v>0</v>
      </c>
      <c r="V11" s="1">
        <v>45575</v>
      </c>
      <c r="W11" s="97">
        <f t="shared" si="1"/>
        <v>2004461</v>
      </c>
      <c r="X11" s="95">
        <v>2004461.42</v>
      </c>
      <c r="Z11" s="150"/>
      <c r="AA11" s="144">
        <v>430105</v>
      </c>
      <c r="AB11" s="144" t="s">
        <v>25</v>
      </c>
      <c r="AC11" s="144" t="str">
        <f t="shared" ref="AC11" si="56">AC10</f>
        <v xml:space="preserve">CPA Ajuste T/C Bco. Bice USD </v>
      </c>
      <c r="AE11" s="142">
        <f t="shared" ref="AE11" si="57">AD10</f>
        <v>0</v>
      </c>
      <c r="AI11" s="1">
        <v>45575</v>
      </c>
      <c r="AJ11" s="97">
        <f t="shared" si="2"/>
        <v>7879000</v>
      </c>
      <c r="AK11" s="97">
        <v>7879000</v>
      </c>
      <c r="AM11" s="150"/>
      <c r="AN11" s="144">
        <v>110296</v>
      </c>
      <c r="AO11" s="144" t="s">
        <v>123</v>
      </c>
      <c r="AP11" s="144" t="str">
        <f t="shared" ref="AP11" si="58">AP10</f>
        <v xml:space="preserve">CPA Ajuste T/C MBI USD </v>
      </c>
      <c r="AR11" s="142">
        <f t="shared" ref="AR11" si="59">AQ10</f>
        <v>0</v>
      </c>
      <c r="AV11" s="1">
        <v>45575</v>
      </c>
      <c r="AW11" s="97">
        <f t="shared" si="3"/>
        <v>486364</v>
      </c>
      <c r="AX11" s="97">
        <v>486364</v>
      </c>
      <c r="AZ11" s="150"/>
      <c r="BA11" s="144">
        <v>430105</v>
      </c>
      <c r="BB11" s="144" t="s">
        <v>25</v>
      </c>
      <c r="BC11" s="144" t="str">
        <f t="shared" ref="BC11" si="60">BC10</f>
        <v xml:space="preserve">CPA Ajuste T/C Partner Dlocal LLP </v>
      </c>
      <c r="BE11" s="142">
        <f t="shared" ref="BE11" si="61">BD10</f>
        <v>0</v>
      </c>
      <c r="BI11" s="1">
        <v>45575</v>
      </c>
      <c r="BJ11" s="97">
        <f t="shared" si="4"/>
        <v>-1590348</v>
      </c>
      <c r="BK11" s="97">
        <v>-1590348</v>
      </c>
      <c r="BM11" s="150"/>
      <c r="BN11" s="144">
        <v>430105</v>
      </c>
      <c r="BO11" s="144" t="s">
        <v>25</v>
      </c>
      <c r="BP11" s="144" t="str">
        <f t="shared" ref="BP11" si="62">BP10</f>
        <v xml:space="preserve">CPA Ajuste T/C Partner Dlocal PEN </v>
      </c>
      <c r="BR11" s="142">
        <f t="shared" ref="BR11" si="63">BQ10</f>
        <v>0</v>
      </c>
      <c r="BV11" s="1">
        <v>45575</v>
      </c>
      <c r="BW11" s="97">
        <f t="shared" si="5"/>
        <v>218761</v>
      </c>
      <c r="BX11" s="97">
        <v>218761</v>
      </c>
      <c r="BZ11" s="150"/>
      <c r="CA11" s="144">
        <v>430105</v>
      </c>
      <c r="CB11" s="144" t="s">
        <v>25</v>
      </c>
      <c r="CC11" s="144" t="str">
        <f t="shared" ref="CC11" si="64">CC10</f>
        <v xml:space="preserve">CPA Ajuste T/C Partner Dlocal ARG </v>
      </c>
      <c r="CE11" s="142">
        <f t="shared" ref="CE11" si="65">CD10</f>
        <v>0</v>
      </c>
    </row>
    <row r="12" spans="1:84" x14ac:dyDescent="0.25">
      <c r="A12" s="1">
        <v>45576</v>
      </c>
      <c r="B12" s="97">
        <v>0</v>
      </c>
      <c r="D12" s="147">
        <v>45113</v>
      </c>
      <c r="E12" s="83">
        <v>110323</v>
      </c>
      <c r="F12" s="83" t="s">
        <v>186</v>
      </c>
      <c r="G12" s="83" t="str">
        <f t="shared" ref="G12" si="66">"CPA Ajuste T/C Renta4 USD"</f>
        <v>CPA Ajuste T/C Renta4 USD</v>
      </c>
      <c r="H12" s="149">
        <f>+B7</f>
        <v>0</v>
      </c>
      <c r="I12" s="148"/>
      <c r="J12" s="90"/>
      <c r="L12" s="88">
        <v>45271</v>
      </c>
      <c r="M12" s="97">
        <f t="shared" si="0"/>
        <v>0</v>
      </c>
      <c r="N12" s="95">
        <v>0</v>
      </c>
      <c r="O12" s="147">
        <v>45266</v>
      </c>
      <c r="P12" s="83">
        <v>430105</v>
      </c>
      <c r="Q12" s="83" t="s">
        <v>25</v>
      </c>
      <c r="R12" s="83" t="str">
        <f>"CPA Ajuste T/C JP Morgan USD " &amp;TEXT(O12,"dd-mm-yyy")</f>
        <v>CPA Ajuste T/C JP Morgan USD 06-12-yyy</v>
      </c>
      <c r="S12" s="149">
        <f>+M7*-1</f>
        <v>5274</v>
      </c>
      <c r="T12" s="148"/>
      <c r="V12" s="1">
        <v>45576</v>
      </c>
      <c r="W12" s="97">
        <f t="shared" si="1"/>
        <v>581056</v>
      </c>
      <c r="X12" s="95">
        <v>581055.85</v>
      </c>
      <c r="Z12" s="147">
        <v>45418</v>
      </c>
      <c r="AA12" s="83">
        <v>110205</v>
      </c>
      <c r="AB12" s="83" t="s">
        <v>59</v>
      </c>
      <c r="AC12" s="83" t="str">
        <f>"CPA Ajuste T/C Bco. Bice USD " &amp;TEXT(Z12,)</f>
        <v xml:space="preserve">CPA Ajuste T/C Bco. Bice USD </v>
      </c>
      <c r="AD12" s="149">
        <f>+W7</f>
        <v>0</v>
      </c>
      <c r="AE12" s="148"/>
      <c r="AI12" s="1">
        <v>45576</v>
      </c>
      <c r="AJ12" s="97">
        <f t="shared" si="2"/>
        <v>3883000</v>
      </c>
      <c r="AK12" s="97">
        <v>3883000</v>
      </c>
      <c r="AM12" s="147">
        <v>45418</v>
      </c>
      <c r="AN12" s="83">
        <v>430105</v>
      </c>
      <c r="AO12" s="83" t="s">
        <v>25</v>
      </c>
      <c r="AP12" s="83" t="str">
        <f>"CPA Ajuste T/C MBI USD " &amp;TEXT(AM12,)</f>
        <v xml:space="preserve">CPA Ajuste T/C MBI USD </v>
      </c>
      <c r="AQ12" s="149">
        <f>+AJ7*-1</f>
        <v>0</v>
      </c>
      <c r="AR12" s="148"/>
      <c r="AV12" s="1">
        <v>45576</v>
      </c>
      <c r="AW12" s="97">
        <f t="shared" si="3"/>
        <v>-1938891</v>
      </c>
      <c r="AX12" s="97">
        <v>-1938891</v>
      </c>
      <c r="AZ12" s="147">
        <v>45418</v>
      </c>
      <c r="BA12" s="83">
        <v>110252</v>
      </c>
      <c r="BB12" s="83" t="s">
        <v>184</v>
      </c>
      <c r="BC12" s="83" t="str">
        <f>"CPA Ajuste T/C Partner Dlocal LLP " &amp;TEXT(AZ12,)</f>
        <v xml:space="preserve">CPA Ajuste T/C Partner Dlocal LLP </v>
      </c>
      <c r="BD12" s="149">
        <f>+AW7</f>
        <v>0</v>
      </c>
      <c r="BE12" s="148"/>
      <c r="BI12" s="1">
        <v>45576</v>
      </c>
      <c r="BJ12" s="97">
        <f t="shared" si="4"/>
        <v>-4173588</v>
      </c>
      <c r="BK12" s="97">
        <v>-4173588</v>
      </c>
      <c r="BM12" s="147">
        <v>45418</v>
      </c>
      <c r="BN12" s="83">
        <v>110269</v>
      </c>
      <c r="BO12" s="83" t="s">
        <v>2</v>
      </c>
      <c r="BP12" s="83" t="str">
        <f>"CPA Ajuste T/C Partner Dlocal PEN " &amp;TEXT(BM12,)</f>
        <v xml:space="preserve">CPA Ajuste T/C Partner Dlocal PEN </v>
      </c>
      <c r="BQ12" s="149">
        <f>+BJ7</f>
        <v>0</v>
      </c>
      <c r="BR12" s="148"/>
      <c r="BV12" s="1">
        <v>45576</v>
      </c>
      <c r="BW12" s="97">
        <f t="shared" si="5"/>
        <v>-654871</v>
      </c>
      <c r="BX12" s="97">
        <v>-654871</v>
      </c>
      <c r="BZ12" s="147">
        <v>45418</v>
      </c>
      <c r="CA12" s="83">
        <v>110266</v>
      </c>
      <c r="CB12" s="83" t="s">
        <v>185</v>
      </c>
      <c r="CC12" s="83" t="str">
        <f>"CPA Ajuste T/C Partner Dlocal ARG " &amp;TEXT(BZ12,)</f>
        <v xml:space="preserve">CPA Ajuste T/C Partner Dlocal ARG </v>
      </c>
      <c r="CD12" s="149">
        <f>+BW7</f>
        <v>0</v>
      </c>
      <c r="CE12" s="148"/>
    </row>
    <row r="13" spans="1:84" x14ac:dyDescent="0.25">
      <c r="A13" s="1">
        <v>45577</v>
      </c>
      <c r="B13" s="97">
        <v>0</v>
      </c>
      <c r="C13" s="151"/>
      <c r="D13" s="150"/>
      <c r="E13" s="144">
        <v>430105</v>
      </c>
      <c r="F13" s="144" t="s">
        <v>25</v>
      </c>
      <c r="G13" s="144" t="str">
        <f t="shared" ref="G13" si="67">G12</f>
        <v>CPA Ajuste T/C Renta4 USD</v>
      </c>
      <c r="H13" s="90"/>
      <c r="I13" s="142">
        <f t="shared" ref="I13" si="68">H12</f>
        <v>0</v>
      </c>
      <c r="J13" s="90"/>
      <c r="L13" s="88">
        <v>45272</v>
      </c>
      <c r="M13" s="97">
        <f t="shared" si="0"/>
        <v>0</v>
      </c>
      <c r="N13" s="95">
        <v>0</v>
      </c>
      <c r="O13" s="150"/>
      <c r="P13" s="144">
        <v>110212</v>
      </c>
      <c r="Q13" s="144" t="s">
        <v>63</v>
      </c>
      <c r="R13" s="144" t="str">
        <f t="shared" ref="R13" si="69">R12</f>
        <v>CPA Ajuste T/C JP Morgan USD 06-12-yyy</v>
      </c>
      <c r="S13" s="90"/>
      <c r="T13" s="142">
        <f t="shared" ref="T13" si="70">S12</f>
        <v>5274</v>
      </c>
      <c r="V13" s="1">
        <v>45577</v>
      </c>
      <c r="W13" s="97">
        <f t="shared" si="1"/>
        <v>0</v>
      </c>
      <c r="X13" s="95">
        <v>0</v>
      </c>
      <c r="Y13" s="151"/>
      <c r="Z13" s="150"/>
      <c r="AA13" s="144">
        <v>430105</v>
      </c>
      <c r="AB13" s="144" t="s">
        <v>25</v>
      </c>
      <c r="AC13" s="144" t="str">
        <f t="shared" ref="AC13" si="71">AC12</f>
        <v xml:space="preserve">CPA Ajuste T/C Bco. Bice USD </v>
      </c>
      <c r="AD13" s="90"/>
      <c r="AE13" s="142">
        <f t="shared" ref="AE13" si="72">AD12</f>
        <v>0</v>
      </c>
      <c r="AI13" s="1">
        <v>45577</v>
      </c>
      <c r="AJ13" s="97">
        <f t="shared" si="2"/>
        <v>0</v>
      </c>
      <c r="AK13" s="97">
        <v>0</v>
      </c>
      <c r="AL13" s="151"/>
      <c r="AM13" s="150"/>
      <c r="AN13" s="144">
        <v>110296</v>
      </c>
      <c r="AO13" s="144" t="s">
        <v>123</v>
      </c>
      <c r="AP13" s="144" t="str">
        <f t="shared" ref="AP13" si="73">AP12</f>
        <v xml:space="preserve">CPA Ajuste T/C MBI USD </v>
      </c>
      <c r="AQ13" s="90"/>
      <c r="AR13" s="142">
        <f t="shared" ref="AR13" si="74">AQ12</f>
        <v>0</v>
      </c>
      <c r="AV13" s="1">
        <v>45577</v>
      </c>
      <c r="AW13" s="97">
        <f t="shared" si="3"/>
        <v>0</v>
      </c>
      <c r="AX13" s="97">
        <v>0</v>
      </c>
      <c r="AY13" s="151"/>
      <c r="AZ13" s="150"/>
      <c r="BA13" s="144">
        <v>430105</v>
      </c>
      <c r="BB13" s="144" t="s">
        <v>25</v>
      </c>
      <c r="BC13" s="144" t="str">
        <f t="shared" ref="BC13" si="75">BC12</f>
        <v xml:space="preserve">CPA Ajuste T/C Partner Dlocal LLP </v>
      </c>
      <c r="BD13" s="90"/>
      <c r="BE13" s="142">
        <f t="shared" ref="BE13" si="76">BD12</f>
        <v>0</v>
      </c>
      <c r="BI13" s="1">
        <v>45577</v>
      </c>
      <c r="BJ13" s="97">
        <f t="shared" si="4"/>
        <v>0</v>
      </c>
      <c r="BK13" s="97">
        <v>0</v>
      </c>
      <c r="BL13" s="151"/>
      <c r="BM13" s="150"/>
      <c r="BN13" s="144">
        <v>430105</v>
      </c>
      <c r="BO13" s="144" t="s">
        <v>25</v>
      </c>
      <c r="BP13" s="144" t="str">
        <f t="shared" ref="BP13" si="77">BP12</f>
        <v xml:space="preserve">CPA Ajuste T/C Partner Dlocal PEN </v>
      </c>
      <c r="BQ13" s="90"/>
      <c r="BR13" s="142">
        <f t="shared" ref="BR13" si="78">BQ12</f>
        <v>0</v>
      </c>
      <c r="BV13" s="1">
        <v>45577</v>
      </c>
      <c r="BW13" s="97">
        <f t="shared" si="5"/>
        <v>0</v>
      </c>
      <c r="BX13" s="97">
        <v>0</v>
      </c>
      <c r="BY13" s="151"/>
      <c r="BZ13" s="150"/>
      <c r="CA13" s="144">
        <v>430105</v>
      </c>
      <c r="CB13" s="144" t="s">
        <v>25</v>
      </c>
      <c r="CC13" s="144" t="str">
        <f t="shared" ref="CC13" si="79">CC12</f>
        <v xml:space="preserve">CPA Ajuste T/C Partner Dlocal ARG </v>
      </c>
      <c r="CD13" s="90"/>
      <c r="CE13" s="142">
        <f t="shared" ref="CE13" si="80">CD12</f>
        <v>0</v>
      </c>
    </row>
    <row r="14" spans="1:84" x14ac:dyDescent="0.25">
      <c r="A14" s="1">
        <v>45578</v>
      </c>
      <c r="B14" s="97">
        <v>0</v>
      </c>
      <c r="C14" s="87"/>
      <c r="D14" s="147">
        <v>45114</v>
      </c>
      <c r="E14" s="83">
        <v>110323</v>
      </c>
      <c r="F14" s="83" t="s">
        <v>186</v>
      </c>
      <c r="G14" s="83" t="str">
        <f t="shared" ref="G14" si="81">"CPA Ajuste T/C Renta4 USD"</f>
        <v>CPA Ajuste T/C Renta4 USD</v>
      </c>
      <c r="H14" s="149">
        <f>+B8</f>
        <v>0</v>
      </c>
      <c r="I14" s="148"/>
      <c r="J14" s="90"/>
      <c r="L14" s="88">
        <v>45273</v>
      </c>
      <c r="M14" s="97">
        <f t="shared" si="0"/>
        <v>8554</v>
      </c>
      <c r="N14" s="95">
        <v>8554.06</v>
      </c>
      <c r="O14" s="147">
        <v>45267</v>
      </c>
      <c r="P14" s="83">
        <v>430105</v>
      </c>
      <c r="Q14" s="83" t="s">
        <v>25</v>
      </c>
      <c r="R14" s="83" t="str">
        <f>"CPA Ajuste T/C JP Morgan USD " &amp;TEXT(O14,"dd-mm-yyy")</f>
        <v>CPA Ajuste T/C JP Morgan USD 07-12-yyy</v>
      </c>
      <c r="S14" s="149">
        <f>+M8*-1</f>
        <v>950</v>
      </c>
      <c r="T14" s="148"/>
      <c r="V14" s="1">
        <v>45578</v>
      </c>
      <c r="W14" s="97">
        <f t="shared" si="1"/>
        <v>0</v>
      </c>
      <c r="X14" s="95">
        <v>0</v>
      </c>
      <c r="Y14" s="87"/>
      <c r="Z14" s="147">
        <v>45419</v>
      </c>
      <c r="AA14" s="83">
        <v>110205</v>
      </c>
      <c r="AB14" s="83" t="s">
        <v>59</v>
      </c>
      <c r="AC14" s="83" t="str">
        <f>"CPA Ajuste T/C Bco. Bice USD " &amp;TEXT(Z14,)</f>
        <v xml:space="preserve">CPA Ajuste T/C Bco. Bice USD </v>
      </c>
      <c r="AD14" s="149">
        <f>+W8</f>
        <v>167879</v>
      </c>
      <c r="AE14" s="148"/>
      <c r="AI14" s="1">
        <v>45578</v>
      </c>
      <c r="AJ14" s="97">
        <f t="shared" si="2"/>
        <v>0</v>
      </c>
      <c r="AK14" s="97">
        <v>0</v>
      </c>
      <c r="AL14" s="87"/>
      <c r="AM14" s="147">
        <v>45419</v>
      </c>
      <c r="AN14" s="83">
        <v>430105</v>
      </c>
      <c r="AO14" s="83" t="s">
        <v>25</v>
      </c>
      <c r="AP14" s="83" t="str">
        <f>"CPA Ajuste T/C MBI USD " &amp;TEXT(AM14,)</f>
        <v xml:space="preserve">CPA Ajuste T/C MBI USD </v>
      </c>
      <c r="AQ14" s="149">
        <f>+AJ8*-1</f>
        <v>4210000</v>
      </c>
      <c r="AR14" s="148"/>
      <c r="AV14" s="1">
        <v>45578</v>
      </c>
      <c r="AW14" s="97">
        <f t="shared" si="3"/>
        <v>0</v>
      </c>
      <c r="AX14" s="97">
        <v>0</v>
      </c>
      <c r="AY14" s="87"/>
      <c r="AZ14" s="147">
        <v>45419</v>
      </c>
      <c r="BA14" s="83">
        <v>110252</v>
      </c>
      <c r="BB14" s="83" t="s">
        <v>184</v>
      </c>
      <c r="BC14" s="83" t="str">
        <f>"CPA Ajuste T/C Partner Dlocal LLP " &amp;TEXT(AZ14,)</f>
        <v xml:space="preserve">CPA Ajuste T/C Partner Dlocal LLP </v>
      </c>
      <c r="BD14" s="149">
        <f>+AW8</f>
        <v>3107090</v>
      </c>
      <c r="BE14" s="148"/>
      <c r="BI14" s="1">
        <v>45578</v>
      </c>
      <c r="BJ14" s="97">
        <f t="shared" si="4"/>
        <v>0</v>
      </c>
      <c r="BK14" s="97">
        <v>0</v>
      </c>
      <c r="BL14" s="87"/>
      <c r="BM14" s="147">
        <v>45419</v>
      </c>
      <c r="BN14" s="83">
        <v>110269</v>
      </c>
      <c r="BO14" s="83" t="s">
        <v>2</v>
      </c>
      <c r="BP14" s="83" t="str">
        <f>"CPA Ajuste T/C Partner Dlocal PEN " &amp;TEXT(BM14,)</f>
        <v xml:space="preserve">CPA Ajuste T/C Partner Dlocal PEN </v>
      </c>
      <c r="BQ14" s="149">
        <f>+BJ8</f>
        <v>1568037</v>
      </c>
      <c r="BR14" s="148"/>
      <c r="BV14" s="1">
        <v>45578</v>
      </c>
      <c r="BW14" s="97">
        <f t="shared" si="5"/>
        <v>0</v>
      </c>
      <c r="BX14" s="97">
        <v>0</v>
      </c>
      <c r="BY14" s="87"/>
      <c r="BZ14" s="147">
        <v>45419</v>
      </c>
      <c r="CA14" s="83">
        <v>110266</v>
      </c>
      <c r="CB14" s="83" t="s">
        <v>185</v>
      </c>
      <c r="CC14" s="83" t="str">
        <f>"CPA Ajuste T/C Partner Dlocal ARG " &amp;TEXT(BZ14,)</f>
        <v xml:space="preserve">CPA Ajuste T/C Partner Dlocal ARG </v>
      </c>
      <c r="CD14" s="149">
        <f>+BW8</f>
        <v>630838</v>
      </c>
      <c r="CE14" s="148"/>
    </row>
    <row r="15" spans="1:84" x14ac:dyDescent="0.25">
      <c r="A15" s="1">
        <v>45579</v>
      </c>
      <c r="B15" s="97">
        <v>0</v>
      </c>
      <c r="C15" s="152"/>
      <c r="D15" s="150"/>
      <c r="E15" s="144">
        <v>430105</v>
      </c>
      <c r="F15" s="144" t="s">
        <v>25</v>
      </c>
      <c r="G15" s="144" t="str">
        <f t="shared" ref="G15" si="82">G14</f>
        <v>CPA Ajuste T/C Renta4 USD</v>
      </c>
      <c r="H15" s="90"/>
      <c r="I15" s="142">
        <f t="shared" ref="I15" si="83">H14</f>
        <v>0</v>
      </c>
      <c r="J15" s="90"/>
      <c r="L15" s="88">
        <v>45274</v>
      </c>
      <c r="M15" s="97">
        <f t="shared" si="0"/>
        <v>3168</v>
      </c>
      <c r="N15" s="95">
        <v>3167.94</v>
      </c>
      <c r="O15" s="150"/>
      <c r="P15" s="144">
        <v>110212</v>
      </c>
      <c r="Q15" s="144" t="s">
        <v>63</v>
      </c>
      <c r="R15" s="144" t="str">
        <f t="shared" ref="R15" si="84">R14</f>
        <v>CPA Ajuste T/C JP Morgan USD 07-12-yyy</v>
      </c>
      <c r="S15" s="90"/>
      <c r="T15" s="142">
        <f t="shared" ref="T15" si="85">S14</f>
        <v>950</v>
      </c>
      <c r="V15" s="1">
        <v>45579</v>
      </c>
      <c r="W15" s="97">
        <f t="shared" si="1"/>
        <v>-8504798</v>
      </c>
      <c r="X15" s="95">
        <v>-8504797.6400000006</v>
      </c>
      <c r="Y15" s="152"/>
      <c r="Z15" s="150"/>
      <c r="AA15" s="144">
        <v>430105</v>
      </c>
      <c r="AB15" s="144" t="s">
        <v>25</v>
      </c>
      <c r="AC15" s="144" t="str">
        <f t="shared" ref="AC15" si="86">AC14</f>
        <v xml:space="preserve">CPA Ajuste T/C Bco. Bice USD </v>
      </c>
      <c r="AD15" s="90"/>
      <c r="AE15" s="142">
        <f t="shared" ref="AE15" si="87">AD14</f>
        <v>167879</v>
      </c>
      <c r="AI15" s="1">
        <v>45579</v>
      </c>
      <c r="AJ15" s="97">
        <f t="shared" si="2"/>
        <v>-2346500</v>
      </c>
      <c r="AK15" s="97">
        <v>-2346500</v>
      </c>
      <c r="AL15" s="152"/>
      <c r="AM15" s="150"/>
      <c r="AN15" s="144">
        <v>110296</v>
      </c>
      <c r="AO15" s="144" t="s">
        <v>123</v>
      </c>
      <c r="AP15" s="144" t="str">
        <f t="shared" ref="AP15" si="88">AP14</f>
        <v xml:space="preserve">CPA Ajuste T/C MBI USD </v>
      </c>
      <c r="AQ15" s="90"/>
      <c r="AR15" s="142">
        <f t="shared" ref="AR15" si="89">AQ14</f>
        <v>4210000</v>
      </c>
      <c r="AV15" s="1">
        <v>45579</v>
      </c>
      <c r="AW15" s="97">
        <f t="shared" si="3"/>
        <v>-3972621</v>
      </c>
      <c r="AX15" s="97">
        <v>-3972621</v>
      </c>
      <c r="AY15" s="152"/>
      <c r="AZ15" s="150"/>
      <c r="BA15" s="144">
        <v>430105</v>
      </c>
      <c r="BB15" s="144" t="s">
        <v>25</v>
      </c>
      <c r="BC15" s="144" t="str">
        <f t="shared" ref="BC15" si="90">BC14</f>
        <v xml:space="preserve">CPA Ajuste T/C Partner Dlocal LLP </v>
      </c>
      <c r="BD15" s="90"/>
      <c r="BE15" s="142">
        <f t="shared" ref="BE15" si="91">BD14</f>
        <v>3107090</v>
      </c>
      <c r="BI15" s="1">
        <v>45579</v>
      </c>
      <c r="BJ15" s="97">
        <f t="shared" si="4"/>
        <v>-505811</v>
      </c>
      <c r="BK15" s="97">
        <v>-505811</v>
      </c>
      <c r="BL15" s="152"/>
      <c r="BM15" s="150"/>
      <c r="BN15" s="144">
        <v>430105</v>
      </c>
      <c r="BO15" s="144" t="s">
        <v>25</v>
      </c>
      <c r="BP15" s="144" t="str">
        <f t="shared" ref="BP15" si="92">BP14</f>
        <v xml:space="preserve">CPA Ajuste T/C Partner Dlocal PEN </v>
      </c>
      <c r="BQ15" s="90"/>
      <c r="BR15" s="142">
        <f t="shared" ref="BR15" si="93">BQ14</f>
        <v>1568037</v>
      </c>
      <c r="BV15" s="1">
        <v>45579</v>
      </c>
      <c r="BW15" s="97">
        <f t="shared" si="5"/>
        <v>-362402</v>
      </c>
      <c r="BX15" s="97">
        <v>-362402</v>
      </c>
      <c r="BY15" s="152"/>
      <c r="BZ15" s="150"/>
      <c r="CA15" s="144">
        <v>430105</v>
      </c>
      <c r="CB15" s="144" t="s">
        <v>25</v>
      </c>
      <c r="CC15" s="144" t="str">
        <f t="shared" ref="CC15" si="94">CC14</f>
        <v xml:space="preserve">CPA Ajuste T/C Partner Dlocal ARG </v>
      </c>
      <c r="CD15" s="90"/>
      <c r="CE15" s="142">
        <f t="shared" ref="CE15" si="95">CD14</f>
        <v>630838</v>
      </c>
    </row>
    <row r="16" spans="1:84" x14ac:dyDescent="0.25">
      <c r="A16" s="1">
        <v>45580</v>
      </c>
      <c r="B16" s="97">
        <v>0</v>
      </c>
      <c r="C16" s="87"/>
      <c r="D16" s="147">
        <v>45115</v>
      </c>
      <c r="E16" s="83">
        <v>430105</v>
      </c>
      <c r="F16" s="83" t="s">
        <v>25</v>
      </c>
      <c r="G16" s="83" t="str">
        <f t="shared" ref="G16" si="96">"CPA Ajuste T/C Renta4 USD"</f>
        <v>CPA Ajuste T/C Renta4 USD</v>
      </c>
      <c r="H16" s="149">
        <f>+B9*-1</f>
        <v>0</v>
      </c>
      <c r="I16" s="148"/>
      <c r="J16" s="90"/>
      <c r="L16" s="88">
        <v>45275</v>
      </c>
      <c r="M16" s="97">
        <f t="shared" si="0"/>
        <v>-8929</v>
      </c>
      <c r="N16" s="95">
        <v>-8928.9599999999991</v>
      </c>
      <c r="O16" s="147">
        <v>45268</v>
      </c>
      <c r="P16" s="83">
        <v>110212</v>
      </c>
      <c r="Q16" s="83" t="s">
        <v>63</v>
      </c>
      <c r="R16" s="83" t="str">
        <f>"CPA Ajuste T/C JP Morgan USD " &amp;TEXT(O16,"dd-mm-yyy")</f>
        <v>CPA Ajuste T/C JP Morgan USD 08-12-yyy</v>
      </c>
      <c r="S16" s="149">
        <f>+M9</f>
        <v>4061</v>
      </c>
      <c r="T16" s="148"/>
      <c r="V16" s="1">
        <v>45580</v>
      </c>
      <c r="W16" s="97">
        <f t="shared" si="1"/>
        <v>375328</v>
      </c>
      <c r="X16" s="95">
        <v>375327.83</v>
      </c>
      <c r="Y16" s="87"/>
      <c r="Z16" s="147">
        <v>45420</v>
      </c>
      <c r="AA16" s="83">
        <v>430105</v>
      </c>
      <c r="AB16" s="83" t="s">
        <v>25</v>
      </c>
      <c r="AC16" s="83" t="str">
        <f>"CPA Ajuste T/C Bco. Bice USD " &amp;TEXT(Z16,)</f>
        <v xml:space="preserve">CPA Ajuste T/C Bco. Bice USD </v>
      </c>
      <c r="AD16" s="149">
        <f>+W9*-1</f>
        <v>8378828</v>
      </c>
      <c r="AE16" s="148"/>
      <c r="AI16" s="1">
        <v>45580</v>
      </c>
      <c r="AJ16" s="97">
        <f t="shared" si="2"/>
        <v>-18765000</v>
      </c>
      <c r="AK16" s="97">
        <v>-18765000</v>
      </c>
      <c r="AL16" s="87"/>
      <c r="AM16" s="147">
        <v>45420</v>
      </c>
      <c r="AN16" s="83">
        <v>430105</v>
      </c>
      <c r="AO16" s="83" t="s">
        <v>25</v>
      </c>
      <c r="AP16" s="83" t="str">
        <f>"CPA Ajuste T/C MBI USD " &amp;TEXT(AM16,)</f>
        <v xml:space="preserve">CPA Ajuste T/C MBI USD </v>
      </c>
      <c r="AQ16" s="149">
        <f>+AJ9*-1</f>
        <v>11160000</v>
      </c>
      <c r="AR16" s="148"/>
      <c r="AV16" s="1">
        <v>45580</v>
      </c>
      <c r="AW16" s="97">
        <f t="shared" si="3"/>
        <v>334804</v>
      </c>
      <c r="AX16" s="97">
        <v>334804</v>
      </c>
      <c r="AY16" s="87"/>
      <c r="AZ16" s="147">
        <v>45420</v>
      </c>
      <c r="BA16" s="83">
        <v>110252</v>
      </c>
      <c r="BB16" s="83" t="s">
        <v>184</v>
      </c>
      <c r="BC16" s="83" t="str">
        <f>"CPA Ajuste T/C Partner Dlocal LLP " &amp;TEXT(AZ16,)</f>
        <v xml:space="preserve">CPA Ajuste T/C Partner Dlocal LLP </v>
      </c>
      <c r="BD16" s="149">
        <f>+AW9</f>
        <v>665012</v>
      </c>
      <c r="BE16" s="148"/>
      <c r="BI16" s="1">
        <v>45580</v>
      </c>
      <c r="BJ16" s="97">
        <f t="shared" si="4"/>
        <v>923135</v>
      </c>
      <c r="BK16" s="97">
        <v>923135</v>
      </c>
      <c r="BL16" s="87"/>
      <c r="BM16" s="147">
        <v>45420</v>
      </c>
      <c r="BN16" s="83">
        <v>110269</v>
      </c>
      <c r="BO16" s="83" t="s">
        <v>2</v>
      </c>
      <c r="BP16" s="83" t="str">
        <f>"CPA Ajuste T/C Partner Dlocal PEN " &amp;TEXT(BM16,)</f>
        <v xml:space="preserve">CPA Ajuste T/C Partner Dlocal PEN </v>
      </c>
      <c r="BQ16" s="149">
        <f>+BJ9</f>
        <v>107787</v>
      </c>
      <c r="BR16" s="148"/>
      <c r="BV16" s="1">
        <v>45580</v>
      </c>
      <c r="BW16" s="97">
        <f t="shared" si="5"/>
        <v>135531</v>
      </c>
      <c r="BX16" s="97">
        <v>135531</v>
      </c>
      <c r="BY16" s="87"/>
      <c r="BZ16" s="147">
        <v>45420</v>
      </c>
      <c r="CA16" s="83">
        <v>110266</v>
      </c>
      <c r="CB16" s="83" t="s">
        <v>185</v>
      </c>
      <c r="CC16" s="83" t="str">
        <f>"CPA Ajuste T/C Partner Dlocal ARG " &amp;TEXT(BZ16,)</f>
        <v xml:space="preserve">CPA Ajuste T/C Partner Dlocal ARG </v>
      </c>
      <c r="CD16" s="149">
        <f>+BW9</f>
        <v>328097</v>
      </c>
      <c r="CE16" s="148"/>
    </row>
    <row r="17" spans="1:83" x14ac:dyDescent="0.25">
      <c r="A17" s="1">
        <v>45581</v>
      </c>
      <c r="B17" s="97">
        <v>-2155000</v>
      </c>
      <c r="C17" s="87"/>
      <c r="D17" s="143"/>
      <c r="E17" s="144">
        <v>110323</v>
      </c>
      <c r="F17" s="144" t="s">
        <v>186</v>
      </c>
      <c r="G17" s="144" t="str">
        <f t="shared" ref="G17" si="97">G16</f>
        <v>CPA Ajuste T/C Renta4 USD</v>
      </c>
      <c r="H17" s="145"/>
      <c r="I17" s="146">
        <f t="shared" ref="I17" si="98">H16</f>
        <v>0</v>
      </c>
      <c r="J17" s="90"/>
      <c r="L17" s="88">
        <v>45276</v>
      </c>
      <c r="M17" s="97">
        <f t="shared" si="0"/>
        <v>-926</v>
      </c>
      <c r="N17" s="95">
        <v>-925.66</v>
      </c>
      <c r="O17" s="143"/>
      <c r="P17" s="144">
        <v>430105</v>
      </c>
      <c r="Q17" s="144" t="s">
        <v>25</v>
      </c>
      <c r="R17" s="144" t="str">
        <f t="shared" ref="R17" si="99">R16</f>
        <v>CPA Ajuste T/C JP Morgan USD 08-12-yyy</v>
      </c>
      <c r="S17" s="145"/>
      <c r="T17" s="146">
        <f t="shared" ref="T17" si="100">S16</f>
        <v>4061</v>
      </c>
      <c r="V17" s="1">
        <v>45581</v>
      </c>
      <c r="W17" s="97">
        <f t="shared" si="1"/>
        <v>8731101</v>
      </c>
      <c r="X17" s="95">
        <v>8731101.4299999997</v>
      </c>
      <c r="Y17" s="87"/>
      <c r="Z17" s="143"/>
      <c r="AA17" s="144">
        <v>110205</v>
      </c>
      <c r="AB17" s="144" t="s">
        <v>59</v>
      </c>
      <c r="AC17" s="144" t="str">
        <f t="shared" ref="AC17" si="101">AC16</f>
        <v xml:space="preserve">CPA Ajuste T/C Bco. Bice USD </v>
      </c>
      <c r="AD17" s="145"/>
      <c r="AE17" s="146">
        <f t="shared" ref="AE17" si="102">AD16</f>
        <v>8378828</v>
      </c>
      <c r="AI17" s="1">
        <v>45581</v>
      </c>
      <c r="AJ17" s="97">
        <f t="shared" si="2"/>
        <v>-7297000</v>
      </c>
      <c r="AK17" s="97">
        <v>-7297000</v>
      </c>
      <c r="AL17" s="87"/>
      <c r="AM17" s="143"/>
      <c r="AN17" s="144">
        <v>110296</v>
      </c>
      <c r="AO17" s="144" t="s">
        <v>123</v>
      </c>
      <c r="AP17" s="144" t="str">
        <f t="shared" ref="AP17" si="103">AP16</f>
        <v xml:space="preserve">CPA Ajuste T/C MBI USD </v>
      </c>
      <c r="AQ17" s="145"/>
      <c r="AR17" s="146">
        <f t="shared" ref="AR17" si="104">AQ16</f>
        <v>11160000</v>
      </c>
      <c r="AV17" s="1">
        <v>45581</v>
      </c>
      <c r="AW17" s="97">
        <f t="shared" si="3"/>
        <v>1135571</v>
      </c>
      <c r="AX17" s="97">
        <v>1135571</v>
      </c>
      <c r="AY17" s="87"/>
      <c r="AZ17" s="143"/>
      <c r="BA17" s="144">
        <v>430105</v>
      </c>
      <c r="BB17" s="144" t="s">
        <v>25</v>
      </c>
      <c r="BC17" s="144" t="str">
        <f t="shared" ref="BC17" si="105">BC16</f>
        <v xml:space="preserve">CPA Ajuste T/C Partner Dlocal LLP </v>
      </c>
      <c r="BD17" s="145"/>
      <c r="BE17" s="146">
        <f t="shared" ref="BE17" si="106">BD16</f>
        <v>665012</v>
      </c>
      <c r="BI17" s="1">
        <v>45581</v>
      </c>
      <c r="BJ17" s="97">
        <f t="shared" si="4"/>
        <v>5079784</v>
      </c>
      <c r="BK17" s="97">
        <v>5079784</v>
      </c>
      <c r="BL17" s="87"/>
      <c r="BM17" s="143"/>
      <c r="BN17" s="144">
        <v>430105</v>
      </c>
      <c r="BO17" s="144" t="s">
        <v>25</v>
      </c>
      <c r="BP17" s="144" t="str">
        <f t="shared" ref="BP17" si="107">BP16</f>
        <v xml:space="preserve">CPA Ajuste T/C Partner Dlocal PEN </v>
      </c>
      <c r="BQ17" s="145"/>
      <c r="BR17" s="146">
        <f t="shared" ref="BR17" si="108">BQ16</f>
        <v>107787</v>
      </c>
      <c r="BV17" s="1">
        <v>45581</v>
      </c>
      <c r="BW17" s="97">
        <f t="shared" si="5"/>
        <v>705744</v>
      </c>
      <c r="BX17" s="97">
        <v>705744</v>
      </c>
      <c r="BY17" s="87"/>
      <c r="BZ17" s="143"/>
      <c r="CA17" s="144">
        <v>430105</v>
      </c>
      <c r="CB17" s="144" t="s">
        <v>25</v>
      </c>
      <c r="CC17" s="144" t="str">
        <f t="shared" ref="CC17" si="109">CC16</f>
        <v xml:space="preserve">CPA Ajuste T/C Partner Dlocal ARG </v>
      </c>
      <c r="CD17" s="145"/>
      <c r="CE17" s="146">
        <f t="shared" ref="CE17" si="110">CD16</f>
        <v>328097</v>
      </c>
    </row>
    <row r="18" spans="1:83" x14ac:dyDescent="0.25">
      <c r="A18" s="1">
        <v>45582</v>
      </c>
      <c r="B18" s="97">
        <v>0</v>
      </c>
      <c r="C18" s="87"/>
      <c r="D18" s="147">
        <v>45116</v>
      </c>
      <c r="E18" s="83">
        <v>430105</v>
      </c>
      <c r="F18" s="83" t="s">
        <v>25</v>
      </c>
      <c r="G18" s="83" t="str">
        <f t="shared" ref="G18" si="111">"CPA Ajuste T/C Renta4 USD"</f>
        <v>CPA Ajuste T/C Renta4 USD</v>
      </c>
      <c r="H18" s="149">
        <f>+B10*-1</f>
        <v>0</v>
      </c>
      <c r="I18" s="148"/>
      <c r="J18" s="90"/>
      <c r="L18" s="88">
        <v>45277</v>
      </c>
      <c r="M18" s="97">
        <f t="shared" si="0"/>
        <v>-485</v>
      </c>
      <c r="N18" s="95">
        <v>-485.46</v>
      </c>
      <c r="O18" s="147">
        <v>45269</v>
      </c>
      <c r="P18" s="83">
        <v>110212</v>
      </c>
      <c r="Q18" s="83" t="s">
        <v>63</v>
      </c>
      <c r="R18" s="83" t="str">
        <f>"CPA Ajuste T/C JP Morgan USD " &amp;TEXT(O18,"dd-mm-yyy")</f>
        <v>CPA Ajuste T/C JP Morgan USD 09-12-yyy</v>
      </c>
      <c r="S18" s="149">
        <f>+M10</f>
        <v>6073</v>
      </c>
      <c r="T18" s="148"/>
      <c r="V18" s="1">
        <v>45582</v>
      </c>
      <c r="W18" s="97">
        <f t="shared" si="1"/>
        <v>839653</v>
      </c>
      <c r="X18" s="95">
        <v>839652.98</v>
      </c>
      <c r="Y18" s="87"/>
      <c r="Z18" s="147">
        <v>45421</v>
      </c>
      <c r="AA18" s="83">
        <v>110205</v>
      </c>
      <c r="AB18" s="83" t="s">
        <v>59</v>
      </c>
      <c r="AC18" s="83" t="str">
        <f>"CPA Ajuste T/C Bco. Bice USD " &amp;TEXT(Z18,)</f>
        <v xml:space="preserve">CPA Ajuste T/C Bco. Bice USD </v>
      </c>
      <c r="AD18" s="149">
        <f>+W10</f>
        <v>13745726</v>
      </c>
      <c r="AE18" s="148"/>
      <c r="AI18" s="1">
        <v>45582</v>
      </c>
      <c r="AJ18" s="97">
        <f t="shared" si="2"/>
        <v>-6700000</v>
      </c>
      <c r="AK18" s="97">
        <v>-6700000</v>
      </c>
      <c r="AL18" s="87"/>
      <c r="AM18" s="147">
        <v>45421</v>
      </c>
      <c r="AN18" s="83">
        <v>430105</v>
      </c>
      <c r="AO18" s="83" t="s">
        <v>25</v>
      </c>
      <c r="AP18" s="83" t="str">
        <f>"CPA Ajuste T/C MBI USD " &amp;TEXT(AM18,)</f>
        <v xml:space="preserve">CPA Ajuste T/C MBI USD </v>
      </c>
      <c r="AQ18" s="149">
        <f>+AJ10*-1</f>
        <v>3065000</v>
      </c>
      <c r="AR18" s="148"/>
      <c r="AV18" s="1">
        <v>45582</v>
      </c>
      <c r="AW18" s="97">
        <f t="shared" si="3"/>
        <v>1050096</v>
      </c>
      <c r="AX18" s="97">
        <v>1050096</v>
      </c>
      <c r="AY18" s="87"/>
      <c r="AZ18" s="147">
        <v>45421</v>
      </c>
      <c r="BA18" s="83">
        <v>110252</v>
      </c>
      <c r="BB18" s="83" t="s">
        <v>184</v>
      </c>
      <c r="BC18" s="83" t="str">
        <f>"CPA Ajuste T/C Partner Dlocal LLP " &amp;TEXT(AZ18,)</f>
        <v xml:space="preserve">CPA Ajuste T/C Partner Dlocal LLP </v>
      </c>
      <c r="BD18" s="149">
        <f>+AW10</f>
        <v>3630975</v>
      </c>
      <c r="BE18" s="148"/>
      <c r="BI18" s="1">
        <v>45582</v>
      </c>
      <c r="BJ18" s="97">
        <f t="shared" si="4"/>
        <v>2428452</v>
      </c>
      <c r="BK18" s="97">
        <v>2428452</v>
      </c>
      <c r="BL18" s="87"/>
      <c r="BM18" s="147">
        <v>45421</v>
      </c>
      <c r="BN18" s="83">
        <v>110269</v>
      </c>
      <c r="BO18" s="83" t="s">
        <v>2</v>
      </c>
      <c r="BP18" s="83" t="str">
        <f>"CPA Ajuste T/C Partner Dlocal PEN " &amp;TEXT(BM18,)</f>
        <v xml:space="preserve">CPA Ajuste T/C Partner Dlocal PEN </v>
      </c>
      <c r="BQ18" s="149">
        <f>+BJ10</f>
        <v>5064650</v>
      </c>
      <c r="BR18" s="148"/>
      <c r="BV18" s="1">
        <v>45582</v>
      </c>
      <c r="BW18" s="97">
        <f t="shared" si="5"/>
        <v>342211</v>
      </c>
      <c r="BX18" s="97">
        <v>342211</v>
      </c>
      <c r="BY18" s="87"/>
      <c r="BZ18" s="147">
        <v>45421</v>
      </c>
      <c r="CA18" s="83">
        <v>110266</v>
      </c>
      <c r="CB18" s="83" t="s">
        <v>185</v>
      </c>
      <c r="CC18" s="83" t="str">
        <f>"CPA Ajuste T/C Partner Dlocal ARG " &amp;TEXT(BZ18,)</f>
        <v xml:space="preserve">CPA Ajuste T/C Partner Dlocal ARG </v>
      </c>
      <c r="CD18" s="149">
        <f>+BW10</f>
        <v>1309830</v>
      </c>
      <c r="CE18" s="148"/>
    </row>
    <row r="19" spans="1:83" x14ac:dyDescent="0.25">
      <c r="A19" s="1">
        <v>45583</v>
      </c>
      <c r="B19" s="97">
        <v>0</v>
      </c>
      <c r="C19" s="87"/>
      <c r="D19" s="143"/>
      <c r="E19" s="144">
        <v>110323</v>
      </c>
      <c r="F19" s="144" t="s">
        <v>186</v>
      </c>
      <c r="G19" s="144" t="str">
        <f t="shared" ref="G19" si="112">G18</f>
        <v>CPA Ajuste T/C Renta4 USD</v>
      </c>
      <c r="H19" s="145"/>
      <c r="I19" s="146">
        <f t="shared" ref="I19" si="113">H18</f>
        <v>0</v>
      </c>
      <c r="J19" s="90"/>
      <c r="L19" s="88">
        <v>45278</v>
      </c>
      <c r="M19" s="97">
        <f t="shared" si="0"/>
        <v>0</v>
      </c>
      <c r="N19" s="95">
        <v>0</v>
      </c>
      <c r="O19" s="143"/>
      <c r="P19" s="144">
        <v>430105</v>
      </c>
      <c r="Q19" s="144" t="s">
        <v>25</v>
      </c>
      <c r="R19" s="144" t="str">
        <f t="shared" ref="R19" si="114">R18</f>
        <v>CPA Ajuste T/C JP Morgan USD 09-12-yyy</v>
      </c>
      <c r="S19" s="145"/>
      <c r="T19" s="146">
        <f t="shared" ref="T19" si="115">S18</f>
        <v>6073</v>
      </c>
      <c r="V19" s="1">
        <v>45583</v>
      </c>
      <c r="W19" s="97">
        <f t="shared" si="1"/>
        <v>-1264910</v>
      </c>
      <c r="X19" s="95">
        <v>-1264909.83</v>
      </c>
      <c r="Y19" s="87"/>
      <c r="Z19" s="143"/>
      <c r="AA19" s="144">
        <v>430105</v>
      </c>
      <c r="AB19" s="144" t="s">
        <v>25</v>
      </c>
      <c r="AC19" s="144" t="str">
        <f t="shared" ref="AC19" si="116">AC18</f>
        <v xml:space="preserve">CPA Ajuste T/C Bco. Bice USD </v>
      </c>
      <c r="AD19" s="145"/>
      <c r="AE19" s="146">
        <f t="shared" ref="AE19" si="117">AD18</f>
        <v>13745726</v>
      </c>
      <c r="AI19" s="1">
        <v>45583</v>
      </c>
      <c r="AJ19" s="97">
        <f t="shared" si="2"/>
        <v>0</v>
      </c>
      <c r="AK19" s="97">
        <v>0</v>
      </c>
      <c r="AL19" s="87"/>
      <c r="AM19" s="143"/>
      <c r="AN19" s="144">
        <v>110296</v>
      </c>
      <c r="AO19" s="144" t="s">
        <v>123</v>
      </c>
      <c r="AP19" s="144" t="str">
        <f t="shared" ref="AP19" si="118">AP18</f>
        <v xml:space="preserve">CPA Ajuste T/C MBI USD </v>
      </c>
      <c r="AQ19" s="145"/>
      <c r="AR19" s="146">
        <f t="shared" ref="AR19" si="119">AQ18</f>
        <v>3065000</v>
      </c>
      <c r="AV19" s="1">
        <v>45583</v>
      </c>
      <c r="AW19" s="97">
        <f t="shared" si="3"/>
        <v>1509016</v>
      </c>
      <c r="AX19" s="97">
        <v>1509016</v>
      </c>
      <c r="AY19" s="87"/>
      <c r="AZ19" s="143"/>
      <c r="BA19" s="144">
        <v>430105</v>
      </c>
      <c r="BB19" s="144" t="s">
        <v>25</v>
      </c>
      <c r="BC19" s="144" t="str">
        <f t="shared" ref="BC19" si="120">BC18</f>
        <v xml:space="preserve">CPA Ajuste T/C Partner Dlocal LLP </v>
      </c>
      <c r="BD19" s="145"/>
      <c r="BE19" s="146">
        <f t="shared" ref="BE19" si="121">BD18</f>
        <v>3630975</v>
      </c>
      <c r="BI19" s="1">
        <v>45583</v>
      </c>
      <c r="BJ19" s="97">
        <f t="shared" si="4"/>
        <v>4041378</v>
      </c>
      <c r="BK19" s="97">
        <v>4041378</v>
      </c>
      <c r="BL19" s="87"/>
      <c r="BM19" s="143"/>
      <c r="BN19" s="144">
        <v>430105</v>
      </c>
      <c r="BO19" s="144" t="s">
        <v>25</v>
      </c>
      <c r="BP19" s="144" t="str">
        <f t="shared" ref="BP19" si="122">BP18</f>
        <v xml:space="preserve">CPA Ajuste T/C Partner Dlocal PEN </v>
      </c>
      <c r="BQ19" s="145"/>
      <c r="BR19" s="146">
        <f t="shared" ref="BR19" si="123">BQ18</f>
        <v>5064650</v>
      </c>
      <c r="BV19" s="1">
        <v>45583</v>
      </c>
      <c r="BW19" s="97">
        <f t="shared" si="5"/>
        <v>412105</v>
      </c>
      <c r="BX19" s="97">
        <v>412105</v>
      </c>
      <c r="BY19" s="87"/>
      <c r="BZ19" s="143"/>
      <c r="CA19" s="144">
        <v>430105</v>
      </c>
      <c r="CB19" s="144" t="s">
        <v>25</v>
      </c>
      <c r="CC19" s="144" t="str">
        <f t="shared" ref="CC19" si="124">CC18</f>
        <v xml:space="preserve">CPA Ajuste T/C Partner Dlocal ARG </v>
      </c>
      <c r="CD19" s="145"/>
      <c r="CE19" s="146">
        <f t="shared" ref="CE19" si="125">CD18</f>
        <v>1309830</v>
      </c>
    </row>
    <row r="20" spans="1:83" x14ac:dyDescent="0.25">
      <c r="A20" s="1">
        <v>45584</v>
      </c>
      <c r="B20" s="97">
        <v>0</v>
      </c>
      <c r="C20" s="87"/>
      <c r="D20" s="147">
        <v>45117</v>
      </c>
      <c r="E20" s="83">
        <v>430105</v>
      </c>
      <c r="F20" s="83" t="s">
        <v>25</v>
      </c>
      <c r="G20" s="83" t="str">
        <f t="shared" ref="G20" si="126">"CPA Ajuste T/C Renta4 USD"</f>
        <v>CPA Ajuste T/C Renta4 USD</v>
      </c>
      <c r="H20" s="149">
        <f>+B11*-1</f>
        <v>0</v>
      </c>
      <c r="I20" s="148"/>
      <c r="J20" s="90"/>
      <c r="L20" s="88">
        <v>45279</v>
      </c>
      <c r="M20" s="97">
        <f t="shared" si="0"/>
        <v>0</v>
      </c>
      <c r="N20" s="95">
        <v>0</v>
      </c>
      <c r="O20" s="147">
        <v>45270</v>
      </c>
      <c r="P20" s="83">
        <v>110212</v>
      </c>
      <c r="Q20" s="83" t="s">
        <v>63</v>
      </c>
      <c r="R20" s="83" t="str">
        <f>"CPA Ajuste T/C JP Morgan USD " &amp;TEXT(O20,"dd-mm-yyy")</f>
        <v>CPA Ajuste T/C JP Morgan USD 10-12-yyy</v>
      </c>
      <c r="S20" s="149">
        <f>+M11</f>
        <v>4305</v>
      </c>
      <c r="T20" s="148"/>
      <c r="V20" s="1">
        <v>45584</v>
      </c>
      <c r="W20" s="97">
        <f t="shared" si="1"/>
        <v>0</v>
      </c>
      <c r="X20" s="95">
        <v>0</v>
      </c>
      <c r="Y20" s="87"/>
      <c r="Z20" s="147">
        <v>45422</v>
      </c>
      <c r="AA20" s="83">
        <v>110205</v>
      </c>
      <c r="AB20" s="83" t="s">
        <v>59</v>
      </c>
      <c r="AC20" s="83" t="str">
        <f>"CPA Ajuste T/C Bco. Bice USD " &amp;TEXT(Z20,)</f>
        <v xml:space="preserve">CPA Ajuste T/C Bco. Bice USD </v>
      </c>
      <c r="AD20" s="149">
        <f>+W11</f>
        <v>2004461</v>
      </c>
      <c r="AE20" s="148"/>
      <c r="AI20" s="1">
        <v>45584</v>
      </c>
      <c r="AJ20" s="97">
        <f t="shared" si="2"/>
        <v>0</v>
      </c>
      <c r="AK20" s="97">
        <v>0</v>
      </c>
      <c r="AL20" s="87"/>
      <c r="AM20" s="147">
        <v>45422</v>
      </c>
      <c r="AN20" s="83">
        <v>110296</v>
      </c>
      <c r="AO20" s="83" t="s">
        <v>123</v>
      </c>
      <c r="AP20" s="83" t="str">
        <f>"CPA Ajuste T/C MBI USD " &amp;TEXT(AM20,)</f>
        <v xml:space="preserve">CPA Ajuste T/C MBI USD </v>
      </c>
      <c r="AQ20" s="149">
        <f>+AJ11</f>
        <v>7879000</v>
      </c>
      <c r="AR20" s="148"/>
      <c r="AV20" s="1">
        <v>45584</v>
      </c>
      <c r="AW20" s="97">
        <f t="shared" si="3"/>
        <v>0</v>
      </c>
      <c r="AX20" s="97">
        <v>0</v>
      </c>
      <c r="AY20" s="87"/>
      <c r="AZ20" s="147">
        <v>45422</v>
      </c>
      <c r="BA20" s="83">
        <v>110252</v>
      </c>
      <c r="BB20" s="83" t="s">
        <v>184</v>
      </c>
      <c r="BC20" s="83" t="str">
        <f>"CPA Ajuste T/C Partner Dlocal LLP " &amp;TEXT(AZ20,)</f>
        <v xml:space="preserve">CPA Ajuste T/C Partner Dlocal LLP </v>
      </c>
      <c r="BD20" s="149">
        <f>+AW11</f>
        <v>486364</v>
      </c>
      <c r="BE20" s="148"/>
      <c r="BI20" s="1">
        <v>45584</v>
      </c>
      <c r="BJ20" s="97">
        <f t="shared" si="4"/>
        <v>0</v>
      </c>
      <c r="BK20" s="97">
        <v>0</v>
      </c>
      <c r="BL20" s="87"/>
      <c r="BM20" s="147">
        <v>45422</v>
      </c>
      <c r="BN20" s="83">
        <v>430105</v>
      </c>
      <c r="BO20" s="83" t="s">
        <v>25</v>
      </c>
      <c r="BP20" s="83" t="str">
        <f>"CPA Ajuste T/C Partner Dlocal PEN " &amp;TEXT(BM20,)</f>
        <v xml:space="preserve">CPA Ajuste T/C Partner Dlocal PEN </v>
      </c>
      <c r="BQ20" s="149">
        <f>+BJ11*-1</f>
        <v>1590348</v>
      </c>
      <c r="BR20" s="148"/>
      <c r="BV20" s="1">
        <v>45584</v>
      </c>
      <c r="BW20" s="97">
        <f t="shared" si="5"/>
        <v>0</v>
      </c>
      <c r="BX20" s="97">
        <v>0</v>
      </c>
      <c r="BY20" s="87"/>
      <c r="BZ20" s="147">
        <v>45422</v>
      </c>
      <c r="CA20" s="83">
        <v>110266</v>
      </c>
      <c r="CB20" s="83" t="s">
        <v>185</v>
      </c>
      <c r="CC20" s="83" t="str">
        <f>"CPA Ajuste T/C Partner Dlocal ARG " &amp;TEXT(BZ20,)</f>
        <v xml:space="preserve">CPA Ajuste T/C Partner Dlocal ARG </v>
      </c>
      <c r="CD20" s="149">
        <f>+BW11</f>
        <v>218761</v>
      </c>
      <c r="CE20" s="148"/>
    </row>
    <row r="21" spans="1:83" x14ac:dyDescent="0.25">
      <c r="A21" s="1">
        <v>45585</v>
      </c>
      <c r="B21" s="97">
        <v>0</v>
      </c>
      <c r="C21" s="87"/>
      <c r="D21" s="141"/>
      <c r="E21" s="144">
        <v>110323</v>
      </c>
      <c r="F21" s="144" t="s">
        <v>186</v>
      </c>
      <c r="G21" s="144" t="str">
        <f t="shared" ref="G21" si="127">G20</f>
        <v>CPA Ajuste T/C Renta4 USD</v>
      </c>
      <c r="H21" s="90"/>
      <c r="I21" s="142">
        <f t="shared" ref="I21" si="128">H20</f>
        <v>0</v>
      </c>
      <c r="J21" s="90"/>
      <c r="L21" s="88">
        <v>45280</v>
      </c>
      <c r="M21" s="97">
        <f t="shared" si="0"/>
        <v>172</v>
      </c>
      <c r="N21" s="95">
        <v>171.88</v>
      </c>
      <c r="O21" s="141"/>
      <c r="P21" s="144">
        <v>430105</v>
      </c>
      <c r="Q21" s="144" t="s">
        <v>25</v>
      </c>
      <c r="R21" s="144" t="str">
        <f t="shared" ref="R21" si="129">R20</f>
        <v>CPA Ajuste T/C JP Morgan USD 10-12-yyy</v>
      </c>
      <c r="S21" s="90"/>
      <c r="T21" s="142">
        <f t="shared" ref="T21" si="130">S20</f>
        <v>4305</v>
      </c>
      <c r="V21" s="1">
        <v>45585</v>
      </c>
      <c r="W21" s="97">
        <f t="shared" si="1"/>
        <v>0</v>
      </c>
      <c r="X21" s="95">
        <v>0</v>
      </c>
      <c r="Y21" s="87"/>
      <c r="Z21" s="141"/>
      <c r="AA21" s="144">
        <v>430105</v>
      </c>
      <c r="AB21" s="144" t="s">
        <v>25</v>
      </c>
      <c r="AC21" s="144" t="str">
        <f t="shared" ref="AC21" si="131">AC20</f>
        <v xml:space="preserve">CPA Ajuste T/C Bco. Bice USD </v>
      </c>
      <c r="AD21" s="90"/>
      <c r="AE21" s="142">
        <f t="shared" ref="AE21" si="132">AD20</f>
        <v>2004461</v>
      </c>
      <c r="AI21" s="1">
        <v>45585</v>
      </c>
      <c r="AJ21" s="97">
        <f t="shared" si="2"/>
        <v>0</v>
      </c>
      <c r="AK21" s="97">
        <v>0</v>
      </c>
      <c r="AL21" s="87"/>
      <c r="AM21" s="141"/>
      <c r="AN21" s="144">
        <v>430105</v>
      </c>
      <c r="AO21" s="144" t="s">
        <v>25</v>
      </c>
      <c r="AP21" s="144" t="str">
        <f t="shared" ref="AP21" si="133">AP20</f>
        <v xml:space="preserve">CPA Ajuste T/C MBI USD </v>
      </c>
      <c r="AQ21" s="90"/>
      <c r="AR21" s="142">
        <f t="shared" ref="AR21" si="134">AQ20</f>
        <v>7879000</v>
      </c>
      <c r="AV21" s="1">
        <v>45585</v>
      </c>
      <c r="AW21" s="97">
        <f t="shared" si="3"/>
        <v>0</v>
      </c>
      <c r="AX21" s="97">
        <v>0</v>
      </c>
      <c r="AY21" s="87"/>
      <c r="AZ21" s="141"/>
      <c r="BA21" s="144">
        <v>430105</v>
      </c>
      <c r="BB21" s="144" t="s">
        <v>25</v>
      </c>
      <c r="BC21" s="144" t="str">
        <f t="shared" ref="BC21" si="135">BC20</f>
        <v xml:space="preserve">CPA Ajuste T/C Partner Dlocal LLP </v>
      </c>
      <c r="BD21" s="90"/>
      <c r="BE21" s="142">
        <f t="shared" ref="BE21" si="136">BD20</f>
        <v>486364</v>
      </c>
      <c r="BI21" s="1">
        <v>45585</v>
      </c>
      <c r="BJ21" s="97">
        <f t="shared" si="4"/>
        <v>0</v>
      </c>
      <c r="BK21" s="97">
        <v>0</v>
      </c>
      <c r="BL21" s="87"/>
      <c r="BM21" s="141"/>
      <c r="BN21" s="144">
        <v>110269</v>
      </c>
      <c r="BO21" s="144" t="s">
        <v>2</v>
      </c>
      <c r="BP21" s="144" t="str">
        <f t="shared" ref="BP21" si="137">BP20</f>
        <v xml:space="preserve">CPA Ajuste T/C Partner Dlocal PEN </v>
      </c>
      <c r="BQ21" s="90"/>
      <c r="BR21" s="142">
        <f t="shared" ref="BR21" si="138">BQ20</f>
        <v>1590348</v>
      </c>
      <c r="BV21" s="1">
        <v>45585</v>
      </c>
      <c r="BW21" s="97">
        <f t="shared" si="5"/>
        <v>0</v>
      </c>
      <c r="BX21" s="97">
        <v>0</v>
      </c>
      <c r="BY21" s="87"/>
      <c r="BZ21" s="141"/>
      <c r="CA21" s="144">
        <v>430105</v>
      </c>
      <c r="CB21" s="144" t="s">
        <v>25</v>
      </c>
      <c r="CC21" s="144" t="str">
        <f t="shared" ref="CC21" si="139">CC20</f>
        <v xml:space="preserve">CPA Ajuste T/C Partner Dlocal ARG </v>
      </c>
      <c r="CD21" s="90"/>
      <c r="CE21" s="142">
        <f t="shared" ref="CE21" si="140">CD20</f>
        <v>218761</v>
      </c>
    </row>
    <row r="22" spans="1:83" x14ac:dyDescent="0.25">
      <c r="A22" s="1">
        <v>45586</v>
      </c>
      <c r="B22" s="97">
        <v>-3655000</v>
      </c>
      <c r="C22" s="87"/>
      <c r="D22" s="147">
        <v>45118</v>
      </c>
      <c r="E22" s="83">
        <v>110323</v>
      </c>
      <c r="F22" s="83" t="s">
        <v>186</v>
      </c>
      <c r="G22" s="83" t="str">
        <f t="shared" ref="G22" si="141">"CPA Ajuste T/C Renta4 USD"</f>
        <v>CPA Ajuste T/C Renta4 USD</v>
      </c>
      <c r="H22" s="149">
        <f>+B12</f>
        <v>0</v>
      </c>
      <c r="I22" s="148"/>
      <c r="J22" s="90"/>
      <c r="L22" s="88">
        <v>45281</v>
      </c>
      <c r="M22" s="97">
        <f t="shared" si="0"/>
        <v>-289</v>
      </c>
      <c r="N22" s="95">
        <v>-289.33999999999997</v>
      </c>
      <c r="O22" s="147">
        <v>45271</v>
      </c>
      <c r="P22" s="83">
        <v>110212</v>
      </c>
      <c r="Q22" s="83" t="s">
        <v>63</v>
      </c>
      <c r="R22" s="83" t="str">
        <f>"CPA Ajuste T/C JP Morgan USD " &amp;TEXT(O22,"dd-mm-yyy")</f>
        <v>CPA Ajuste T/C JP Morgan USD 11-12-yyy</v>
      </c>
      <c r="S22" s="149">
        <f>+M12</f>
        <v>0</v>
      </c>
      <c r="T22" s="148"/>
      <c r="V22" s="1">
        <v>45586</v>
      </c>
      <c r="W22" s="97">
        <f t="shared" si="1"/>
        <v>1899644</v>
      </c>
      <c r="X22" s="95">
        <v>1899643.7</v>
      </c>
      <c r="Y22" s="87"/>
      <c r="Z22" s="147">
        <v>45423</v>
      </c>
      <c r="AA22" s="83">
        <v>110205</v>
      </c>
      <c r="AB22" s="83" t="s">
        <v>59</v>
      </c>
      <c r="AC22" s="83" t="str">
        <f>"CPA Ajuste T/C Bco. Bice USD " &amp;TEXT(Z22,)</f>
        <v xml:space="preserve">CPA Ajuste T/C Bco. Bice USD </v>
      </c>
      <c r="AD22" s="149">
        <f>+W12</f>
        <v>581056</v>
      </c>
      <c r="AE22" s="148"/>
      <c r="AI22" s="1">
        <v>45586</v>
      </c>
      <c r="AJ22" s="97">
        <f t="shared" si="2"/>
        <v>-11992500</v>
      </c>
      <c r="AK22" s="97">
        <v>-11992500</v>
      </c>
      <c r="AL22" s="87"/>
      <c r="AM22" s="147">
        <v>45423</v>
      </c>
      <c r="AN22" s="83">
        <v>110296</v>
      </c>
      <c r="AO22" s="83" t="s">
        <v>123</v>
      </c>
      <c r="AP22" s="83" t="str">
        <f>"CPA Ajuste T/C MBI USD " &amp;TEXT(AM22,)</f>
        <v xml:space="preserve">CPA Ajuste T/C MBI USD </v>
      </c>
      <c r="AQ22" s="149">
        <f>+AJ12</f>
        <v>3883000</v>
      </c>
      <c r="AR22" s="148"/>
      <c r="AV22" s="1">
        <v>45586</v>
      </c>
      <c r="AW22" s="97">
        <f t="shared" si="3"/>
        <v>775074</v>
      </c>
      <c r="AX22" s="97">
        <v>775074</v>
      </c>
      <c r="AY22" s="87"/>
      <c r="AZ22" s="147">
        <v>45423</v>
      </c>
      <c r="BA22" s="83">
        <v>430105</v>
      </c>
      <c r="BB22" s="83" t="s">
        <v>25</v>
      </c>
      <c r="BC22" s="83" t="str">
        <f>"CPA Ajuste T/C Partner Dlocal LLP " &amp;TEXT(AZ22,)</f>
        <v xml:space="preserve">CPA Ajuste T/C Partner Dlocal LLP </v>
      </c>
      <c r="BD22" s="149">
        <f>+AW12*-1</f>
        <v>1938891</v>
      </c>
      <c r="BE22" s="148"/>
      <c r="BI22" s="1">
        <v>45586</v>
      </c>
      <c r="BJ22" s="97">
        <f t="shared" si="4"/>
        <v>3235294</v>
      </c>
      <c r="BK22" s="97">
        <v>3235294</v>
      </c>
      <c r="BL22" s="87"/>
      <c r="BM22" s="147">
        <v>45423</v>
      </c>
      <c r="BN22" s="83">
        <v>430105</v>
      </c>
      <c r="BO22" s="83" t="s">
        <v>25</v>
      </c>
      <c r="BP22" s="83" t="str">
        <f>"CPA Ajuste T/C Partner Dlocal PEN " &amp;TEXT(BM22,)</f>
        <v xml:space="preserve">CPA Ajuste T/C Partner Dlocal PEN </v>
      </c>
      <c r="BQ22" s="149">
        <f>+BJ12*-1</f>
        <v>4173588</v>
      </c>
      <c r="BR22" s="148"/>
      <c r="BV22" s="1">
        <v>45586</v>
      </c>
      <c r="BW22" s="97">
        <f t="shared" si="5"/>
        <v>113993</v>
      </c>
      <c r="BX22" s="97">
        <v>113993</v>
      </c>
      <c r="BY22" s="87"/>
      <c r="BZ22" s="147">
        <v>45423</v>
      </c>
      <c r="CA22" s="83">
        <v>430105</v>
      </c>
      <c r="CB22" s="83" t="s">
        <v>25</v>
      </c>
      <c r="CC22" s="83" t="str">
        <f>"CPA Ajuste T/C Partner Dlocal ARG " &amp;TEXT(BZ22,)</f>
        <v xml:space="preserve">CPA Ajuste T/C Partner Dlocal ARG </v>
      </c>
      <c r="CD22" s="149">
        <f>+BW12*-1</f>
        <v>654871</v>
      </c>
      <c r="CE22" s="148"/>
    </row>
    <row r="23" spans="1:83" x14ac:dyDescent="0.25">
      <c r="A23" s="1">
        <v>45587</v>
      </c>
      <c r="B23" s="97">
        <v>5854000</v>
      </c>
      <c r="C23" s="87"/>
      <c r="D23" s="141"/>
      <c r="E23" s="144">
        <v>430105</v>
      </c>
      <c r="F23" s="144" t="s">
        <v>25</v>
      </c>
      <c r="G23" s="144" t="str">
        <f t="shared" ref="G23" si="142">G22</f>
        <v>CPA Ajuste T/C Renta4 USD</v>
      </c>
      <c r="H23" s="90"/>
      <c r="I23" s="142">
        <f t="shared" ref="I23" si="143">H22</f>
        <v>0</v>
      </c>
      <c r="J23" s="90"/>
      <c r="L23" s="88">
        <v>45282</v>
      </c>
      <c r="M23" s="97">
        <f t="shared" si="0"/>
        <v>-285</v>
      </c>
      <c r="N23" s="95">
        <v>-285.02999999999997</v>
      </c>
      <c r="O23" s="141"/>
      <c r="P23" s="144">
        <v>430105</v>
      </c>
      <c r="Q23" s="144" t="s">
        <v>25</v>
      </c>
      <c r="R23" s="144" t="str">
        <f t="shared" ref="R23" si="144">R22</f>
        <v>CPA Ajuste T/C JP Morgan USD 11-12-yyy</v>
      </c>
      <c r="S23" s="90"/>
      <c r="T23" s="142">
        <f t="shared" ref="T23" si="145">S22</f>
        <v>0</v>
      </c>
      <c r="V23" s="1">
        <v>45587</v>
      </c>
      <c r="W23" s="97">
        <f t="shared" si="1"/>
        <v>7599192</v>
      </c>
      <c r="X23" s="95">
        <v>7599191.6100000003</v>
      </c>
      <c r="Y23" s="87"/>
      <c r="Z23" s="141"/>
      <c r="AA23" s="144">
        <v>430105</v>
      </c>
      <c r="AB23" s="144" t="s">
        <v>25</v>
      </c>
      <c r="AC23" s="144" t="str">
        <f t="shared" ref="AC23" si="146">AC22</f>
        <v xml:space="preserve">CPA Ajuste T/C Bco. Bice USD </v>
      </c>
      <c r="AD23" s="90"/>
      <c r="AE23" s="142">
        <f t="shared" ref="AE23" si="147">AD22</f>
        <v>581056</v>
      </c>
      <c r="AI23" s="1">
        <v>45587</v>
      </c>
      <c r="AJ23" s="97">
        <f t="shared" si="2"/>
        <v>6940000</v>
      </c>
      <c r="AK23" s="97">
        <v>6940000</v>
      </c>
      <c r="AL23" s="87"/>
      <c r="AM23" s="141"/>
      <c r="AN23" s="144">
        <v>430105</v>
      </c>
      <c r="AO23" s="144" t="s">
        <v>25</v>
      </c>
      <c r="AP23" s="144" t="str">
        <f t="shared" ref="AP23" si="148">AP22</f>
        <v xml:space="preserve">CPA Ajuste T/C MBI USD </v>
      </c>
      <c r="AQ23" s="90"/>
      <c r="AR23" s="142">
        <f t="shared" ref="AR23" si="149">AQ22</f>
        <v>3883000</v>
      </c>
      <c r="AV23" s="1">
        <v>45587</v>
      </c>
      <c r="AW23" s="97">
        <f t="shared" si="3"/>
        <v>3682185</v>
      </c>
      <c r="AX23" s="97">
        <v>3682185</v>
      </c>
      <c r="AY23" s="87"/>
      <c r="AZ23" s="141"/>
      <c r="BA23" s="144">
        <v>110252</v>
      </c>
      <c r="BB23" s="144" t="s">
        <v>184</v>
      </c>
      <c r="BC23" s="144" t="str">
        <f t="shared" ref="BC23" si="150">BC22</f>
        <v xml:space="preserve">CPA Ajuste T/C Partner Dlocal LLP </v>
      </c>
      <c r="BD23" s="90"/>
      <c r="BE23" s="142">
        <f t="shared" ref="BE23" si="151">BD22</f>
        <v>1938891</v>
      </c>
      <c r="BI23" s="1">
        <v>45587</v>
      </c>
      <c r="BJ23" s="97">
        <f t="shared" si="4"/>
        <v>1955990</v>
      </c>
      <c r="BK23" s="97">
        <v>1955990</v>
      </c>
      <c r="BL23" s="87"/>
      <c r="BM23" s="141"/>
      <c r="BN23" s="144">
        <v>110269</v>
      </c>
      <c r="BO23" s="144" t="s">
        <v>2</v>
      </c>
      <c r="BP23" s="144" t="str">
        <f t="shared" ref="BP23" si="152">BP22</f>
        <v xml:space="preserve">CPA Ajuste T/C Partner Dlocal PEN </v>
      </c>
      <c r="BQ23" s="90"/>
      <c r="BR23" s="142">
        <f t="shared" ref="BR23" si="153">BQ22</f>
        <v>4173588</v>
      </c>
      <c r="BV23" s="1">
        <v>45587</v>
      </c>
      <c r="BW23" s="97">
        <f t="shared" si="5"/>
        <v>468226</v>
      </c>
      <c r="BX23" s="97">
        <v>468226</v>
      </c>
      <c r="BY23" s="87"/>
      <c r="BZ23" s="141"/>
      <c r="CA23" s="144">
        <v>110266</v>
      </c>
      <c r="CB23" s="144" t="s">
        <v>185</v>
      </c>
      <c r="CC23" s="144" t="str">
        <f t="shared" ref="CC23" si="154">CC22</f>
        <v xml:space="preserve">CPA Ajuste T/C Partner Dlocal ARG </v>
      </c>
      <c r="CD23" s="90"/>
      <c r="CE23" s="142">
        <f t="shared" ref="CE23" si="155">CD22</f>
        <v>654871</v>
      </c>
    </row>
    <row r="24" spans="1:83" x14ac:dyDescent="0.25">
      <c r="A24" s="1">
        <v>45588</v>
      </c>
      <c r="B24" s="97">
        <v>41500</v>
      </c>
      <c r="C24" s="87"/>
      <c r="D24" s="147">
        <v>45119</v>
      </c>
      <c r="E24" s="83">
        <v>430105</v>
      </c>
      <c r="F24" s="83" t="s">
        <v>25</v>
      </c>
      <c r="G24" s="83" t="str">
        <f t="shared" ref="G24" si="156">"CPA Ajuste T/C Renta4 USD"</f>
        <v>CPA Ajuste T/C Renta4 USD</v>
      </c>
      <c r="H24" s="149">
        <f>+B13*-1</f>
        <v>0</v>
      </c>
      <c r="I24" s="148"/>
      <c r="J24" s="90"/>
      <c r="L24" s="88">
        <v>45283</v>
      </c>
      <c r="M24" s="97">
        <f t="shared" si="0"/>
        <v>63</v>
      </c>
      <c r="N24" s="95">
        <v>62.5</v>
      </c>
      <c r="O24" s="147">
        <v>45272</v>
      </c>
      <c r="P24" s="83">
        <v>430105</v>
      </c>
      <c r="Q24" s="83" t="s">
        <v>25</v>
      </c>
      <c r="R24" s="83" t="str">
        <f>"CPA Ajuste T/C JP Morgan USD " &amp;TEXT(O24,"dd-mm-yyy")</f>
        <v>CPA Ajuste T/C JP Morgan USD 12-12-yyy</v>
      </c>
      <c r="S24" s="149">
        <f>+M13*-1</f>
        <v>0</v>
      </c>
      <c r="T24" s="148"/>
      <c r="V24" s="1">
        <v>45588</v>
      </c>
      <c r="W24" s="97">
        <f t="shared" si="1"/>
        <v>-7320008</v>
      </c>
      <c r="X24" s="95">
        <v>-7320008.46</v>
      </c>
      <c r="Y24" s="87"/>
      <c r="Z24" s="147">
        <v>45424</v>
      </c>
      <c r="AA24" s="83">
        <v>430105</v>
      </c>
      <c r="AB24" s="83" t="s">
        <v>25</v>
      </c>
      <c r="AC24" s="83" t="str">
        <f>"CPA Ajuste T/C Bco. Bice USD " &amp;TEXT(Z24,)</f>
        <v xml:space="preserve">CPA Ajuste T/C Bco. Bice USD </v>
      </c>
      <c r="AD24" s="149">
        <f>+W13*-1</f>
        <v>0</v>
      </c>
      <c r="AE24" s="148"/>
      <c r="AI24" s="1">
        <v>45588</v>
      </c>
      <c r="AJ24" s="97">
        <f t="shared" si="2"/>
        <v>1760000</v>
      </c>
      <c r="AK24" s="97">
        <v>1760000</v>
      </c>
      <c r="AL24" s="87"/>
      <c r="AM24" s="147">
        <v>45424</v>
      </c>
      <c r="AN24" s="83">
        <v>110296</v>
      </c>
      <c r="AO24" s="83" t="s">
        <v>123</v>
      </c>
      <c r="AP24" s="83" t="str">
        <f>"CPA Ajuste T/C MBI USD " &amp;TEXT(AM24,)</f>
        <v xml:space="preserve">CPA Ajuste T/C MBI USD </v>
      </c>
      <c r="AQ24" s="149">
        <f>+AJ13</f>
        <v>0</v>
      </c>
      <c r="AR24" s="148"/>
      <c r="AV24" s="1">
        <v>45588</v>
      </c>
      <c r="AW24" s="97">
        <f t="shared" si="3"/>
        <v>-1563705</v>
      </c>
      <c r="AX24" s="97">
        <v>-1563705</v>
      </c>
      <c r="AY24" s="87"/>
      <c r="AZ24" s="147">
        <v>45424</v>
      </c>
      <c r="BA24" s="83">
        <v>430105</v>
      </c>
      <c r="BB24" s="83" t="s">
        <v>25</v>
      </c>
      <c r="BC24" s="83" t="str">
        <f>"CPA Ajuste T/C Partner Dlocal LLP " &amp;TEXT(AZ24,)</f>
        <v xml:space="preserve">CPA Ajuste T/C Partner Dlocal LLP </v>
      </c>
      <c r="BD24" s="149">
        <f>+AW13*-1</f>
        <v>0</v>
      </c>
      <c r="BE24" s="148"/>
      <c r="BI24" s="1">
        <v>45588</v>
      </c>
      <c r="BJ24" s="97">
        <f t="shared" si="4"/>
        <v>-459921</v>
      </c>
      <c r="BK24" s="97">
        <v>-459921</v>
      </c>
      <c r="BL24" s="87"/>
      <c r="BM24" s="147">
        <v>45424</v>
      </c>
      <c r="BN24" s="83">
        <v>110269</v>
      </c>
      <c r="BO24" s="83" t="s">
        <v>2</v>
      </c>
      <c r="BP24" s="83" t="str">
        <f>"CPA Ajuste T/C Partner Dlocal PEN " &amp;TEXT(BM24,)</f>
        <v xml:space="preserve">CPA Ajuste T/C Partner Dlocal PEN </v>
      </c>
      <c r="BQ24" s="149">
        <f>+BJ13</f>
        <v>0</v>
      </c>
      <c r="BR24" s="148"/>
      <c r="BV24" s="1">
        <v>45588</v>
      </c>
      <c r="BW24" s="97">
        <f t="shared" si="5"/>
        <v>-464836</v>
      </c>
      <c r="BX24" s="97">
        <v>-464836</v>
      </c>
      <c r="BY24" s="87"/>
      <c r="BZ24" s="147">
        <v>45424</v>
      </c>
      <c r="CA24" s="83">
        <v>430105</v>
      </c>
      <c r="CB24" s="83" t="s">
        <v>25</v>
      </c>
      <c r="CC24" s="83" t="str">
        <f>"CPA Ajuste T/C Partner Dlocal ARG " &amp;TEXT(BZ24,)</f>
        <v xml:space="preserve">CPA Ajuste T/C Partner Dlocal ARG </v>
      </c>
      <c r="CD24" s="149">
        <f>+BW13*-1</f>
        <v>0</v>
      </c>
      <c r="CE24" s="148"/>
    </row>
    <row r="25" spans="1:83" x14ac:dyDescent="0.25">
      <c r="A25" s="1">
        <v>45589</v>
      </c>
      <c r="B25" s="97">
        <v>-330000</v>
      </c>
      <c r="C25" s="87"/>
      <c r="D25" s="141"/>
      <c r="E25" s="144">
        <v>110323</v>
      </c>
      <c r="F25" s="144" t="s">
        <v>186</v>
      </c>
      <c r="G25" s="144" t="str">
        <f t="shared" ref="G25" si="157">G24</f>
        <v>CPA Ajuste T/C Renta4 USD</v>
      </c>
      <c r="H25" s="90"/>
      <c r="I25" s="142">
        <f t="shared" ref="I25" si="158">H24</f>
        <v>0</v>
      </c>
      <c r="J25" s="90"/>
      <c r="L25" s="88">
        <v>45284</v>
      </c>
      <c r="M25" s="97">
        <f t="shared" si="0"/>
        <v>-188</v>
      </c>
      <c r="N25" s="95">
        <v>-188.04</v>
      </c>
      <c r="O25" s="141"/>
      <c r="P25" s="144">
        <v>110212</v>
      </c>
      <c r="Q25" s="144" t="s">
        <v>63</v>
      </c>
      <c r="R25" s="144" t="str">
        <f t="shared" ref="R25" si="159">R24</f>
        <v>CPA Ajuste T/C JP Morgan USD 12-12-yyy</v>
      </c>
      <c r="S25" s="90"/>
      <c r="T25" s="142">
        <f t="shared" ref="T25" si="160">S24</f>
        <v>0</v>
      </c>
      <c r="V25" s="1">
        <v>45589</v>
      </c>
      <c r="W25" s="97">
        <f t="shared" si="1"/>
        <v>-194268</v>
      </c>
      <c r="X25" s="95">
        <v>-194267.5</v>
      </c>
      <c r="Y25" s="87"/>
      <c r="Z25" s="141"/>
      <c r="AA25" s="144">
        <v>110205</v>
      </c>
      <c r="AB25" s="144" t="s">
        <v>59</v>
      </c>
      <c r="AC25" s="144" t="str">
        <f t="shared" ref="AC25" si="161">AC24</f>
        <v xml:space="preserve">CPA Ajuste T/C Bco. Bice USD </v>
      </c>
      <c r="AD25" s="90"/>
      <c r="AE25" s="142">
        <f t="shared" ref="AE25" si="162">AD24</f>
        <v>0</v>
      </c>
      <c r="AI25" s="1">
        <v>45589</v>
      </c>
      <c r="AJ25" s="97">
        <f t="shared" si="2"/>
        <v>1750000</v>
      </c>
      <c r="AK25" s="97">
        <v>1750000</v>
      </c>
      <c r="AL25" s="87"/>
      <c r="AM25" s="141"/>
      <c r="AN25" s="144">
        <v>430105</v>
      </c>
      <c r="AO25" s="144" t="s">
        <v>25</v>
      </c>
      <c r="AP25" s="144" t="str">
        <f t="shared" ref="AP25" si="163">AP24</f>
        <v xml:space="preserve">CPA Ajuste T/C MBI USD </v>
      </c>
      <c r="AQ25" s="90"/>
      <c r="AR25" s="142">
        <f t="shared" ref="AR25" si="164">AQ24</f>
        <v>0</v>
      </c>
      <c r="AV25" s="1">
        <v>45589</v>
      </c>
      <c r="AW25" s="97">
        <f t="shared" si="3"/>
        <v>-299936</v>
      </c>
      <c r="AX25" s="97">
        <v>-299936</v>
      </c>
      <c r="AY25" s="87"/>
      <c r="AZ25" s="141"/>
      <c r="BA25" s="144">
        <v>110252</v>
      </c>
      <c r="BB25" s="144" t="s">
        <v>184</v>
      </c>
      <c r="BC25" s="144" t="str">
        <f t="shared" ref="BC25" si="165">BC24</f>
        <v xml:space="preserve">CPA Ajuste T/C Partner Dlocal LLP </v>
      </c>
      <c r="BD25" s="90"/>
      <c r="BE25" s="142">
        <f t="shared" ref="BE25" si="166">BD24</f>
        <v>0</v>
      </c>
      <c r="BI25" s="1">
        <v>45589</v>
      </c>
      <c r="BJ25" s="97">
        <f t="shared" si="4"/>
        <v>-1578736</v>
      </c>
      <c r="BK25" s="97">
        <v>-1578736</v>
      </c>
      <c r="BL25" s="87"/>
      <c r="BM25" s="141"/>
      <c r="BN25" s="144">
        <v>430105</v>
      </c>
      <c r="BO25" s="144" t="s">
        <v>25</v>
      </c>
      <c r="BP25" s="144" t="str">
        <f t="shared" ref="BP25" si="167">BP24</f>
        <v xml:space="preserve">CPA Ajuste T/C Partner Dlocal PEN </v>
      </c>
      <c r="BQ25" s="90"/>
      <c r="BR25" s="142">
        <f t="shared" ref="BR25" si="168">BQ24</f>
        <v>0</v>
      </c>
      <c r="BV25" s="1">
        <v>45589</v>
      </c>
      <c r="BW25" s="97">
        <f t="shared" si="5"/>
        <v>-70391</v>
      </c>
      <c r="BX25" s="97">
        <v>-70391</v>
      </c>
      <c r="BY25" s="87"/>
      <c r="BZ25" s="141"/>
      <c r="CA25" s="144">
        <v>110266</v>
      </c>
      <c r="CB25" s="144" t="s">
        <v>185</v>
      </c>
      <c r="CC25" s="144" t="str">
        <f t="shared" ref="CC25" si="169">CC24</f>
        <v xml:space="preserve">CPA Ajuste T/C Partner Dlocal ARG </v>
      </c>
      <c r="CD25" s="90"/>
      <c r="CE25" s="142">
        <f t="shared" ref="CE25" si="170">CD24</f>
        <v>0</v>
      </c>
    </row>
    <row r="26" spans="1:83" x14ac:dyDescent="0.25">
      <c r="A26" s="1">
        <v>45590</v>
      </c>
      <c r="B26" s="97">
        <v>-2655000</v>
      </c>
      <c r="C26" s="87"/>
      <c r="D26" s="147">
        <v>45120</v>
      </c>
      <c r="E26" s="83">
        <v>110323</v>
      </c>
      <c r="F26" s="83" t="s">
        <v>186</v>
      </c>
      <c r="G26" s="83" t="str">
        <f t="shared" ref="G26" si="171">"CPA Ajuste T/C Renta4 USD"</f>
        <v>CPA Ajuste T/C Renta4 USD</v>
      </c>
      <c r="H26" s="149">
        <f>+B14</f>
        <v>0</v>
      </c>
      <c r="I26" s="148"/>
      <c r="J26" s="90"/>
      <c r="L26" s="88">
        <v>45285</v>
      </c>
      <c r="M26" s="97">
        <f t="shared" si="0"/>
        <v>0</v>
      </c>
      <c r="N26" s="95">
        <v>0</v>
      </c>
      <c r="O26" s="147">
        <v>45273</v>
      </c>
      <c r="P26" s="83">
        <v>110212</v>
      </c>
      <c r="Q26" s="83" t="s">
        <v>63</v>
      </c>
      <c r="R26" s="83" t="str">
        <f>"CPA Ajuste T/C JP Morgan USD " &amp;TEXT(O26,"dd-mm-yyy")</f>
        <v>CPA Ajuste T/C JP Morgan USD 13-12-yyy</v>
      </c>
      <c r="S26" s="149">
        <f>+M14</f>
        <v>8554</v>
      </c>
      <c r="T26" s="148"/>
      <c r="V26" s="1">
        <v>45590</v>
      </c>
      <c r="W26" s="97">
        <f t="shared" si="1"/>
        <v>-2073779</v>
      </c>
      <c r="X26" s="95">
        <v>-2073779.12</v>
      </c>
      <c r="Y26" s="87"/>
      <c r="Z26" s="147">
        <v>45425</v>
      </c>
      <c r="AA26" s="83">
        <v>430105</v>
      </c>
      <c r="AB26" s="83" t="s">
        <v>25</v>
      </c>
      <c r="AC26" s="83" t="str">
        <f>"CPA Ajuste T/C Bco. Bice USD " &amp;TEXT(Z26,)</f>
        <v xml:space="preserve">CPA Ajuste T/C Bco. Bice USD </v>
      </c>
      <c r="AD26" s="149">
        <f>+W14*-1</f>
        <v>0</v>
      </c>
      <c r="AE26" s="148"/>
      <c r="AI26" s="1">
        <v>45590</v>
      </c>
      <c r="AJ26" s="97">
        <f t="shared" si="2"/>
        <v>-7215000</v>
      </c>
      <c r="AK26" s="97">
        <v>-7215000</v>
      </c>
      <c r="AL26" s="87"/>
      <c r="AM26" s="147">
        <v>45425</v>
      </c>
      <c r="AN26" s="83">
        <v>110296</v>
      </c>
      <c r="AO26" s="83" t="s">
        <v>123</v>
      </c>
      <c r="AP26" s="83" t="str">
        <f>"CPA Ajuste T/C MBI USD " &amp;TEXT(AM26,)</f>
        <v xml:space="preserve">CPA Ajuste T/C MBI USD </v>
      </c>
      <c r="AQ26" s="149">
        <f>+AJ14</f>
        <v>0</v>
      </c>
      <c r="AR26" s="148"/>
      <c r="AV26" s="1">
        <v>45590</v>
      </c>
      <c r="AW26" s="97">
        <f t="shared" si="3"/>
        <v>-1563492</v>
      </c>
      <c r="AX26" s="97">
        <v>-1563492</v>
      </c>
      <c r="AY26" s="87"/>
      <c r="AZ26" s="147">
        <v>45425</v>
      </c>
      <c r="BA26" s="83">
        <v>430105</v>
      </c>
      <c r="BB26" s="83" t="s">
        <v>25</v>
      </c>
      <c r="BC26" s="83" t="str">
        <f>"CPA Ajuste T/C Partner Dlocal LLP " &amp;TEXT(AZ26,)</f>
        <v xml:space="preserve">CPA Ajuste T/C Partner Dlocal LLP </v>
      </c>
      <c r="BD26" s="149">
        <f>+AW14*-1</f>
        <v>0</v>
      </c>
      <c r="BE26" s="148"/>
      <c r="BI26" s="1">
        <v>45590</v>
      </c>
      <c r="BJ26" s="97">
        <f t="shared" si="4"/>
        <v>-1488498</v>
      </c>
      <c r="BK26" s="97">
        <v>-1488498</v>
      </c>
      <c r="BL26" s="87"/>
      <c r="BM26" s="147">
        <v>45425</v>
      </c>
      <c r="BN26" s="83">
        <v>430105</v>
      </c>
      <c r="BO26" s="83" t="s">
        <v>25</v>
      </c>
      <c r="BP26" s="83" t="str">
        <f>"CPA Ajuste T/C Partner Dlocal PEN " &amp;TEXT(BM26,)</f>
        <v xml:space="preserve">CPA Ajuste T/C Partner Dlocal PEN </v>
      </c>
      <c r="BQ26" s="149">
        <f>+BJ14*-1</f>
        <v>0</v>
      </c>
      <c r="BR26" s="148"/>
      <c r="BV26" s="1">
        <v>45590</v>
      </c>
      <c r="BW26" s="97">
        <f t="shared" si="5"/>
        <v>-260253</v>
      </c>
      <c r="BX26" s="97">
        <v>-260253</v>
      </c>
      <c r="BY26" s="87"/>
      <c r="BZ26" s="147">
        <v>45425</v>
      </c>
      <c r="CA26" s="83">
        <v>430105</v>
      </c>
      <c r="CB26" s="83" t="s">
        <v>25</v>
      </c>
      <c r="CC26" s="83" t="str">
        <f>"CPA Ajuste T/C Partner Dlocal ARG " &amp;TEXT(BZ26,)</f>
        <v xml:space="preserve">CPA Ajuste T/C Partner Dlocal ARG </v>
      </c>
      <c r="CD26" s="149">
        <f>+BW14*-1</f>
        <v>0</v>
      </c>
      <c r="CE26" s="148"/>
    </row>
    <row r="27" spans="1:83" x14ac:dyDescent="0.25">
      <c r="A27" s="1">
        <v>45591</v>
      </c>
      <c r="B27" s="97">
        <v>0</v>
      </c>
      <c r="C27" s="87"/>
      <c r="D27" s="141"/>
      <c r="E27" s="144">
        <v>430105</v>
      </c>
      <c r="F27" s="144" t="s">
        <v>25</v>
      </c>
      <c r="G27" s="144" t="str">
        <f t="shared" ref="G27" si="172">G26</f>
        <v>CPA Ajuste T/C Renta4 USD</v>
      </c>
      <c r="H27" s="90"/>
      <c r="I27" s="142">
        <f t="shared" ref="I27" si="173">H26</f>
        <v>0</v>
      </c>
      <c r="J27" s="90"/>
      <c r="L27" s="88">
        <v>45286</v>
      </c>
      <c r="M27" s="97">
        <f t="shared" si="0"/>
        <v>0</v>
      </c>
      <c r="N27" s="95">
        <v>0</v>
      </c>
      <c r="O27" s="141"/>
      <c r="P27" s="144">
        <v>430105</v>
      </c>
      <c r="Q27" s="144" t="s">
        <v>25</v>
      </c>
      <c r="R27" s="144" t="str">
        <f t="shared" ref="R27" si="174">R26</f>
        <v>CPA Ajuste T/C JP Morgan USD 13-12-yyy</v>
      </c>
      <c r="S27" s="90"/>
      <c r="T27" s="142">
        <f t="shared" ref="T27" si="175">S26</f>
        <v>8554</v>
      </c>
      <c r="V27" s="1">
        <v>45591</v>
      </c>
      <c r="W27" s="97">
        <f t="shared" si="1"/>
        <v>0</v>
      </c>
      <c r="X27" s="95">
        <v>0</v>
      </c>
      <c r="Y27" s="87"/>
      <c r="Z27" s="141"/>
      <c r="AA27" s="144">
        <v>110205</v>
      </c>
      <c r="AB27" s="144" t="s">
        <v>59</v>
      </c>
      <c r="AC27" s="144" t="str">
        <f t="shared" ref="AC27" si="176">AC26</f>
        <v xml:space="preserve">CPA Ajuste T/C Bco. Bice USD </v>
      </c>
      <c r="AD27" s="90"/>
      <c r="AE27" s="142">
        <f t="shared" ref="AE27" si="177">AD26</f>
        <v>0</v>
      </c>
      <c r="AI27" s="1">
        <v>45591</v>
      </c>
      <c r="AJ27" s="97">
        <f t="shared" si="2"/>
        <v>0</v>
      </c>
      <c r="AK27" s="97">
        <v>0</v>
      </c>
      <c r="AL27" s="87"/>
      <c r="AM27" s="141"/>
      <c r="AN27" s="144">
        <v>430105</v>
      </c>
      <c r="AO27" s="144" t="s">
        <v>25</v>
      </c>
      <c r="AP27" s="144" t="str">
        <f t="shared" ref="AP27" si="178">AP26</f>
        <v xml:space="preserve">CPA Ajuste T/C MBI USD </v>
      </c>
      <c r="AQ27" s="90"/>
      <c r="AR27" s="142">
        <f t="shared" ref="AR27" si="179">AQ26</f>
        <v>0</v>
      </c>
      <c r="AV27" s="1">
        <v>45591</v>
      </c>
      <c r="AW27" s="97">
        <f t="shared" si="3"/>
        <v>0</v>
      </c>
      <c r="AX27" s="97">
        <v>0</v>
      </c>
      <c r="AY27" s="87"/>
      <c r="AZ27" s="141"/>
      <c r="BA27" s="144">
        <v>110252</v>
      </c>
      <c r="BB27" s="144" t="s">
        <v>184</v>
      </c>
      <c r="BC27" s="144" t="str">
        <f t="shared" ref="BC27" si="180">BC26</f>
        <v xml:space="preserve">CPA Ajuste T/C Partner Dlocal LLP </v>
      </c>
      <c r="BD27" s="90"/>
      <c r="BE27" s="142">
        <f t="shared" ref="BE27" si="181">BD26</f>
        <v>0</v>
      </c>
      <c r="BI27" s="1">
        <v>45591</v>
      </c>
      <c r="BJ27" s="97">
        <f t="shared" si="4"/>
        <v>0</v>
      </c>
      <c r="BK27" s="97">
        <v>0</v>
      </c>
      <c r="BL27" s="87"/>
      <c r="BM27" s="141"/>
      <c r="BN27" s="144">
        <v>110269</v>
      </c>
      <c r="BO27" s="144" t="s">
        <v>2</v>
      </c>
      <c r="BP27" s="144" t="str">
        <f t="shared" ref="BP27" si="182">BP26</f>
        <v xml:space="preserve">CPA Ajuste T/C Partner Dlocal PEN </v>
      </c>
      <c r="BQ27" s="90"/>
      <c r="BR27" s="142">
        <f t="shared" ref="BR27" si="183">BQ26</f>
        <v>0</v>
      </c>
      <c r="BV27" s="1">
        <v>45591</v>
      </c>
      <c r="BW27" s="97">
        <f t="shared" si="5"/>
        <v>0</v>
      </c>
      <c r="BX27" s="97">
        <v>0</v>
      </c>
      <c r="BY27" s="87"/>
      <c r="BZ27" s="141"/>
      <c r="CA27" s="144">
        <v>110266</v>
      </c>
      <c r="CB27" s="144" t="s">
        <v>185</v>
      </c>
      <c r="CC27" s="144" t="str">
        <f t="shared" ref="CC27" si="184">CC26</f>
        <v xml:space="preserve">CPA Ajuste T/C Partner Dlocal ARG </v>
      </c>
      <c r="CD27" s="90"/>
      <c r="CE27" s="142">
        <f t="shared" ref="CE27" si="185">CD26</f>
        <v>0</v>
      </c>
    </row>
    <row r="28" spans="1:83" x14ac:dyDescent="0.25">
      <c r="A28" s="1">
        <v>45592</v>
      </c>
      <c r="B28" s="97">
        <v>0</v>
      </c>
      <c r="D28" s="147">
        <v>45121</v>
      </c>
      <c r="E28" s="83">
        <v>110323</v>
      </c>
      <c r="F28" s="83" t="s">
        <v>186</v>
      </c>
      <c r="G28" s="83" t="str">
        <f t="shared" ref="G28" si="186">"CPA Ajuste T/C Renta4 USD"</f>
        <v>CPA Ajuste T/C Renta4 USD</v>
      </c>
      <c r="H28" s="149">
        <f>+B15</f>
        <v>0</v>
      </c>
      <c r="I28" s="148"/>
      <c r="J28" s="90"/>
      <c r="L28" s="88">
        <v>45287</v>
      </c>
      <c r="M28" s="97">
        <f t="shared" si="0"/>
        <v>136</v>
      </c>
      <c r="N28" s="95">
        <v>135.78</v>
      </c>
      <c r="O28" s="147">
        <v>45274</v>
      </c>
      <c r="P28" s="83">
        <v>110212</v>
      </c>
      <c r="Q28" s="83" t="s">
        <v>63</v>
      </c>
      <c r="R28" s="83" t="str">
        <f>"CPA Ajuste T/C JP Morgan USD " &amp;TEXT(O28,"dd-mm-yyy")</f>
        <v>CPA Ajuste T/C JP Morgan USD 14-12-yyy</v>
      </c>
      <c r="S28" s="149">
        <f>+M15</f>
        <v>3168</v>
      </c>
      <c r="T28" s="148"/>
      <c r="V28" s="1">
        <v>45592</v>
      </c>
      <c r="W28" s="97">
        <f t="shared" si="1"/>
        <v>0</v>
      </c>
      <c r="X28" s="95">
        <v>0</v>
      </c>
      <c r="Z28" s="147">
        <v>45426</v>
      </c>
      <c r="AA28" s="83">
        <v>430105</v>
      </c>
      <c r="AB28" s="83" t="s">
        <v>25</v>
      </c>
      <c r="AC28" s="83" t="str">
        <f>"CPA Ajuste T/C Bco. Bice USD " &amp;TEXT(Z28,)</f>
        <v xml:space="preserve">CPA Ajuste T/C Bco. Bice USD </v>
      </c>
      <c r="AD28" s="149">
        <f>+W15*-1</f>
        <v>8504798</v>
      </c>
      <c r="AE28" s="148"/>
      <c r="AI28" s="1">
        <v>45592</v>
      </c>
      <c r="AJ28" s="97">
        <f t="shared" si="2"/>
        <v>0</v>
      </c>
      <c r="AK28" s="97">
        <v>0</v>
      </c>
      <c r="AM28" s="147">
        <v>45426</v>
      </c>
      <c r="AN28" s="83">
        <v>430105</v>
      </c>
      <c r="AO28" s="83" t="s">
        <v>25</v>
      </c>
      <c r="AP28" s="83" t="str">
        <f>"CPA Ajuste T/C MBI USD " &amp;TEXT(AM28,)</f>
        <v xml:space="preserve">CPA Ajuste T/C MBI USD </v>
      </c>
      <c r="AQ28" s="149">
        <f>+AJ15*-1</f>
        <v>2346500</v>
      </c>
      <c r="AR28" s="148"/>
      <c r="AV28" s="1">
        <v>45592</v>
      </c>
      <c r="AW28" s="97">
        <f t="shared" si="3"/>
        <v>0</v>
      </c>
      <c r="AX28" s="97">
        <v>0</v>
      </c>
      <c r="AZ28" s="147">
        <v>45426</v>
      </c>
      <c r="BA28" s="83">
        <v>430105</v>
      </c>
      <c r="BB28" s="83" t="s">
        <v>25</v>
      </c>
      <c r="BC28" s="83" t="str">
        <f>"CPA Ajuste T/C Partner Dlocal LLP " &amp;TEXT(AZ28,)</f>
        <v xml:space="preserve">CPA Ajuste T/C Partner Dlocal LLP </v>
      </c>
      <c r="BD28" s="149">
        <f>+AW15*-1</f>
        <v>3972621</v>
      </c>
      <c r="BE28" s="148"/>
      <c r="BI28" s="1">
        <v>45592</v>
      </c>
      <c r="BJ28" s="97">
        <f t="shared" si="4"/>
        <v>0</v>
      </c>
      <c r="BK28" s="97">
        <v>0</v>
      </c>
      <c r="BM28" s="147">
        <v>45426</v>
      </c>
      <c r="BN28" s="83">
        <v>430105</v>
      </c>
      <c r="BO28" s="83" t="s">
        <v>25</v>
      </c>
      <c r="BP28" s="83" t="str">
        <f>"CPA Ajuste T/C Partner Dlocal PEN " &amp;TEXT(BM28,)</f>
        <v xml:space="preserve">CPA Ajuste T/C Partner Dlocal PEN </v>
      </c>
      <c r="BQ28" s="149">
        <f>+BJ15*-1</f>
        <v>505811</v>
      </c>
      <c r="BR28" s="148"/>
      <c r="BV28" s="1">
        <v>45592</v>
      </c>
      <c r="BW28" s="97">
        <f t="shared" si="5"/>
        <v>0</v>
      </c>
      <c r="BX28" s="97">
        <v>0</v>
      </c>
      <c r="BZ28" s="147">
        <v>45426</v>
      </c>
      <c r="CA28" s="83">
        <v>430105</v>
      </c>
      <c r="CB28" s="83" t="s">
        <v>25</v>
      </c>
      <c r="CC28" s="83" t="str">
        <f>"CPA Ajuste T/C Partner Dlocal ARG " &amp;TEXT(BZ28,)</f>
        <v xml:space="preserve">CPA Ajuste T/C Partner Dlocal ARG </v>
      </c>
      <c r="CD28" s="149">
        <f>+BW15*-1</f>
        <v>362402</v>
      </c>
      <c r="CE28" s="148"/>
    </row>
    <row r="29" spans="1:83" x14ac:dyDescent="0.25">
      <c r="A29" s="1">
        <v>45593</v>
      </c>
      <c r="B29" s="97">
        <v>0</v>
      </c>
      <c r="C29" s="151"/>
      <c r="D29" s="141"/>
      <c r="E29" s="144">
        <v>430105</v>
      </c>
      <c r="F29" s="144" t="s">
        <v>25</v>
      </c>
      <c r="G29" s="144" t="str">
        <f t="shared" ref="G29" si="187">G28</f>
        <v>CPA Ajuste T/C Renta4 USD</v>
      </c>
      <c r="H29" s="90"/>
      <c r="I29" s="142">
        <f t="shared" ref="I29" si="188">H28</f>
        <v>0</v>
      </c>
      <c r="J29" s="90"/>
      <c r="L29" s="88">
        <v>45288</v>
      </c>
      <c r="M29" s="97">
        <f t="shared" si="0"/>
        <v>-3820</v>
      </c>
      <c r="N29" s="95">
        <v>-3820.22</v>
      </c>
      <c r="O29" s="141"/>
      <c r="P29" s="144">
        <v>430105</v>
      </c>
      <c r="Q29" s="144" t="s">
        <v>25</v>
      </c>
      <c r="R29" s="144" t="str">
        <f t="shared" ref="R29" si="189">R28</f>
        <v>CPA Ajuste T/C JP Morgan USD 14-12-yyy</v>
      </c>
      <c r="S29" s="90"/>
      <c r="T29" s="142">
        <f t="shared" ref="T29" si="190">S28</f>
        <v>3168</v>
      </c>
      <c r="V29" s="1">
        <v>45593</v>
      </c>
      <c r="W29" s="97">
        <f t="shared" si="1"/>
        <v>6825708</v>
      </c>
      <c r="X29" s="95">
        <v>6825707.9100000001</v>
      </c>
      <c r="Y29" s="151"/>
      <c r="Z29" s="141"/>
      <c r="AA29" s="144">
        <v>110205</v>
      </c>
      <c r="AB29" s="144" t="s">
        <v>59</v>
      </c>
      <c r="AC29" s="144" t="str">
        <f t="shared" ref="AC29" si="191">AC28</f>
        <v xml:space="preserve">CPA Ajuste T/C Bco. Bice USD </v>
      </c>
      <c r="AD29" s="90"/>
      <c r="AE29" s="142">
        <f t="shared" ref="AE29" si="192">AD28</f>
        <v>8504798</v>
      </c>
      <c r="AI29" s="1">
        <v>45593</v>
      </c>
      <c r="AJ29" s="97">
        <f t="shared" si="2"/>
        <v>9216000</v>
      </c>
      <c r="AK29" s="97">
        <v>9216000</v>
      </c>
      <c r="AL29" s="151"/>
      <c r="AM29" s="141"/>
      <c r="AN29" s="144">
        <v>110296</v>
      </c>
      <c r="AO29" s="144" t="s">
        <v>123</v>
      </c>
      <c r="AP29" s="144" t="str">
        <f t="shared" ref="AP29" si="193">AP28</f>
        <v xml:space="preserve">CPA Ajuste T/C MBI USD </v>
      </c>
      <c r="AQ29" s="90"/>
      <c r="AR29" s="142">
        <f t="shared" ref="AR29" si="194">AQ28</f>
        <v>2346500</v>
      </c>
      <c r="AV29" s="1">
        <v>45593</v>
      </c>
      <c r="AW29" s="97">
        <f t="shared" si="3"/>
        <v>3035159</v>
      </c>
      <c r="AX29" s="97">
        <v>3035159</v>
      </c>
      <c r="AY29" s="151"/>
      <c r="AZ29" s="141"/>
      <c r="BA29" s="144">
        <v>110252</v>
      </c>
      <c r="BB29" s="144" t="s">
        <v>184</v>
      </c>
      <c r="BC29" s="144" t="str">
        <f t="shared" ref="BC29" si="195">BC28</f>
        <v xml:space="preserve">CPA Ajuste T/C Partner Dlocal LLP </v>
      </c>
      <c r="BD29" s="90"/>
      <c r="BE29" s="142">
        <f t="shared" ref="BE29" si="196">BD28</f>
        <v>3972621</v>
      </c>
      <c r="BI29" s="1">
        <v>45593</v>
      </c>
      <c r="BJ29" s="97">
        <f t="shared" si="4"/>
        <v>1298220</v>
      </c>
      <c r="BK29" s="97">
        <v>1298220</v>
      </c>
      <c r="BL29" s="151"/>
      <c r="BM29" s="141"/>
      <c r="BN29" s="144">
        <v>110269</v>
      </c>
      <c r="BO29" s="144" t="s">
        <v>2</v>
      </c>
      <c r="BP29" s="144" t="str">
        <f t="shared" ref="BP29" si="197">BP28</f>
        <v xml:space="preserve">CPA Ajuste T/C Partner Dlocal PEN </v>
      </c>
      <c r="BQ29" s="90"/>
      <c r="BR29" s="142">
        <f t="shared" ref="BR29" si="198">BQ28</f>
        <v>505811</v>
      </c>
      <c r="BV29" s="1">
        <v>45593</v>
      </c>
      <c r="BW29" s="97">
        <f t="shared" si="5"/>
        <v>202236</v>
      </c>
      <c r="BX29" s="97">
        <v>202236</v>
      </c>
      <c r="BY29" s="151"/>
      <c r="BZ29" s="141"/>
      <c r="CA29" s="144">
        <v>110266</v>
      </c>
      <c r="CB29" s="144" t="s">
        <v>185</v>
      </c>
      <c r="CC29" s="144" t="str">
        <f t="shared" ref="CC29" si="199">CC28</f>
        <v xml:space="preserve">CPA Ajuste T/C Partner Dlocal ARG </v>
      </c>
      <c r="CD29" s="90"/>
      <c r="CE29" s="142">
        <f t="shared" ref="CE29" si="200">CD28</f>
        <v>362402</v>
      </c>
    </row>
    <row r="30" spans="1:83" x14ac:dyDescent="0.25">
      <c r="A30" s="1">
        <v>45594</v>
      </c>
      <c r="B30" s="97">
        <v>-346000</v>
      </c>
      <c r="D30" s="147">
        <v>45122</v>
      </c>
      <c r="E30" s="83">
        <v>430105</v>
      </c>
      <c r="F30" s="83" t="s">
        <v>25</v>
      </c>
      <c r="G30" s="83" t="str">
        <f t="shared" ref="G30" si="201">"CPA Ajuste T/C Renta4 USD"</f>
        <v>CPA Ajuste T/C Renta4 USD</v>
      </c>
      <c r="H30" s="149">
        <f>+B16*-1</f>
        <v>0</v>
      </c>
      <c r="I30" s="148"/>
      <c r="J30" s="90"/>
      <c r="L30" s="88">
        <v>45289</v>
      </c>
      <c r="M30" s="97">
        <f t="shared" si="0"/>
        <v>-5258</v>
      </c>
      <c r="N30" s="95">
        <v>-5257.93</v>
      </c>
      <c r="O30" s="147">
        <v>45275</v>
      </c>
      <c r="P30" s="83">
        <v>430105</v>
      </c>
      <c r="Q30" s="83" t="s">
        <v>25</v>
      </c>
      <c r="R30" s="83" t="str">
        <f>"CPA Ajuste T/C JP Morgan USD " &amp;TEXT(O30,"dd-mm-yyy")</f>
        <v>CPA Ajuste T/C JP Morgan USD 15-12-yyy</v>
      </c>
      <c r="S30" s="149">
        <f>+M16*-1</f>
        <v>8929</v>
      </c>
      <c r="T30" s="148"/>
      <c r="V30" s="1">
        <v>45594</v>
      </c>
      <c r="W30" s="97">
        <f t="shared" si="1"/>
        <v>-2259429</v>
      </c>
      <c r="X30" s="95">
        <v>-2259429.48</v>
      </c>
      <c r="Z30" s="147">
        <v>45427</v>
      </c>
      <c r="AA30" s="83">
        <v>110205</v>
      </c>
      <c r="AB30" s="83" t="s">
        <v>59</v>
      </c>
      <c r="AC30" s="83" t="str">
        <f>"CPA Ajuste T/C Bco. Bice USD " &amp;TEXT(Z30,)</f>
        <v xml:space="preserve">CPA Ajuste T/C Bco. Bice USD </v>
      </c>
      <c r="AD30" s="149">
        <f>+W16</f>
        <v>375328</v>
      </c>
      <c r="AE30" s="148"/>
      <c r="AI30" s="1">
        <v>45594</v>
      </c>
      <c r="AJ30" s="97">
        <f t="shared" si="2"/>
        <v>-16406000</v>
      </c>
      <c r="AK30" s="97">
        <v>-16406000</v>
      </c>
      <c r="AM30" s="147">
        <v>45427</v>
      </c>
      <c r="AN30" s="83">
        <v>430105</v>
      </c>
      <c r="AO30" s="83" t="s">
        <v>25</v>
      </c>
      <c r="AP30" s="83" t="str">
        <f>"CPA Ajuste T/C MBI USD " &amp;TEXT(AM30,)</f>
        <v xml:space="preserve">CPA Ajuste T/C MBI USD </v>
      </c>
      <c r="AQ30" s="149">
        <f>+AJ16*-1</f>
        <v>18765000</v>
      </c>
      <c r="AR30" s="148"/>
      <c r="AV30" s="1">
        <v>45594</v>
      </c>
      <c r="AW30" s="97">
        <f t="shared" si="3"/>
        <v>-2100128</v>
      </c>
      <c r="AX30" s="97">
        <v>-2100128</v>
      </c>
      <c r="AZ30" s="147">
        <v>45427</v>
      </c>
      <c r="BA30" s="83">
        <v>110252</v>
      </c>
      <c r="BB30" s="83" t="s">
        <v>184</v>
      </c>
      <c r="BC30" s="83" t="str">
        <f>"CPA Ajuste T/C Partner Dlocal LLP " &amp;TEXT(AZ30,)</f>
        <v xml:space="preserve">CPA Ajuste T/C Partner Dlocal LLP </v>
      </c>
      <c r="BD30" s="149">
        <f>+AW16</f>
        <v>334804</v>
      </c>
      <c r="BE30" s="148"/>
      <c r="BI30" s="1">
        <v>45594</v>
      </c>
      <c r="BJ30" s="97">
        <f t="shared" si="4"/>
        <v>-3352860</v>
      </c>
      <c r="BK30" s="97">
        <v>-3352860</v>
      </c>
      <c r="BM30" s="147">
        <v>45427</v>
      </c>
      <c r="BN30" s="83">
        <v>110269</v>
      </c>
      <c r="BO30" s="83" t="s">
        <v>2</v>
      </c>
      <c r="BP30" s="83" t="str">
        <f>"CPA Ajuste T/C Partner Dlocal PEN " &amp;TEXT(BM30,)</f>
        <v xml:space="preserve">CPA Ajuste T/C Partner Dlocal PEN </v>
      </c>
      <c r="BQ30" s="149">
        <f>+BJ16</f>
        <v>923135</v>
      </c>
      <c r="BR30" s="148"/>
      <c r="BV30" s="1">
        <v>45594</v>
      </c>
      <c r="BW30" s="97">
        <f t="shared" si="5"/>
        <v>-345510</v>
      </c>
      <c r="BX30" s="97">
        <v>-345510</v>
      </c>
      <c r="BZ30" s="147">
        <v>45427</v>
      </c>
      <c r="CA30" s="83">
        <v>110266</v>
      </c>
      <c r="CB30" s="83" t="s">
        <v>185</v>
      </c>
      <c r="CC30" s="83" t="str">
        <f>"CPA Ajuste T/C Partner Dlocal ARG " &amp;TEXT(BZ30,)</f>
        <v xml:space="preserve">CPA Ajuste T/C Partner Dlocal ARG </v>
      </c>
      <c r="CD30" s="149">
        <f>+BW16</f>
        <v>135531</v>
      </c>
      <c r="CE30" s="148"/>
    </row>
    <row r="31" spans="1:83" x14ac:dyDescent="0.25">
      <c r="A31" s="1">
        <v>45595</v>
      </c>
      <c r="B31" s="97">
        <v>-3704000</v>
      </c>
      <c r="D31" s="143"/>
      <c r="E31" s="144">
        <v>110323</v>
      </c>
      <c r="F31" s="144" t="s">
        <v>186</v>
      </c>
      <c r="G31" s="144" t="str">
        <f t="shared" ref="G31" si="202">G30</f>
        <v>CPA Ajuste T/C Renta4 USD</v>
      </c>
      <c r="H31" s="145"/>
      <c r="I31" s="146">
        <f t="shared" ref="I31" si="203">H30</f>
        <v>0</v>
      </c>
      <c r="J31" s="90"/>
      <c r="L31" s="88">
        <v>45290</v>
      </c>
      <c r="M31" s="97">
        <f t="shared" si="0"/>
        <v>-3307</v>
      </c>
      <c r="N31" s="95">
        <v>-3306.75</v>
      </c>
      <c r="O31" s="143"/>
      <c r="P31" s="144">
        <v>110212</v>
      </c>
      <c r="Q31" s="144" t="s">
        <v>63</v>
      </c>
      <c r="R31" s="144" t="str">
        <f t="shared" ref="R31" si="204">R30</f>
        <v>CPA Ajuste T/C JP Morgan USD 15-12-yyy</v>
      </c>
      <c r="S31" s="145"/>
      <c r="T31" s="146">
        <f t="shared" ref="T31" si="205">S30</f>
        <v>8929</v>
      </c>
      <c r="V31" s="1">
        <v>45595</v>
      </c>
      <c r="W31" s="97">
        <f t="shared" si="1"/>
        <v>6277810</v>
      </c>
      <c r="X31" s="95">
        <v>6277810.4299999997</v>
      </c>
      <c r="Z31" s="143"/>
      <c r="AA31" s="144">
        <v>430105</v>
      </c>
      <c r="AB31" s="144" t="s">
        <v>25</v>
      </c>
      <c r="AC31" s="144" t="str">
        <f t="shared" ref="AC31" si="206">AC30</f>
        <v xml:space="preserve">CPA Ajuste T/C Bco. Bice USD </v>
      </c>
      <c r="AD31" s="145"/>
      <c r="AE31" s="146">
        <f t="shared" ref="AE31" si="207">AD30</f>
        <v>375328</v>
      </c>
      <c r="AI31" s="1">
        <v>45595</v>
      </c>
      <c r="AJ31" s="97">
        <f t="shared" si="2"/>
        <v>-12137500</v>
      </c>
      <c r="AK31" s="97">
        <v>-12137500</v>
      </c>
      <c r="AM31" s="143"/>
      <c r="AN31" s="144">
        <v>110296</v>
      </c>
      <c r="AO31" s="144" t="s">
        <v>123</v>
      </c>
      <c r="AP31" s="144" t="str">
        <f t="shared" ref="AP31" si="208">AP30</f>
        <v xml:space="preserve">CPA Ajuste T/C MBI USD </v>
      </c>
      <c r="AQ31" s="145"/>
      <c r="AR31" s="146">
        <f t="shared" ref="AR31" si="209">AQ30</f>
        <v>18765000</v>
      </c>
      <c r="AV31" s="1">
        <v>45595</v>
      </c>
      <c r="AW31" s="97">
        <f t="shared" si="3"/>
        <v>1646809</v>
      </c>
      <c r="AX31" s="97">
        <f>1646879-70</f>
        <v>1646809</v>
      </c>
      <c r="AZ31" s="143"/>
      <c r="BA31" s="144">
        <v>430105</v>
      </c>
      <c r="BB31" s="144" t="s">
        <v>25</v>
      </c>
      <c r="BC31" s="144" t="str">
        <f t="shared" ref="BC31" si="210">BC30</f>
        <v xml:space="preserve">CPA Ajuste T/C Partner Dlocal LLP </v>
      </c>
      <c r="BD31" s="145"/>
      <c r="BE31" s="146">
        <f t="shared" ref="BE31" si="211">BD30</f>
        <v>334804</v>
      </c>
      <c r="BI31" s="1">
        <v>45595</v>
      </c>
      <c r="BJ31" s="97">
        <f t="shared" si="4"/>
        <v>2806240</v>
      </c>
      <c r="BK31" s="97">
        <v>2806240</v>
      </c>
      <c r="BM31" s="143"/>
      <c r="BN31" s="144">
        <v>430105</v>
      </c>
      <c r="BO31" s="144" t="s">
        <v>25</v>
      </c>
      <c r="BP31" s="144" t="str">
        <f t="shared" ref="BP31" si="212">BP30</f>
        <v xml:space="preserve">CPA Ajuste T/C Partner Dlocal PEN </v>
      </c>
      <c r="BQ31" s="145"/>
      <c r="BR31" s="146">
        <f t="shared" ref="BR31" si="213">BQ30</f>
        <v>923135</v>
      </c>
      <c r="BV31" s="1">
        <v>45595</v>
      </c>
      <c r="BW31" s="97">
        <f t="shared" si="5"/>
        <v>608679</v>
      </c>
      <c r="BX31" s="97">
        <v>608679</v>
      </c>
      <c r="BZ31" s="143"/>
      <c r="CA31" s="144">
        <v>430105</v>
      </c>
      <c r="CB31" s="144" t="s">
        <v>25</v>
      </c>
      <c r="CC31" s="144" t="str">
        <f t="shared" ref="CC31" si="214">CC30</f>
        <v xml:space="preserve">CPA Ajuste T/C Partner Dlocal ARG </v>
      </c>
      <c r="CD31" s="145"/>
      <c r="CE31" s="146">
        <f t="shared" ref="CE31" si="215">CD30</f>
        <v>135531</v>
      </c>
    </row>
    <row r="32" spans="1:83" x14ac:dyDescent="0.25">
      <c r="A32" s="1">
        <v>45596</v>
      </c>
      <c r="B32" s="97">
        <v>0</v>
      </c>
      <c r="D32" s="147">
        <v>45123</v>
      </c>
      <c r="E32" s="83">
        <v>430105</v>
      </c>
      <c r="F32" s="83" t="s">
        <v>25</v>
      </c>
      <c r="G32" s="83" t="str">
        <f t="shared" ref="G32" si="216">"CPA Ajuste T/C Renta4 USD"</f>
        <v>CPA Ajuste T/C Renta4 USD</v>
      </c>
      <c r="H32" s="149">
        <f>+B17*-1</f>
        <v>2155000</v>
      </c>
      <c r="I32" s="148"/>
      <c r="J32" s="90"/>
      <c r="L32" s="88">
        <v>45291</v>
      </c>
      <c r="M32" s="97">
        <f t="shared" si="0"/>
        <v>0</v>
      </c>
      <c r="N32" s="95">
        <v>0</v>
      </c>
      <c r="O32" s="147">
        <v>45276</v>
      </c>
      <c r="P32" s="83">
        <v>430105</v>
      </c>
      <c r="Q32" s="83" t="s">
        <v>25</v>
      </c>
      <c r="R32" s="83" t="str">
        <f>"CPA Ajuste T/C JP Morgan USD " &amp;TEXT(O32,"dd-mm-yyy")</f>
        <v>CPA Ajuste T/C JP Morgan USD 16-12-yyy</v>
      </c>
      <c r="S32" s="149">
        <f>+M17*-1</f>
        <v>926</v>
      </c>
      <c r="T32" s="148"/>
      <c r="V32" s="1">
        <v>45596</v>
      </c>
      <c r="W32" s="97">
        <f>ROUND(X32,0)</f>
        <v>0</v>
      </c>
      <c r="X32" s="95">
        <v>0</v>
      </c>
      <c r="Z32" s="147">
        <v>45428</v>
      </c>
      <c r="AA32" s="83">
        <v>110205</v>
      </c>
      <c r="AB32" s="83" t="s">
        <v>59</v>
      </c>
      <c r="AC32" s="83" t="str">
        <f>"CPA Ajuste T/C Bco. Bice USD " &amp;TEXT(Z32,)</f>
        <v xml:space="preserve">CPA Ajuste T/C Bco. Bice USD </v>
      </c>
      <c r="AD32" s="149">
        <f>+W17</f>
        <v>8731101</v>
      </c>
      <c r="AE32" s="148"/>
      <c r="AI32" s="1">
        <v>45596</v>
      </c>
      <c r="AJ32" s="97">
        <f t="shared" si="2"/>
        <v>0</v>
      </c>
      <c r="AK32" s="97">
        <v>0</v>
      </c>
      <c r="AM32" s="147">
        <v>45428</v>
      </c>
      <c r="AN32" s="83">
        <v>430105</v>
      </c>
      <c r="AO32" s="83" t="s">
        <v>25</v>
      </c>
      <c r="AP32" s="83" t="str">
        <f>"CPA Ajuste T/C MBI USD " &amp;TEXT(AM32,)</f>
        <v xml:space="preserve">CPA Ajuste T/C MBI USD </v>
      </c>
      <c r="AQ32" s="149">
        <f>+AJ17*-1</f>
        <v>7297000</v>
      </c>
      <c r="AR32" s="148"/>
      <c r="AV32" s="1">
        <v>45596</v>
      </c>
      <c r="AW32" s="97">
        <f t="shared" si="3"/>
        <v>0</v>
      </c>
      <c r="AX32" s="97">
        <v>0</v>
      </c>
      <c r="AZ32" s="147">
        <v>45428</v>
      </c>
      <c r="BA32" s="83">
        <v>110252</v>
      </c>
      <c r="BB32" s="83" t="s">
        <v>184</v>
      </c>
      <c r="BC32" s="83" t="str">
        <f>"CPA Ajuste T/C Partner Dlocal LLP " &amp;TEXT(AZ32,)</f>
        <v xml:space="preserve">CPA Ajuste T/C Partner Dlocal LLP </v>
      </c>
      <c r="BD32" s="149">
        <f>+AW17</f>
        <v>1135571</v>
      </c>
      <c r="BE32" s="148"/>
      <c r="BI32" s="1">
        <v>45596</v>
      </c>
      <c r="BJ32" s="97">
        <f t="shared" si="4"/>
        <v>0</v>
      </c>
      <c r="BK32" s="97">
        <v>0</v>
      </c>
      <c r="BM32" s="147">
        <v>45428</v>
      </c>
      <c r="BN32" s="83">
        <v>110269</v>
      </c>
      <c r="BO32" s="83" t="s">
        <v>2</v>
      </c>
      <c r="BP32" s="83" t="str">
        <f>"CPA Ajuste T/C Partner Dlocal PEN " &amp;TEXT(BM32,)</f>
        <v xml:space="preserve">CPA Ajuste T/C Partner Dlocal PEN </v>
      </c>
      <c r="BQ32" s="149">
        <f>+BJ17</f>
        <v>5079784</v>
      </c>
      <c r="BR32" s="148"/>
      <c r="BV32" s="1">
        <v>45596</v>
      </c>
      <c r="BW32" s="97">
        <f t="shared" si="5"/>
        <v>0</v>
      </c>
      <c r="BX32" s="97">
        <v>0</v>
      </c>
      <c r="BZ32" s="147">
        <v>45428</v>
      </c>
      <c r="CA32" s="83">
        <v>110266</v>
      </c>
      <c r="CB32" s="83" t="s">
        <v>185</v>
      </c>
      <c r="CC32" s="83" t="str">
        <f>"CPA Ajuste T/C Partner Dlocal ARG " &amp;TEXT(BZ32,)</f>
        <v xml:space="preserve">CPA Ajuste T/C Partner Dlocal ARG </v>
      </c>
      <c r="CD32" s="149">
        <f>+BW17</f>
        <v>705744</v>
      </c>
      <c r="CE32" s="148"/>
    </row>
    <row r="33" spans="2:83" x14ac:dyDescent="0.25">
      <c r="B33" s="90">
        <f>SUM(B2:B32)</f>
        <v>-19076500</v>
      </c>
      <c r="D33" s="143"/>
      <c r="E33" s="144">
        <v>110323</v>
      </c>
      <c r="F33" s="144" t="s">
        <v>186</v>
      </c>
      <c r="G33" s="144" t="str">
        <f t="shared" ref="G33" si="217">G32</f>
        <v>CPA Ajuste T/C Renta4 USD</v>
      </c>
      <c r="H33" s="145"/>
      <c r="I33" s="146">
        <f t="shared" ref="I33" si="218">H32</f>
        <v>2155000</v>
      </c>
      <c r="J33" s="90"/>
      <c r="M33" s="90">
        <f>SUM(M2:M32)</f>
        <v>-16013</v>
      </c>
      <c r="N33" s="95">
        <f>SUM(N2:N32)</f>
        <v>-16012.810000000001</v>
      </c>
      <c r="O33" s="143"/>
      <c r="P33" s="144">
        <v>110212</v>
      </c>
      <c r="Q33" s="144" t="s">
        <v>63</v>
      </c>
      <c r="R33" s="144" t="str">
        <f t="shared" ref="R33" si="219">R32</f>
        <v>CPA Ajuste T/C JP Morgan USD 16-12-yyy</v>
      </c>
      <c r="S33" s="145"/>
      <c r="T33" s="146">
        <f t="shared" ref="T33" si="220">S32</f>
        <v>926</v>
      </c>
      <c r="W33" s="90">
        <f>SUM(W2:W32)</f>
        <v>26524998</v>
      </c>
      <c r="X33" s="95">
        <f>SUM(X2:X32)</f>
        <v>26524998.279999997</v>
      </c>
      <c r="Z33" s="143"/>
      <c r="AA33" s="144">
        <v>430105</v>
      </c>
      <c r="AB33" s="144" t="s">
        <v>25</v>
      </c>
      <c r="AC33" s="144" t="str">
        <f t="shared" ref="AC33" si="221">AC32</f>
        <v xml:space="preserve">CPA Ajuste T/C Bco. Bice USD </v>
      </c>
      <c r="AD33" s="145"/>
      <c r="AE33" s="146">
        <f t="shared" ref="AE33" si="222">AD32</f>
        <v>8731101</v>
      </c>
      <c r="AJ33" s="90">
        <f>SUM(AJ2:AJ32)</f>
        <v>-115940500</v>
      </c>
      <c r="AK33" s="90">
        <f>SUM(AK2:AK32)</f>
        <v>-115940500</v>
      </c>
      <c r="AM33" s="143"/>
      <c r="AN33" s="144">
        <v>110296</v>
      </c>
      <c r="AO33" s="144" t="s">
        <v>123</v>
      </c>
      <c r="AP33" s="144" t="str">
        <f t="shared" ref="AP33" si="223">AP32</f>
        <v xml:space="preserve">CPA Ajuste T/C MBI USD </v>
      </c>
      <c r="AQ33" s="145"/>
      <c r="AR33" s="146">
        <f t="shared" ref="AR33" si="224">AQ32</f>
        <v>7297000</v>
      </c>
      <c r="AW33" s="90">
        <f>SUM(AW2:AW32)</f>
        <v>16637111</v>
      </c>
      <c r="AX33" s="90">
        <f>SUM(AX2:AX32)</f>
        <v>16637111</v>
      </c>
      <c r="AZ33" s="143"/>
      <c r="BA33" s="144">
        <v>430105</v>
      </c>
      <c r="BB33" s="144" t="s">
        <v>25</v>
      </c>
      <c r="BC33" s="144" t="str">
        <f t="shared" ref="BC33" si="225">BC32</f>
        <v xml:space="preserve">CPA Ajuste T/C Partner Dlocal LLP </v>
      </c>
      <c r="BD33" s="145"/>
      <c r="BE33" s="146">
        <f t="shared" ref="BE33" si="226">BD32</f>
        <v>1135571</v>
      </c>
      <c r="BJ33" s="90">
        <f>SUM(BJ2:BJ32)</f>
        <v>28188896</v>
      </c>
      <c r="BK33" s="90">
        <f>SUM(BK2:BK32)</f>
        <v>28188896</v>
      </c>
      <c r="BM33" s="143"/>
      <c r="BN33" s="144">
        <v>430105</v>
      </c>
      <c r="BO33" s="144" t="s">
        <v>25</v>
      </c>
      <c r="BP33" s="144" t="str">
        <f t="shared" ref="BP33" si="227">BP32</f>
        <v xml:space="preserve">CPA Ajuste T/C Partner Dlocal PEN </v>
      </c>
      <c r="BQ33" s="145"/>
      <c r="BR33" s="146">
        <f t="shared" ref="BR33" si="228">BQ32</f>
        <v>5079784</v>
      </c>
      <c r="BW33" s="90">
        <f>SUM(BW2:BW32)</f>
        <v>7124418</v>
      </c>
      <c r="BX33" s="90">
        <f>SUM(BX2:BX32)</f>
        <v>7124418</v>
      </c>
      <c r="BZ33" s="143"/>
      <c r="CA33" s="144">
        <v>430105</v>
      </c>
      <c r="CB33" s="144" t="s">
        <v>25</v>
      </c>
      <c r="CC33" s="144" t="str">
        <f t="shared" ref="CC33" si="229">CC32</f>
        <v xml:space="preserve">CPA Ajuste T/C Partner Dlocal ARG </v>
      </c>
      <c r="CD33" s="145"/>
      <c r="CE33" s="146">
        <f t="shared" ref="CE33" si="230">CD32</f>
        <v>705744</v>
      </c>
    </row>
    <row r="34" spans="2:83" x14ac:dyDescent="0.25">
      <c r="D34" s="147">
        <v>45124</v>
      </c>
      <c r="E34" s="83">
        <v>430105</v>
      </c>
      <c r="F34" s="83" t="s">
        <v>25</v>
      </c>
      <c r="G34" s="83" t="str">
        <f t="shared" ref="G34" si="231">"CPA Ajuste T/C Renta4 USD"</f>
        <v>CPA Ajuste T/C Renta4 USD</v>
      </c>
      <c r="H34" s="149">
        <f>+B18*-1</f>
        <v>0</v>
      </c>
      <c r="I34" s="148"/>
      <c r="J34" s="90"/>
      <c r="O34" s="147">
        <v>45277</v>
      </c>
      <c r="P34" s="83">
        <v>430105</v>
      </c>
      <c r="Q34" s="83" t="s">
        <v>25</v>
      </c>
      <c r="R34" s="83" t="str">
        <f>"CPA Ajuste T/C JP Morgan USD " &amp;TEXT(O34,"dd-mm-yyy")</f>
        <v>CPA Ajuste T/C JP Morgan USD 17-12-yyy</v>
      </c>
      <c r="S34" s="149">
        <f>+M18*-1</f>
        <v>485</v>
      </c>
      <c r="T34" s="148"/>
      <c r="Z34" s="147">
        <v>45429</v>
      </c>
      <c r="AA34" s="83">
        <v>110205</v>
      </c>
      <c r="AB34" s="83" t="s">
        <v>59</v>
      </c>
      <c r="AC34" s="83" t="str">
        <f>"CPA Ajuste T/C Bco. Bice USD " &amp;TEXT(Z34,)</f>
        <v xml:space="preserve">CPA Ajuste T/C Bco. Bice USD </v>
      </c>
      <c r="AD34" s="149">
        <f>+W18</f>
        <v>839653</v>
      </c>
      <c r="AE34" s="148"/>
      <c r="AM34" s="147">
        <v>45429</v>
      </c>
      <c r="AN34" s="83">
        <v>430105</v>
      </c>
      <c r="AO34" s="83" t="s">
        <v>25</v>
      </c>
      <c r="AP34" s="83" t="str">
        <f>"CPA Ajuste T/C MBI USD " &amp;TEXT(AM34,)</f>
        <v xml:space="preserve">CPA Ajuste T/C MBI USD </v>
      </c>
      <c r="AQ34" s="149">
        <f>+AJ18*-1</f>
        <v>6700000</v>
      </c>
      <c r="AR34" s="148"/>
      <c r="AZ34" s="147">
        <v>45429</v>
      </c>
      <c r="BA34" s="83">
        <v>110252</v>
      </c>
      <c r="BB34" s="83" t="s">
        <v>184</v>
      </c>
      <c r="BC34" s="83" t="str">
        <f>"CPA Ajuste T/C Partner Dlocal LLP " &amp;TEXT(AZ34,)</f>
        <v xml:space="preserve">CPA Ajuste T/C Partner Dlocal LLP </v>
      </c>
      <c r="BD34" s="149">
        <f>+AW18</f>
        <v>1050096</v>
      </c>
      <c r="BE34" s="148"/>
      <c r="BM34" s="147">
        <v>45429</v>
      </c>
      <c r="BN34" s="83">
        <v>110269</v>
      </c>
      <c r="BO34" s="83" t="s">
        <v>2</v>
      </c>
      <c r="BP34" s="83" t="str">
        <f>"CPA Ajuste T/C Partner Dlocal PEN " &amp;TEXT(BM34,)</f>
        <v xml:space="preserve">CPA Ajuste T/C Partner Dlocal PEN </v>
      </c>
      <c r="BQ34" s="149">
        <f>+BJ18</f>
        <v>2428452</v>
      </c>
      <c r="BR34" s="148"/>
      <c r="BZ34" s="147">
        <v>45429</v>
      </c>
      <c r="CA34" s="83">
        <v>110266</v>
      </c>
      <c r="CB34" s="83" t="s">
        <v>185</v>
      </c>
      <c r="CC34" s="83" t="str">
        <f>"CPA Ajuste T/C Partner Dlocal ARG " &amp;TEXT(BZ34,)</f>
        <v xml:space="preserve">CPA Ajuste T/C Partner Dlocal ARG </v>
      </c>
      <c r="CD34" s="149">
        <f>+BW18</f>
        <v>342211</v>
      </c>
      <c r="CE34" s="148"/>
    </row>
    <row r="35" spans="2:83" x14ac:dyDescent="0.25">
      <c r="D35" s="143"/>
      <c r="E35" s="144">
        <v>110323</v>
      </c>
      <c r="F35" s="144" t="s">
        <v>186</v>
      </c>
      <c r="G35" s="144" t="str">
        <f t="shared" ref="G35" si="232">G34</f>
        <v>CPA Ajuste T/C Renta4 USD</v>
      </c>
      <c r="H35" s="145"/>
      <c r="I35" s="146">
        <f t="shared" ref="I35" si="233">H34</f>
        <v>0</v>
      </c>
      <c r="J35" s="90"/>
      <c r="O35" s="143"/>
      <c r="P35" s="144">
        <v>110212</v>
      </c>
      <c r="Q35" s="144" t="s">
        <v>63</v>
      </c>
      <c r="R35" s="144" t="str">
        <f t="shared" ref="R35" si="234">R34</f>
        <v>CPA Ajuste T/C JP Morgan USD 17-12-yyy</v>
      </c>
      <c r="S35" s="145"/>
      <c r="T35" s="146">
        <f t="shared" ref="T35" si="235">S34</f>
        <v>485</v>
      </c>
      <c r="Z35" s="143"/>
      <c r="AA35" s="144">
        <v>430105</v>
      </c>
      <c r="AB35" s="144" t="s">
        <v>25</v>
      </c>
      <c r="AC35" s="144" t="str">
        <f t="shared" ref="AC35" si="236">AC34</f>
        <v xml:space="preserve">CPA Ajuste T/C Bco. Bice USD </v>
      </c>
      <c r="AD35" s="145"/>
      <c r="AE35" s="146">
        <f t="shared" ref="AE35" si="237">AD34</f>
        <v>839653</v>
      </c>
      <c r="AM35" s="143"/>
      <c r="AN35" s="144">
        <v>110296</v>
      </c>
      <c r="AO35" s="144" t="s">
        <v>123</v>
      </c>
      <c r="AP35" s="144" t="str">
        <f t="shared" ref="AP35" si="238">AP34</f>
        <v xml:space="preserve">CPA Ajuste T/C MBI USD </v>
      </c>
      <c r="AQ35" s="145"/>
      <c r="AR35" s="146">
        <f t="shared" ref="AR35" si="239">AQ34</f>
        <v>6700000</v>
      </c>
      <c r="AW35" s="102">
        <v>357808</v>
      </c>
      <c r="AX35" s="83">
        <v>950.89</v>
      </c>
      <c r="AZ35" s="143"/>
      <c r="BA35" s="144">
        <v>430105</v>
      </c>
      <c r="BB35" s="144" t="s">
        <v>25</v>
      </c>
      <c r="BC35" s="144" t="str">
        <f t="shared" ref="BC35" si="240">BC34</f>
        <v xml:space="preserve">CPA Ajuste T/C Partner Dlocal LLP </v>
      </c>
      <c r="BD35" s="145"/>
      <c r="BE35" s="146">
        <f t="shared" ref="BE35" si="241">BD34</f>
        <v>1050096</v>
      </c>
      <c r="BJ35" s="102"/>
      <c r="BM35" s="143"/>
      <c r="BN35" s="144">
        <v>430105</v>
      </c>
      <c r="BO35" s="144" t="s">
        <v>25</v>
      </c>
      <c r="BP35" s="144" t="str">
        <f t="shared" ref="BP35" si="242">BP34</f>
        <v xml:space="preserve">CPA Ajuste T/C Partner Dlocal PEN </v>
      </c>
      <c r="BQ35" s="145"/>
      <c r="BR35" s="146">
        <f t="shared" ref="BR35" si="243">BQ34</f>
        <v>2428452</v>
      </c>
      <c r="BZ35" s="143"/>
      <c r="CA35" s="144">
        <v>430105</v>
      </c>
      <c r="CB35" s="144" t="s">
        <v>25</v>
      </c>
      <c r="CC35" s="144" t="str">
        <f t="shared" ref="CC35" si="244">CC34</f>
        <v xml:space="preserve">CPA Ajuste T/C Partner Dlocal ARG </v>
      </c>
      <c r="CD35" s="145"/>
      <c r="CE35" s="146">
        <f t="shared" ref="CE35" si="245">CD34</f>
        <v>342211</v>
      </c>
    </row>
    <row r="36" spans="2:83" x14ac:dyDescent="0.25">
      <c r="D36" s="147">
        <v>45125</v>
      </c>
      <c r="E36" s="83">
        <v>430105</v>
      </c>
      <c r="F36" s="83" t="s">
        <v>25</v>
      </c>
      <c r="G36" s="83" t="str">
        <f t="shared" ref="G36" si="246">"CPA Ajuste T/C Renta4 USD"</f>
        <v>CPA Ajuste T/C Renta4 USD</v>
      </c>
      <c r="H36" s="149">
        <f>+B19*-1</f>
        <v>0</v>
      </c>
      <c r="I36" s="148"/>
      <c r="J36" s="90"/>
      <c r="O36" s="147">
        <v>45278</v>
      </c>
      <c r="P36" s="83">
        <v>110212</v>
      </c>
      <c r="Q36" s="83" t="s">
        <v>63</v>
      </c>
      <c r="R36" s="83" t="str">
        <f>"CPA Ajuste T/C JP Morgan USD " &amp;TEXT(O36,"dd-mm-yyy")</f>
        <v>CPA Ajuste T/C JP Morgan USD 18-12-yyy</v>
      </c>
      <c r="S36" s="149">
        <f>+M19</f>
        <v>0</v>
      </c>
      <c r="T36" s="148"/>
      <c r="Z36" s="147">
        <v>45430</v>
      </c>
      <c r="AA36" s="83">
        <v>430105</v>
      </c>
      <c r="AB36" s="83" t="s">
        <v>25</v>
      </c>
      <c r="AC36" s="83" t="str">
        <f>"CPA Ajuste T/C Bco. Bice USD " &amp;TEXT(Z36,)</f>
        <v xml:space="preserve">CPA Ajuste T/C Bco. Bice USD </v>
      </c>
      <c r="AD36" s="149">
        <f>+W19*-1</f>
        <v>1264910</v>
      </c>
      <c r="AE36" s="148"/>
      <c r="AM36" s="147">
        <v>45430</v>
      </c>
      <c r="AN36" s="83">
        <v>430105</v>
      </c>
      <c r="AO36" s="83" t="s">
        <v>25</v>
      </c>
      <c r="AP36" s="83" t="str">
        <f>"CPA Ajuste T/C MBI USD " &amp;TEXT(AM36,)</f>
        <v xml:space="preserve">CPA Ajuste T/C MBI USD </v>
      </c>
      <c r="AQ36" s="149">
        <f>+AJ19*-1</f>
        <v>0</v>
      </c>
      <c r="AR36" s="148"/>
      <c r="AW36" s="154">
        <f>ROUND(AW35*AX35,0)</f>
        <v>340236049</v>
      </c>
      <c r="AZ36" s="147">
        <v>45430</v>
      </c>
      <c r="BA36" s="83">
        <v>110252</v>
      </c>
      <c r="BB36" s="83" t="s">
        <v>184</v>
      </c>
      <c r="BC36" s="83" t="str">
        <f>"CPA Ajuste T/C Partner Dlocal LLP " &amp;TEXT(AZ36,)</f>
        <v xml:space="preserve">CPA Ajuste T/C Partner Dlocal LLP </v>
      </c>
      <c r="BD36" s="149">
        <f>+AW19</f>
        <v>1509016</v>
      </c>
      <c r="BE36" s="148"/>
      <c r="BM36" s="147">
        <v>45430</v>
      </c>
      <c r="BN36" s="83">
        <v>110269</v>
      </c>
      <c r="BO36" s="83" t="s">
        <v>2</v>
      </c>
      <c r="BP36" s="83" t="str">
        <f>"CPA Ajuste T/C Partner Dlocal PEN " &amp;TEXT(BM36,)</f>
        <v xml:space="preserve">CPA Ajuste T/C Partner Dlocal PEN </v>
      </c>
      <c r="BQ36" s="149">
        <f>+BJ19</f>
        <v>4041378</v>
      </c>
      <c r="BR36" s="148"/>
      <c r="BZ36" s="147">
        <v>45430</v>
      </c>
      <c r="CA36" s="83">
        <v>110266</v>
      </c>
      <c r="CB36" s="83" t="s">
        <v>185</v>
      </c>
      <c r="CC36" s="83" t="str">
        <f>"CPA Ajuste T/C Partner Dlocal ARG " &amp;TEXT(BZ36,)</f>
        <v xml:space="preserve">CPA Ajuste T/C Partner Dlocal ARG </v>
      </c>
      <c r="CD36" s="149">
        <f>+BW19</f>
        <v>412105</v>
      </c>
      <c r="CE36" s="148"/>
    </row>
    <row r="37" spans="2:83" x14ac:dyDescent="0.25">
      <c r="D37" s="143"/>
      <c r="E37" s="144">
        <v>110323</v>
      </c>
      <c r="F37" s="144" t="s">
        <v>186</v>
      </c>
      <c r="G37" s="144" t="str">
        <f t="shared" ref="G37" si="247">G36</f>
        <v>CPA Ajuste T/C Renta4 USD</v>
      </c>
      <c r="H37" s="145"/>
      <c r="I37" s="146">
        <f t="shared" ref="I37" si="248">H36</f>
        <v>0</v>
      </c>
      <c r="J37" s="90"/>
      <c r="O37" s="143"/>
      <c r="P37" s="144">
        <v>430105</v>
      </c>
      <c r="Q37" s="144" t="s">
        <v>25</v>
      </c>
      <c r="R37" s="144" t="str">
        <f t="shared" ref="R37" si="249">R36</f>
        <v>CPA Ajuste T/C JP Morgan USD 18-12-yyy</v>
      </c>
      <c r="S37" s="145"/>
      <c r="T37" s="146">
        <f t="shared" ref="T37" si="250">S36</f>
        <v>0</v>
      </c>
      <c r="Z37" s="143"/>
      <c r="AA37" s="144">
        <v>110205</v>
      </c>
      <c r="AB37" s="144" t="s">
        <v>59</v>
      </c>
      <c r="AC37" s="144" t="str">
        <f t="shared" ref="AC37" si="251">AC36</f>
        <v xml:space="preserve">CPA Ajuste T/C Bco. Bice USD </v>
      </c>
      <c r="AD37" s="145"/>
      <c r="AE37" s="146">
        <f t="shared" ref="AE37" si="252">AD36</f>
        <v>1264910</v>
      </c>
      <c r="AM37" s="143"/>
      <c r="AN37" s="144">
        <v>110296</v>
      </c>
      <c r="AO37" s="144" t="s">
        <v>123</v>
      </c>
      <c r="AP37" s="144" t="str">
        <f t="shared" ref="AP37" si="253">AP36</f>
        <v xml:space="preserve">CPA Ajuste T/C MBI USD </v>
      </c>
      <c r="AQ37" s="145"/>
      <c r="AR37" s="146">
        <f t="shared" ref="AR37" si="254">AQ36</f>
        <v>0</v>
      </c>
      <c r="AW37" s="102">
        <v>323598938</v>
      </c>
      <c r="AZ37" s="143"/>
      <c r="BA37" s="144">
        <v>430105</v>
      </c>
      <c r="BB37" s="144" t="s">
        <v>25</v>
      </c>
      <c r="BC37" s="144" t="str">
        <f t="shared" ref="BC37" si="255">BC36</f>
        <v xml:space="preserve">CPA Ajuste T/C Partner Dlocal LLP </v>
      </c>
      <c r="BD37" s="145"/>
      <c r="BE37" s="146">
        <f t="shared" ref="BE37" si="256">BD36</f>
        <v>1509016</v>
      </c>
      <c r="BM37" s="143"/>
      <c r="BN37" s="144">
        <v>430105</v>
      </c>
      <c r="BO37" s="144" t="s">
        <v>25</v>
      </c>
      <c r="BP37" s="144" t="str">
        <f t="shared" ref="BP37" si="257">BP36</f>
        <v xml:space="preserve">CPA Ajuste T/C Partner Dlocal PEN </v>
      </c>
      <c r="BQ37" s="145"/>
      <c r="BR37" s="146">
        <f t="shared" ref="BR37" si="258">BQ36</f>
        <v>4041378</v>
      </c>
      <c r="BZ37" s="143"/>
      <c r="CA37" s="144">
        <v>430105</v>
      </c>
      <c r="CB37" s="144" t="s">
        <v>25</v>
      </c>
      <c r="CC37" s="144" t="str">
        <f t="shared" ref="CC37" si="259">CC36</f>
        <v xml:space="preserve">CPA Ajuste T/C Partner Dlocal ARG </v>
      </c>
      <c r="CD37" s="145"/>
      <c r="CE37" s="146">
        <f t="shared" ref="CE37" si="260">CD36</f>
        <v>412105</v>
      </c>
    </row>
    <row r="38" spans="2:83" x14ac:dyDescent="0.25">
      <c r="D38" s="147">
        <v>45126</v>
      </c>
      <c r="E38" s="83">
        <v>110323</v>
      </c>
      <c r="F38" s="83" t="s">
        <v>186</v>
      </c>
      <c r="G38" s="83" t="str">
        <f t="shared" ref="G38" si="261">"CPA Ajuste T/C Renta4 USD"</f>
        <v>CPA Ajuste T/C Renta4 USD</v>
      </c>
      <c r="H38" s="149">
        <f>+B20</f>
        <v>0</v>
      </c>
      <c r="I38" s="148"/>
      <c r="J38" s="90"/>
      <c r="O38" s="147">
        <v>45279</v>
      </c>
      <c r="P38" s="83">
        <v>430105</v>
      </c>
      <c r="Q38" s="83" t="s">
        <v>25</v>
      </c>
      <c r="R38" s="83" t="str">
        <f>"CPA Ajuste T/C JP Morgan USD " &amp;TEXT(O38,"dd-mm-yyy")</f>
        <v>CPA Ajuste T/C JP Morgan USD 19-12-yyy</v>
      </c>
      <c r="S38" s="149">
        <f>+M20*-1</f>
        <v>0</v>
      </c>
      <c r="T38" s="148"/>
      <c r="Z38" s="147">
        <v>45431</v>
      </c>
      <c r="AA38" s="83">
        <v>110205</v>
      </c>
      <c r="AB38" s="83" t="s">
        <v>59</v>
      </c>
      <c r="AC38" s="83" t="str">
        <f>"CPA Ajuste T/C Bco. Bice USD " &amp;TEXT(Z38,)</f>
        <v xml:space="preserve">CPA Ajuste T/C Bco. Bice USD </v>
      </c>
      <c r="AD38" s="149">
        <f>+W20</f>
        <v>0</v>
      </c>
      <c r="AE38" s="148"/>
      <c r="AM38" s="147">
        <v>45431</v>
      </c>
      <c r="AN38" s="83">
        <v>110296</v>
      </c>
      <c r="AO38" s="83" t="s">
        <v>123</v>
      </c>
      <c r="AP38" s="83" t="str">
        <f>"CPA Ajuste T/C MBI USD " &amp;TEXT(AM38,)</f>
        <v xml:space="preserve">CPA Ajuste T/C MBI USD </v>
      </c>
      <c r="AQ38" s="149">
        <f>+AJ20</f>
        <v>0</v>
      </c>
      <c r="AR38" s="148"/>
      <c r="AW38" s="102">
        <f>+AW36-AW37</f>
        <v>16637111</v>
      </c>
      <c r="AZ38" s="147">
        <v>45431</v>
      </c>
      <c r="BA38" s="83">
        <v>110252</v>
      </c>
      <c r="BB38" s="83" t="s">
        <v>184</v>
      </c>
      <c r="BC38" s="83" t="str">
        <f>"CPA Ajuste T/C Partner Dlocal LLP " &amp;TEXT(AZ38,)</f>
        <v xml:space="preserve">CPA Ajuste T/C Partner Dlocal LLP </v>
      </c>
      <c r="BD38" s="149">
        <f>+AW20</f>
        <v>0</v>
      </c>
      <c r="BE38" s="148"/>
      <c r="BM38" s="147">
        <v>45431</v>
      </c>
      <c r="BN38" s="83">
        <v>110269</v>
      </c>
      <c r="BO38" s="83" t="s">
        <v>2</v>
      </c>
      <c r="BP38" s="83" t="str">
        <f>"CPA Ajuste T/C Partner Dlocal PEN " &amp;TEXT(BM38,)</f>
        <v xml:space="preserve">CPA Ajuste T/C Partner Dlocal PEN </v>
      </c>
      <c r="BQ38" s="149">
        <f>+BJ20</f>
        <v>0</v>
      </c>
      <c r="BR38" s="148"/>
      <c r="BZ38" s="147">
        <v>45431</v>
      </c>
      <c r="CA38" s="83">
        <v>110266</v>
      </c>
      <c r="CB38" s="83" t="s">
        <v>185</v>
      </c>
      <c r="CC38" s="83" t="str">
        <f>"CPA Ajuste T/C Partner Dlocal ARG " &amp;TEXT(BZ38,)</f>
        <v xml:space="preserve">CPA Ajuste T/C Partner Dlocal ARG </v>
      </c>
      <c r="CD38" s="149">
        <f>+BW20</f>
        <v>0</v>
      </c>
      <c r="CE38" s="148"/>
    </row>
    <row r="39" spans="2:83" x14ac:dyDescent="0.25">
      <c r="D39" s="143"/>
      <c r="E39" s="144">
        <v>430105</v>
      </c>
      <c r="F39" s="144" t="s">
        <v>25</v>
      </c>
      <c r="G39" s="144" t="str">
        <f t="shared" ref="G39" si="262">G38</f>
        <v>CPA Ajuste T/C Renta4 USD</v>
      </c>
      <c r="H39" s="145"/>
      <c r="I39" s="146">
        <f t="shared" ref="I39" si="263">H38</f>
        <v>0</v>
      </c>
      <c r="J39" s="90"/>
      <c r="O39" s="143"/>
      <c r="P39" s="144">
        <v>110212</v>
      </c>
      <c r="Q39" s="144" t="s">
        <v>63</v>
      </c>
      <c r="R39" s="144" t="str">
        <f t="shared" ref="R39" si="264">R38</f>
        <v>CPA Ajuste T/C JP Morgan USD 19-12-yyy</v>
      </c>
      <c r="S39" s="145"/>
      <c r="T39" s="146">
        <f t="shared" ref="T39" si="265">S38</f>
        <v>0</v>
      </c>
      <c r="Z39" s="143"/>
      <c r="AA39" s="144">
        <v>430105</v>
      </c>
      <c r="AB39" s="144" t="s">
        <v>25</v>
      </c>
      <c r="AC39" s="144" t="str">
        <f t="shared" ref="AC39" si="266">AC38</f>
        <v xml:space="preserve">CPA Ajuste T/C Bco. Bice USD </v>
      </c>
      <c r="AD39" s="145"/>
      <c r="AE39" s="146">
        <f t="shared" ref="AE39" si="267">AD38</f>
        <v>0</v>
      </c>
      <c r="AM39" s="143"/>
      <c r="AN39" s="144">
        <v>430105</v>
      </c>
      <c r="AO39" s="144" t="s">
        <v>25</v>
      </c>
      <c r="AP39" s="144" t="str">
        <f t="shared" ref="AP39" si="268">AP38</f>
        <v xml:space="preserve">CPA Ajuste T/C MBI USD </v>
      </c>
      <c r="AQ39" s="145"/>
      <c r="AR39" s="146">
        <f t="shared" ref="AR39" si="269">AQ38</f>
        <v>0</v>
      </c>
      <c r="AZ39" s="143"/>
      <c r="BA39" s="144">
        <v>430105</v>
      </c>
      <c r="BB39" s="144" t="s">
        <v>25</v>
      </c>
      <c r="BC39" s="144" t="str">
        <f t="shared" ref="BC39" si="270">BC38</f>
        <v xml:space="preserve">CPA Ajuste T/C Partner Dlocal LLP </v>
      </c>
      <c r="BD39" s="145"/>
      <c r="BE39" s="146">
        <f t="shared" ref="BE39" si="271">BD38</f>
        <v>0</v>
      </c>
      <c r="BM39" s="143"/>
      <c r="BN39" s="144">
        <v>430105</v>
      </c>
      <c r="BO39" s="144" t="s">
        <v>25</v>
      </c>
      <c r="BP39" s="144" t="str">
        <f t="shared" ref="BP39" si="272">BP38</f>
        <v xml:space="preserve">CPA Ajuste T/C Partner Dlocal PEN </v>
      </c>
      <c r="BQ39" s="145"/>
      <c r="BR39" s="146">
        <f t="shared" ref="BR39" si="273">BQ38</f>
        <v>0</v>
      </c>
      <c r="BZ39" s="143"/>
      <c r="CA39" s="144">
        <v>430105</v>
      </c>
      <c r="CB39" s="144" t="s">
        <v>25</v>
      </c>
      <c r="CC39" s="144" t="str">
        <f t="shared" ref="CC39" si="274">CC38</f>
        <v xml:space="preserve">CPA Ajuste T/C Partner Dlocal ARG </v>
      </c>
      <c r="CD39" s="145"/>
      <c r="CE39" s="146">
        <f t="shared" ref="CE39" si="275">CD38</f>
        <v>0</v>
      </c>
    </row>
    <row r="40" spans="2:83" x14ac:dyDescent="0.25">
      <c r="D40" s="147">
        <v>45127</v>
      </c>
      <c r="E40" s="83">
        <v>110323</v>
      </c>
      <c r="F40" s="83" t="s">
        <v>186</v>
      </c>
      <c r="G40" s="83" t="str">
        <f t="shared" ref="G40" si="276">"CPA Ajuste T/C Renta4 USD"</f>
        <v>CPA Ajuste T/C Renta4 USD</v>
      </c>
      <c r="H40" s="149">
        <f>+B21</f>
        <v>0</v>
      </c>
      <c r="I40" s="148"/>
      <c r="J40" s="90"/>
      <c r="O40" s="147">
        <v>45280</v>
      </c>
      <c r="P40" s="83">
        <v>110212</v>
      </c>
      <c r="Q40" s="83" t="s">
        <v>63</v>
      </c>
      <c r="R40" s="83" t="str">
        <f>"CPA Ajuste T/C JP Morgan USD " &amp;TEXT(O40,"dd-mm-yyy")</f>
        <v>CPA Ajuste T/C JP Morgan USD 20-12-yyy</v>
      </c>
      <c r="S40" s="149">
        <f>+M21</f>
        <v>172</v>
      </c>
      <c r="T40" s="148"/>
      <c r="Z40" s="147">
        <v>45432</v>
      </c>
      <c r="AA40" s="83">
        <v>430105</v>
      </c>
      <c r="AB40" s="83" t="s">
        <v>25</v>
      </c>
      <c r="AC40" s="83" t="str">
        <f>"CPA Ajuste T/C Bco. Bice USD " &amp;TEXT(Z40,)</f>
        <v xml:space="preserve">CPA Ajuste T/C Bco. Bice USD </v>
      </c>
      <c r="AD40" s="149">
        <f>+W21*-1</f>
        <v>0</v>
      </c>
      <c r="AE40" s="148"/>
      <c r="AM40" s="147">
        <v>45432</v>
      </c>
      <c r="AN40" s="83">
        <v>110296</v>
      </c>
      <c r="AO40" s="83" t="s">
        <v>123</v>
      </c>
      <c r="AP40" s="83" t="str">
        <f>"CPA Ajuste T/C MBI USD " &amp;TEXT(AM40,)</f>
        <v xml:space="preserve">CPA Ajuste T/C MBI USD </v>
      </c>
      <c r="AQ40" s="149">
        <f>+AJ21</f>
        <v>0</v>
      </c>
      <c r="AR40" s="148"/>
      <c r="AZ40" s="147">
        <v>45432</v>
      </c>
      <c r="BA40" s="83">
        <v>430105</v>
      </c>
      <c r="BB40" s="83" t="s">
        <v>25</v>
      </c>
      <c r="BC40" s="83" t="str">
        <f>"CPA Ajuste T/C Partner Dlocal LLP " &amp;TEXT(AZ40,)</f>
        <v xml:space="preserve">CPA Ajuste T/C Partner Dlocal LLP </v>
      </c>
      <c r="BD40" s="149">
        <f>+AW21*-1</f>
        <v>0</v>
      </c>
      <c r="BE40" s="148"/>
      <c r="BM40" s="147">
        <v>45432</v>
      </c>
      <c r="BN40" s="83">
        <v>430105</v>
      </c>
      <c r="BO40" s="83" t="s">
        <v>25</v>
      </c>
      <c r="BP40" s="83" t="str">
        <f>"CPA Ajuste T/C Partner Dlocal PEN " &amp;TEXT(BM40,)</f>
        <v xml:space="preserve">CPA Ajuste T/C Partner Dlocal PEN </v>
      </c>
      <c r="BQ40" s="149">
        <f>+BJ21*-1</f>
        <v>0</v>
      </c>
      <c r="BR40" s="148"/>
      <c r="BZ40" s="147">
        <v>45432</v>
      </c>
      <c r="CA40" s="83">
        <v>430105</v>
      </c>
      <c r="CB40" s="83" t="s">
        <v>25</v>
      </c>
      <c r="CC40" s="83" t="str">
        <f>"CPA Ajuste T/C Partner Dlocal ARG " &amp;TEXT(BZ40,)</f>
        <v xml:space="preserve">CPA Ajuste T/C Partner Dlocal ARG </v>
      </c>
      <c r="CD40" s="149">
        <f>+BW21*-1</f>
        <v>0</v>
      </c>
      <c r="CE40" s="148"/>
    </row>
    <row r="41" spans="2:83" x14ac:dyDescent="0.25">
      <c r="D41" s="143"/>
      <c r="E41" s="144">
        <v>430105</v>
      </c>
      <c r="F41" s="144" t="s">
        <v>25</v>
      </c>
      <c r="G41" s="144" t="str">
        <f t="shared" ref="G41" si="277">G40</f>
        <v>CPA Ajuste T/C Renta4 USD</v>
      </c>
      <c r="H41" s="145"/>
      <c r="I41" s="146">
        <f t="shared" ref="I41" si="278">H40</f>
        <v>0</v>
      </c>
      <c r="J41" s="90"/>
      <c r="O41" s="143"/>
      <c r="P41" s="144">
        <v>430105</v>
      </c>
      <c r="Q41" s="144" t="s">
        <v>25</v>
      </c>
      <c r="R41" s="144" t="str">
        <f t="shared" ref="R41" si="279">R40</f>
        <v>CPA Ajuste T/C JP Morgan USD 20-12-yyy</v>
      </c>
      <c r="S41" s="145"/>
      <c r="T41" s="146">
        <f t="shared" ref="T41" si="280">S40</f>
        <v>172</v>
      </c>
      <c r="Z41" s="143"/>
      <c r="AA41" s="144">
        <v>110205</v>
      </c>
      <c r="AB41" s="144" t="s">
        <v>59</v>
      </c>
      <c r="AC41" s="144" t="str">
        <f t="shared" ref="AC41" si="281">AC40</f>
        <v xml:space="preserve">CPA Ajuste T/C Bco. Bice USD </v>
      </c>
      <c r="AD41" s="145"/>
      <c r="AE41" s="146">
        <f t="shared" ref="AE41" si="282">AD40</f>
        <v>0</v>
      </c>
      <c r="AM41" s="143"/>
      <c r="AN41" s="144">
        <v>430105</v>
      </c>
      <c r="AO41" s="144" t="s">
        <v>25</v>
      </c>
      <c r="AP41" s="144" t="str">
        <f t="shared" ref="AP41" si="283">AP40</f>
        <v xml:space="preserve">CPA Ajuste T/C MBI USD </v>
      </c>
      <c r="AQ41" s="145"/>
      <c r="AR41" s="146">
        <f t="shared" ref="AR41" si="284">AQ40</f>
        <v>0</v>
      </c>
      <c r="AZ41" s="143"/>
      <c r="BA41" s="144">
        <v>110252</v>
      </c>
      <c r="BB41" s="144" t="s">
        <v>184</v>
      </c>
      <c r="BC41" s="144" t="str">
        <f t="shared" ref="BC41" si="285">BC40</f>
        <v xml:space="preserve">CPA Ajuste T/C Partner Dlocal LLP </v>
      </c>
      <c r="BD41" s="145"/>
      <c r="BE41" s="146">
        <f t="shared" ref="BE41" si="286">BD40</f>
        <v>0</v>
      </c>
      <c r="BM41" s="143"/>
      <c r="BN41" s="144">
        <v>110269</v>
      </c>
      <c r="BO41" s="144" t="s">
        <v>2</v>
      </c>
      <c r="BP41" s="144" t="str">
        <f t="shared" ref="BP41" si="287">BP40</f>
        <v xml:space="preserve">CPA Ajuste T/C Partner Dlocal PEN </v>
      </c>
      <c r="BQ41" s="145"/>
      <c r="BR41" s="146">
        <f t="shared" ref="BR41" si="288">BQ40</f>
        <v>0</v>
      </c>
      <c r="BZ41" s="143"/>
      <c r="CA41" s="144">
        <v>110266</v>
      </c>
      <c r="CB41" s="144" t="s">
        <v>185</v>
      </c>
      <c r="CC41" s="144" t="str">
        <f t="shared" ref="CC41" si="289">CC40</f>
        <v xml:space="preserve">CPA Ajuste T/C Partner Dlocal ARG </v>
      </c>
      <c r="CD41" s="145"/>
      <c r="CE41" s="146">
        <f t="shared" ref="CE41" si="290">CD40</f>
        <v>0</v>
      </c>
    </row>
    <row r="42" spans="2:83" x14ac:dyDescent="0.25">
      <c r="D42" s="147">
        <v>45128</v>
      </c>
      <c r="E42" s="83">
        <v>430105</v>
      </c>
      <c r="F42" s="83" t="s">
        <v>25</v>
      </c>
      <c r="G42" s="83" t="str">
        <f t="shared" ref="G42" si="291">"CPA Ajuste T/C Renta4 USD"</f>
        <v>CPA Ajuste T/C Renta4 USD</v>
      </c>
      <c r="H42" s="149">
        <f>+B22*-1</f>
        <v>3655000</v>
      </c>
      <c r="I42" s="148"/>
      <c r="J42" s="90"/>
      <c r="O42" s="147">
        <v>45281</v>
      </c>
      <c r="P42" s="83">
        <v>430105</v>
      </c>
      <c r="Q42" s="83" t="s">
        <v>25</v>
      </c>
      <c r="R42" s="83" t="str">
        <f>"CPA Ajuste T/C JP Morgan USD " &amp;TEXT(O42,"dd-mm-yyy")</f>
        <v>CPA Ajuste T/C JP Morgan USD 21-12-yyy</v>
      </c>
      <c r="S42" s="149">
        <f>+M22*-1</f>
        <v>289</v>
      </c>
      <c r="T42" s="148"/>
      <c r="Z42" s="147">
        <v>45433</v>
      </c>
      <c r="AA42" s="83">
        <v>110205</v>
      </c>
      <c r="AB42" s="83" t="s">
        <v>59</v>
      </c>
      <c r="AC42" s="83" t="str">
        <f>"CPA Ajuste T/C Bco. Bice USD " &amp;TEXT(Z42,)</f>
        <v xml:space="preserve">CPA Ajuste T/C Bco. Bice USD </v>
      </c>
      <c r="AD42" s="149">
        <f>+W22</f>
        <v>1899644</v>
      </c>
      <c r="AE42" s="148"/>
      <c r="AM42" s="147">
        <v>45433</v>
      </c>
      <c r="AN42" s="83">
        <v>430105</v>
      </c>
      <c r="AO42" s="83" t="s">
        <v>25</v>
      </c>
      <c r="AP42" s="83" t="str">
        <f>"CPA Ajuste T/C MBI USD " &amp;TEXT(AM42,)</f>
        <v xml:space="preserve">CPA Ajuste T/C MBI USD </v>
      </c>
      <c r="AQ42" s="149">
        <f>+AJ22*-1</f>
        <v>11992500</v>
      </c>
      <c r="AR42" s="148"/>
      <c r="AZ42" s="147">
        <v>45433</v>
      </c>
      <c r="BA42" s="83">
        <v>110252</v>
      </c>
      <c r="BB42" s="83" t="s">
        <v>184</v>
      </c>
      <c r="BC42" s="83" t="str">
        <f>"CPA Ajuste T/C Partner Dlocal LLP " &amp;TEXT(AZ42,)</f>
        <v xml:space="preserve">CPA Ajuste T/C Partner Dlocal LLP </v>
      </c>
      <c r="BD42" s="149">
        <f>+AW22</f>
        <v>775074</v>
      </c>
      <c r="BE42" s="148"/>
      <c r="BM42" s="147">
        <v>45433</v>
      </c>
      <c r="BN42" s="83">
        <v>110269</v>
      </c>
      <c r="BO42" s="83" t="s">
        <v>2</v>
      </c>
      <c r="BP42" s="83" t="str">
        <f>"CPA Ajuste T/C Partner Dlocal PEN " &amp;TEXT(BM42,)</f>
        <v xml:space="preserve">CPA Ajuste T/C Partner Dlocal PEN </v>
      </c>
      <c r="BQ42" s="149">
        <f>+BJ22</f>
        <v>3235294</v>
      </c>
      <c r="BR42" s="148"/>
      <c r="BZ42" s="147">
        <v>45433</v>
      </c>
      <c r="CA42" s="83">
        <v>110266</v>
      </c>
      <c r="CB42" s="83" t="s">
        <v>185</v>
      </c>
      <c r="CC42" s="83" t="str">
        <f>"CPA Ajuste T/C Partner Dlocal ARG " &amp;TEXT(BZ42,)</f>
        <v xml:space="preserve">CPA Ajuste T/C Partner Dlocal ARG </v>
      </c>
      <c r="CD42" s="149">
        <f>+BW22</f>
        <v>113993</v>
      </c>
      <c r="CE42" s="148"/>
    </row>
    <row r="43" spans="2:83" x14ac:dyDescent="0.25">
      <c r="D43" s="143"/>
      <c r="E43" s="144">
        <v>110323</v>
      </c>
      <c r="F43" s="144" t="s">
        <v>186</v>
      </c>
      <c r="G43" s="144" t="str">
        <f t="shared" ref="G43" si="292">G42</f>
        <v>CPA Ajuste T/C Renta4 USD</v>
      </c>
      <c r="H43" s="145"/>
      <c r="I43" s="146">
        <f t="shared" ref="I43" si="293">H42</f>
        <v>3655000</v>
      </c>
      <c r="J43" s="90"/>
      <c r="O43" s="143"/>
      <c r="P43" s="144">
        <v>110212</v>
      </c>
      <c r="Q43" s="144" t="s">
        <v>63</v>
      </c>
      <c r="R43" s="144" t="str">
        <f t="shared" ref="R43" si="294">R42</f>
        <v>CPA Ajuste T/C JP Morgan USD 21-12-yyy</v>
      </c>
      <c r="S43" s="145"/>
      <c r="T43" s="146">
        <f t="shared" ref="T43" si="295">S42</f>
        <v>289</v>
      </c>
      <c r="Z43" s="143"/>
      <c r="AA43" s="144">
        <v>430105</v>
      </c>
      <c r="AB43" s="144" t="s">
        <v>25</v>
      </c>
      <c r="AC43" s="144" t="str">
        <f t="shared" ref="AC43" si="296">AC42</f>
        <v xml:space="preserve">CPA Ajuste T/C Bco. Bice USD </v>
      </c>
      <c r="AD43" s="145"/>
      <c r="AE43" s="146">
        <f t="shared" ref="AE43" si="297">AD42</f>
        <v>1899644</v>
      </c>
      <c r="AM43" s="143"/>
      <c r="AN43" s="144">
        <v>110296</v>
      </c>
      <c r="AO43" s="144" t="s">
        <v>123</v>
      </c>
      <c r="AP43" s="144" t="str">
        <f t="shared" ref="AP43" si="298">AP42</f>
        <v xml:space="preserve">CPA Ajuste T/C MBI USD </v>
      </c>
      <c r="AQ43" s="145"/>
      <c r="AR43" s="146">
        <f t="shared" ref="AR43" si="299">AQ42</f>
        <v>11992500</v>
      </c>
      <c r="AZ43" s="143"/>
      <c r="BA43" s="144">
        <v>430105</v>
      </c>
      <c r="BB43" s="144" t="s">
        <v>25</v>
      </c>
      <c r="BC43" s="144" t="str">
        <f t="shared" ref="BC43" si="300">BC42</f>
        <v xml:space="preserve">CPA Ajuste T/C Partner Dlocal LLP </v>
      </c>
      <c r="BD43" s="145"/>
      <c r="BE43" s="146">
        <f t="shared" ref="BE43" si="301">BD42</f>
        <v>775074</v>
      </c>
      <c r="BM43" s="143"/>
      <c r="BN43" s="144">
        <v>430105</v>
      </c>
      <c r="BO43" s="144" t="s">
        <v>25</v>
      </c>
      <c r="BP43" s="144" t="str">
        <f t="shared" ref="BP43" si="302">BP42</f>
        <v xml:space="preserve">CPA Ajuste T/C Partner Dlocal PEN </v>
      </c>
      <c r="BQ43" s="145"/>
      <c r="BR43" s="146">
        <f t="shared" ref="BR43" si="303">BQ42</f>
        <v>3235294</v>
      </c>
      <c r="BZ43" s="143"/>
      <c r="CA43" s="144">
        <v>430105</v>
      </c>
      <c r="CB43" s="144" t="s">
        <v>25</v>
      </c>
      <c r="CC43" s="144" t="str">
        <f t="shared" ref="CC43" si="304">CC42</f>
        <v xml:space="preserve">CPA Ajuste T/C Partner Dlocal ARG </v>
      </c>
      <c r="CD43" s="145"/>
      <c r="CE43" s="146">
        <f t="shared" ref="CE43" si="305">CD42</f>
        <v>113993</v>
      </c>
    </row>
    <row r="44" spans="2:83" x14ac:dyDescent="0.25">
      <c r="D44" s="147">
        <v>45129</v>
      </c>
      <c r="E44" s="83">
        <v>110323</v>
      </c>
      <c r="F44" s="83" t="s">
        <v>186</v>
      </c>
      <c r="G44" s="83" t="str">
        <f t="shared" ref="G44" si="306">"CPA Ajuste T/C Renta4 USD"</f>
        <v>CPA Ajuste T/C Renta4 USD</v>
      </c>
      <c r="H44" s="149">
        <f>+B23</f>
        <v>5854000</v>
      </c>
      <c r="I44" s="148"/>
      <c r="J44" s="90"/>
      <c r="O44" s="147">
        <v>45282</v>
      </c>
      <c r="P44" s="83">
        <v>430105</v>
      </c>
      <c r="Q44" s="83" t="s">
        <v>25</v>
      </c>
      <c r="R44" s="83" t="str">
        <f>"CPA Ajuste T/C JP Morgan USD " &amp;TEXT(O44,"dd-mm-yyy")</f>
        <v>CPA Ajuste T/C JP Morgan USD 22-12-yyy</v>
      </c>
      <c r="S44" s="149">
        <f>+M23*-1</f>
        <v>285</v>
      </c>
      <c r="T44" s="148"/>
      <c r="Z44" s="147">
        <v>45434</v>
      </c>
      <c r="AA44" s="83">
        <v>110205</v>
      </c>
      <c r="AB44" s="83" t="s">
        <v>59</v>
      </c>
      <c r="AC44" s="83" t="str">
        <f>"CPA Ajuste T/C Bco. Bice USD " &amp;TEXT(Z44,)</f>
        <v xml:space="preserve">CPA Ajuste T/C Bco. Bice USD </v>
      </c>
      <c r="AD44" s="149">
        <f>+W23</f>
        <v>7599192</v>
      </c>
      <c r="AE44" s="148"/>
      <c r="AM44" s="147">
        <v>45434</v>
      </c>
      <c r="AN44" s="83">
        <v>110296</v>
      </c>
      <c r="AO44" s="83" t="s">
        <v>123</v>
      </c>
      <c r="AP44" s="83" t="str">
        <f>"CPA Ajuste T/C MBI USD " &amp;TEXT(AM44,)</f>
        <v xml:space="preserve">CPA Ajuste T/C MBI USD </v>
      </c>
      <c r="AQ44" s="149">
        <f>+AJ23</f>
        <v>6940000</v>
      </c>
      <c r="AR44" s="148"/>
      <c r="AZ44" s="147">
        <v>45434</v>
      </c>
      <c r="BA44" s="83">
        <v>110252</v>
      </c>
      <c r="BB44" s="83" t="s">
        <v>184</v>
      </c>
      <c r="BC44" s="83" t="str">
        <f>"CPA Ajuste T/C Partner Dlocal LLP " &amp;TEXT(AZ44,)</f>
        <v xml:space="preserve">CPA Ajuste T/C Partner Dlocal LLP </v>
      </c>
      <c r="BD44" s="149">
        <f>+AW23</f>
        <v>3682185</v>
      </c>
      <c r="BE44" s="148"/>
      <c r="BM44" s="147">
        <v>45434</v>
      </c>
      <c r="BN44" s="83">
        <v>110269</v>
      </c>
      <c r="BO44" s="83" t="s">
        <v>2</v>
      </c>
      <c r="BP44" s="83" t="str">
        <f>"CPA Ajuste T/C Partner Dlocal PEN " &amp;TEXT(BM44,)</f>
        <v xml:space="preserve">CPA Ajuste T/C Partner Dlocal PEN </v>
      </c>
      <c r="BQ44" s="149">
        <f>+BJ23</f>
        <v>1955990</v>
      </c>
      <c r="BR44" s="148"/>
      <c r="BZ44" s="147">
        <v>45434</v>
      </c>
      <c r="CA44" s="83">
        <v>110266</v>
      </c>
      <c r="CB44" s="83" t="s">
        <v>185</v>
      </c>
      <c r="CC44" s="83" t="str">
        <f>"CPA Ajuste T/C Partner Dlocal ARG " &amp;TEXT(BZ44,)</f>
        <v xml:space="preserve">CPA Ajuste T/C Partner Dlocal ARG </v>
      </c>
      <c r="CD44" s="149">
        <f>+BW23</f>
        <v>468226</v>
      </c>
      <c r="CE44" s="148"/>
    </row>
    <row r="45" spans="2:83" x14ac:dyDescent="0.25">
      <c r="D45" s="143"/>
      <c r="E45" s="144">
        <v>430105</v>
      </c>
      <c r="F45" s="144" t="s">
        <v>25</v>
      </c>
      <c r="G45" s="144" t="str">
        <f t="shared" ref="G45" si="307">G44</f>
        <v>CPA Ajuste T/C Renta4 USD</v>
      </c>
      <c r="H45" s="145"/>
      <c r="I45" s="146">
        <f t="shared" ref="I45" si="308">H44</f>
        <v>5854000</v>
      </c>
      <c r="J45" s="90"/>
      <c r="O45" s="143"/>
      <c r="P45" s="144">
        <v>110212</v>
      </c>
      <c r="Q45" s="144" t="s">
        <v>63</v>
      </c>
      <c r="R45" s="144" t="str">
        <f t="shared" ref="R45" si="309">R44</f>
        <v>CPA Ajuste T/C JP Morgan USD 22-12-yyy</v>
      </c>
      <c r="S45" s="145"/>
      <c r="T45" s="146">
        <f t="shared" ref="T45" si="310">S44</f>
        <v>285</v>
      </c>
      <c r="Z45" s="143"/>
      <c r="AA45" s="144">
        <v>430105</v>
      </c>
      <c r="AB45" s="144" t="s">
        <v>25</v>
      </c>
      <c r="AC45" s="144" t="str">
        <f t="shared" ref="AC45" si="311">AC44</f>
        <v xml:space="preserve">CPA Ajuste T/C Bco. Bice USD </v>
      </c>
      <c r="AD45" s="145"/>
      <c r="AE45" s="146">
        <f t="shared" ref="AE45" si="312">AD44</f>
        <v>7599192</v>
      </c>
      <c r="AM45" s="143"/>
      <c r="AN45" s="144">
        <v>430105</v>
      </c>
      <c r="AO45" s="144" t="s">
        <v>25</v>
      </c>
      <c r="AP45" s="144" t="str">
        <f t="shared" ref="AP45" si="313">AP44</f>
        <v xml:space="preserve">CPA Ajuste T/C MBI USD </v>
      </c>
      <c r="AQ45" s="145"/>
      <c r="AR45" s="146">
        <f t="shared" ref="AR45" si="314">AQ44</f>
        <v>6940000</v>
      </c>
      <c r="AZ45" s="143"/>
      <c r="BA45" s="144">
        <v>430105</v>
      </c>
      <c r="BB45" s="144" t="s">
        <v>25</v>
      </c>
      <c r="BC45" s="144" t="str">
        <f t="shared" ref="BC45" si="315">BC44</f>
        <v xml:space="preserve">CPA Ajuste T/C Partner Dlocal LLP </v>
      </c>
      <c r="BD45" s="145"/>
      <c r="BE45" s="146">
        <f t="shared" ref="BE45" si="316">BD44</f>
        <v>3682185</v>
      </c>
      <c r="BM45" s="143"/>
      <c r="BN45" s="144">
        <v>430105</v>
      </c>
      <c r="BO45" s="144" t="s">
        <v>25</v>
      </c>
      <c r="BP45" s="144" t="str">
        <f t="shared" ref="BP45" si="317">BP44</f>
        <v xml:space="preserve">CPA Ajuste T/C Partner Dlocal PEN </v>
      </c>
      <c r="BQ45" s="145"/>
      <c r="BR45" s="146">
        <f t="shared" ref="BR45" si="318">BQ44</f>
        <v>1955990</v>
      </c>
      <c r="BZ45" s="143"/>
      <c r="CA45" s="144">
        <v>430105</v>
      </c>
      <c r="CB45" s="144" t="s">
        <v>25</v>
      </c>
      <c r="CC45" s="144" t="str">
        <f t="shared" ref="CC45" si="319">CC44</f>
        <v xml:space="preserve">CPA Ajuste T/C Partner Dlocal ARG </v>
      </c>
      <c r="CD45" s="145"/>
      <c r="CE45" s="146">
        <f t="shared" ref="CE45" si="320">CD44</f>
        <v>468226</v>
      </c>
    </row>
    <row r="46" spans="2:83" x14ac:dyDescent="0.25">
      <c r="D46" s="147">
        <v>45130</v>
      </c>
      <c r="E46" s="83">
        <v>110323</v>
      </c>
      <c r="F46" s="83" t="s">
        <v>186</v>
      </c>
      <c r="G46" s="83" t="str">
        <f t="shared" ref="G46" si="321">"CPA Ajuste T/C Renta4 USD"</f>
        <v>CPA Ajuste T/C Renta4 USD</v>
      </c>
      <c r="H46" s="149">
        <f>+B24</f>
        <v>41500</v>
      </c>
      <c r="I46" s="148"/>
      <c r="J46" s="90"/>
      <c r="O46" s="147">
        <v>45283</v>
      </c>
      <c r="P46" s="83">
        <v>110212</v>
      </c>
      <c r="Q46" s="83" t="s">
        <v>63</v>
      </c>
      <c r="R46" s="83" t="str">
        <f>"CPA Ajuste T/C JP Morgan USD " &amp;TEXT(O46,"dd-mm-yyy")</f>
        <v>CPA Ajuste T/C JP Morgan USD 23-12-yyy</v>
      </c>
      <c r="S46" s="149">
        <f>+M24</f>
        <v>63</v>
      </c>
      <c r="T46" s="148"/>
      <c r="Z46" s="147">
        <v>45435</v>
      </c>
      <c r="AA46" s="83">
        <v>430105</v>
      </c>
      <c r="AB46" s="83" t="s">
        <v>25</v>
      </c>
      <c r="AC46" s="83" t="str">
        <f>"CPA Ajuste T/C Bco. Bice USD " &amp;TEXT(Z46,)</f>
        <v xml:space="preserve">CPA Ajuste T/C Bco. Bice USD </v>
      </c>
      <c r="AD46" s="149">
        <f>+W24*-1</f>
        <v>7320008</v>
      </c>
      <c r="AE46" s="148"/>
      <c r="AM46" s="147">
        <v>45435</v>
      </c>
      <c r="AN46" s="83">
        <v>110296</v>
      </c>
      <c r="AO46" s="83" t="s">
        <v>123</v>
      </c>
      <c r="AP46" s="83" t="str">
        <f>"CPA Ajuste T/C MBI USD " &amp;TEXT(AM46,)</f>
        <v xml:space="preserve">CPA Ajuste T/C MBI USD </v>
      </c>
      <c r="AQ46" s="149">
        <f>+AJ24</f>
        <v>1760000</v>
      </c>
      <c r="AR46" s="148"/>
      <c r="AZ46" s="147">
        <v>45435</v>
      </c>
      <c r="BA46" s="83">
        <v>430105</v>
      </c>
      <c r="BB46" s="83" t="s">
        <v>25</v>
      </c>
      <c r="BC46" s="83" t="str">
        <f>"CPA Ajuste T/C Partner Dlocal LLP " &amp;TEXT(AZ46,)</f>
        <v xml:space="preserve">CPA Ajuste T/C Partner Dlocal LLP </v>
      </c>
      <c r="BD46" s="149">
        <f>+AW24*-1</f>
        <v>1563705</v>
      </c>
      <c r="BE46" s="148"/>
      <c r="BM46" s="147">
        <v>45435</v>
      </c>
      <c r="BN46" s="83">
        <v>430105</v>
      </c>
      <c r="BO46" s="83" t="s">
        <v>25</v>
      </c>
      <c r="BP46" s="83" t="str">
        <f>"CPA Ajuste T/C Partner Dlocal PEN " &amp;TEXT(BM46,)</f>
        <v xml:space="preserve">CPA Ajuste T/C Partner Dlocal PEN </v>
      </c>
      <c r="BQ46" s="149">
        <f>+BJ24*-1</f>
        <v>459921</v>
      </c>
      <c r="BR46" s="148"/>
      <c r="BZ46" s="147">
        <v>45435</v>
      </c>
      <c r="CA46" s="83">
        <v>430105</v>
      </c>
      <c r="CB46" s="83" t="s">
        <v>25</v>
      </c>
      <c r="CC46" s="83" t="str">
        <f>"CPA Ajuste T/C Partner Dlocal ARG " &amp;TEXT(BZ46,)</f>
        <v xml:space="preserve">CPA Ajuste T/C Partner Dlocal ARG </v>
      </c>
      <c r="CD46" s="149">
        <f>+BW24*-1</f>
        <v>464836</v>
      </c>
      <c r="CE46" s="148"/>
    </row>
    <row r="47" spans="2:83" x14ac:dyDescent="0.25">
      <c r="D47" s="143"/>
      <c r="E47" s="144">
        <v>430105</v>
      </c>
      <c r="F47" s="144" t="s">
        <v>25</v>
      </c>
      <c r="G47" s="144" t="str">
        <f t="shared" ref="G47" si="322">G46</f>
        <v>CPA Ajuste T/C Renta4 USD</v>
      </c>
      <c r="H47" s="145"/>
      <c r="I47" s="146">
        <f t="shared" ref="I47" si="323">H46</f>
        <v>41500</v>
      </c>
      <c r="J47" s="90"/>
      <c r="O47" s="143"/>
      <c r="P47" s="144">
        <v>430105</v>
      </c>
      <c r="Q47" s="144" t="s">
        <v>25</v>
      </c>
      <c r="R47" s="144" t="str">
        <f t="shared" ref="R47" si="324">R46</f>
        <v>CPA Ajuste T/C JP Morgan USD 23-12-yyy</v>
      </c>
      <c r="S47" s="145"/>
      <c r="T47" s="146">
        <f t="shared" ref="T47" si="325">S46</f>
        <v>63</v>
      </c>
      <c r="Z47" s="143"/>
      <c r="AA47" s="144">
        <v>110205</v>
      </c>
      <c r="AB47" s="144" t="s">
        <v>59</v>
      </c>
      <c r="AC47" s="144" t="str">
        <f t="shared" ref="AC47" si="326">AC46</f>
        <v xml:space="preserve">CPA Ajuste T/C Bco. Bice USD </v>
      </c>
      <c r="AD47" s="145"/>
      <c r="AE47" s="146">
        <f t="shared" ref="AE47" si="327">AD46</f>
        <v>7320008</v>
      </c>
      <c r="AM47" s="143"/>
      <c r="AN47" s="144">
        <v>430105</v>
      </c>
      <c r="AO47" s="144" t="s">
        <v>25</v>
      </c>
      <c r="AP47" s="144" t="str">
        <f t="shared" ref="AP47" si="328">AP46</f>
        <v xml:space="preserve">CPA Ajuste T/C MBI USD </v>
      </c>
      <c r="AQ47" s="145"/>
      <c r="AR47" s="146">
        <f t="shared" ref="AR47" si="329">AQ46</f>
        <v>1760000</v>
      </c>
      <c r="AZ47" s="143"/>
      <c r="BA47" s="144">
        <v>110252</v>
      </c>
      <c r="BB47" s="144" t="s">
        <v>184</v>
      </c>
      <c r="BC47" s="144" t="str">
        <f t="shared" ref="BC47" si="330">BC46</f>
        <v xml:space="preserve">CPA Ajuste T/C Partner Dlocal LLP </v>
      </c>
      <c r="BD47" s="145"/>
      <c r="BE47" s="146">
        <f t="shared" ref="BE47" si="331">BD46</f>
        <v>1563705</v>
      </c>
      <c r="BM47" s="143"/>
      <c r="BN47" s="144">
        <v>110269</v>
      </c>
      <c r="BO47" s="144" t="s">
        <v>2</v>
      </c>
      <c r="BP47" s="144" t="str">
        <f t="shared" ref="BP47" si="332">BP46</f>
        <v xml:space="preserve">CPA Ajuste T/C Partner Dlocal PEN </v>
      </c>
      <c r="BQ47" s="145"/>
      <c r="BR47" s="146">
        <f t="shared" ref="BR47" si="333">BQ46</f>
        <v>459921</v>
      </c>
      <c r="BZ47" s="143"/>
      <c r="CA47" s="144">
        <v>110266</v>
      </c>
      <c r="CB47" s="144" t="s">
        <v>185</v>
      </c>
      <c r="CC47" s="144" t="str">
        <f t="shared" ref="CC47" si="334">CC46</f>
        <v xml:space="preserve">CPA Ajuste T/C Partner Dlocal ARG </v>
      </c>
      <c r="CD47" s="145"/>
      <c r="CE47" s="146">
        <f t="shared" ref="CE47" si="335">CD46</f>
        <v>464836</v>
      </c>
    </row>
    <row r="48" spans="2:83" x14ac:dyDescent="0.25">
      <c r="D48" s="147">
        <v>45131</v>
      </c>
      <c r="E48" s="83">
        <v>430105</v>
      </c>
      <c r="F48" s="83" t="s">
        <v>25</v>
      </c>
      <c r="G48" s="83" t="str">
        <f t="shared" ref="G48" si="336">"CPA Ajuste T/C Renta4 USD"</f>
        <v>CPA Ajuste T/C Renta4 USD</v>
      </c>
      <c r="H48" s="149">
        <f>+B25*-1</f>
        <v>330000</v>
      </c>
      <c r="I48" s="148"/>
      <c r="J48" s="90"/>
      <c r="O48" s="147">
        <v>45284</v>
      </c>
      <c r="P48" s="83">
        <v>430105</v>
      </c>
      <c r="Q48" s="83" t="s">
        <v>25</v>
      </c>
      <c r="R48" s="83" t="str">
        <f>"CPA Ajuste T/C JP Morgan USD " &amp;TEXT(O48,"dd-mm-yyy")</f>
        <v>CPA Ajuste T/C JP Morgan USD 24-12-yyy</v>
      </c>
      <c r="S48" s="149">
        <f>+M25*-1</f>
        <v>188</v>
      </c>
      <c r="T48" s="148"/>
      <c r="Z48" s="147">
        <v>45436</v>
      </c>
      <c r="AA48" s="83">
        <v>430105</v>
      </c>
      <c r="AB48" s="83" t="s">
        <v>25</v>
      </c>
      <c r="AC48" s="83" t="str">
        <f>"CPA Ajuste T/C Bco. Bice USD " &amp;TEXT(Z48,)</f>
        <v xml:space="preserve">CPA Ajuste T/C Bco. Bice USD </v>
      </c>
      <c r="AD48" s="149">
        <f>+W25*-1</f>
        <v>194268</v>
      </c>
      <c r="AE48" s="148"/>
      <c r="AM48" s="147">
        <v>45436</v>
      </c>
      <c r="AN48" s="83">
        <v>110296</v>
      </c>
      <c r="AO48" s="83" t="s">
        <v>123</v>
      </c>
      <c r="AP48" s="83" t="str">
        <f>"CPA Ajuste T/C MBI USD " &amp;TEXT(AM48,)</f>
        <v xml:space="preserve">CPA Ajuste T/C MBI USD </v>
      </c>
      <c r="AQ48" s="149">
        <f>+AJ25</f>
        <v>1750000</v>
      </c>
      <c r="AR48" s="148"/>
      <c r="AZ48" s="147">
        <v>45436</v>
      </c>
      <c r="BA48" s="83">
        <v>430105</v>
      </c>
      <c r="BB48" s="83" t="s">
        <v>25</v>
      </c>
      <c r="BC48" s="83" t="str">
        <f>"CPA Ajuste T/C Partner Dlocal LLP " &amp;TEXT(AZ48,)</f>
        <v xml:space="preserve">CPA Ajuste T/C Partner Dlocal LLP </v>
      </c>
      <c r="BD48" s="149">
        <f>+AW25*-1</f>
        <v>299936</v>
      </c>
      <c r="BE48" s="148"/>
      <c r="BM48" s="147">
        <v>45436</v>
      </c>
      <c r="BN48" s="83">
        <v>430105</v>
      </c>
      <c r="BO48" s="83" t="s">
        <v>25</v>
      </c>
      <c r="BP48" s="83" t="str">
        <f>"CPA Ajuste T/C Partner Dlocal PEN " &amp;TEXT(BM48,)</f>
        <v xml:space="preserve">CPA Ajuste T/C Partner Dlocal PEN </v>
      </c>
      <c r="BQ48" s="149">
        <f>+BJ25*-1</f>
        <v>1578736</v>
      </c>
      <c r="BR48" s="148"/>
      <c r="BZ48" s="147">
        <v>45436</v>
      </c>
      <c r="CA48" s="83">
        <v>430105</v>
      </c>
      <c r="CB48" s="83" t="s">
        <v>25</v>
      </c>
      <c r="CC48" s="83" t="str">
        <f>"CPA Ajuste T/C Partner Dlocal ARG " &amp;TEXT(BZ48,)</f>
        <v xml:space="preserve">CPA Ajuste T/C Partner Dlocal ARG </v>
      </c>
      <c r="CD48" s="149">
        <f>+BW25*-1</f>
        <v>70391</v>
      </c>
      <c r="CE48" s="148"/>
    </row>
    <row r="49" spans="4:83" x14ac:dyDescent="0.25">
      <c r="D49" s="143"/>
      <c r="E49" s="144">
        <v>110323</v>
      </c>
      <c r="F49" s="144" t="s">
        <v>186</v>
      </c>
      <c r="G49" s="144" t="str">
        <f t="shared" ref="G49" si="337">G48</f>
        <v>CPA Ajuste T/C Renta4 USD</v>
      </c>
      <c r="H49" s="145"/>
      <c r="I49" s="146">
        <f t="shared" ref="I49" si="338">H48</f>
        <v>330000</v>
      </c>
      <c r="J49" s="90"/>
      <c r="O49" s="143"/>
      <c r="P49" s="144">
        <v>110212</v>
      </c>
      <c r="Q49" s="144" t="s">
        <v>63</v>
      </c>
      <c r="R49" s="144" t="str">
        <f t="shared" ref="R49" si="339">R48</f>
        <v>CPA Ajuste T/C JP Morgan USD 24-12-yyy</v>
      </c>
      <c r="S49" s="145"/>
      <c r="T49" s="146">
        <f t="shared" ref="T49" si="340">S48</f>
        <v>188</v>
      </c>
      <c r="Z49" s="143"/>
      <c r="AA49" s="144">
        <v>110205</v>
      </c>
      <c r="AB49" s="144" t="s">
        <v>59</v>
      </c>
      <c r="AC49" s="144" t="str">
        <f t="shared" ref="AC49" si="341">AC48</f>
        <v xml:space="preserve">CPA Ajuste T/C Bco. Bice USD </v>
      </c>
      <c r="AD49" s="145"/>
      <c r="AE49" s="146">
        <f t="shared" ref="AE49" si="342">AD48</f>
        <v>194268</v>
      </c>
      <c r="AM49" s="143"/>
      <c r="AN49" s="144">
        <v>430105</v>
      </c>
      <c r="AO49" s="144" t="s">
        <v>25</v>
      </c>
      <c r="AP49" s="144" t="str">
        <f t="shared" ref="AP49" si="343">AP48</f>
        <v xml:space="preserve">CPA Ajuste T/C MBI USD </v>
      </c>
      <c r="AQ49" s="145"/>
      <c r="AR49" s="146">
        <f t="shared" ref="AR49" si="344">AQ48</f>
        <v>1750000</v>
      </c>
      <c r="AZ49" s="143"/>
      <c r="BA49" s="144">
        <v>110252</v>
      </c>
      <c r="BB49" s="144" t="s">
        <v>184</v>
      </c>
      <c r="BC49" s="144" t="str">
        <f t="shared" ref="BC49" si="345">BC48</f>
        <v xml:space="preserve">CPA Ajuste T/C Partner Dlocal LLP </v>
      </c>
      <c r="BD49" s="145"/>
      <c r="BE49" s="146">
        <f t="shared" ref="BE49" si="346">BD48</f>
        <v>299936</v>
      </c>
      <c r="BM49" s="143"/>
      <c r="BN49" s="144">
        <v>110269</v>
      </c>
      <c r="BO49" s="144" t="s">
        <v>2</v>
      </c>
      <c r="BP49" s="144" t="str">
        <f t="shared" ref="BP49" si="347">BP48</f>
        <v xml:space="preserve">CPA Ajuste T/C Partner Dlocal PEN </v>
      </c>
      <c r="BQ49" s="145"/>
      <c r="BR49" s="146">
        <f t="shared" ref="BR49" si="348">BQ48</f>
        <v>1578736</v>
      </c>
      <c r="BZ49" s="143"/>
      <c r="CA49" s="144">
        <v>110266</v>
      </c>
      <c r="CB49" s="144" t="s">
        <v>185</v>
      </c>
      <c r="CC49" s="144" t="str">
        <f t="shared" ref="CC49" si="349">CC48</f>
        <v xml:space="preserve">CPA Ajuste T/C Partner Dlocal ARG </v>
      </c>
      <c r="CD49" s="145"/>
      <c r="CE49" s="146">
        <f t="shared" ref="CE49" si="350">CD48</f>
        <v>70391</v>
      </c>
    </row>
    <row r="50" spans="4:83" x14ac:dyDescent="0.25">
      <c r="D50" s="147">
        <v>45132</v>
      </c>
      <c r="E50" s="83">
        <v>430105</v>
      </c>
      <c r="F50" s="83" t="s">
        <v>25</v>
      </c>
      <c r="G50" s="83" t="str">
        <f t="shared" ref="G50" si="351">"CPA Ajuste T/C Renta4 USD"</f>
        <v>CPA Ajuste T/C Renta4 USD</v>
      </c>
      <c r="H50" s="149">
        <f>+B26*-1</f>
        <v>2655000</v>
      </c>
      <c r="I50" s="148"/>
      <c r="J50" s="90"/>
      <c r="O50" s="147">
        <v>45285</v>
      </c>
      <c r="P50" s="83">
        <v>430105</v>
      </c>
      <c r="Q50" s="83" t="s">
        <v>25</v>
      </c>
      <c r="R50" s="83" t="str">
        <f>"CPA Ajuste T/C JP Morgan USD " &amp;TEXT(O50,"dd-mm-yyy")</f>
        <v>CPA Ajuste T/C JP Morgan USD 25-12-yyy</v>
      </c>
      <c r="S50" s="149">
        <f>+M26*-1</f>
        <v>0</v>
      </c>
      <c r="T50" s="148"/>
      <c r="Z50" s="147">
        <v>45437</v>
      </c>
      <c r="AA50" s="83">
        <v>430105</v>
      </c>
      <c r="AB50" s="83" t="s">
        <v>25</v>
      </c>
      <c r="AC50" s="83" t="str">
        <f>"CPA Ajuste T/C Bco. Bice USD " &amp;TEXT(Z50,)</f>
        <v xml:space="preserve">CPA Ajuste T/C Bco. Bice USD </v>
      </c>
      <c r="AD50" s="149">
        <f>+W26*-1</f>
        <v>2073779</v>
      </c>
      <c r="AE50" s="148"/>
      <c r="AM50" s="147">
        <v>45437</v>
      </c>
      <c r="AN50" s="83">
        <v>430105</v>
      </c>
      <c r="AO50" s="83" t="s">
        <v>25</v>
      </c>
      <c r="AP50" s="83" t="str">
        <f>"CPA Ajuste T/C MBI USD " &amp;TEXT(AM50,)</f>
        <v xml:space="preserve">CPA Ajuste T/C MBI USD </v>
      </c>
      <c r="AQ50" s="149">
        <f>+AJ26*-1</f>
        <v>7215000</v>
      </c>
      <c r="AR50" s="148"/>
      <c r="AZ50" s="147">
        <v>45437</v>
      </c>
      <c r="BA50" s="83">
        <v>430105</v>
      </c>
      <c r="BB50" s="83" t="s">
        <v>25</v>
      </c>
      <c r="BC50" s="83" t="str">
        <f>"CPA Ajuste T/C Partner Dlocal LLP " &amp;TEXT(AZ50,)</f>
        <v xml:space="preserve">CPA Ajuste T/C Partner Dlocal LLP </v>
      </c>
      <c r="BD50" s="149">
        <f>+AW26*-1</f>
        <v>1563492</v>
      </c>
      <c r="BE50" s="148"/>
      <c r="BM50" s="147">
        <v>45437</v>
      </c>
      <c r="BN50" s="83">
        <v>430105</v>
      </c>
      <c r="BO50" s="83" t="s">
        <v>25</v>
      </c>
      <c r="BP50" s="83" t="str">
        <f>"CPA Ajuste T/C Partner Dlocal PEN " &amp;TEXT(BM50,)</f>
        <v xml:space="preserve">CPA Ajuste T/C Partner Dlocal PEN </v>
      </c>
      <c r="BQ50" s="149">
        <f>+BJ26*-1</f>
        <v>1488498</v>
      </c>
      <c r="BR50" s="148"/>
      <c r="BZ50" s="147">
        <v>45437</v>
      </c>
      <c r="CA50" s="83">
        <v>430105</v>
      </c>
      <c r="CB50" s="83" t="s">
        <v>25</v>
      </c>
      <c r="CC50" s="83" t="str">
        <f>"CPA Ajuste T/C Partner Dlocal ARG " &amp;TEXT(BZ50,)</f>
        <v xml:space="preserve">CPA Ajuste T/C Partner Dlocal ARG </v>
      </c>
      <c r="CD50" s="149">
        <f>+BW26*-1</f>
        <v>260253</v>
      </c>
      <c r="CE50" s="148"/>
    </row>
    <row r="51" spans="4:83" x14ac:dyDescent="0.25">
      <c r="D51" s="143"/>
      <c r="E51" s="144">
        <v>110323</v>
      </c>
      <c r="F51" s="144" t="s">
        <v>186</v>
      </c>
      <c r="G51" s="144" t="str">
        <f t="shared" ref="G51" si="352">G50</f>
        <v>CPA Ajuste T/C Renta4 USD</v>
      </c>
      <c r="H51" s="145"/>
      <c r="I51" s="146">
        <f t="shared" ref="I51" si="353">H50</f>
        <v>2655000</v>
      </c>
      <c r="J51" s="90"/>
      <c r="O51" s="143"/>
      <c r="P51" s="144">
        <v>110212</v>
      </c>
      <c r="Q51" s="144" t="s">
        <v>63</v>
      </c>
      <c r="R51" s="144" t="str">
        <f t="shared" ref="R51" si="354">R50</f>
        <v>CPA Ajuste T/C JP Morgan USD 25-12-yyy</v>
      </c>
      <c r="S51" s="145"/>
      <c r="T51" s="146">
        <f t="shared" ref="T51" si="355">S50</f>
        <v>0</v>
      </c>
      <c r="Z51" s="143"/>
      <c r="AA51" s="144">
        <v>110205</v>
      </c>
      <c r="AB51" s="144" t="s">
        <v>59</v>
      </c>
      <c r="AC51" s="144" t="str">
        <f t="shared" ref="AC51" si="356">AC50</f>
        <v xml:space="preserve">CPA Ajuste T/C Bco. Bice USD </v>
      </c>
      <c r="AD51" s="145"/>
      <c r="AE51" s="146">
        <f t="shared" ref="AE51" si="357">AD50</f>
        <v>2073779</v>
      </c>
      <c r="AM51" s="143"/>
      <c r="AN51" s="144">
        <v>110296</v>
      </c>
      <c r="AO51" s="144" t="s">
        <v>123</v>
      </c>
      <c r="AP51" s="144" t="str">
        <f t="shared" ref="AP51" si="358">AP50</f>
        <v xml:space="preserve">CPA Ajuste T/C MBI USD </v>
      </c>
      <c r="AQ51" s="145"/>
      <c r="AR51" s="146">
        <f t="shared" ref="AR51" si="359">AQ50</f>
        <v>7215000</v>
      </c>
      <c r="AZ51" s="143"/>
      <c r="BA51" s="144">
        <v>110252</v>
      </c>
      <c r="BB51" s="144" t="s">
        <v>184</v>
      </c>
      <c r="BC51" s="144" t="str">
        <f t="shared" ref="BC51" si="360">BC50</f>
        <v xml:space="preserve">CPA Ajuste T/C Partner Dlocal LLP </v>
      </c>
      <c r="BD51" s="145"/>
      <c r="BE51" s="146">
        <f t="shared" ref="BE51" si="361">BD50</f>
        <v>1563492</v>
      </c>
      <c r="BM51" s="143"/>
      <c r="BN51" s="144">
        <v>110269</v>
      </c>
      <c r="BO51" s="144" t="s">
        <v>2</v>
      </c>
      <c r="BP51" s="144" t="str">
        <f t="shared" ref="BP51" si="362">BP50</f>
        <v xml:space="preserve">CPA Ajuste T/C Partner Dlocal PEN </v>
      </c>
      <c r="BQ51" s="145"/>
      <c r="BR51" s="146">
        <f t="shared" ref="BR51" si="363">BQ50</f>
        <v>1488498</v>
      </c>
      <c r="BZ51" s="143"/>
      <c r="CA51" s="144">
        <v>110266</v>
      </c>
      <c r="CB51" s="144" t="s">
        <v>185</v>
      </c>
      <c r="CC51" s="144" t="str">
        <f t="shared" ref="CC51" si="364">CC50</f>
        <v xml:space="preserve">CPA Ajuste T/C Partner Dlocal ARG </v>
      </c>
      <c r="CD51" s="145"/>
      <c r="CE51" s="146">
        <f t="shared" ref="CE51" si="365">CD50</f>
        <v>260253</v>
      </c>
    </row>
    <row r="52" spans="4:83" x14ac:dyDescent="0.25">
      <c r="D52" s="147">
        <v>45133</v>
      </c>
      <c r="E52" s="83">
        <v>110323</v>
      </c>
      <c r="F52" s="83" t="s">
        <v>186</v>
      </c>
      <c r="G52" s="83" t="str">
        <f t="shared" ref="G52" si="366">"CPA Ajuste T/C Renta4 USD"</f>
        <v>CPA Ajuste T/C Renta4 USD</v>
      </c>
      <c r="H52" s="149">
        <f>+B27</f>
        <v>0</v>
      </c>
      <c r="I52" s="148"/>
      <c r="J52" s="90"/>
      <c r="O52" s="147">
        <v>45286</v>
      </c>
      <c r="P52" s="83">
        <v>110212</v>
      </c>
      <c r="Q52" s="83" t="s">
        <v>63</v>
      </c>
      <c r="R52" s="83" t="str">
        <f>"CPA Ajuste T/C JP Morgan USD " &amp;TEXT(O52,"dd-mm-yyy")</f>
        <v>CPA Ajuste T/C JP Morgan USD 26-12-yyy</v>
      </c>
      <c r="S52" s="149">
        <f>+M27</f>
        <v>0</v>
      </c>
      <c r="T52" s="148"/>
      <c r="Z52" s="147">
        <v>45438</v>
      </c>
      <c r="AA52" s="83">
        <v>110205</v>
      </c>
      <c r="AB52" s="83" t="s">
        <v>59</v>
      </c>
      <c r="AC52" s="83" t="str">
        <f>"CPA Ajuste T/C Bco. Bice USD " &amp;TEXT(Z52,)</f>
        <v xml:space="preserve">CPA Ajuste T/C Bco. Bice USD </v>
      </c>
      <c r="AD52" s="149">
        <f>+W27</f>
        <v>0</v>
      </c>
      <c r="AE52" s="148"/>
      <c r="AM52" s="147">
        <v>45438</v>
      </c>
      <c r="AN52" s="83">
        <v>110296</v>
      </c>
      <c r="AO52" s="83" t="s">
        <v>123</v>
      </c>
      <c r="AP52" s="83" t="str">
        <f>"CPA Ajuste T/C MBI USD " &amp;TEXT(AM52,)</f>
        <v xml:space="preserve">CPA Ajuste T/C MBI USD </v>
      </c>
      <c r="AQ52" s="149">
        <f>+AJ27</f>
        <v>0</v>
      </c>
      <c r="AR52" s="148"/>
      <c r="AZ52" s="147">
        <v>45438</v>
      </c>
      <c r="BA52" s="83">
        <v>430105</v>
      </c>
      <c r="BB52" s="83" t="s">
        <v>25</v>
      </c>
      <c r="BC52" s="83" t="str">
        <f>"CPA Ajuste T/C Partner Dlocal LLP " &amp;TEXT(AZ52,)</f>
        <v xml:space="preserve">CPA Ajuste T/C Partner Dlocal LLP </v>
      </c>
      <c r="BD52" s="149">
        <f>+AW27*-1</f>
        <v>0</v>
      </c>
      <c r="BE52" s="148"/>
      <c r="BM52" s="147">
        <v>45438</v>
      </c>
      <c r="BN52" s="83">
        <v>110269</v>
      </c>
      <c r="BO52" s="83" t="s">
        <v>2</v>
      </c>
      <c r="BP52" s="83" t="str">
        <f>"CPA Ajuste T/C Partner Dlocal PEN " &amp;TEXT(BM52,)</f>
        <v xml:space="preserve">CPA Ajuste T/C Partner Dlocal PEN </v>
      </c>
      <c r="BQ52" s="149">
        <f>+BJ27</f>
        <v>0</v>
      </c>
      <c r="BR52" s="148"/>
      <c r="BZ52" s="147">
        <v>45438</v>
      </c>
      <c r="CA52" s="83">
        <v>430105</v>
      </c>
      <c r="CB52" s="83" t="s">
        <v>25</v>
      </c>
      <c r="CC52" s="83" t="str">
        <f>"CPA Ajuste T/C Partner Dlocal ARG " &amp;TEXT(BZ52,)</f>
        <v xml:space="preserve">CPA Ajuste T/C Partner Dlocal ARG </v>
      </c>
      <c r="CD52" s="149">
        <f>+BW27*-1</f>
        <v>0</v>
      </c>
      <c r="CE52" s="148"/>
    </row>
    <row r="53" spans="4:83" x14ac:dyDescent="0.25">
      <c r="D53" s="143"/>
      <c r="E53" s="144">
        <v>430105</v>
      </c>
      <c r="F53" s="144" t="s">
        <v>25</v>
      </c>
      <c r="G53" s="144" t="str">
        <f t="shared" ref="G53" si="367">G52</f>
        <v>CPA Ajuste T/C Renta4 USD</v>
      </c>
      <c r="H53" s="145"/>
      <c r="I53" s="146">
        <f t="shared" ref="I53" si="368">H52</f>
        <v>0</v>
      </c>
      <c r="J53" s="90"/>
      <c r="O53" s="143"/>
      <c r="P53" s="144">
        <v>430105</v>
      </c>
      <c r="Q53" s="144" t="s">
        <v>25</v>
      </c>
      <c r="R53" s="144" t="str">
        <f t="shared" ref="R53" si="369">R52</f>
        <v>CPA Ajuste T/C JP Morgan USD 26-12-yyy</v>
      </c>
      <c r="S53" s="145"/>
      <c r="T53" s="146">
        <f t="shared" ref="T53" si="370">S52</f>
        <v>0</v>
      </c>
      <c r="Z53" s="143"/>
      <c r="AA53" s="144">
        <v>430105</v>
      </c>
      <c r="AB53" s="144" t="s">
        <v>25</v>
      </c>
      <c r="AC53" s="144" t="str">
        <f t="shared" ref="AC53" si="371">AC52</f>
        <v xml:space="preserve">CPA Ajuste T/C Bco. Bice USD </v>
      </c>
      <c r="AD53" s="145"/>
      <c r="AE53" s="146">
        <f t="shared" ref="AE53" si="372">AD52</f>
        <v>0</v>
      </c>
      <c r="AM53" s="143"/>
      <c r="AN53" s="144">
        <v>430105</v>
      </c>
      <c r="AO53" s="144" t="s">
        <v>25</v>
      </c>
      <c r="AP53" s="144" t="str">
        <f t="shared" ref="AP53" si="373">AP52</f>
        <v xml:space="preserve">CPA Ajuste T/C MBI USD </v>
      </c>
      <c r="AQ53" s="145"/>
      <c r="AR53" s="146">
        <f t="shared" ref="AR53" si="374">AQ52</f>
        <v>0</v>
      </c>
      <c r="AZ53" s="143"/>
      <c r="BA53" s="144">
        <v>110252</v>
      </c>
      <c r="BB53" s="144" t="s">
        <v>184</v>
      </c>
      <c r="BC53" s="144" t="str">
        <f t="shared" ref="BC53" si="375">BC52</f>
        <v xml:space="preserve">CPA Ajuste T/C Partner Dlocal LLP </v>
      </c>
      <c r="BD53" s="145"/>
      <c r="BE53" s="146">
        <f t="shared" ref="BE53" si="376">BD52</f>
        <v>0</v>
      </c>
      <c r="BM53" s="143"/>
      <c r="BN53" s="144">
        <v>430105</v>
      </c>
      <c r="BO53" s="144" t="s">
        <v>25</v>
      </c>
      <c r="BP53" s="144" t="str">
        <f t="shared" ref="BP53" si="377">BP52</f>
        <v xml:space="preserve">CPA Ajuste T/C Partner Dlocal PEN </v>
      </c>
      <c r="BQ53" s="145"/>
      <c r="BR53" s="146">
        <f t="shared" ref="BR53" si="378">BQ52</f>
        <v>0</v>
      </c>
      <c r="BZ53" s="143"/>
      <c r="CA53" s="144">
        <v>110266</v>
      </c>
      <c r="CB53" s="144" t="s">
        <v>185</v>
      </c>
      <c r="CC53" s="144" t="str">
        <f t="shared" ref="CC53" si="379">CC52</f>
        <v xml:space="preserve">CPA Ajuste T/C Partner Dlocal ARG </v>
      </c>
      <c r="CD53" s="145"/>
      <c r="CE53" s="146">
        <f t="shared" ref="CE53" si="380">CD52</f>
        <v>0</v>
      </c>
    </row>
    <row r="54" spans="4:83" x14ac:dyDescent="0.25">
      <c r="D54" s="147">
        <v>45134</v>
      </c>
      <c r="E54" s="83">
        <v>110323</v>
      </c>
      <c r="F54" s="83" t="s">
        <v>186</v>
      </c>
      <c r="G54" s="83" t="str">
        <f t="shared" ref="G54" si="381">"CPA Ajuste T/C Renta4 USD"</f>
        <v>CPA Ajuste T/C Renta4 USD</v>
      </c>
      <c r="H54" s="149">
        <f>+B28</f>
        <v>0</v>
      </c>
      <c r="I54" s="148"/>
      <c r="J54" s="90"/>
      <c r="O54" s="147">
        <v>45287</v>
      </c>
      <c r="P54" s="83">
        <v>110212</v>
      </c>
      <c r="Q54" s="83" t="s">
        <v>63</v>
      </c>
      <c r="R54" s="83" t="str">
        <f>"CPA Ajuste T/C JP Morgan USD " &amp;TEXT(O54,"dd-mm-yyy")</f>
        <v>CPA Ajuste T/C JP Morgan USD 27-12-yyy</v>
      </c>
      <c r="S54" s="149">
        <f>+M28</f>
        <v>136</v>
      </c>
      <c r="T54" s="148"/>
      <c r="Z54" s="147">
        <v>45439</v>
      </c>
      <c r="AA54" s="83">
        <v>110205</v>
      </c>
      <c r="AB54" s="83" t="s">
        <v>59</v>
      </c>
      <c r="AC54" s="83" t="str">
        <f>"CPA Ajuste T/C Bco. Bice USD " &amp;TEXT(Z54,)</f>
        <v xml:space="preserve">CPA Ajuste T/C Bco. Bice USD </v>
      </c>
      <c r="AD54" s="149">
        <f>+W28</f>
        <v>0</v>
      </c>
      <c r="AE54" s="148"/>
      <c r="AM54" s="147">
        <v>45439</v>
      </c>
      <c r="AN54" s="83">
        <v>110296</v>
      </c>
      <c r="AO54" s="83" t="s">
        <v>123</v>
      </c>
      <c r="AP54" s="83" t="str">
        <f>"CPA Ajuste T/C MBI USD " &amp;TEXT(AM54,)</f>
        <v xml:space="preserve">CPA Ajuste T/C MBI USD </v>
      </c>
      <c r="AQ54" s="149">
        <f>+AJ28</f>
        <v>0</v>
      </c>
      <c r="AR54" s="148"/>
      <c r="AZ54" s="147">
        <v>45439</v>
      </c>
      <c r="BA54" s="83">
        <v>430105</v>
      </c>
      <c r="BB54" s="83" t="s">
        <v>25</v>
      </c>
      <c r="BC54" s="83" t="str">
        <f>"CPA Ajuste T/C Partner Dlocal LLP " &amp;TEXT(AZ54,)</f>
        <v xml:space="preserve">CPA Ajuste T/C Partner Dlocal LLP </v>
      </c>
      <c r="BD54" s="149">
        <f>+AW28*-1</f>
        <v>0</v>
      </c>
      <c r="BE54" s="148"/>
      <c r="BM54" s="147">
        <v>45439</v>
      </c>
      <c r="BN54" s="83">
        <v>430105</v>
      </c>
      <c r="BO54" s="83" t="s">
        <v>25</v>
      </c>
      <c r="BP54" s="83" t="str">
        <f>"CPA Ajuste T/C Partner Dlocal PEN " &amp;TEXT(BM54,)</f>
        <v xml:space="preserve">CPA Ajuste T/C Partner Dlocal PEN </v>
      </c>
      <c r="BQ54" s="149">
        <f>+BJ28*-1</f>
        <v>0</v>
      </c>
      <c r="BR54" s="148"/>
      <c r="BZ54" s="147">
        <v>45439</v>
      </c>
      <c r="CA54" s="83">
        <v>430105</v>
      </c>
      <c r="CB54" s="83" t="s">
        <v>25</v>
      </c>
      <c r="CC54" s="83" t="str">
        <f>"CPA Ajuste T/C Partner Dlocal ARG " &amp;TEXT(BZ54,)</f>
        <v xml:space="preserve">CPA Ajuste T/C Partner Dlocal ARG </v>
      </c>
      <c r="CD54" s="149">
        <f>+BW28*-1</f>
        <v>0</v>
      </c>
      <c r="CE54" s="148"/>
    </row>
    <row r="55" spans="4:83" x14ac:dyDescent="0.25">
      <c r="D55" s="143"/>
      <c r="E55" s="144">
        <v>430105</v>
      </c>
      <c r="F55" s="144" t="s">
        <v>25</v>
      </c>
      <c r="G55" s="144" t="str">
        <f t="shared" ref="G55" si="382">G54</f>
        <v>CPA Ajuste T/C Renta4 USD</v>
      </c>
      <c r="H55" s="145"/>
      <c r="I55" s="146">
        <f t="shared" ref="I55" si="383">H54</f>
        <v>0</v>
      </c>
      <c r="J55" s="90"/>
      <c r="O55" s="143"/>
      <c r="P55" s="144">
        <v>430105</v>
      </c>
      <c r="Q55" s="144" t="s">
        <v>25</v>
      </c>
      <c r="R55" s="144" t="str">
        <f t="shared" ref="R55" si="384">R54</f>
        <v>CPA Ajuste T/C JP Morgan USD 27-12-yyy</v>
      </c>
      <c r="S55" s="145"/>
      <c r="T55" s="146">
        <f t="shared" ref="T55" si="385">S54</f>
        <v>136</v>
      </c>
      <c r="Z55" s="143"/>
      <c r="AA55" s="144">
        <v>430105</v>
      </c>
      <c r="AB55" s="144" t="s">
        <v>25</v>
      </c>
      <c r="AC55" s="144" t="str">
        <f t="shared" ref="AC55" si="386">AC54</f>
        <v xml:space="preserve">CPA Ajuste T/C Bco. Bice USD </v>
      </c>
      <c r="AD55" s="145"/>
      <c r="AE55" s="146">
        <f t="shared" ref="AE55" si="387">AD54</f>
        <v>0</v>
      </c>
      <c r="AM55" s="143"/>
      <c r="AN55" s="144">
        <v>430105</v>
      </c>
      <c r="AO55" s="144" t="s">
        <v>25</v>
      </c>
      <c r="AP55" s="144" t="str">
        <f t="shared" ref="AP55" si="388">AP54</f>
        <v xml:space="preserve">CPA Ajuste T/C MBI USD </v>
      </c>
      <c r="AQ55" s="145"/>
      <c r="AR55" s="146">
        <f t="shared" ref="AR55" si="389">AQ54</f>
        <v>0</v>
      </c>
      <c r="AZ55" s="143"/>
      <c r="BA55" s="144">
        <v>110252</v>
      </c>
      <c r="BB55" s="144" t="s">
        <v>184</v>
      </c>
      <c r="BC55" s="144" t="str">
        <f t="shared" ref="BC55" si="390">BC54</f>
        <v xml:space="preserve">CPA Ajuste T/C Partner Dlocal LLP </v>
      </c>
      <c r="BD55" s="145"/>
      <c r="BE55" s="146">
        <f t="shared" ref="BE55" si="391">BD54</f>
        <v>0</v>
      </c>
      <c r="BM55" s="143"/>
      <c r="BN55" s="144">
        <v>110269</v>
      </c>
      <c r="BO55" s="144" t="s">
        <v>2</v>
      </c>
      <c r="BP55" s="144" t="str">
        <f t="shared" ref="BP55" si="392">BP54</f>
        <v xml:space="preserve">CPA Ajuste T/C Partner Dlocal PEN </v>
      </c>
      <c r="BQ55" s="145"/>
      <c r="BR55" s="146">
        <f t="shared" ref="BR55" si="393">BQ54</f>
        <v>0</v>
      </c>
      <c r="BZ55" s="143"/>
      <c r="CA55" s="144">
        <v>110266</v>
      </c>
      <c r="CB55" s="144" t="s">
        <v>185</v>
      </c>
      <c r="CC55" s="144" t="str">
        <f t="shared" ref="CC55" si="394">CC54</f>
        <v xml:space="preserve">CPA Ajuste T/C Partner Dlocal ARG </v>
      </c>
      <c r="CD55" s="145"/>
      <c r="CE55" s="146">
        <f t="shared" ref="CE55" si="395">CD54</f>
        <v>0</v>
      </c>
    </row>
    <row r="56" spans="4:83" x14ac:dyDescent="0.25">
      <c r="D56" s="147">
        <v>45135</v>
      </c>
      <c r="E56" s="83">
        <v>430105</v>
      </c>
      <c r="F56" s="83" t="s">
        <v>25</v>
      </c>
      <c r="G56" s="83" t="str">
        <f t="shared" ref="G56" si="396">"CPA Ajuste T/C Renta4 USD"</f>
        <v>CPA Ajuste T/C Renta4 USD</v>
      </c>
      <c r="H56" s="149">
        <f>+B29*-1</f>
        <v>0</v>
      </c>
      <c r="I56" s="148"/>
      <c r="J56" s="90"/>
      <c r="O56" s="147">
        <v>45288</v>
      </c>
      <c r="P56" s="83">
        <v>430105</v>
      </c>
      <c r="Q56" s="83" t="s">
        <v>25</v>
      </c>
      <c r="R56" s="83" t="str">
        <f>"CPA Ajuste T/C JP Morgan USD " &amp;TEXT(O56,"dd-mm-yyy")</f>
        <v>CPA Ajuste T/C JP Morgan USD 28-12-yyy</v>
      </c>
      <c r="S56" s="149">
        <f>+M29*-1</f>
        <v>3820</v>
      </c>
      <c r="T56" s="148"/>
      <c r="Z56" s="147">
        <v>45440</v>
      </c>
      <c r="AA56" s="83">
        <v>110205</v>
      </c>
      <c r="AB56" s="83" t="s">
        <v>59</v>
      </c>
      <c r="AC56" s="83" t="str">
        <f>"CPA Ajuste T/C Bco. Bice USD " &amp;TEXT(Z56,)</f>
        <v xml:space="preserve">CPA Ajuste T/C Bco. Bice USD </v>
      </c>
      <c r="AD56" s="149">
        <f>+W29</f>
        <v>6825708</v>
      </c>
      <c r="AE56" s="148"/>
      <c r="AM56" s="147">
        <v>45440</v>
      </c>
      <c r="AN56" s="83">
        <v>110296</v>
      </c>
      <c r="AO56" s="83" t="s">
        <v>123</v>
      </c>
      <c r="AP56" s="83" t="str">
        <f>"CPA Ajuste T/C MBI USD " &amp;TEXT(AM56,)</f>
        <v xml:space="preserve">CPA Ajuste T/C MBI USD </v>
      </c>
      <c r="AQ56" s="149">
        <f>+AJ29</f>
        <v>9216000</v>
      </c>
      <c r="AR56" s="148"/>
      <c r="AZ56" s="147">
        <v>45440</v>
      </c>
      <c r="BA56" s="83">
        <v>110252</v>
      </c>
      <c r="BB56" s="83" t="s">
        <v>184</v>
      </c>
      <c r="BC56" s="83" t="str">
        <f>"CPA Ajuste T/C Partner Dlocal LLP " &amp;TEXT(AZ56,)</f>
        <v xml:space="preserve">CPA Ajuste T/C Partner Dlocal LLP </v>
      </c>
      <c r="BD56" s="149">
        <f>+AW29</f>
        <v>3035159</v>
      </c>
      <c r="BE56" s="148"/>
      <c r="BM56" s="147">
        <v>45440</v>
      </c>
      <c r="BN56" s="83">
        <v>110269</v>
      </c>
      <c r="BO56" s="83" t="s">
        <v>2</v>
      </c>
      <c r="BP56" s="83" t="str">
        <f>"CPA Ajuste T/C Partner Dlocal PEN " &amp;TEXT(BM56,)</f>
        <v xml:space="preserve">CPA Ajuste T/C Partner Dlocal PEN </v>
      </c>
      <c r="BQ56" s="149">
        <f>+BJ29</f>
        <v>1298220</v>
      </c>
      <c r="BR56" s="148"/>
      <c r="BZ56" s="147">
        <v>45440</v>
      </c>
      <c r="CA56" s="83">
        <v>110266</v>
      </c>
      <c r="CB56" s="83" t="s">
        <v>185</v>
      </c>
      <c r="CC56" s="83" t="str">
        <f>"CPA Ajuste T/C Partner Dlocal ARG " &amp;TEXT(BZ56,)</f>
        <v xml:space="preserve">CPA Ajuste T/C Partner Dlocal ARG </v>
      </c>
      <c r="CD56" s="149">
        <f>+BW29</f>
        <v>202236</v>
      </c>
      <c r="CE56" s="148"/>
    </row>
    <row r="57" spans="4:83" x14ac:dyDescent="0.25">
      <c r="D57" s="143"/>
      <c r="E57" s="144">
        <v>110323</v>
      </c>
      <c r="F57" s="144" t="s">
        <v>186</v>
      </c>
      <c r="G57" s="144" t="str">
        <f t="shared" ref="G57" si="397">G56</f>
        <v>CPA Ajuste T/C Renta4 USD</v>
      </c>
      <c r="H57" s="145"/>
      <c r="I57" s="146">
        <f t="shared" ref="I57" si="398">H56</f>
        <v>0</v>
      </c>
      <c r="J57" s="90"/>
      <c r="O57" s="143"/>
      <c r="P57" s="144">
        <v>110212</v>
      </c>
      <c r="Q57" s="144" t="s">
        <v>63</v>
      </c>
      <c r="R57" s="144" t="str">
        <f t="shared" ref="R57" si="399">R56</f>
        <v>CPA Ajuste T/C JP Morgan USD 28-12-yyy</v>
      </c>
      <c r="S57" s="145"/>
      <c r="T57" s="146">
        <f t="shared" ref="T57" si="400">S56</f>
        <v>3820</v>
      </c>
      <c r="Z57" s="143"/>
      <c r="AA57" s="144">
        <v>430105</v>
      </c>
      <c r="AB57" s="144" t="s">
        <v>25</v>
      </c>
      <c r="AC57" s="144" t="str">
        <f t="shared" ref="AC57" si="401">AC56</f>
        <v xml:space="preserve">CPA Ajuste T/C Bco. Bice USD </v>
      </c>
      <c r="AD57" s="145"/>
      <c r="AE57" s="146">
        <f t="shared" ref="AE57" si="402">AD56</f>
        <v>6825708</v>
      </c>
      <c r="AM57" s="143"/>
      <c r="AN57" s="144">
        <v>430105</v>
      </c>
      <c r="AO57" s="144" t="s">
        <v>25</v>
      </c>
      <c r="AP57" s="144" t="str">
        <f t="shared" ref="AP57" si="403">AP56</f>
        <v xml:space="preserve">CPA Ajuste T/C MBI USD </v>
      </c>
      <c r="AQ57" s="145"/>
      <c r="AR57" s="146">
        <f t="shared" ref="AR57" si="404">AQ56</f>
        <v>9216000</v>
      </c>
      <c r="AZ57" s="143"/>
      <c r="BA57" s="144">
        <v>430105</v>
      </c>
      <c r="BB57" s="144" t="s">
        <v>25</v>
      </c>
      <c r="BC57" s="144" t="str">
        <f t="shared" ref="BC57" si="405">BC56</f>
        <v xml:space="preserve">CPA Ajuste T/C Partner Dlocal LLP </v>
      </c>
      <c r="BD57" s="145"/>
      <c r="BE57" s="146">
        <f t="shared" ref="BE57" si="406">BD56</f>
        <v>3035159</v>
      </c>
      <c r="BM57" s="143"/>
      <c r="BN57" s="144">
        <v>430105</v>
      </c>
      <c r="BO57" s="144" t="s">
        <v>25</v>
      </c>
      <c r="BP57" s="144" t="str">
        <f t="shared" ref="BP57" si="407">BP56</f>
        <v xml:space="preserve">CPA Ajuste T/C Partner Dlocal PEN </v>
      </c>
      <c r="BQ57" s="145"/>
      <c r="BR57" s="146">
        <f t="shared" ref="BR57" si="408">BQ56</f>
        <v>1298220</v>
      </c>
      <c r="BZ57" s="143"/>
      <c r="CA57" s="144">
        <v>430105</v>
      </c>
      <c r="CB57" s="144" t="s">
        <v>25</v>
      </c>
      <c r="CC57" s="144" t="str">
        <f t="shared" ref="CC57" si="409">CC56</f>
        <v xml:space="preserve">CPA Ajuste T/C Partner Dlocal ARG </v>
      </c>
      <c r="CD57" s="145"/>
      <c r="CE57" s="146">
        <f t="shared" ref="CE57" si="410">CD56</f>
        <v>202236</v>
      </c>
    </row>
    <row r="58" spans="4:83" x14ac:dyDescent="0.25">
      <c r="D58" s="147">
        <v>45136</v>
      </c>
      <c r="E58" s="83">
        <v>430105</v>
      </c>
      <c r="F58" s="83" t="s">
        <v>25</v>
      </c>
      <c r="G58" s="83" t="str">
        <f t="shared" ref="G58" si="411">"CPA Ajuste T/C Renta4 USD"</f>
        <v>CPA Ajuste T/C Renta4 USD</v>
      </c>
      <c r="H58" s="149">
        <f>+B30*-1</f>
        <v>346000</v>
      </c>
      <c r="I58" s="148"/>
      <c r="J58" s="90"/>
      <c r="O58" s="147">
        <v>45289</v>
      </c>
      <c r="P58" s="83">
        <v>430105</v>
      </c>
      <c r="Q58" s="83" t="s">
        <v>25</v>
      </c>
      <c r="R58" s="83" t="str">
        <f>"CPA Ajuste T/C JP Morgan USD " &amp;TEXT(O58,"dd-mm-yyy")</f>
        <v>CPA Ajuste T/C JP Morgan USD 29-12-yyy</v>
      </c>
      <c r="S58" s="149">
        <f>+M30*-1</f>
        <v>5258</v>
      </c>
      <c r="T58" s="148"/>
      <c r="Z58" s="147">
        <v>45441</v>
      </c>
      <c r="AA58" s="83">
        <v>430105</v>
      </c>
      <c r="AB58" s="83" t="s">
        <v>25</v>
      </c>
      <c r="AC58" s="83" t="str">
        <f>"CPA Ajuste T/C Bco. Bice USD " &amp;TEXT(Z58,)</f>
        <v xml:space="preserve">CPA Ajuste T/C Bco. Bice USD </v>
      </c>
      <c r="AD58" s="149">
        <f>+W30*-1</f>
        <v>2259429</v>
      </c>
      <c r="AE58" s="148"/>
      <c r="AM58" s="147">
        <v>45441</v>
      </c>
      <c r="AN58" s="83">
        <v>430105</v>
      </c>
      <c r="AO58" s="83" t="s">
        <v>25</v>
      </c>
      <c r="AP58" s="83" t="str">
        <f>"CPA Ajuste T/C MBI USD " &amp;TEXT(AM58,)</f>
        <v xml:space="preserve">CPA Ajuste T/C MBI USD </v>
      </c>
      <c r="AQ58" s="149">
        <f>+AJ30*-1</f>
        <v>16406000</v>
      </c>
      <c r="AR58" s="148"/>
      <c r="AZ58" s="147">
        <v>45441</v>
      </c>
      <c r="BA58" s="83">
        <v>430105</v>
      </c>
      <c r="BB58" s="83" t="s">
        <v>25</v>
      </c>
      <c r="BC58" s="83" t="str">
        <f>"CPA Ajuste T/C Partner Dlocal LLP " &amp;TEXT(AZ58,)</f>
        <v xml:space="preserve">CPA Ajuste T/C Partner Dlocal LLP </v>
      </c>
      <c r="BD58" s="149">
        <f>+AW30*-1</f>
        <v>2100128</v>
      </c>
      <c r="BE58" s="148"/>
      <c r="BM58" s="147">
        <v>45441</v>
      </c>
      <c r="BN58" s="83">
        <v>430105</v>
      </c>
      <c r="BO58" s="83" t="s">
        <v>25</v>
      </c>
      <c r="BP58" s="83" t="str">
        <f>"CPA Ajuste T/C Partner Dlocal PEN " &amp;TEXT(BM58,)</f>
        <v xml:space="preserve">CPA Ajuste T/C Partner Dlocal PEN </v>
      </c>
      <c r="BQ58" s="149">
        <f>+BJ30*-1</f>
        <v>3352860</v>
      </c>
      <c r="BR58" s="148"/>
      <c r="BZ58" s="147">
        <v>45441</v>
      </c>
      <c r="CA58" s="83">
        <v>430105</v>
      </c>
      <c r="CB58" s="83" t="s">
        <v>25</v>
      </c>
      <c r="CC58" s="83" t="str">
        <f>"CPA Ajuste T/C Partner Dlocal ARG " &amp;TEXT(BZ58,)</f>
        <v xml:space="preserve">CPA Ajuste T/C Partner Dlocal ARG </v>
      </c>
      <c r="CD58" s="149">
        <f>+BW30*-1</f>
        <v>345510</v>
      </c>
      <c r="CE58" s="148"/>
    </row>
    <row r="59" spans="4:83" x14ac:dyDescent="0.25">
      <c r="D59" s="143"/>
      <c r="E59" s="144">
        <v>110323</v>
      </c>
      <c r="F59" s="144" t="s">
        <v>186</v>
      </c>
      <c r="G59" s="144" t="str">
        <f t="shared" ref="G59" si="412">G58</f>
        <v>CPA Ajuste T/C Renta4 USD</v>
      </c>
      <c r="H59" s="145"/>
      <c r="I59" s="146">
        <f t="shared" ref="I59" si="413">H58</f>
        <v>346000</v>
      </c>
      <c r="J59" s="90"/>
      <c r="O59" s="143"/>
      <c r="P59" s="144">
        <v>110212</v>
      </c>
      <c r="Q59" s="144" t="s">
        <v>63</v>
      </c>
      <c r="R59" s="144" t="str">
        <f t="shared" ref="R59" si="414">R58</f>
        <v>CPA Ajuste T/C JP Morgan USD 29-12-yyy</v>
      </c>
      <c r="S59" s="145"/>
      <c r="T59" s="146">
        <f t="shared" ref="T59" si="415">S58</f>
        <v>5258</v>
      </c>
      <c r="Z59" s="143"/>
      <c r="AA59" s="144">
        <v>110205</v>
      </c>
      <c r="AB59" s="144" t="s">
        <v>59</v>
      </c>
      <c r="AC59" s="144" t="str">
        <f t="shared" ref="AC59" si="416">AC58</f>
        <v xml:space="preserve">CPA Ajuste T/C Bco. Bice USD </v>
      </c>
      <c r="AD59" s="145"/>
      <c r="AE59" s="146">
        <f t="shared" ref="AE59" si="417">AD58</f>
        <v>2259429</v>
      </c>
      <c r="AM59" s="143"/>
      <c r="AN59" s="144">
        <v>110296</v>
      </c>
      <c r="AO59" s="144" t="s">
        <v>123</v>
      </c>
      <c r="AP59" s="144" t="str">
        <f t="shared" ref="AP59" si="418">AP58</f>
        <v xml:space="preserve">CPA Ajuste T/C MBI USD </v>
      </c>
      <c r="AQ59" s="145"/>
      <c r="AR59" s="146">
        <f t="shared" ref="AR59" si="419">AQ58</f>
        <v>16406000</v>
      </c>
      <c r="AZ59" s="143"/>
      <c r="BA59" s="144">
        <v>110252</v>
      </c>
      <c r="BB59" s="144" t="s">
        <v>184</v>
      </c>
      <c r="BC59" s="144" t="str">
        <f t="shared" ref="BC59" si="420">BC58</f>
        <v xml:space="preserve">CPA Ajuste T/C Partner Dlocal LLP </v>
      </c>
      <c r="BD59" s="145"/>
      <c r="BE59" s="146">
        <f t="shared" ref="BE59" si="421">BD58</f>
        <v>2100128</v>
      </c>
      <c r="BM59" s="143"/>
      <c r="BN59" s="144">
        <v>110269</v>
      </c>
      <c r="BO59" s="144" t="s">
        <v>2</v>
      </c>
      <c r="BP59" s="144" t="str">
        <f t="shared" ref="BP59" si="422">BP58</f>
        <v xml:space="preserve">CPA Ajuste T/C Partner Dlocal PEN </v>
      </c>
      <c r="BQ59" s="145"/>
      <c r="BR59" s="146">
        <f t="shared" ref="BR59" si="423">BQ58</f>
        <v>3352860</v>
      </c>
      <c r="BZ59" s="143"/>
      <c r="CA59" s="144">
        <v>110266</v>
      </c>
      <c r="CB59" s="144" t="s">
        <v>185</v>
      </c>
      <c r="CC59" s="144" t="str">
        <f t="shared" ref="CC59" si="424">CC58</f>
        <v xml:space="preserve">CPA Ajuste T/C Partner Dlocal ARG </v>
      </c>
      <c r="CD59" s="145"/>
      <c r="CE59" s="146">
        <f t="shared" ref="CE59" si="425">CD58</f>
        <v>345510</v>
      </c>
    </row>
    <row r="60" spans="4:83" x14ac:dyDescent="0.25">
      <c r="D60" s="147">
        <v>45137</v>
      </c>
      <c r="E60" s="83">
        <v>430105</v>
      </c>
      <c r="F60" s="83" t="s">
        <v>25</v>
      </c>
      <c r="G60" s="83" t="str">
        <f t="shared" ref="G60" si="426">"CPA Ajuste T/C Renta4 USD"</f>
        <v>CPA Ajuste T/C Renta4 USD</v>
      </c>
      <c r="H60" s="149">
        <f>+B31*-1</f>
        <v>3704000</v>
      </c>
      <c r="I60" s="148"/>
      <c r="J60" s="90"/>
      <c r="O60" s="147">
        <v>45290</v>
      </c>
      <c r="P60" s="83">
        <v>430105</v>
      </c>
      <c r="Q60" s="83" t="s">
        <v>25</v>
      </c>
      <c r="R60" s="83" t="str">
        <f>"CPA Ajuste T/C JP Morgan USD " &amp;TEXT(O60,"dd-mm-yyy")</f>
        <v>CPA Ajuste T/C JP Morgan USD 30-12-yyy</v>
      </c>
      <c r="S60" s="149">
        <f>+M31*-1</f>
        <v>3307</v>
      </c>
      <c r="T60" s="148"/>
      <c r="Z60" s="147">
        <v>45442</v>
      </c>
      <c r="AA60" s="83">
        <v>110205</v>
      </c>
      <c r="AB60" s="83" t="s">
        <v>59</v>
      </c>
      <c r="AC60" s="83" t="str">
        <f>"CPA Ajuste T/C Bco. Bice USD " &amp;TEXT(Z60,)</f>
        <v xml:space="preserve">CPA Ajuste T/C Bco. Bice USD </v>
      </c>
      <c r="AD60" s="149">
        <f>+W31</f>
        <v>6277810</v>
      </c>
      <c r="AE60" s="148"/>
      <c r="AM60" s="147">
        <v>45442</v>
      </c>
      <c r="AN60" s="83">
        <v>430105</v>
      </c>
      <c r="AO60" s="83" t="s">
        <v>25</v>
      </c>
      <c r="AP60" s="83" t="str">
        <f>"CPA Ajuste T/C MBI USD " &amp;TEXT(AM60,)</f>
        <v xml:space="preserve">CPA Ajuste T/C MBI USD </v>
      </c>
      <c r="AQ60" s="149">
        <f>+AJ31*-1</f>
        <v>12137500</v>
      </c>
      <c r="AR60" s="148"/>
      <c r="AZ60" s="147">
        <v>45442</v>
      </c>
      <c r="BA60" s="83">
        <v>110252</v>
      </c>
      <c r="BB60" s="83" t="s">
        <v>184</v>
      </c>
      <c r="BC60" s="83" t="str">
        <f>"CPA Ajuste T/C Partner Dlocal LLP " &amp;TEXT(AZ60,)</f>
        <v xml:space="preserve">CPA Ajuste T/C Partner Dlocal LLP </v>
      </c>
      <c r="BD60" s="149">
        <f>+AW31</f>
        <v>1646809</v>
      </c>
      <c r="BE60" s="148"/>
      <c r="BM60" s="147">
        <v>45442</v>
      </c>
      <c r="BN60" s="83">
        <v>110269</v>
      </c>
      <c r="BO60" s="83" t="s">
        <v>2</v>
      </c>
      <c r="BP60" s="83" t="str">
        <f>"CPA Ajuste T/C Partner Dlocal PEN " &amp;TEXT(BM60,)</f>
        <v xml:space="preserve">CPA Ajuste T/C Partner Dlocal PEN </v>
      </c>
      <c r="BQ60" s="149">
        <f>+BJ31</f>
        <v>2806240</v>
      </c>
      <c r="BR60" s="148"/>
      <c r="BZ60" s="147">
        <v>45442</v>
      </c>
      <c r="CA60" s="83">
        <v>110266</v>
      </c>
      <c r="CB60" s="83" t="s">
        <v>185</v>
      </c>
      <c r="CC60" s="83" t="str">
        <f>"CPA Ajuste T/C Partner Dlocal ARG " &amp;TEXT(BZ60,)</f>
        <v xml:space="preserve">CPA Ajuste T/C Partner Dlocal ARG </v>
      </c>
      <c r="CD60" s="149">
        <f>+BW31</f>
        <v>608679</v>
      </c>
      <c r="CE60" s="148"/>
    </row>
    <row r="61" spans="4:83" x14ac:dyDescent="0.25">
      <c r="D61" s="143"/>
      <c r="E61" s="144">
        <v>110323</v>
      </c>
      <c r="F61" s="144" t="s">
        <v>186</v>
      </c>
      <c r="G61" s="144" t="str">
        <f t="shared" ref="G61" si="427">G60</f>
        <v>CPA Ajuste T/C Renta4 USD</v>
      </c>
      <c r="H61" s="145"/>
      <c r="I61" s="146">
        <f t="shared" ref="I61" si="428">H60</f>
        <v>3704000</v>
      </c>
      <c r="J61" s="90"/>
      <c r="O61" s="143"/>
      <c r="P61" s="144">
        <v>110212</v>
      </c>
      <c r="Q61" s="144" t="s">
        <v>63</v>
      </c>
      <c r="R61" s="144" t="str">
        <f t="shared" ref="R61" si="429">R60</f>
        <v>CPA Ajuste T/C JP Morgan USD 30-12-yyy</v>
      </c>
      <c r="S61" s="145"/>
      <c r="T61" s="146">
        <f t="shared" ref="T61" si="430">S60</f>
        <v>3307</v>
      </c>
      <c r="Z61" s="143"/>
      <c r="AA61" s="144">
        <v>430105</v>
      </c>
      <c r="AB61" s="144" t="s">
        <v>25</v>
      </c>
      <c r="AC61" s="144" t="str">
        <f t="shared" ref="AC61" si="431">AC60</f>
        <v xml:space="preserve">CPA Ajuste T/C Bco. Bice USD </v>
      </c>
      <c r="AD61" s="145"/>
      <c r="AE61" s="146">
        <f t="shared" ref="AE61" si="432">AD60</f>
        <v>6277810</v>
      </c>
      <c r="AM61" s="143"/>
      <c r="AN61" s="144">
        <v>110296</v>
      </c>
      <c r="AO61" s="144" t="s">
        <v>123</v>
      </c>
      <c r="AP61" s="144" t="str">
        <f t="shared" ref="AP61" si="433">AP60</f>
        <v xml:space="preserve">CPA Ajuste T/C MBI USD </v>
      </c>
      <c r="AQ61" s="145"/>
      <c r="AR61" s="146">
        <f t="shared" ref="AR61" si="434">AQ60</f>
        <v>12137500</v>
      </c>
      <c r="AZ61" s="143"/>
      <c r="BA61" s="144">
        <v>430105</v>
      </c>
      <c r="BB61" s="144" t="s">
        <v>25</v>
      </c>
      <c r="BC61" s="144" t="str">
        <f t="shared" ref="BC61" si="435">BC60</f>
        <v xml:space="preserve">CPA Ajuste T/C Partner Dlocal LLP </v>
      </c>
      <c r="BD61" s="145"/>
      <c r="BE61" s="146">
        <f t="shared" ref="BE61" si="436">BD60</f>
        <v>1646809</v>
      </c>
      <c r="BM61" s="143"/>
      <c r="BN61" s="144">
        <v>430105</v>
      </c>
      <c r="BO61" s="144" t="s">
        <v>25</v>
      </c>
      <c r="BP61" s="144" t="str">
        <f t="shared" ref="BP61" si="437">BP60</f>
        <v xml:space="preserve">CPA Ajuste T/C Partner Dlocal PEN </v>
      </c>
      <c r="BQ61" s="145"/>
      <c r="BR61" s="146">
        <f t="shared" ref="BR61" si="438">BQ60</f>
        <v>2806240</v>
      </c>
      <c r="BZ61" s="143"/>
      <c r="CA61" s="144">
        <v>430105</v>
      </c>
      <c r="CB61" s="144" t="s">
        <v>25</v>
      </c>
      <c r="CC61" s="144" t="str">
        <f t="shared" ref="CC61" si="439">CC60</f>
        <v xml:space="preserve">CPA Ajuste T/C Partner Dlocal ARG </v>
      </c>
      <c r="CD61" s="145"/>
      <c r="CE61" s="146">
        <f t="shared" ref="CE61" si="440">CD60</f>
        <v>608679</v>
      </c>
    </row>
    <row r="62" spans="4:83" x14ac:dyDescent="0.25">
      <c r="D62" s="147">
        <v>45138</v>
      </c>
      <c r="E62" s="83">
        <v>110323</v>
      </c>
      <c r="F62" s="83" t="s">
        <v>186</v>
      </c>
      <c r="G62" s="83" t="str">
        <f t="shared" ref="G62" si="441">"CPA Ajuste T/C Renta4 USD"</f>
        <v>CPA Ajuste T/C Renta4 USD</v>
      </c>
      <c r="H62" s="149">
        <f>+B32</f>
        <v>0</v>
      </c>
      <c r="I62" s="148"/>
      <c r="J62" s="90"/>
      <c r="O62" s="147">
        <v>45291</v>
      </c>
      <c r="P62" s="83">
        <v>430105</v>
      </c>
      <c r="Q62" s="83" t="s">
        <v>25</v>
      </c>
      <c r="R62" s="83" t="str">
        <f>"CPA Ajuste T/C JP Morgan USD " &amp;TEXT(O62,"dd-mm-yyy")</f>
        <v>CPA Ajuste T/C JP Morgan USD 31-12-yyy</v>
      </c>
      <c r="S62" s="149">
        <f>+M32*-1</f>
        <v>0</v>
      </c>
      <c r="T62" s="148"/>
      <c r="Z62" s="147">
        <v>45443</v>
      </c>
      <c r="AA62" s="83">
        <v>110205</v>
      </c>
      <c r="AB62" s="83" t="s">
        <v>59</v>
      </c>
      <c r="AC62" s="83" t="str">
        <f>"CPA Ajuste T/C Bco. Bice USD " &amp;TEXT(Z62,)</f>
        <v xml:space="preserve">CPA Ajuste T/C Bco. Bice USD </v>
      </c>
      <c r="AD62" s="149">
        <f>+W32</f>
        <v>0</v>
      </c>
      <c r="AE62" s="148"/>
      <c r="AM62" s="147">
        <v>45443</v>
      </c>
      <c r="AN62" s="83">
        <v>110296</v>
      </c>
      <c r="AO62" s="83" t="s">
        <v>123</v>
      </c>
      <c r="AP62" s="83" t="str">
        <f>"CPA Ajuste T/C MBI USD " &amp;TEXT(AM62,)</f>
        <v xml:space="preserve">CPA Ajuste T/C MBI USD </v>
      </c>
      <c r="AQ62" s="149">
        <f>+AJ32</f>
        <v>0</v>
      </c>
      <c r="AR62" s="148"/>
      <c r="AZ62" s="147">
        <v>45443</v>
      </c>
      <c r="BA62" s="83">
        <v>430105</v>
      </c>
      <c r="BB62" s="83" t="s">
        <v>25</v>
      </c>
      <c r="BC62" s="83" t="str">
        <f>"CPA Ajuste T/C Partner Dlocal LLP " &amp;TEXT(AZ62,)</f>
        <v xml:space="preserve">CPA Ajuste T/C Partner Dlocal LLP </v>
      </c>
      <c r="BD62" s="149">
        <f>+AW32*-1</f>
        <v>0</v>
      </c>
      <c r="BE62" s="148"/>
      <c r="BM62" s="147">
        <v>45443</v>
      </c>
      <c r="BN62" s="83">
        <v>110269</v>
      </c>
      <c r="BO62" s="83" t="s">
        <v>2</v>
      </c>
      <c r="BP62" s="83" t="str">
        <f>"CPA Ajuste T/C Partner Dlocal PEN " &amp;TEXT(BM62,)</f>
        <v xml:space="preserve">CPA Ajuste T/C Partner Dlocal PEN </v>
      </c>
      <c r="BQ62" s="149">
        <f>+BJ32</f>
        <v>0</v>
      </c>
      <c r="BR62" s="148"/>
      <c r="BZ62" s="147">
        <v>45443</v>
      </c>
      <c r="CA62" s="83">
        <v>430105</v>
      </c>
      <c r="CB62" s="83" t="s">
        <v>25</v>
      </c>
      <c r="CC62" s="83" t="str">
        <f>"CPA Ajuste T/C Partner Dlocal ARG " &amp;TEXT(BZ62,)</f>
        <v xml:space="preserve">CPA Ajuste T/C Partner Dlocal ARG </v>
      </c>
      <c r="CD62" s="149">
        <f>+BW32*-1</f>
        <v>0</v>
      </c>
      <c r="CE62" s="148"/>
    </row>
    <row r="63" spans="4:83" x14ac:dyDescent="0.25">
      <c r="D63" s="143"/>
      <c r="E63" s="144">
        <v>430105</v>
      </c>
      <c r="F63" s="144" t="s">
        <v>25</v>
      </c>
      <c r="G63" s="144" t="str">
        <f t="shared" ref="G63" si="442">G62</f>
        <v>CPA Ajuste T/C Renta4 USD</v>
      </c>
      <c r="H63" s="145"/>
      <c r="I63" s="146">
        <f t="shared" ref="I63" si="443">H62</f>
        <v>0</v>
      </c>
      <c r="J63" s="90"/>
      <c r="O63" s="143"/>
      <c r="P63" s="144">
        <v>110212</v>
      </c>
      <c r="Q63" s="144" t="s">
        <v>63</v>
      </c>
      <c r="R63" s="144" t="str">
        <f t="shared" ref="R63" si="444">R62</f>
        <v>CPA Ajuste T/C JP Morgan USD 31-12-yyy</v>
      </c>
      <c r="S63" s="145"/>
      <c r="T63" s="146">
        <f t="shared" ref="T63" si="445">S62</f>
        <v>0</v>
      </c>
      <c r="Z63" s="143"/>
      <c r="AA63" s="144">
        <v>430105</v>
      </c>
      <c r="AB63" s="144" t="s">
        <v>25</v>
      </c>
      <c r="AC63" s="144" t="str">
        <f t="shared" ref="AC63" si="446">AC62</f>
        <v xml:space="preserve">CPA Ajuste T/C Bco. Bice USD </v>
      </c>
      <c r="AD63" s="145"/>
      <c r="AE63" s="146">
        <f t="shared" ref="AE63" si="447">AD62</f>
        <v>0</v>
      </c>
      <c r="AM63" s="143"/>
      <c r="AN63" s="144">
        <v>430105</v>
      </c>
      <c r="AO63" s="144" t="s">
        <v>25</v>
      </c>
      <c r="AP63" s="144" t="str">
        <f t="shared" ref="AP63" si="448">AP62</f>
        <v xml:space="preserve">CPA Ajuste T/C MBI USD </v>
      </c>
      <c r="AQ63" s="145"/>
      <c r="AR63" s="146">
        <f t="shared" ref="AR63" si="449">AQ62</f>
        <v>0</v>
      </c>
      <c r="AZ63" s="143"/>
      <c r="BA63" s="144">
        <v>110252</v>
      </c>
      <c r="BB63" s="144" t="s">
        <v>184</v>
      </c>
      <c r="BC63" s="144" t="str">
        <f t="shared" ref="BC63" si="450">BC62</f>
        <v xml:space="preserve">CPA Ajuste T/C Partner Dlocal LLP </v>
      </c>
      <c r="BD63" s="145"/>
      <c r="BE63" s="146">
        <f t="shared" ref="BE63" si="451">BD62</f>
        <v>0</v>
      </c>
      <c r="BM63" s="143"/>
      <c r="BN63" s="144">
        <v>430105</v>
      </c>
      <c r="BO63" s="144" t="s">
        <v>25</v>
      </c>
      <c r="BP63" s="144" t="str">
        <f t="shared" ref="BP63" si="452">BP62</f>
        <v xml:space="preserve">CPA Ajuste T/C Partner Dlocal PEN </v>
      </c>
      <c r="BQ63" s="145"/>
      <c r="BR63" s="146">
        <f t="shared" ref="BR63" si="453">BQ62</f>
        <v>0</v>
      </c>
      <c r="BZ63" s="143"/>
      <c r="CA63" s="144">
        <v>110266</v>
      </c>
      <c r="CB63" s="144" t="s">
        <v>185</v>
      </c>
      <c r="CC63" s="144" t="str">
        <f t="shared" ref="CC63" si="454">CC62</f>
        <v xml:space="preserve">CPA Ajuste T/C Partner Dlocal ARG </v>
      </c>
      <c r="CD63" s="145"/>
      <c r="CE63" s="146">
        <f t="shared" ref="CE63" si="455">CD62</f>
        <v>0</v>
      </c>
    </row>
    <row r="64" spans="4:83" x14ac:dyDescent="0.25">
      <c r="H64" s="90">
        <f>SUM(H2:H63)</f>
        <v>31687500</v>
      </c>
      <c r="S64" s="90">
        <f>SUM(S2:S63)</f>
        <v>69077</v>
      </c>
      <c r="AD64" s="90">
        <f>SUM(AD2:AD63)</f>
        <v>102332438</v>
      </c>
      <c r="AQ64" s="90">
        <f>SUM(AQ2:AQ63)</f>
        <v>178796500</v>
      </c>
      <c r="BD64" s="90">
        <f>SUM(BD2:BD63)</f>
        <v>39514657</v>
      </c>
      <c r="BQ64" s="90">
        <f>SUM(BQ2:BQ63)</f>
        <v>55709328</v>
      </c>
      <c r="CD64" s="90">
        <f>SUM(CD2:CD63)</f>
        <v>11440944</v>
      </c>
    </row>
    <row r="74" spans="3:83" x14ac:dyDescent="0.25">
      <c r="C74" s="95"/>
      <c r="E74" s="95"/>
      <c r="H74" s="95"/>
      <c r="I74" s="95"/>
      <c r="J74" s="95"/>
      <c r="N74" s="95"/>
      <c r="P74" s="95"/>
      <c r="S74" s="95"/>
      <c r="T74" s="95"/>
      <c r="X74" s="95"/>
      <c r="Y74" s="95"/>
      <c r="AA74" s="95"/>
      <c r="AD74" s="95"/>
      <c r="AE74" s="95"/>
      <c r="AL74" s="95"/>
      <c r="AN74" s="95"/>
      <c r="AQ74" s="95"/>
      <c r="AR74" s="95"/>
      <c r="AY74" s="95"/>
      <c r="BA74" s="95"/>
      <c r="BD74" s="95"/>
      <c r="BE74" s="95"/>
      <c r="BL74" s="95"/>
      <c r="BN74" s="95"/>
      <c r="BQ74" s="95"/>
      <c r="BR74" s="95"/>
      <c r="BY74" s="95"/>
      <c r="CA74" s="95"/>
      <c r="CD74" s="95"/>
      <c r="CE74" s="95"/>
    </row>
  </sheetData>
  <autoFilter ref="D1:J64" xr:uid="{9E29439F-E3A1-4264-8B8C-9690F30578C7}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642AE-D08D-4A68-9275-002AF4252F24}">
  <dimension ref="A1:BJ167"/>
  <sheetViews>
    <sheetView showGridLines="0" workbookViewId="0">
      <pane xSplit="17" ySplit="2" topLeftCell="R5" activePane="bottomRight" state="frozen"/>
      <selection activeCell="H1" sqref="H1"/>
      <selection pane="topRight" activeCell="R1" sqref="R1"/>
      <selection pane="bottomLeft" activeCell="H3" sqref="H3"/>
      <selection pane="bottomRight" activeCell="E2" sqref="E2:E32"/>
    </sheetView>
  </sheetViews>
  <sheetFormatPr baseColWidth="10" defaultRowHeight="15.75" outlineLevelCol="1" x14ac:dyDescent="0.25"/>
  <cols>
    <col min="1" max="1" width="13.140625" style="83" customWidth="1" outlineLevel="1"/>
    <col min="2" max="2" width="12.85546875" style="83" customWidth="1" outlineLevel="1"/>
    <col min="3" max="4" width="11.42578125" style="83" customWidth="1" outlineLevel="1"/>
    <col min="5" max="5" width="16.140625" style="84" customWidth="1" outlineLevel="1"/>
    <col min="6" max="6" width="11.42578125" style="83" customWidth="1" outlineLevel="1"/>
    <col min="7" max="7" width="11.85546875" style="83" customWidth="1" outlineLevel="1"/>
    <col min="8" max="8" width="11.42578125" style="83"/>
    <col min="9" max="9" width="11.5703125" style="83" bestFit="1" customWidth="1"/>
    <col min="10" max="10" width="12" style="83" hidden="1" customWidth="1" outlineLevel="1"/>
    <col min="11" max="12" width="11.42578125" style="83" hidden="1" customWidth="1" outlineLevel="1"/>
    <col min="13" max="13" width="12" style="83" hidden="1" customWidth="1" outlineLevel="1"/>
    <col min="14" max="14" width="11.42578125" style="83" hidden="1" customWidth="1" outlineLevel="1"/>
    <col min="15" max="15" width="11.5703125" style="83" bestFit="1" customWidth="1" collapsed="1"/>
    <col min="16" max="16" width="14.7109375" style="83" bestFit="1" customWidth="1"/>
    <col min="17" max="17" width="40.7109375" style="83" customWidth="1"/>
    <col min="18" max="18" width="15.7109375" style="83" bestFit="1" customWidth="1"/>
    <col min="19" max="19" width="17.42578125" style="83" bestFit="1" customWidth="1"/>
    <col min="20" max="28" width="15.28515625" style="83" bestFit="1" customWidth="1"/>
    <col min="29" max="29" width="13.7109375" style="83" bestFit="1" customWidth="1"/>
    <col min="30" max="30" width="15.28515625" style="83" bestFit="1" customWidth="1"/>
    <col min="31" max="31" width="13.7109375" style="83" bestFit="1" customWidth="1"/>
    <col min="32" max="34" width="15.28515625" style="83" bestFit="1" customWidth="1"/>
    <col min="35" max="37" width="13.7109375" style="83" bestFit="1" customWidth="1"/>
    <col min="38" max="38" width="15.28515625" style="83" bestFit="1" customWidth="1"/>
    <col min="39" max="39" width="13.7109375" style="83" bestFit="1" customWidth="1"/>
    <col min="40" max="47" width="15.28515625" style="83" bestFit="1" customWidth="1"/>
    <col min="48" max="48" width="13.7109375" style="83" bestFit="1" customWidth="1"/>
    <col min="49" max="50" width="16.5703125" style="83" bestFit="1" customWidth="1"/>
    <col min="51" max="62" width="11.5703125" style="83" bestFit="1" customWidth="1"/>
    <col min="63" max="16384" width="11.42578125" style="83"/>
  </cols>
  <sheetData>
    <row r="1" spans="1:49" x14ac:dyDescent="0.25">
      <c r="A1" s="82" t="s">
        <v>1</v>
      </c>
      <c r="B1" s="82" t="s">
        <v>67</v>
      </c>
      <c r="J1" s="82" t="s">
        <v>1</v>
      </c>
      <c r="P1" s="83">
        <v>1</v>
      </c>
      <c r="R1" s="83" t="s">
        <v>68</v>
      </c>
    </row>
    <row r="2" spans="1:49" x14ac:dyDescent="0.25">
      <c r="A2" s="85">
        <v>-3276000</v>
      </c>
      <c r="B2" s="86">
        <v>44986</v>
      </c>
      <c r="E2" s="84">
        <f>+A2</f>
        <v>-3276000</v>
      </c>
      <c r="F2" s="87">
        <f>+A3</f>
        <v>-1.32</v>
      </c>
      <c r="G2" s="88">
        <v>45108</v>
      </c>
      <c r="J2" s="89">
        <v>1853596.51517298</v>
      </c>
      <c r="M2" s="90">
        <f>+J2</f>
        <v>1853596.51517298</v>
      </c>
      <c r="R2" s="91">
        <v>45566</v>
      </c>
      <c r="S2" s="91">
        <v>45567</v>
      </c>
      <c r="T2" s="91">
        <v>45568</v>
      </c>
      <c r="U2" s="91">
        <v>45569</v>
      </c>
      <c r="V2" s="91">
        <v>45570</v>
      </c>
      <c r="W2" s="91">
        <v>45571</v>
      </c>
      <c r="X2" s="91">
        <v>45572</v>
      </c>
      <c r="Y2" s="91">
        <v>45573</v>
      </c>
      <c r="Z2" s="91">
        <v>45574</v>
      </c>
      <c r="AA2" s="91">
        <v>45575</v>
      </c>
      <c r="AB2" s="91">
        <v>45576</v>
      </c>
      <c r="AC2" s="91">
        <v>45577</v>
      </c>
      <c r="AD2" s="91">
        <v>45578</v>
      </c>
      <c r="AE2" s="91">
        <v>45579</v>
      </c>
      <c r="AF2" s="91">
        <v>45580</v>
      </c>
      <c r="AG2" s="91">
        <v>45581</v>
      </c>
      <c r="AH2" s="91">
        <v>45582</v>
      </c>
      <c r="AI2" s="91">
        <v>45583</v>
      </c>
      <c r="AJ2" s="91">
        <v>45584</v>
      </c>
      <c r="AK2" s="91">
        <v>45585</v>
      </c>
      <c r="AL2" s="91">
        <v>45586</v>
      </c>
      <c r="AM2" s="91">
        <v>45587</v>
      </c>
      <c r="AN2" s="91">
        <v>45588</v>
      </c>
      <c r="AO2" s="91">
        <v>45589</v>
      </c>
      <c r="AP2" s="91">
        <v>45590</v>
      </c>
      <c r="AQ2" s="91">
        <v>45591</v>
      </c>
      <c r="AR2" s="91">
        <v>45592</v>
      </c>
      <c r="AS2" s="91">
        <v>45593</v>
      </c>
      <c r="AT2" s="91">
        <v>45594</v>
      </c>
      <c r="AU2" s="91">
        <v>45595</v>
      </c>
      <c r="AV2" s="91">
        <v>45596</v>
      </c>
    </row>
    <row r="3" spans="1:49" x14ac:dyDescent="0.25">
      <c r="A3" s="92">
        <v>-1.32</v>
      </c>
      <c r="B3" s="93"/>
      <c r="E3" s="84">
        <f>+A4</f>
        <v>-4631699.72</v>
      </c>
      <c r="F3" s="87">
        <f>+A5</f>
        <v>-2.2999999999999998</v>
      </c>
      <c r="G3" s="88">
        <v>45109</v>
      </c>
      <c r="J3" s="94">
        <v>1.03548993889282</v>
      </c>
      <c r="M3" s="90">
        <f>+J4</f>
        <v>1853596.51517298</v>
      </c>
      <c r="O3" s="95"/>
      <c r="P3" s="95"/>
      <c r="Q3" s="83" t="s">
        <v>47</v>
      </c>
      <c r="R3" s="96">
        <v>1989021985</v>
      </c>
      <c r="S3" s="96">
        <v>1459297462</v>
      </c>
      <c r="T3" s="96">
        <v>1232710228</v>
      </c>
      <c r="U3" s="96">
        <v>1052420022</v>
      </c>
      <c r="V3" s="96">
        <v>0</v>
      </c>
      <c r="W3" s="96">
        <v>0</v>
      </c>
      <c r="X3" s="96">
        <v>1773798757</v>
      </c>
      <c r="Y3" s="96">
        <v>1219246975</v>
      </c>
      <c r="Z3" s="96">
        <v>1059012643</v>
      </c>
      <c r="AA3" s="96">
        <v>1270585217</v>
      </c>
      <c r="AB3" s="96">
        <v>1306166827</v>
      </c>
      <c r="AC3" s="96">
        <v>0</v>
      </c>
      <c r="AD3" s="96">
        <v>0</v>
      </c>
      <c r="AE3" s="96">
        <v>1255955469</v>
      </c>
      <c r="AF3" s="96">
        <v>1031664100</v>
      </c>
      <c r="AG3" s="96">
        <v>1365116931</v>
      </c>
      <c r="AH3" s="96">
        <v>1075044635</v>
      </c>
      <c r="AI3" s="96">
        <v>1146216030</v>
      </c>
      <c r="AJ3" s="96">
        <v>0</v>
      </c>
      <c r="AK3" s="96">
        <v>0</v>
      </c>
      <c r="AL3" s="96">
        <v>1474662341</v>
      </c>
      <c r="AM3" s="96">
        <v>1065726184</v>
      </c>
      <c r="AN3" s="96">
        <v>1298997284</v>
      </c>
      <c r="AO3" s="96">
        <v>1162453466</v>
      </c>
      <c r="AP3" s="96">
        <v>1886077651</v>
      </c>
      <c r="AQ3" s="96">
        <v>0</v>
      </c>
      <c r="AR3" s="96">
        <v>0</v>
      </c>
      <c r="AS3" s="96">
        <v>1967011186</v>
      </c>
      <c r="AT3" s="96">
        <v>1259351874</v>
      </c>
      <c r="AU3" s="96">
        <v>1711223547</v>
      </c>
      <c r="AV3" s="96">
        <v>0</v>
      </c>
      <c r="AW3" s="97">
        <f>SUM(T3:AV3)</f>
        <v>26613441367</v>
      </c>
    </row>
    <row r="4" spans="1:49" x14ac:dyDescent="0.25">
      <c r="A4" s="85">
        <v>-4631699.72</v>
      </c>
      <c r="B4" s="86">
        <v>44987</v>
      </c>
      <c r="E4" s="84">
        <f>+A6</f>
        <v>7241296.1100000003</v>
      </c>
      <c r="F4" s="87">
        <f>+A7</f>
        <v>7.1</v>
      </c>
      <c r="G4" s="88">
        <v>45110</v>
      </c>
      <c r="J4" s="89">
        <v>1853596.51517298</v>
      </c>
      <c r="M4" s="90">
        <f>+J6</f>
        <v>1853596.51517298</v>
      </c>
      <c r="Q4" s="98" t="s">
        <v>48</v>
      </c>
      <c r="R4" s="96">
        <v>695384</v>
      </c>
      <c r="S4" s="96">
        <v>1212019</v>
      </c>
      <c r="T4" s="96">
        <v>0</v>
      </c>
      <c r="U4" s="96">
        <v>18419653</v>
      </c>
      <c r="V4" s="96">
        <v>0</v>
      </c>
      <c r="W4" s="99">
        <v>0</v>
      </c>
      <c r="X4" s="99">
        <v>3024873</v>
      </c>
      <c r="Y4" s="99">
        <v>173217</v>
      </c>
      <c r="Z4" s="99">
        <v>3115513</v>
      </c>
      <c r="AA4" s="99">
        <v>602083</v>
      </c>
      <c r="AB4" s="96">
        <v>46661</v>
      </c>
      <c r="AC4" s="96">
        <v>0</v>
      </c>
      <c r="AD4" s="99">
        <v>0</v>
      </c>
      <c r="AE4" s="99">
        <v>8737930</v>
      </c>
      <c r="AF4" s="99">
        <v>110187</v>
      </c>
      <c r="AG4" s="96">
        <v>7446080</v>
      </c>
      <c r="AH4" s="99">
        <v>409843</v>
      </c>
      <c r="AI4" s="96">
        <v>80000</v>
      </c>
      <c r="AJ4" s="96">
        <v>0</v>
      </c>
      <c r="AK4" s="96">
        <v>0</v>
      </c>
      <c r="AL4" s="96">
        <v>5264223</v>
      </c>
      <c r="AM4" s="99">
        <v>7731061</v>
      </c>
      <c r="AN4" s="99">
        <v>3235454</v>
      </c>
      <c r="AO4" s="99">
        <v>280010</v>
      </c>
      <c r="AP4" s="99">
        <v>229066</v>
      </c>
      <c r="AQ4" s="99">
        <v>0</v>
      </c>
      <c r="AR4" s="99">
        <v>0</v>
      </c>
      <c r="AS4" s="99">
        <v>2704091</v>
      </c>
      <c r="AT4" s="99">
        <v>495007</v>
      </c>
      <c r="AU4" s="99">
        <v>9618216</v>
      </c>
      <c r="AV4" s="99">
        <v>0</v>
      </c>
      <c r="AW4" s="97">
        <f>SUM(T4:AV4)</f>
        <v>71723168</v>
      </c>
    </row>
    <row r="5" spans="1:49" x14ac:dyDescent="0.25">
      <c r="A5" s="92">
        <v>-2.2999999999999998</v>
      </c>
      <c r="B5" s="93"/>
      <c r="E5" s="84">
        <f>+A8</f>
        <v>8139863.6799999997</v>
      </c>
      <c r="F5" s="87">
        <f>+A9</f>
        <v>11.26</v>
      </c>
      <c r="G5" s="88">
        <v>45111</v>
      </c>
      <c r="J5" s="94">
        <v>1.03548993889282</v>
      </c>
      <c r="M5" s="90">
        <f>+J8</f>
        <v>1853596.51517298</v>
      </c>
      <c r="Q5" s="98" t="s">
        <v>49</v>
      </c>
      <c r="R5" s="96"/>
      <c r="S5" s="99"/>
      <c r="T5" s="99"/>
      <c r="U5" s="99"/>
      <c r="V5" s="99"/>
      <c r="W5" s="99"/>
      <c r="X5" s="99"/>
      <c r="Y5" s="99"/>
      <c r="Z5" s="99"/>
      <c r="AA5" s="100"/>
      <c r="AB5" s="99"/>
      <c r="AC5" s="99"/>
      <c r="AD5" s="99"/>
      <c r="AE5" s="99"/>
      <c r="AF5" s="100"/>
      <c r="AG5" s="99"/>
      <c r="AH5" s="99"/>
      <c r="AI5" s="99"/>
      <c r="AJ5" s="99"/>
      <c r="AK5" s="99"/>
      <c r="AL5" s="99"/>
      <c r="AM5" s="99"/>
      <c r="AN5" s="99"/>
      <c r="AO5" s="99"/>
      <c r="AP5" s="99"/>
      <c r="AQ5" s="99"/>
      <c r="AR5" s="99"/>
      <c r="AS5" s="99"/>
      <c r="AT5" s="99"/>
      <c r="AU5" s="99"/>
      <c r="AV5" s="99"/>
      <c r="AW5" s="97">
        <f t="shared" ref="AW5:AW16" si="0">SUM(R5:AV5)</f>
        <v>0</v>
      </c>
    </row>
    <row r="6" spans="1:49" x14ac:dyDescent="0.25">
      <c r="A6" s="101">
        <v>7241296.1100000003</v>
      </c>
      <c r="B6" s="86">
        <v>44988</v>
      </c>
      <c r="E6" s="84" t="str">
        <f>+A10</f>
        <v>-</v>
      </c>
      <c r="F6" s="87" t="str">
        <f>+A11</f>
        <v>-</v>
      </c>
      <c r="G6" s="88">
        <v>45112</v>
      </c>
      <c r="J6" s="89">
        <v>1853596.51517298</v>
      </c>
      <c r="M6" s="90">
        <f>+J10</f>
        <v>1853596.51517298</v>
      </c>
      <c r="Q6" s="98" t="s">
        <v>50</v>
      </c>
      <c r="R6" s="96">
        <v>0</v>
      </c>
      <c r="S6" s="96">
        <v>0</v>
      </c>
      <c r="T6" s="96">
        <v>0</v>
      </c>
      <c r="U6" s="99">
        <v>45000000</v>
      </c>
      <c r="V6" s="99">
        <v>0</v>
      </c>
      <c r="W6" s="99">
        <v>0</v>
      </c>
      <c r="X6" s="99">
        <v>0</v>
      </c>
      <c r="Y6" s="99">
        <v>635000000</v>
      </c>
      <c r="Z6" s="96">
        <v>0</v>
      </c>
      <c r="AA6" s="96">
        <v>0</v>
      </c>
      <c r="AB6" s="99">
        <v>345000000</v>
      </c>
      <c r="AC6" s="99">
        <v>0</v>
      </c>
      <c r="AD6" s="96">
        <v>0</v>
      </c>
      <c r="AE6" s="102">
        <v>334000000</v>
      </c>
      <c r="AF6" s="99">
        <v>0</v>
      </c>
      <c r="AG6" s="99">
        <v>0</v>
      </c>
      <c r="AH6" s="99">
        <v>0</v>
      </c>
      <c r="AI6" s="99">
        <v>240000000</v>
      </c>
      <c r="AJ6" s="99">
        <v>0</v>
      </c>
      <c r="AK6" s="99">
        <v>0</v>
      </c>
      <c r="AL6" s="99">
        <v>0</v>
      </c>
      <c r="AM6" s="99">
        <v>0</v>
      </c>
      <c r="AN6" s="99">
        <v>0</v>
      </c>
      <c r="AO6" s="99">
        <v>0</v>
      </c>
      <c r="AP6" s="99">
        <v>190000000</v>
      </c>
      <c r="AQ6" s="99">
        <v>0</v>
      </c>
      <c r="AR6" s="99">
        <v>0</v>
      </c>
      <c r="AS6" s="99">
        <v>0</v>
      </c>
      <c r="AT6" s="99">
        <v>0</v>
      </c>
      <c r="AU6" s="99">
        <v>0</v>
      </c>
      <c r="AV6" s="99">
        <v>0</v>
      </c>
      <c r="AW6" s="97">
        <f t="shared" si="0"/>
        <v>1789000000</v>
      </c>
    </row>
    <row r="7" spans="1:49" x14ac:dyDescent="0.25">
      <c r="A7" s="92">
        <v>7.1</v>
      </c>
      <c r="B7" s="93"/>
      <c r="E7" s="84" t="str">
        <f>+A12</f>
        <v>-</v>
      </c>
      <c r="F7" s="87" t="str">
        <f>+A13</f>
        <v>-</v>
      </c>
      <c r="G7" s="88">
        <v>45113</v>
      </c>
      <c r="J7" s="94">
        <v>1.03548993889282</v>
      </c>
      <c r="M7" s="90">
        <f>+J12</f>
        <v>1853596.51517298</v>
      </c>
      <c r="Q7" s="98" t="s">
        <v>52</v>
      </c>
      <c r="R7" s="96"/>
      <c r="S7" s="96"/>
      <c r="T7" s="96"/>
      <c r="U7" s="99"/>
      <c r="V7" s="99"/>
      <c r="W7" s="99"/>
      <c r="X7" s="99"/>
      <c r="Y7" s="99"/>
      <c r="Z7" s="96"/>
      <c r="AA7" s="96"/>
      <c r="AB7" s="99"/>
      <c r="AC7" s="99"/>
      <c r="AD7" s="99"/>
      <c r="AE7" s="99"/>
      <c r="AF7" s="99"/>
      <c r="AG7" s="102"/>
      <c r="AH7" s="99"/>
      <c r="AI7" s="99"/>
      <c r="AJ7" s="99"/>
      <c r="AK7" s="99"/>
      <c r="AL7" s="99"/>
      <c r="AM7" s="99"/>
      <c r="AN7" s="99"/>
      <c r="AO7" s="99"/>
      <c r="AP7" s="99"/>
      <c r="AQ7" s="99"/>
      <c r="AR7" s="99"/>
      <c r="AS7" s="99"/>
      <c r="AT7" s="99"/>
      <c r="AU7" s="99"/>
      <c r="AV7" s="99"/>
      <c r="AW7" s="97">
        <f t="shared" si="0"/>
        <v>0</v>
      </c>
    </row>
    <row r="8" spans="1:49" x14ac:dyDescent="0.25">
      <c r="A8" s="101">
        <v>8139863.6799999997</v>
      </c>
      <c r="B8" s="86">
        <v>44930</v>
      </c>
      <c r="E8" s="84">
        <f>+A14</f>
        <v>167878.73</v>
      </c>
      <c r="F8" s="87">
        <f>+A15</f>
        <v>0.09</v>
      </c>
      <c r="G8" s="88">
        <v>45114</v>
      </c>
      <c r="J8" s="89">
        <v>1853596.51517298</v>
      </c>
      <c r="M8" s="90">
        <f>+J14</f>
        <v>1853596.51517298</v>
      </c>
      <c r="Q8" s="98" t="s">
        <v>114</v>
      </c>
      <c r="R8" s="96">
        <v>1006934665</v>
      </c>
      <c r="S8" s="99">
        <v>1527603551</v>
      </c>
      <c r="T8" s="99">
        <v>471149402</v>
      </c>
      <c r="U8" s="99">
        <v>577924011</v>
      </c>
      <c r="V8" s="99" t="s">
        <v>65</v>
      </c>
      <c r="W8" s="99" t="s">
        <v>65</v>
      </c>
      <c r="X8" s="99">
        <v>1198223047</v>
      </c>
      <c r="Y8" s="99">
        <v>302106565</v>
      </c>
      <c r="Z8" s="99" t="s">
        <v>65</v>
      </c>
      <c r="AA8" s="99" t="s">
        <v>65</v>
      </c>
      <c r="AB8" s="99">
        <v>354093937</v>
      </c>
      <c r="AC8" s="99" t="s">
        <v>65</v>
      </c>
      <c r="AD8" s="99" t="s">
        <v>65</v>
      </c>
      <c r="AE8" s="99">
        <v>319315650</v>
      </c>
      <c r="AF8" s="99" t="s">
        <v>65</v>
      </c>
      <c r="AG8" s="99">
        <v>465289318</v>
      </c>
      <c r="AH8" s="99" t="s">
        <v>65</v>
      </c>
      <c r="AI8" s="99">
        <v>428911274</v>
      </c>
      <c r="AJ8" s="99" t="s">
        <v>65</v>
      </c>
      <c r="AK8" s="99" t="s">
        <v>65</v>
      </c>
      <c r="AL8" s="99" t="s">
        <v>65</v>
      </c>
      <c r="AM8" s="99" t="s">
        <v>65</v>
      </c>
      <c r="AN8" s="99" t="s">
        <v>65</v>
      </c>
      <c r="AO8" s="99" t="s">
        <v>65</v>
      </c>
      <c r="AP8" s="99">
        <v>239668653</v>
      </c>
      <c r="AQ8" s="99" t="s">
        <v>65</v>
      </c>
      <c r="AR8" s="99" t="s">
        <v>65</v>
      </c>
      <c r="AS8" s="99">
        <v>1523309168</v>
      </c>
      <c r="AT8" s="99" t="s">
        <v>65</v>
      </c>
      <c r="AU8" s="99" t="s">
        <v>65</v>
      </c>
      <c r="AV8" s="99" t="s">
        <v>65</v>
      </c>
      <c r="AW8" s="97">
        <f t="shared" si="0"/>
        <v>8414529241</v>
      </c>
    </row>
    <row r="9" spans="1:49" ht="16.5" thickBot="1" x14ac:dyDescent="0.3">
      <c r="A9" s="92">
        <v>11.26</v>
      </c>
      <c r="B9" s="93"/>
      <c r="E9" s="84">
        <f>+A16</f>
        <v>-8378827.5499999998</v>
      </c>
      <c r="F9" s="87">
        <f>+A17</f>
        <v>-2.6</v>
      </c>
      <c r="G9" s="88">
        <v>45115</v>
      </c>
      <c r="J9" s="94">
        <v>1.03548993889282</v>
      </c>
      <c r="M9" s="90">
        <f>+J16</f>
        <v>1348442.37020997</v>
      </c>
      <c r="Q9" s="98" t="s">
        <v>71</v>
      </c>
      <c r="R9" s="103">
        <v>110000000</v>
      </c>
      <c r="S9" s="104">
        <v>0</v>
      </c>
      <c r="T9" s="105">
        <v>0</v>
      </c>
      <c r="U9" s="104">
        <v>0</v>
      </c>
      <c r="V9" s="104">
        <v>0</v>
      </c>
      <c r="W9" s="104">
        <v>0</v>
      </c>
      <c r="X9" s="104">
        <v>0</v>
      </c>
      <c r="Y9" s="104">
        <v>0</v>
      </c>
      <c r="Z9" s="104">
        <v>110000000</v>
      </c>
      <c r="AA9" s="104">
        <v>0</v>
      </c>
      <c r="AB9" s="104">
        <v>342000000</v>
      </c>
      <c r="AC9" s="104">
        <v>0</v>
      </c>
      <c r="AD9" s="104">
        <v>0</v>
      </c>
      <c r="AE9" s="104">
        <v>0</v>
      </c>
      <c r="AF9" s="104">
        <v>55000000</v>
      </c>
      <c r="AG9" s="104">
        <v>185000000</v>
      </c>
      <c r="AH9" s="104">
        <v>0</v>
      </c>
      <c r="AI9" s="104">
        <v>135000000</v>
      </c>
      <c r="AJ9" s="104">
        <v>0</v>
      </c>
      <c r="AK9" s="104">
        <v>0</v>
      </c>
      <c r="AL9" s="104">
        <v>21000000</v>
      </c>
      <c r="AM9" s="104">
        <v>0</v>
      </c>
      <c r="AN9" s="104">
        <v>30000000</v>
      </c>
      <c r="AO9" s="104">
        <v>0</v>
      </c>
      <c r="AP9" s="104">
        <v>0</v>
      </c>
      <c r="AQ9" s="104">
        <v>0</v>
      </c>
      <c r="AR9" s="104">
        <v>0</v>
      </c>
      <c r="AS9" s="104">
        <v>0</v>
      </c>
      <c r="AT9" s="104">
        <v>42000000</v>
      </c>
      <c r="AU9" s="104">
        <v>78000000</v>
      </c>
      <c r="AV9" s="104">
        <v>0</v>
      </c>
      <c r="AW9" s="97">
        <f t="shared" si="0"/>
        <v>1108000000</v>
      </c>
    </row>
    <row r="10" spans="1:49" x14ac:dyDescent="0.25">
      <c r="A10" s="101" t="s">
        <v>65</v>
      </c>
      <c r="B10" s="86">
        <v>44931</v>
      </c>
      <c r="E10" s="84">
        <f>+A18</f>
        <v>13745725.9</v>
      </c>
      <c r="F10" s="87">
        <f>+A19</f>
        <v>7.76</v>
      </c>
      <c r="G10" s="88">
        <v>45116</v>
      </c>
      <c r="J10" s="89">
        <v>1853596.51517298</v>
      </c>
      <c r="M10" s="90">
        <f>+J18</f>
        <v>1313118.9463719616</v>
      </c>
      <c r="Q10" s="83" t="s">
        <v>69</v>
      </c>
      <c r="R10" s="96"/>
      <c r="S10" s="96"/>
      <c r="T10" s="96"/>
      <c r="U10" s="96"/>
      <c r="V10" s="96"/>
      <c r="W10" s="96"/>
      <c r="X10" s="96"/>
      <c r="Y10" s="106"/>
      <c r="Z10" s="106"/>
      <c r="AA10" s="106"/>
      <c r="AB10" s="106"/>
      <c r="AC10" s="106"/>
      <c r="AD10" s="106"/>
      <c r="AE10" s="106"/>
      <c r="AF10" s="106"/>
      <c r="AG10" s="106"/>
      <c r="AH10" s="96"/>
      <c r="AI10" s="96"/>
      <c r="AJ10" s="96"/>
      <c r="AK10" s="96"/>
      <c r="AL10" s="96"/>
      <c r="AM10" s="96"/>
      <c r="AN10" s="106"/>
      <c r="AO10" s="106"/>
      <c r="AP10" s="106"/>
      <c r="AQ10" s="106"/>
      <c r="AR10" s="106"/>
      <c r="AS10" s="106"/>
      <c r="AT10" s="106"/>
      <c r="AU10" s="106"/>
      <c r="AV10" s="106"/>
      <c r="AW10" s="97">
        <f t="shared" si="0"/>
        <v>0</v>
      </c>
    </row>
    <row r="11" spans="1:49" x14ac:dyDescent="0.25">
      <c r="A11" s="92" t="s">
        <v>65</v>
      </c>
      <c r="B11" s="93"/>
      <c r="E11" s="84">
        <f>+A20</f>
        <v>2004461.42</v>
      </c>
      <c r="F11" s="87">
        <f>+A21</f>
        <v>1.22</v>
      </c>
      <c r="G11" s="88">
        <v>45117</v>
      </c>
      <c r="J11" s="94">
        <v>1.03548993889282</v>
      </c>
      <c r="M11" s="90">
        <f>+J20</f>
        <v>386703.62996097899</v>
      </c>
      <c r="Q11" s="83" t="s">
        <v>70</v>
      </c>
      <c r="R11" s="96"/>
      <c r="S11" s="96"/>
      <c r="T11" s="96"/>
      <c r="U11" s="96"/>
      <c r="V11" s="96"/>
      <c r="W11" s="99"/>
      <c r="X11" s="99"/>
      <c r="Y11" s="99"/>
      <c r="Z11" s="99"/>
      <c r="AA11" s="99"/>
      <c r="AB11" s="99"/>
      <c r="AC11" s="99"/>
      <c r="AD11" s="99"/>
      <c r="AE11" s="99"/>
      <c r="AF11" s="100"/>
      <c r="AG11" s="100"/>
      <c r="AH11" s="99"/>
      <c r="AI11" s="99"/>
      <c r="AJ11" s="99"/>
      <c r="AK11" s="99"/>
      <c r="AL11" s="99"/>
      <c r="AM11" s="99"/>
      <c r="AN11" s="99"/>
      <c r="AO11" s="99"/>
      <c r="AP11" s="99"/>
      <c r="AQ11" s="99"/>
      <c r="AR11" s="99"/>
      <c r="AS11" s="99"/>
      <c r="AT11" s="99"/>
      <c r="AU11" s="99"/>
      <c r="AV11" s="99"/>
      <c r="AW11" s="97">
        <f t="shared" si="0"/>
        <v>0</v>
      </c>
    </row>
    <row r="12" spans="1:49" x14ac:dyDescent="0.25">
      <c r="A12" s="101" t="s">
        <v>65</v>
      </c>
      <c r="B12" s="86">
        <v>44932</v>
      </c>
      <c r="E12" s="84">
        <f>+A22</f>
        <v>581055.85</v>
      </c>
      <c r="F12" s="87">
        <f>+A23</f>
        <v>0.38</v>
      </c>
      <c r="G12" s="88">
        <v>45118</v>
      </c>
      <c r="J12" s="89">
        <v>1853596.51517298</v>
      </c>
      <c r="M12" s="90">
        <f>+J22</f>
        <v>0</v>
      </c>
      <c r="Q12" s="98" t="s">
        <v>73</v>
      </c>
      <c r="R12" s="96"/>
      <c r="S12" s="96"/>
      <c r="T12" s="96"/>
      <c r="U12" s="96"/>
      <c r="V12" s="96"/>
      <c r="W12" s="99"/>
      <c r="X12" s="99"/>
      <c r="Y12" s="99"/>
      <c r="Z12" s="99"/>
      <c r="AA12" s="99"/>
      <c r="AB12" s="99"/>
      <c r="AC12" s="99"/>
      <c r="AD12" s="99"/>
      <c r="AE12" s="99"/>
      <c r="AF12" s="99"/>
      <c r="AG12" s="99"/>
      <c r="AH12" s="99"/>
      <c r="AI12" s="99"/>
      <c r="AJ12" s="99"/>
      <c r="AK12" s="99"/>
      <c r="AL12" s="99"/>
      <c r="AM12" s="99"/>
      <c r="AN12" s="99"/>
      <c r="AO12" s="99"/>
      <c r="AP12" s="99"/>
      <c r="AQ12" s="99"/>
      <c r="AR12" s="99"/>
      <c r="AS12" s="99"/>
      <c r="AT12" s="99"/>
      <c r="AU12" s="99"/>
      <c r="AV12" s="99"/>
      <c r="AW12" s="97">
        <f>SUM(R12:AV12)</f>
        <v>0</v>
      </c>
    </row>
    <row r="13" spans="1:49" x14ac:dyDescent="0.25">
      <c r="A13" s="92" t="s">
        <v>65</v>
      </c>
      <c r="B13" s="93"/>
      <c r="E13" s="84" t="str">
        <f>+A24</f>
        <v>-</v>
      </c>
      <c r="F13" s="87" t="str">
        <f>+A25</f>
        <v>-</v>
      </c>
      <c r="G13" s="88">
        <v>45119</v>
      </c>
      <c r="J13" s="94">
        <v>1.03548993889282</v>
      </c>
      <c r="M13" s="90">
        <f>+J24</f>
        <v>0</v>
      </c>
      <c r="Q13" s="83" t="s">
        <v>74</v>
      </c>
      <c r="R13" s="96"/>
      <c r="S13" s="100"/>
      <c r="T13" s="99"/>
      <c r="U13" s="99"/>
      <c r="V13" s="99"/>
      <c r="W13" s="99"/>
      <c r="X13" s="99"/>
      <c r="Y13" s="100"/>
      <c r="Z13" s="100"/>
      <c r="AA13" s="99"/>
      <c r="AB13" s="99"/>
      <c r="AC13" s="99"/>
      <c r="AD13" s="99"/>
      <c r="AE13" s="99"/>
      <c r="AF13" s="100"/>
      <c r="AG13" s="100"/>
      <c r="AH13" s="99"/>
      <c r="AI13" s="99"/>
      <c r="AJ13" s="99"/>
      <c r="AK13" s="99"/>
      <c r="AL13" s="99"/>
      <c r="AM13" s="99"/>
      <c r="AN13" s="99"/>
      <c r="AO13" s="99"/>
      <c r="AP13" s="99"/>
      <c r="AQ13" s="99"/>
      <c r="AR13" s="99"/>
      <c r="AS13" s="99"/>
      <c r="AT13" s="99"/>
      <c r="AU13" s="99"/>
      <c r="AV13" s="99"/>
      <c r="AW13" s="97">
        <f t="shared" si="0"/>
        <v>0</v>
      </c>
    </row>
    <row r="14" spans="1:49" ht="16.5" thickBot="1" x14ac:dyDescent="0.3">
      <c r="A14" s="101">
        <v>167878.73</v>
      </c>
      <c r="B14" s="86">
        <v>44933</v>
      </c>
      <c r="E14" s="84" t="str">
        <f>+A26</f>
        <v>-</v>
      </c>
      <c r="F14" s="87" t="str">
        <f>+A27</f>
        <v>-</v>
      </c>
      <c r="G14" s="88">
        <v>45120</v>
      </c>
      <c r="J14" s="89">
        <v>1853596.51517298</v>
      </c>
      <c r="M14" s="90">
        <f>+J26</f>
        <v>0</v>
      </c>
      <c r="Q14" s="107" t="s">
        <v>105</v>
      </c>
      <c r="R14" s="103"/>
      <c r="S14" s="103"/>
      <c r="T14" s="103"/>
      <c r="U14" s="103"/>
      <c r="V14" s="103"/>
      <c r="W14" s="103"/>
      <c r="X14" s="103"/>
      <c r="Y14" s="103"/>
      <c r="Z14" s="103"/>
      <c r="AA14" s="103"/>
      <c r="AB14" s="103"/>
      <c r="AC14" s="103"/>
      <c r="AD14" s="103"/>
      <c r="AE14" s="103"/>
      <c r="AF14" s="103"/>
      <c r="AG14" s="103"/>
      <c r="AH14" s="103"/>
      <c r="AI14" s="103"/>
      <c r="AJ14" s="103"/>
      <c r="AK14" s="103"/>
      <c r="AL14" s="103"/>
      <c r="AM14" s="103"/>
      <c r="AN14" s="103"/>
      <c r="AO14" s="103"/>
      <c r="AP14" s="103"/>
      <c r="AQ14" s="103"/>
      <c r="AR14" s="103"/>
      <c r="AS14" s="103"/>
      <c r="AT14" s="103"/>
      <c r="AU14" s="103"/>
      <c r="AV14" s="104"/>
      <c r="AW14" s="97">
        <f t="shared" si="0"/>
        <v>0</v>
      </c>
    </row>
    <row r="15" spans="1:49" x14ac:dyDescent="0.25">
      <c r="A15" s="92">
        <v>0.09</v>
      </c>
      <c r="B15" s="108"/>
      <c r="E15" s="84">
        <f>+A28</f>
        <v>-8504797.6400000006</v>
      </c>
      <c r="F15" s="87">
        <f>+A29</f>
        <v>-4.17</v>
      </c>
      <c r="G15" s="88">
        <v>45121</v>
      </c>
      <c r="J15" s="94">
        <v>1.03548993889282</v>
      </c>
      <c r="M15" s="90">
        <f>+J28</f>
        <v>0</v>
      </c>
      <c r="Q15" s="83" t="s">
        <v>75</v>
      </c>
      <c r="R15" s="109">
        <v>945840000</v>
      </c>
      <c r="S15" s="96">
        <v>729720000</v>
      </c>
      <c r="T15" s="96">
        <v>0</v>
      </c>
      <c r="U15" s="106">
        <v>0</v>
      </c>
      <c r="V15" s="106">
        <v>0</v>
      </c>
      <c r="W15" s="106">
        <v>0</v>
      </c>
      <c r="X15" s="106">
        <v>835335000</v>
      </c>
      <c r="Y15" s="106">
        <v>935200000</v>
      </c>
      <c r="Z15" s="106">
        <v>0</v>
      </c>
      <c r="AA15" s="106">
        <v>0</v>
      </c>
      <c r="AB15" s="106">
        <v>695025000</v>
      </c>
      <c r="AC15" s="106">
        <v>0</v>
      </c>
      <c r="AD15" s="106">
        <v>0</v>
      </c>
      <c r="AE15" s="106">
        <v>649810000</v>
      </c>
      <c r="AF15" s="106">
        <v>0</v>
      </c>
      <c r="AG15" s="106">
        <v>0</v>
      </c>
      <c r="AH15" s="106">
        <v>0</v>
      </c>
      <c r="AI15" s="110">
        <v>664090000</v>
      </c>
      <c r="AJ15" s="106">
        <v>0</v>
      </c>
      <c r="AK15" s="106">
        <v>0</v>
      </c>
      <c r="AL15" s="106">
        <v>0</v>
      </c>
      <c r="AM15" s="106">
        <v>0</v>
      </c>
      <c r="AN15" s="106">
        <v>0</v>
      </c>
      <c r="AO15" s="106">
        <v>0</v>
      </c>
      <c r="AP15" s="106">
        <v>427275000</v>
      </c>
      <c r="AQ15" s="106">
        <v>0</v>
      </c>
      <c r="AR15" s="106">
        <v>0</v>
      </c>
      <c r="AS15" s="106">
        <v>614510000</v>
      </c>
      <c r="AT15" s="106">
        <v>0</v>
      </c>
      <c r="AU15" s="106">
        <v>0</v>
      </c>
      <c r="AV15" s="106">
        <v>0</v>
      </c>
      <c r="AW15" s="97">
        <f>SUM(R15:AV15)</f>
        <v>6496805000</v>
      </c>
    </row>
    <row r="16" spans="1:49" x14ac:dyDescent="0.25">
      <c r="A16" s="101">
        <v>-8378827.5499999998</v>
      </c>
      <c r="B16" s="86">
        <v>44993</v>
      </c>
      <c r="E16" s="84">
        <f>+A30</f>
        <v>375327.83</v>
      </c>
      <c r="F16" s="87">
        <f>+A31</f>
        <v>0.22</v>
      </c>
      <c r="G16" s="88">
        <v>45122</v>
      </c>
      <c r="J16" s="89">
        <v>1348442.37020997</v>
      </c>
      <c r="M16" s="90">
        <f>+J30</f>
        <v>0</v>
      </c>
      <c r="Q16" s="83" t="s">
        <v>76</v>
      </c>
      <c r="R16" s="111">
        <v>900.8</v>
      </c>
      <c r="S16" s="111">
        <v>912.15</v>
      </c>
      <c r="T16" s="111"/>
      <c r="U16" s="111"/>
      <c r="V16" s="111"/>
      <c r="W16" s="111"/>
      <c r="X16" s="111">
        <v>928.15</v>
      </c>
      <c r="Y16" s="111">
        <v>935.2</v>
      </c>
      <c r="Z16" s="111"/>
      <c r="AA16" s="111"/>
      <c r="AB16" s="111">
        <v>926.7</v>
      </c>
      <c r="AC16" s="111"/>
      <c r="AD16" s="111"/>
      <c r="AE16" s="111">
        <v>928.3</v>
      </c>
      <c r="AF16" s="111"/>
      <c r="AG16" s="111"/>
      <c r="AH16" s="111"/>
      <c r="AI16" s="112">
        <v>948.7</v>
      </c>
      <c r="AJ16" s="111"/>
      <c r="AK16" s="111"/>
      <c r="AL16" s="111"/>
      <c r="AM16" s="111"/>
      <c r="AN16" s="111"/>
      <c r="AO16" s="111"/>
      <c r="AP16" s="111">
        <v>949.5</v>
      </c>
      <c r="AQ16" s="111"/>
      <c r="AR16" s="111"/>
      <c r="AS16" s="111">
        <v>945.4</v>
      </c>
      <c r="AT16" s="111"/>
      <c r="AU16" s="111"/>
      <c r="AV16" s="111"/>
      <c r="AW16" s="97">
        <f t="shared" si="0"/>
        <v>8374.9</v>
      </c>
    </row>
    <row r="17" spans="1:49" ht="16.5" thickBot="1" x14ac:dyDescent="0.3">
      <c r="A17" s="92">
        <v>-2.6</v>
      </c>
      <c r="B17" s="108"/>
      <c r="E17" s="84">
        <f>+A32</f>
        <v>8731101.4299999997</v>
      </c>
      <c r="F17" s="87">
        <f>+A33</f>
        <v>5.86</v>
      </c>
      <c r="G17" s="88">
        <v>45123</v>
      </c>
      <c r="J17" s="94">
        <v>0.73880515190384699</v>
      </c>
      <c r="M17" s="90">
        <f>+J32</f>
        <v>0</v>
      </c>
      <c r="Q17" s="107" t="s">
        <v>77</v>
      </c>
      <c r="R17" s="113" t="s">
        <v>209</v>
      </c>
      <c r="S17" s="113" t="s">
        <v>210</v>
      </c>
      <c r="T17" s="113"/>
      <c r="U17" s="113"/>
      <c r="V17" s="113"/>
      <c r="W17" s="113"/>
      <c r="X17" s="113" t="s">
        <v>211</v>
      </c>
      <c r="Y17" s="113" t="s">
        <v>204</v>
      </c>
      <c r="Z17" s="113"/>
      <c r="AA17" s="113"/>
      <c r="AB17" s="113" t="s">
        <v>212</v>
      </c>
      <c r="AC17" s="113"/>
      <c r="AD17" s="113"/>
      <c r="AE17" s="113" t="s">
        <v>213</v>
      </c>
      <c r="AF17" s="113"/>
      <c r="AG17" s="113"/>
      <c r="AH17" s="113"/>
      <c r="AI17" s="114" t="s">
        <v>213</v>
      </c>
      <c r="AJ17" s="113"/>
      <c r="AK17" s="113"/>
      <c r="AL17" s="113"/>
      <c r="AM17" s="113"/>
      <c r="AN17" s="113"/>
      <c r="AO17" s="113"/>
      <c r="AP17" s="113" t="s">
        <v>199</v>
      </c>
      <c r="AQ17" s="113"/>
      <c r="AR17" s="113"/>
      <c r="AS17" s="113" t="s">
        <v>187</v>
      </c>
      <c r="AT17" s="113"/>
      <c r="AU17" s="113"/>
      <c r="AV17" s="113"/>
    </row>
    <row r="18" spans="1:49" x14ac:dyDescent="0.25">
      <c r="A18" s="101">
        <v>13745725.9</v>
      </c>
      <c r="B18" s="86">
        <v>44994</v>
      </c>
      <c r="E18" s="84">
        <f>+A34</f>
        <v>839652.98</v>
      </c>
      <c r="F18" s="87">
        <f>+A35</f>
        <v>1.5</v>
      </c>
      <c r="G18" s="88">
        <v>45124</v>
      </c>
      <c r="J18" s="89">
        <v>1313118.9463719616</v>
      </c>
      <c r="M18" s="90">
        <f>+J34</f>
        <v>3367093.5378519734</v>
      </c>
      <c r="Q18" s="83" t="s">
        <v>78</v>
      </c>
      <c r="R18" s="109">
        <v>650000</v>
      </c>
      <c r="S18" s="96">
        <v>2000000</v>
      </c>
      <c r="T18" s="96">
        <v>815000</v>
      </c>
      <c r="U18" s="109">
        <v>722900</v>
      </c>
      <c r="V18" s="96">
        <v>0</v>
      </c>
      <c r="W18" s="109">
        <v>0</v>
      </c>
      <c r="X18" s="109">
        <v>1620000</v>
      </c>
      <c r="Y18" s="109">
        <v>1300000</v>
      </c>
      <c r="Z18" s="109">
        <v>770000</v>
      </c>
      <c r="AA18" s="109">
        <v>0</v>
      </c>
      <c r="AB18" s="106">
        <v>845000</v>
      </c>
      <c r="AC18" s="106">
        <v>0</v>
      </c>
      <c r="AD18" s="106">
        <v>0</v>
      </c>
      <c r="AE18" s="106">
        <v>1735000</v>
      </c>
      <c r="AF18" s="106">
        <v>0</v>
      </c>
      <c r="AG18" s="106">
        <v>1280000</v>
      </c>
      <c r="AH18" s="106">
        <v>0</v>
      </c>
      <c r="AI18" s="110">
        <v>550000</v>
      </c>
      <c r="AJ18" s="106">
        <v>0</v>
      </c>
      <c r="AK18" s="106">
        <v>0</v>
      </c>
      <c r="AL18" s="106">
        <v>0</v>
      </c>
      <c r="AM18" s="106">
        <v>0</v>
      </c>
      <c r="AN18" s="106">
        <v>1160000</v>
      </c>
      <c r="AO18" s="106">
        <v>740000</v>
      </c>
      <c r="AP18" s="106">
        <v>450000</v>
      </c>
      <c r="AQ18" s="106">
        <v>0</v>
      </c>
      <c r="AR18" s="106">
        <v>0</v>
      </c>
      <c r="AS18" s="106">
        <v>0</v>
      </c>
      <c r="AT18" s="106">
        <v>0</v>
      </c>
      <c r="AU18" s="106">
        <v>0</v>
      </c>
      <c r="AV18" s="106">
        <v>0</v>
      </c>
      <c r="AW18" s="97">
        <f>SUM(R18:AV18)</f>
        <v>14637900</v>
      </c>
    </row>
    <row r="19" spans="1:49" x14ac:dyDescent="0.25">
      <c r="A19" s="92">
        <v>7.76</v>
      </c>
      <c r="B19" s="108"/>
      <c r="E19" s="84">
        <f>+A36</f>
        <v>-1264909.83</v>
      </c>
      <c r="F19" s="87">
        <f>+A37</f>
        <v>-0.7</v>
      </c>
      <c r="G19" s="88">
        <v>45125</v>
      </c>
      <c r="J19" s="94">
        <v>0.67001189096177427</v>
      </c>
      <c r="M19" s="90">
        <f>+J35</f>
        <v>0</v>
      </c>
      <c r="Q19" s="83" t="s">
        <v>80</v>
      </c>
      <c r="R19" s="111">
        <v>897.68</v>
      </c>
      <c r="S19" s="111">
        <v>901.13</v>
      </c>
      <c r="T19" s="115">
        <v>908.23</v>
      </c>
      <c r="U19" s="111">
        <v>919.49</v>
      </c>
      <c r="V19" s="111">
        <v>919.49</v>
      </c>
      <c r="W19" s="111">
        <v>919.49</v>
      </c>
      <c r="X19" s="111">
        <v>923.74</v>
      </c>
      <c r="Y19" s="111">
        <v>925.86</v>
      </c>
      <c r="Z19" s="111">
        <v>933.62</v>
      </c>
      <c r="AA19" s="111">
        <v>934.84</v>
      </c>
      <c r="AB19" s="111">
        <v>931.26</v>
      </c>
      <c r="AC19" s="111">
        <v>931.26</v>
      </c>
      <c r="AD19" s="111">
        <v>931.26</v>
      </c>
      <c r="AE19" s="111">
        <v>926.07</v>
      </c>
      <c r="AF19" s="111">
        <v>928.37</v>
      </c>
      <c r="AG19" s="111">
        <v>937.29</v>
      </c>
      <c r="AH19" s="111">
        <v>941.3</v>
      </c>
      <c r="AI19" s="112">
        <v>945.01</v>
      </c>
      <c r="AJ19" s="111">
        <v>945.01</v>
      </c>
      <c r="AK19" s="111">
        <v>945.01</v>
      </c>
      <c r="AL19" s="111">
        <v>946.99</v>
      </c>
      <c r="AM19" s="111">
        <v>954.39</v>
      </c>
      <c r="AN19" s="111">
        <v>949</v>
      </c>
      <c r="AO19" s="111">
        <v>948.2</v>
      </c>
      <c r="AP19" s="111">
        <v>945.29</v>
      </c>
      <c r="AQ19" s="111">
        <v>945.29</v>
      </c>
      <c r="AR19" s="111">
        <v>945.29</v>
      </c>
      <c r="AS19" s="111">
        <v>949.34</v>
      </c>
      <c r="AT19" s="111">
        <v>945.88</v>
      </c>
      <c r="AU19" s="111">
        <v>950.89</v>
      </c>
      <c r="AV19" s="111">
        <v>950.89</v>
      </c>
    </row>
    <row r="20" spans="1:49" x14ac:dyDescent="0.25">
      <c r="A20" s="101">
        <v>2004461.42</v>
      </c>
      <c r="B20" s="86">
        <v>44936</v>
      </c>
      <c r="E20" s="84" t="str">
        <f>+A38</f>
        <v>-</v>
      </c>
      <c r="F20" s="83" t="str">
        <f>+A39</f>
        <v>-</v>
      </c>
      <c r="G20" s="88">
        <v>45126</v>
      </c>
      <c r="J20" s="89">
        <v>386703.62996097899</v>
      </c>
      <c r="M20" s="90">
        <f>+J37</f>
        <v>0</v>
      </c>
      <c r="Q20" s="83" t="s">
        <v>77</v>
      </c>
      <c r="R20" s="111" t="s">
        <v>187</v>
      </c>
      <c r="S20" s="111" t="s">
        <v>188</v>
      </c>
      <c r="T20" s="111" t="s">
        <v>189</v>
      </c>
      <c r="U20" s="96">
        <v>722900</v>
      </c>
      <c r="V20" s="111"/>
      <c r="W20" s="111"/>
      <c r="X20" s="111" t="s">
        <v>190</v>
      </c>
      <c r="Y20" s="111" t="s">
        <v>191</v>
      </c>
      <c r="Z20" s="111" t="s">
        <v>192</v>
      </c>
      <c r="AA20" s="111"/>
      <c r="AB20" s="111" t="s">
        <v>193</v>
      </c>
      <c r="AC20" s="111"/>
      <c r="AD20" s="111"/>
      <c r="AE20" s="111" t="s">
        <v>194</v>
      </c>
      <c r="AF20" s="111"/>
      <c r="AG20" s="111" t="s">
        <v>195</v>
      </c>
      <c r="AH20" s="111"/>
      <c r="AI20" s="112" t="s">
        <v>196</v>
      </c>
      <c r="AJ20" s="111"/>
      <c r="AK20" s="111"/>
      <c r="AL20" s="111"/>
      <c r="AM20" s="111"/>
      <c r="AN20" s="111" t="s">
        <v>197</v>
      </c>
      <c r="AO20" s="111" t="s">
        <v>198</v>
      </c>
      <c r="AP20" s="111" t="s">
        <v>199</v>
      </c>
      <c r="AQ20" s="111"/>
      <c r="AR20" s="111"/>
      <c r="AS20" s="111"/>
      <c r="AT20" s="111"/>
      <c r="AU20" s="111"/>
      <c r="AV20" s="111"/>
    </row>
    <row r="21" spans="1:49" ht="16.5" thickBot="1" x14ac:dyDescent="0.3">
      <c r="A21" s="92">
        <v>1.22</v>
      </c>
      <c r="B21" s="108"/>
      <c r="E21" s="84" t="str">
        <f>+A40</f>
        <v>-</v>
      </c>
      <c r="F21" s="83" t="str">
        <f>+A41</f>
        <v>-</v>
      </c>
      <c r="G21" s="88">
        <v>45127</v>
      </c>
      <c r="J21" s="94">
        <v>0.22665440355490299</v>
      </c>
      <c r="M21" s="90">
        <f>+J39</f>
        <v>2061236.9020951241</v>
      </c>
      <c r="Q21" s="107" t="s">
        <v>81</v>
      </c>
      <c r="R21" s="103">
        <f>R18*R19</f>
        <v>583492000</v>
      </c>
      <c r="S21" s="103">
        <f t="shared" ref="S21:AV21" si="1">S18*S19</f>
        <v>1802260000</v>
      </c>
      <c r="T21" s="103">
        <f t="shared" si="1"/>
        <v>740207450</v>
      </c>
      <c r="U21" s="103">
        <f>U18*U19</f>
        <v>664699321</v>
      </c>
      <c r="V21" s="103">
        <f t="shared" si="1"/>
        <v>0</v>
      </c>
      <c r="W21" s="103">
        <f t="shared" si="1"/>
        <v>0</v>
      </c>
      <c r="X21" s="103">
        <f t="shared" si="1"/>
        <v>1496458800</v>
      </c>
      <c r="Y21" s="103">
        <f t="shared" si="1"/>
        <v>1203618000</v>
      </c>
      <c r="Z21" s="103">
        <f t="shared" si="1"/>
        <v>718887400</v>
      </c>
      <c r="AA21" s="103">
        <f t="shared" si="1"/>
        <v>0</v>
      </c>
      <c r="AB21" s="103">
        <f t="shared" si="1"/>
        <v>786914700</v>
      </c>
      <c r="AC21" s="103">
        <f t="shared" si="1"/>
        <v>0</v>
      </c>
      <c r="AD21" s="103">
        <f t="shared" si="1"/>
        <v>0</v>
      </c>
      <c r="AE21" s="103">
        <f t="shared" si="1"/>
        <v>1606731450</v>
      </c>
      <c r="AF21" s="103">
        <f t="shared" si="1"/>
        <v>0</v>
      </c>
      <c r="AG21" s="103">
        <f>AG18*AG19</f>
        <v>1199731200</v>
      </c>
      <c r="AH21" s="103">
        <f t="shared" si="1"/>
        <v>0</v>
      </c>
      <c r="AI21" s="116">
        <f t="shared" si="1"/>
        <v>519755500</v>
      </c>
      <c r="AJ21" s="103">
        <f t="shared" si="1"/>
        <v>0</v>
      </c>
      <c r="AK21" s="103">
        <f t="shared" si="1"/>
        <v>0</v>
      </c>
      <c r="AL21" s="103">
        <f t="shared" si="1"/>
        <v>0</v>
      </c>
      <c r="AM21" s="103">
        <f t="shared" si="1"/>
        <v>0</v>
      </c>
      <c r="AN21" s="103">
        <f t="shared" si="1"/>
        <v>1100840000</v>
      </c>
      <c r="AO21" s="103">
        <f t="shared" si="1"/>
        <v>701668000</v>
      </c>
      <c r="AP21" s="103">
        <f t="shared" si="1"/>
        <v>425380500</v>
      </c>
      <c r="AQ21" s="103">
        <f t="shared" si="1"/>
        <v>0</v>
      </c>
      <c r="AR21" s="103">
        <f t="shared" si="1"/>
        <v>0</v>
      </c>
      <c r="AS21" s="103">
        <f t="shared" si="1"/>
        <v>0</v>
      </c>
      <c r="AT21" s="103">
        <f t="shared" si="1"/>
        <v>0</v>
      </c>
      <c r="AU21" s="103">
        <f t="shared" si="1"/>
        <v>0</v>
      </c>
      <c r="AV21" s="103">
        <f t="shared" si="1"/>
        <v>0</v>
      </c>
      <c r="AW21" s="97">
        <f>SUM(R21:AV21)</f>
        <v>13550644321</v>
      </c>
    </row>
    <row r="22" spans="1:49" x14ac:dyDescent="0.25">
      <c r="A22" s="101">
        <v>581055.85</v>
      </c>
      <c r="B22" s="86">
        <v>44937</v>
      </c>
      <c r="E22" s="84">
        <f>+A42</f>
        <v>1899643.7</v>
      </c>
      <c r="F22" s="87">
        <f>+A43</f>
        <v>1.98</v>
      </c>
      <c r="G22" s="88">
        <v>45128</v>
      </c>
      <c r="J22" s="89">
        <v>0</v>
      </c>
      <c r="M22" s="90">
        <f>+J41</f>
        <v>221379.895455069</v>
      </c>
      <c r="Q22" s="83" t="s">
        <v>87</v>
      </c>
      <c r="R22" s="109"/>
      <c r="S22" s="96"/>
      <c r="T22" s="96"/>
      <c r="U22" s="109"/>
      <c r="V22" s="96"/>
      <c r="W22" s="109"/>
      <c r="X22" s="109"/>
      <c r="Y22" s="109">
        <v>150000</v>
      </c>
      <c r="Z22" s="109">
        <v>100000</v>
      </c>
      <c r="AA22" s="109"/>
      <c r="AB22" s="109"/>
      <c r="AC22" s="109"/>
      <c r="AD22" s="109"/>
      <c r="AE22" s="109"/>
      <c r="AF22" s="109"/>
      <c r="AG22" s="109"/>
      <c r="AH22" s="109"/>
      <c r="AI22" s="117"/>
      <c r="AJ22" s="109"/>
      <c r="AK22" s="109"/>
      <c r="AL22" s="106"/>
      <c r="AM22" s="109">
        <v>100000</v>
      </c>
      <c r="AN22" s="109"/>
      <c r="AO22" s="109"/>
      <c r="AP22" s="109"/>
      <c r="AQ22" s="109"/>
      <c r="AR22" s="109"/>
      <c r="AS22" s="109"/>
      <c r="AT22" s="109"/>
      <c r="AU22" s="109"/>
      <c r="AV22" s="109"/>
      <c r="AW22" s="97">
        <f>SUM(R22:AV22)</f>
        <v>350000</v>
      </c>
    </row>
    <row r="23" spans="1:49" x14ac:dyDescent="0.25">
      <c r="A23" s="92">
        <v>0.38</v>
      </c>
      <c r="B23" s="108"/>
      <c r="E23" s="84">
        <f>+A44</f>
        <v>7599191.6100000003</v>
      </c>
      <c r="F23" s="87">
        <f>+A45</f>
        <v>3.78</v>
      </c>
      <c r="G23" s="88">
        <v>45129</v>
      </c>
      <c r="J23" s="118">
        <v>0</v>
      </c>
      <c r="M23" s="90">
        <f>+J43</f>
        <v>1190845.4496999499</v>
      </c>
      <c r="Q23" s="83" t="s">
        <v>85</v>
      </c>
      <c r="R23" s="111">
        <v>897.68</v>
      </c>
      <c r="S23" s="111">
        <v>901.13</v>
      </c>
      <c r="T23" s="115">
        <v>908.23</v>
      </c>
      <c r="U23" s="111">
        <v>919.49</v>
      </c>
      <c r="V23" s="111">
        <v>919.49</v>
      </c>
      <c r="W23" s="111">
        <v>919.49</v>
      </c>
      <c r="X23" s="111">
        <v>923.74</v>
      </c>
      <c r="Y23" s="111">
        <v>925.86</v>
      </c>
      <c r="Z23" s="111">
        <v>933.62</v>
      </c>
      <c r="AA23" s="111">
        <v>934.84</v>
      </c>
      <c r="AB23" s="111">
        <v>931.26</v>
      </c>
      <c r="AC23" s="111">
        <v>931.26</v>
      </c>
      <c r="AD23" s="111">
        <v>931.26</v>
      </c>
      <c r="AE23" s="111">
        <v>926.07</v>
      </c>
      <c r="AF23" s="111">
        <v>928.37</v>
      </c>
      <c r="AG23" s="111">
        <v>937.29</v>
      </c>
      <c r="AH23" s="111">
        <v>941.3</v>
      </c>
      <c r="AI23" s="112">
        <v>945.01</v>
      </c>
      <c r="AJ23" s="111">
        <v>945.01</v>
      </c>
      <c r="AK23" s="111">
        <v>945.01</v>
      </c>
      <c r="AL23" s="111">
        <v>946.99</v>
      </c>
      <c r="AM23" s="111">
        <v>954.39</v>
      </c>
      <c r="AN23" s="111">
        <v>949</v>
      </c>
      <c r="AO23" s="111">
        <v>948.2</v>
      </c>
      <c r="AP23" s="111">
        <v>945.29</v>
      </c>
      <c r="AQ23" s="111">
        <v>945.29</v>
      </c>
      <c r="AR23" s="111">
        <v>945.29</v>
      </c>
      <c r="AS23" s="111">
        <v>949.34</v>
      </c>
      <c r="AT23" s="111">
        <v>945.88</v>
      </c>
      <c r="AU23" s="111">
        <v>950.89</v>
      </c>
      <c r="AV23" s="111">
        <v>950.89</v>
      </c>
    </row>
    <row r="24" spans="1:49" x14ac:dyDescent="0.25">
      <c r="A24" s="101" t="s">
        <v>65</v>
      </c>
      <c r="B24" s="86">
        <v>44938</v>
      </c>
      <c r="E24" s="84">
        <f>+A46</f>
        <v>-7320008.46</v>
      </c>
      <c r="F24" s="87">
        <f>+A47</f>
        <v>-5.39</v>
      </c>
      <c r="G24" s="88">
        <v>45130</v>
      </c>
      <c r="J24" s="89">
        <v>0</v>
      </c>
      <c r="M24" s="90">
        <f>+J45</f>
        <v>2061236.9020951241</v>
      </c>
      <c r="Q24" s="83" t="s">
        <v>77</v>
      </c>
      <c r="R24" s="111"/>
      <c r="S24" s="111"/>
      <c r="T24" s="111"/>
      <c r="U24" s="111"/>
      <c r="V24" s="111"/>
      <c r="W24" s="111"/>
      <c r="X24" s="111"/>
      <c r="Y24" s="111" t="s">
        <v>207</v>
      </c>
      <c r="Z24" s="111" t="s">
        <v>208</v>
      </c>
      <c r="AA24" s="111"/>
      <c r="AB24" s="111"/>
      <c r="AC24" s="111"/>
      <c r="AD24" s="111"/>
      <c r="AE24" s="111"/>
      <c r="AF24" s="111"/>
      <c r="AG24" s="111"/>
      <c r="AH24" s="111"/>
      <c r="AI24" s="112"/>
      <c r="AJ24" s="111"/>
      <c r="AK24" s="111"/>
      <c r="AL24" s="111"/>
      <c r="AM24" s="111" t="s">
        <v>208</v>
      </c>
      <c r="AN24" s="111"/>
      <c r="AO24" s="111"/>
      <c r="AP24" s="111"/>
      <c r="AQ24" s="111"/>
      <c r="AR24" s="111"/>
      <c r="AS24" s="111"/>
      <c r="AT24" s="111"/>
      <c r="AU24" s="111"/>
      <c r="AV24" s="111"/>
    </row>
    <row r="25" spans="1:49" ht="16.5" thickBot="1" x14ac:dyDescent="0.3">
      <c r="A25" s="92" t="s">
        <v>65</v>
      </c>
      <c r="B25" s="108"/>
      <c r="E25" s="84">
        <f>+A48</f>
        <v>-194267.5</v>
      </c>
      <c r="F25" s="87">
        <f>+A49</f>
        <v>-0.19</v>
      </c>
      <c r="G25" s="88">
        <v>45131</v>
      </c>
      <c r="J25" s="94">
        <v>0</v>
      </c>
      <c r="M25" s="90">
        <f>+J47</f>
        <v>221379.895455069</v>
      </c>
      <c r="Q25" s="119" t="s">
        <v>86</v>
      </c>
      <c r="R25" s="103">
        <f>R22*R23</f>
        <v>0</v>
      </c>
      <c r="S25" s="103">
        <f t="shared" ref="S25:AL25" si="2">S22*S23</f>
        <v>0</v>
      </c>
      <c r="T25" s="103">
        <f t="shared" si="2"/>
        <v>0</v>
      </c>
      <c r="U25" s="103">
        <f t="shared" si="2"/>
        <v>0</v>
      </c>
      <c r="V25" s="103">
        <f t="shared" si="2"/>
        <v>0</v>
      </c>
      <c r="W25" s="103">
        <f t="shared" si="2"/>
        <v>0</v>
      </c>
      <c r="X25" s="103">
        <f t="shared" ref="X25" si="3">X22*X23</f>
        <v>0</v>
      </c>
      <c r="Y25" s="103">
        <f t="shared" si="2"/>
        <v>138879000</v>
      </c>
      <c r="Z25" s="103">
        <f t="shared" si="2"/>
        <v>93362000</v>
      </c>
      <c r="AA25" s="103">
        <f t="shared" si="2"/>
        <v>0</v>
      </c>
      <c r="AB25" s="103">
        <f t="shared" si="2"/>
        <v>0</v>
      </c>
      <c r="AC25" s="103">
        <f t="shared" si="2"/>
        <v>0</v>
      </c>
      <c r="AD25" s="103">
        <f t="shared" si="2"/>
        <v>0</v>
      </c>
      <c r="AE25" s="103">
        <f t="shared" si="2"/>
        <v>0</v>
      </c>
      <c r="AF25" s="103">
        <f t="shared" si="2"/>
        <v>0</v>
      </c>
      <c r="AG25" s="103">
        <f t="shared" si="2"/>
        <v>0</v>
      </c>
      <c r="AH25" s="103">
        <f t="shared" si="2"/>
        <v>0</v>
      </c>
      <c r="AI25" s="116">
        <f t="shared" si="2"/>
        <v>0</v>
      </c>
      <c r="AJ25" s="103">
        <f t="shared" si="2"/>
        <v>0</v>
      </c>
      <c r="AK25" s="103">
        <f t="shared" si="2"/>
        <v>0</v>
      </c>
      <c r="AL25" s="103">
        <f t="shared" si="2"/>
        <v>0</v>
      </c>
      <c r="AM25" s="103">
        <f t="shared" ref="AM25:AO25" si="4">AM22*AM23</f>
        <v>95439000</v>
      </c>
      <c r="AN25" s="103">
        <f t="shared" si="4"/>
        <v>0</v>
      </c>
      <c r="AO25" s="103">
        <f t="shared" si="4"/>
        <v>0</v>
      </c>
      <c r="AP25" s="103">
        <f>AP22*AP23</f>
        <v>0</v>
      </c>
      <c r="AQ25" s="103">
        <f t="shared" ref="AQ25" si="5">AQ22*AQ23</f>
        <v>0</v>
      </c>
      <c r="AR25" s="103">
        <f>AR22*AR23</f>
        <v>0</v>
      </c>
      <c r="AS25" s="103">
        <f>AS22*AS23</f>
        <v>0</v>
      </c>
      <c r="AT25" s="103">
        <f>AT22*AT23</f>
        <v>0</v>
      </c>
      <c r="AU25" s="103">
        <f t="shared" ref="AU25:AV25" si="6">AU22*AU23</f>
        <v>0</v>
      </c>
      <c r="AV25" s="103">
        <f t="shared" si="6"/>
        <v>0</v>
      </c>
      <c r="AW25" s="97">
        <f t="shared" ref="AW25" si="7">SUM(R25:AV25)</f>
        <v>327680000</v>
      </c>
    </row>
    <row r="26" spans="1:49" x14ac:dyDescent="0.25">
      <c r="A26" s="101" t="s">
        <v>65</v>
      </c>
      <c r="B26" s="86">
        <v>44939</v>
      </c>
      <c r="E26" s="84">
        <f>+A50</f>
        <v>-2073779.12</v>
      </c>
      <c r="F26" s="87">
        <f>+A51</f>
        <v>-4.1500000000000004</v>
      </c>
      <c r="G26" s="88">
        <v>45132</v>
      </c>
      <c r="J26" s="89">
        <v>0</v>
      </c>
      <c r="M26" s="90">
        <f>+J45</f>
        <v>2061236.9020951241</v>
      </c>
      <c r="Q26" s="83" t="s">
        <v>89</v>
      </c>
      <c r="R26" s="109">
        <v>715000</v>
      </c>
      <c r="S26" s="96">
        <v>0</v>
      </c>
      <c r="T26" s="96">
        <v>0</v>
      </c>
      <c r="U26" s="96">
        <v>0</v>
      </c>
      <c r="V26" s="109">
        <v>0</v>
      </c>
      <c r="W26" s="96">
        <v>0</v>
      </c>
      <c r="X26" s="109">
        <v>0</v>
      </c>
      <c r="Y26" s="109">
        <v>0</v>
      </c>
      <c r="Z26" s="109">
        <v>600000</v>
      </c>
      <c r="AA26" s="109">
        <v>650000</v>
      </c>
      <c r="AB26" s="109">
        <v>650000</v>
      </c>
      <c r="AC26" s="109">
        <v>0</v>
      </c>
      <c r="AD26" s="109">
        <v>0</v>
      </c>
      <c r="AE26" s="109">
        <v>0</v>
      </c>
      <c r="AF26" s="109">
        <v>950000</v>
      </c>
      <c r="AG26" s="109">
        <v>0</v>
      </c>
      <c r="AH26" s="109">
        <v>205000</v>
      </c>
      <c r="AI26" s="117">
        <v>1000000</v>
      </c>
      <c r="AJ26" s="109">
        <v>0</v>
      </c>
      <c r="AK26" s="109">
        <v>0</v>
      </c>
      <c r="AL26" s="109">
        <v>0</v>
      </c>
      <c r="AM26" s="109">
        <v>650000</v>
      </c>
      <c r="AN26" s="109">
        <v>0</v>
      </c>
      <c r="AO26" s="109">
        <v>0</v>
      </c>
      <c r="AP26" s="109">
        <v>0</v>
      </c>
      <c r="AQ26" s="109">
        <v>0</v>
      </c>
      <c r="AR26" s="109">
        <v>0</v>
      </c>
      <c r="AS26" s="109">
        <v>1105000</v>
      </c>
      <c r="AT26" s="109">
        <v>650000</v>
      </c>
      <c r="AU26" s="109">
        <v>1555000</v>
      </c>
      <c r="AV26" s="109">
        <v>0</v>
      </c>
      <c r="AW26" s="97">
        <f>SUM(R26:AV26)</f>
        <v>8730000</v>
      </c>
    </row>
    <row r="27" spans="1:49" x14ac:dyDescent="0.25">
      <c r="A27" s="92" t="s">
        <v>65</v>
      </c>
      <c r="B27" s="108"/>
      <c r="E27" s="84">
        <f>+A52</f>
        <v>0</v>
      </c>
      <c r="F27" s="87">
        <f>+A53</f>
        <v>0</v>
      </c>
      <c r="G27" s="88">
        <v>45133</v>
      </c>
      <c r="J27" s="94">
        <v>0</v>
      </c>
      <c r="M27" s="90">
        <f>+J47</f>
        <v>221379.895455069</v>
      </c>
      <c r="Q27" s="83" t="s">
        <v>90</v>
      </c>
      <c r="R27" s="111">
        <v>897.68</v>
      </c>
      <c r="S27" s="111">
        <v>901.13</v>
      </c>
      <c r="T27" s="115">
        <v>908.23</v>
      </c>
      <c r="U27" s="111">
        <v>919.49</v>
      </c>
      <c r="V27" s="111">
        <v>919.49</v>
      </c>
      <c r="W27" s="111">
        <v>919.49</v>
      </c>
      <c r="X27" s="111">
        <v>923.74</v>
      </c>
      <c r="Y27" s="111">
        <v>925.86</v>
      </c>
      <c r="Z27" s="111">
        <v>933.62</v>
      </c>
      <c r="AA27" s="111">
        <v>934.84</v>
      </c>
      <c r="AB27" s="111">
        <v>931.26</v>
      </c>
      <c r="AC27" s="111">
        <v>931.26</v>
      </c>
      <c r="AD27" s="111">
        <v>931.26</v>
      </c>
      <c r="AE27" s="111">
        <v>926.07</v>
      </c>
      <c r="AF27" s="111">
        <v>928.37</v>
      </c>
      <c r="AG27" s="111">
        <v>937.29</v>
      </c>
      <c r="AH27" s="111">
        <v>941.3</v>
      </c>
      <c r="AI27" s="112">
        <v>945.01</v>
      </c>
      <c r="AJ27" s="111">
        <v>945.01</v>
      </c>
      <c r="AK27" s="111">
        <v>945.01</v>
      </c>
      <c r="AL27" s="111">
        <v>946.99</v>
      </c>
      <c r="AM27" s="111">
        <v>954.39</v>
      </c>
      <c r="AN27" s="111">
        <v>949</v>
      </c>
      <c r="AO27" s="111">
        <v>948.2</v>
      </c>
      <c r="AP27" s="111">
        <v>945.29</v>
      </c>
      <c r="AQ27" s="111">
        <v>945.29</v>
      </c>
      <c r="AR27" s="111">
        <v>945.29</v>
      </c>
      <c r="AS27" s="111">
        <v>949.34</v>
      </c>
      <c r="AT27" s="111">
        <v>945.88</v>
      </c>
      <c r="AU27" s="111">
        <v>950.89</v>
      </c>
      <c r="AV27" s="111">
        <v>950.89</v>
      </c>
    </row>
    <row r="28" spans="1:49" x14ac:dyDescent="0.25">
      <c r="A28" s="101">
        <v>-8504797.6400000006</v>
      </c>
      <c r="B28" s="86">
        <v>44940</v>
      </c>
      <c r="E28" s="84">
        <f>+A54</f>
        <v>0</v>
      </c>
      <c r="F28" s="87">
        <f>+A55</f>
        <v>0</v>
      </c>
      <c r="G28" s="88">
        <v>45134</v>
      </c>
      <c r="J28" s="89">
        <v>0</v>
      </c>
      <c r="M28" s="90">
        <f>+J49</f>
        <v>2061236.9020951241</v>
      </c>
      <c r="Q28" s="83" t="s">
        <v>77</v>
      </c>
      <c r="R28" s="111" t="s">
        <v>200</v>
      </c>
      <c r="S28" s="111"/>
      <c r="T28" s="111"/>
      <c r="U28" s="111"/>
      <c r="V28" s="111"/>
      <c r="W28" s="111"/>
      <c r="X28" s="111"/>
      <c r="Y28" s="111"/>
      <c r="Z28" s="111" t="s">
        <v>201</v>
      </c>
      <c r="AA28" s="111" t="s">
        <v>187</v>
      </c>
      <c r="AB28" s="111" t="s">
        <v>187</v>
      </c>
      <c r="AC28" s="111"/>
      <c r="AD28" s="111"/>
      <c r="AE28" s="111"/>
      <c r="AF28" s="111" t="s">
        <v>202</v>
      </c>
      <c r="AG28" s="111"/>
      <c r="AH28" s="111" t="s">
        <v>203</v>
      </c>
      <c r="AI28" s="112" t="s">
        <v>204</v>
      </c>
      <c r="AJ28" s="111"/>
      <c r="AK28" s="111"/>
      <c r="AL28" s="111"/>
      <c r="AM28" s="111" t="s">
        <v>187</v>
      </c>
      <c r="AN28" s="111"/>
      <c r="AO28" s="111"/>
      <c r="AP28" s="111"/>
      <c r="AQ28" s="111"/>
      <c r="AR28" s="111"/>
      <c r="AS28" s="111" t="s">
        <v>205</v>
      </c>
      <c r="AT28" s="111" t="s">
        <v>187</v>
      </c>
      <c r="AU28" s="111" t="s">
        <v>206</v>
      </c>
      <c r="AV28" s="111"/>
    </row>
    <row r="29" spans="1:49" ht="16.5" thickBot="1" x14ac:dyDescent="0.3">
      <c r="A29" s="92">
        <v>-4.17</v>
      </c>
      <c r="B29" s="108"/>
      <c r="E29" s="84">
        <f>+A56</f>
        <v>6825707.9100000001</v>
      </c>
      <c r="F29" s="87">
        <f>+A57</f>
        <v>4.01</v>
      </c>
      <c r="G29" s="88">
        <v>45135</v>
      </c>
      <c r="J29" s="94">
        <v>0</v>
      </c>
      <c r="M29" s="90">
        <f>+J51</f>
        <v>221379.895455069</v>
      </c>
      <c r="Q29" s="119" t="s">
        <v>91</v>
      </c>
      <c r="R29" s="103">
        <f>R26*R27</f>
        <v>641841200</v>
      </c>
      <c r="S29" s="103">
        <f t="shared" ref="S29:AM29" si="8">S26*S27</f>
        <v>0</v>
      </c>
      <c r="T29" s="103">
        <f t="shared" si="8"/>
        <v>0</v>
      </c>
      <c r="U29" s="103">
        <f t="shared" si="8"/>
        <v>0</v>
      </c>
      <c r="V29" s="103">
        <f t="shared" si="8"/>
        <v>0</v>
      </c>
      <c r="W29" s="103">
        <f t="shared" si="8"/>
        <v>0</v>
      </c>
      <c r="X29" s="103">
        <f t="shared" ref="X29" si="9">X26*X27</f>
        <v>0</v>
      </c>
      <c r="Y29" s="103">
        <f t="shared" si="8"/>
        <v>0</v>
      </c>
      <c r="Z29" s="103">
        <f t="shared" si="8"/>
        <v>560172000</v>
      </c>
      <c r="AA29" s="103">
        <f t="shared" si="8"/>
        <v>607646000</v>
      </c>
      <c r="AB29" s="103">
        <f t="shared" si="8"/>
        <v>605319000</v>
      </c>
      <c r="AC29" s="103">
        <f t="shared" si="8"/>
        <v>0</v>
      </c>
      <c r="AD29" s="103">
        <f t="shared" si="8"/>
        <v>0</v>
      </c>
      <c r="AE29" s="103">
        <f t="shared" si="8"/>
        <v>0</v>
      </c>
      <c r="AF29" s="103">
        <f t="shared" si="8"/>
        <v>881951500</v>
      </c>
      <c r="AG29" s="103">
        <f t="shared" si="8"/>
        <v>0</v>
      </c>
      <c r="AH29" s="103">
        <f t="shared" si="8"/>
        <v>192966500</v>
      </c>
      <c r="AI29" s="116">
        <f>AI26*AI27</f>
        <v>945010000</v>
      </c>
      <c r="AJ29" s="103">
        <f t="shared" si="8"/>
        <v>0</v>
      </c>
      <c r="AK29" s="103">
        <f t="shared" si="8"/>
        <v>0</v>
      </c>
      <c r="AL29" s="103">
        <f t="shared" si="8"/>
        <v>0</v>
      </c>
      <c r="AM29" s="103">
        <f t="shared" si="8"/>
        <v>620353500</v>
      </c>
      <c r="AN29" s="103">
        <f>AN26*AN27</f>
        <v>0</v>
      </c>
      <c r="AO29" s="103">
        <f>AO26*AO27</f>
        <v>0</v>
      </c>
      <c r="AP29" s="103">
        <f t="shared" ref="AP29" si="10">AP26*AP27</f>
        <v>0</v>
      </c>
      <c r="AQ29" s="103">
        <f t="shared" ref="AQ29:AV29" si="11">AQ26*AQ27</f>
        <v>0</v>
      </c>
      <c r="AR29" s="103">
        <f t="shared" si="11"/>
        <v>0</v>
      </c>
      <c r="AS29" s="103">
        <f t="shared" ref="AS29:AT29" si="12">AS26*AS27</f>
        <v>1049020700</v>
      </c>
      <c r="AT29" s="103">
        <f t="shared" si="12"/>
        <v>614822000</v>
      </c>
      <c r="AU29" s="103">
        <f t="shared" si="11"/>
        <v>1478633950</v>
      </c>
      <c r="AV29" s="103">
        <f t="shared" si="11"/>
        <v>0</v>
      </c>
      <c r="AW29" s="97">
        <f t="shared" ref="AW29" si="13">SUM(R29:AV29)</f>
        <v>8197736350</v>
      </c>
    </row>
    <row r="30" spans="1:49" x14ac:dyDescent="0.25">
      <c r="A30" s="101">
        <v>375327.83</v>
      </c>
      <c r="B30" s="86">
        <v>44941</v>
      </c>
      <c r="E30" s="84">
        <f>+A58</f>
        <v>-2259429.48</v>
      </c>
      <c r="F30" s="87">
        <f>+A59</f>
        <v>-3.46</v>
      </c>
      <c r="G30" s="88">
        <v>45136</v>
      </c>
      <c r="J30" s="89">
        <v>0</v>
      </c>
      <c r="M30" s="90">
        <f>+J49</f>
        <v>2061236.9020951241</v>
      </c>
      <c r="Q30" s="83" t="s">
        <v>93</v>
      </c>
      <c r="R30" s="109">
        <v>0</v>
      </c>
      <c r="S30" s="109">
        <v>500000</v>
      </c>
      <c r="T30" s="109">
        <v>0</v>
      </c>
      <c r="U30" s="109">
        <v>0</v>
      </c>
      <c r="V30" s="109">
        <v>0</v>
      </c>
      <c r="W30" s="109">
        <v>0</v>
      </c>
      <c r="X30" s="109">
        <v>0</v>
      </c>
      <c r="Y30" s="109">
        <v>450000</v>
      </c>
      <c r="Z30" s="109">
        <v>0</v>
      </c>
      <c r="AA30" s="109">
        <v>300000</v>
      </c>
      <c r="AB30" s="109">
        <v>0</v>
      </c>
      <c r="AC30" s="109">
        <v>0</v>
      </c>
      <c r="AD30" s="109">
        <v>0</v>
      </c>
      <c r="AE30" s="109">
        <v>0</v>
      </c>
      <c r="AF30" s="109">
        <v>350000</v>
      </c>
      <c r="AG30" s="109">
        <v>0</v>
      </c>
      <c r="AH30" s="109">
        <v>0</v>
      </c>
      <c r="AI30" s="117">
        <v>0</v>
      </c>
      <c r="AJ30" s="109">
        <v>0</v>
      </c>
      <c r="AK30" s="109">
        <v>0</v>
      </c>
      <c r="AL30" s="120">
        <v>200000</v>
      </c>
      <c r="AM30" s="109">
        <v>0</v>
      </c>
      <c r="AN30" s="109">
        <v>300000</v>
      </c>
      <c r="AO30" s="109">
        <v>0</v>
      </c>
      <c r="AP30" s="109">
        <v>0</v>
      </c>
      <c r="AQ30" s="109">
        <v>0</v>
      </c>
      <c r="AR30" s="109">
        <v>0</v>
      </c>
      <c r="AS30" s="109">
        <v>0</v>
      </c>
      <c r="AT30" s="109">
        <v>400000</v>
      </c>
      <c r="AU30" s="109">
        <v>400000</v>
      </c>
      <c r="AV30" s="109">
        <v>0</v>
      </c>
      <c r="AW30" s="97">
        <f>SUM(R30:AV30)</f>
        <v>2900000</v>
      </c>
    </row>
    <row r="31" spans="1:49" x14ac:dyDescent="0.25">
      <c r="A31" s="92">
        <v>0.22</v>
      </c>
      <c r="B31" s="108"/>
      <c r="E31" s="84">
        <f>+A60</f>
        <v>6277810.4299999997</v>
      </c>
      <c r="F31" s="87">
        <f>+A61</f>
        <v>3.2</v>
      </c>
      <c r="G31" s="88">
        <v>45137</v>
      </c>
      <c r="J31" s="118">
        <v>0</v>
      </c>
      <c r="M31" s="90">
        <f>+J51</f>
        <v>221379.895455069</v>
      </c>
      <c r="Q31" s="83" t="s">
        <v>94</v>
      </c>
      <c r="R31" s="111"/>
      <c r="S31" s="111">
        <v>897.68</v>
      </c>
      <c r="T31" s="111"/>
      <c r="U31" s="111"/>
      <c r="V31" s="111"/>
      <c r="W31" s="111"/>
      <c r="X31" s="111"/>
      <c r="Y31" s="111">
        <v>923.74</v>
      </c>
      <c r="Z31" s="111"/>
      <c r="AA31" s="111">
        <v>933.62</v>
      </c>
      <c r="AB31" s="111"/>
      <c r="AC31" s="111"/>
      <c r="AD31" s="111"/>
      <c r="AE31" s="111"/>
      <c r="AF31" s="111">
        <v>931.26</v>
      </c>
      <c r="AG31" s="111"/>
      <c r="AH31" s="111"/>
      <c r="AI31" s="112"/>
      <c r="AJ31" s="111"/>
      <c r="AK31" s="111"/>
      <c r="AL31" s="111">
        <v>945.01</v>
      </c>
      <c r="AM31" s="111"/>
      <c r="AN31" s="111">
        <v>954.39</v>
      </c>
      <c r="AO31" s="111"/>
      <c r="AP31" s="111"/>
      <c r="AQ31" s="111"/>
      <c r="AR31" s="111"/>
      <c r="AS31" s="111"/>
      <c r="AT31" s="111">
        <v>949.34</v>
      </c>
      <c r="AU31" s="111">
        <v>945.88</v>
      </c>
      <c r="AV31" s="111"/>
      <c r="AW31" s="97">
        <f>SUM(R31:AV31)</f>
        <v>7480.920000000001</v>
      </c>
    </row>
    <row r="32" spans="1:49" x14ac:dyDescent="0.25">
      <c r="A32" s="101">
        <v>8731101.4299999997</v>
      </c>
      <c r="B32" s="86">
        <v>44942</v>
      </c>
      <c r="E32" s="84">
        <f>+A62</f>
        <v>0</v>
      </c>
      <c r="F32" s="87">
        <f>+A63</f>
        <v>0</v>
      </c>
      <c r="G32" s="88">
        <v>45138</v>
      </c>
      <c r="J32" s="89">
        <v>0</v>
      </c>
      <c r="M32" s="90">
        <f>+J53</f>
        <v>1809882.5201380395</v>
      </c>
      <c r="Q32" s="83" t="s">
        <v>77</v>
      </c>
      <c r="R32" s="111"/>
      <c r="S32" s="111" t="s">
        <v>214</v>
      </c>
      <c r="T32" s="111"/>
      <c r="U32" s="111"/>
      <c r="V32" s="111"/>
      <c r="W32" s="111"/>
      <c r="X32" s="111"/>
      <c r="Y32" s="111" t="s">
        <v>199</v>
      </c>
      <c r="Z32" s="111"/>
      <c r="AA32" s="111" t="s">
        <v>215</v>
      </c>
      <c r="AB32" s="111"/>
      <c r="AC32" s="111"/>
      <c r="AD32" s="111"/>
      <c r="AE32" s="111"/>
      <c r="AF32" s="111" t="s">
        <v>216</v>
      </c>
      <c r="AG32" s="111"/>
      <c r="AH32" s="111"/>
      <c r="AI32" s="112"/>
      <c r="AJ32" s="111"/>
      <c r="AK32" s="111"/>
      <c r="AL32" s="111" t="s">
        <v>217</v>
      </c>
      <c r="AM32" s="111"/>
      <c r="AN32" s="111" t="s">
        <v>215</v>
      </c>
      <c r="AO32" s="111"/>
      <c r="AP32" s="111"/>
      <c r="AQ32" s="111"/>
      <c r="AR32" s="111"/>
      <c r="AS32" s="111"/>
      <c r="AT32" s="111" t="s">
        <v>218</v>
      </c>
      <c r="AU32" s="111" t="s">
        <v>218</v>
      </c>
      <c r="AV32" s="111"/>
    </row>
    <row r="33" spans="1:49" ht="16.5" thickBot="1" x14ac:dyDescent="0.3">
      <c r="A33" s="92">
        <v>5.86</v>
      </c>
      <c r="B33" s="108"/>
      <c r="E33" s="84">
        <f>SUM(E2:E32)</f>
        <v>26524998.279999997</v>
      </c>
      <c r="F33" s="87"/>
      <c r="G33" s="88"/>
      <c r="J33" s="94">
        <v>0</v>
      </c>
      <c r="M33" s="90">
        <f>+J55</f>
        <v>1470104.333046</v>
      </c>
      <c r="Q33" s="119" t="s">
        <v>95</v>
      </c>
      <c r="R33" s="103">
        <f>R30*R31</f>
        <v>0</v>
      </c>
      <c r="S33" s="103">
        <f t="shared" ref="S33:Y33" si="14">S30*S31</f>
        <v>448840000</v>
      </c>
      <c r="T33" s="103">
        <f t="shared" si="14"/>
        <v>0</v>
      </c>
      <c r="U33" s="103">
        <f t="shared" si="14"/>
        <v>0</v>
      </c>
      <c r="V33" s="103">
        <f t="shared" si="14"/>
        <v>0</v>
      </c>
      <c r="W33" s="103">
        <f t="shared" si="14"/>
        <v>0</v>
      </c>
      <c r="X33" s="103">
        <f t="shared" si="14"/>
        <v>0</v>
      </c>
      <c r="Y33" s="103">
        <f t="shared" si="14"/>
        <v>415683000</v>
      </c>
      <c r="Z33" s="103">
        <f t="shared" ref="Z33:AF33" si="15">Z30*Z31</f>
        <v>0</v>
      </c>
      <c r="AA33" s="103">
        <f t="shared" si="15"/>
        <v>280086000</v>
      </c>
      <c r="AB33" s="103">
        <f t="shared" si="15"/>
        <v>0</v>
      </c>
      <c r="AC33" s="103">
        <f t="shared" si="15"/>
        <v>0</v>
      </c>
      <c r="AD33" s="103">
        <f t="shared" si="15"/>
        <v>0</v>
      </c>
      <c r="AE33" s="103">
        <f t="shared" si="15"/>
        <v>0</v>
      </c>
      <c r="AF33" s="103">
        <f t="shared" si="15"/>
        <v>325941000</v>
      </c>
      <c r="AG33" s="103">
        <f t="shared" ref="AG33" si="16">AG30*AG31</f>
        <v>0</v>
      </c>
      <c r="AH33" s="103">
        <f t="shared" ref="AH33:AO33" si="17">AH30*AH31</f>
        <v>0</v>
      </c>
      <c r="AI33" s="116">
        <f t="shared" si="17"/>
        <v>0</v>
      </c>
      <c r="AJ33" s="103">
        <f t="shared" si="17"/>
        <v>0</v>
      </c>
      <c r="AK33" s="103">
        <f t="shared" si="17"/>
        <v>0</v>
      </c>
      <c r="AL33" s="103">
        <f t="shared" si="17"/>
        <v>189002000</v>
      </c>
      <c r="AM33" s="103">
        <f t="shared" si="17"/>
        <v>0</v>
      </c>
      <c r="AN33" s="103">
        <f t="shared" si="17"/>
        <v>286317000</v>
      </c>
      <c r="AO33" s="103">
        <f t="shared" si="17"/>
        <v>0</v>
      </c>
      <c r="AP33" s="103">
        <f t="shared" ref="AP33:AU33" si="18">AP30*AP31</f>
        <v>0</v>
      </c>
      <c r="AQ33" s="103">
        <f t="shared" si="18"/>
        <v>0</v>
      </c>
      <c r="AR33" s="103">
        <f t="shared" si="18"/>
        <v>0</v>
      </c>
      <c r="AS33" s="103">
        <f t="shared" si="18"/>
        <v>0</v>
      </c>
      <c r="AT33" s="103">
        <f t="shared" si="18"/>
        <v>379736000</v>
      </c>
      <c r="AU33" s="103">
        <f t="shared" si="18"/>
        <v>378352000</v>
      </c>
      <c r="AV33" s="103"/>
    </row>
    <row r="34" spans="1:49" ht="16.5" thickBot="1" x14ac:dyDescent="0.3">
      <c r="A34" s="101">
        <v>839652.98</v>
      </c>
      <c r="B34" s="86">
        <v>44943</v>
      </c>
      <c r="G34" s="88"/>
      <c r="J34" s="89">
        <v>3367093.5378519734</v>
      </c>
      <c r="Q34" s="121" t="s">
        <v>104</v>
      </c>
      <c r="R34" s="122"/>
      <c r="S34" s="122"/>
      <c r="T34" s="122"/>
      <c r="U34" s="122"/>
      <c r="V34" s="122"/>
      <c r="W34" s="122"/>
      <c r="X34" s="122"/>
      <c r="Y34" s="122"/>
      <c r="Z34" s="122"/>
      <c r="AA34" s="122"/>
      <c r="AB34" s="122"/>
      <c r="AC34" s="122"/>
      <c r="AD34" s="122"/>
      <c r="AE34" s="122"/>
      <c r="AF34" s="122"/>
      <c r="AG34" s="122"/>
      <c r="AH34" s="122"/>
      <c r="AI34" s="123"/>
      <c r="AJ34" s="122"/>
      <c r="AK34" s="122"/>
      <c r="AL34" s="122"/>
      <c r="AM34" s="122"/>
      <c r="AN34" s="122"/>
      <c r="AO34" s="122"/>
      <c r="AP34" s="122"/>
      <c r="AQ34" s="122"/>
      <c r="AR34" s="122"/>
      <c r="AS34" s="122"/>
      <c r="AT34" s="122"/>
      <c r="AU34" s="122"/>
      <c r="AV34" s="122"/>
    </row>
    <row r="35" spans="1:49" x14ac:dyDescent="0.25">
      <c r="A35" s="92">
        <v>1.5</v>
      </c>
      <c r="B35" s="108"/>
      <c r="G35" s="88"/>
      <c r="J35" s="89">
        <v>0</v>
      </c>
      <c r="Q35" s="83" t="s">
        <v>138</v>
      </c>
      <c r="R35" s="109">
        <v>400000</v>
      </c>
      <c r="S35" s="109">
        <v>0</v>
      </c>
      <c r="T35" s="109">
        <v>200000</v>
      </c>
      <c r="U35" s="109">
        <v>0</v>
      </c>
      <c r="V35" s="109">
        <v>0</v>
      </c>
      <c r="W35" s="109">
        <v>0</v>
      </c>
      <c r="X35" s="109">
        <v>250000</v>
      </c>
      <c r="Y35" s="109">
        <v>0</v>
      </c>
      <c r="Z35" s="109">
        <v>300000</v>
      </c>
      <c r="AA35" s="109">
        <v>200000</v>
      </c>
      <c r="AB35" s="109">
        <v>0</v>
      </c>
      <c r="AC35" s="109">
        <v>0</v>
      </c>
      <c r="AD35" s="109">
        <v>0</v>
      </c>
      <c r="AE35" s="109">
        <v>300000</v>
      </c>
      <c r="AF35" s="109">
        <v>0</v>
      </c>
      <c r="AG35" s="109">
        <v>0</v>
      </c>
      <c r="AH35" s="109">
        <v>0</v>
      </c>
      <c r="AI35" s="117">
        <v>200000</v>
      </c>
      <c r="AJ35" s="109">
        <v>0</v>
      </c>
      <c r="AK35" s="109">
        <v>0</v>
      </c>
      <c r="AL35" s="109">
        <v>0</v>
      </c>
      <c r="AM35" s="109">
        <v>200000</v>
      </c>
      <c r="AN35" s="109">
        <v>0</v>
      </c>
      <c r="AO35" s="109">
        <v>300000</v>
      </c>
      <c r="AP35" s="109">
        <v>0</v>
      </c>
      <c r="AQ35" s="109">
        <v>0</v>
      </c>
      <c r="AR35" s="109">
        <v>0</v>
      </c>
      <c r="AS35" s="109">
        <v>300000</v>
      </c>
      <c r="AT35" s="109">
        <v>0</v>
      </c>
      <c r="AU35" s="109">
        <v>400000</v>
      </c>
      <c r="AV35" s="109">
        <v>0</v>
      </c>
      <c r="AW35" s="97">
        <f>SUM(R35:AV35)</f>
        <v>3050000</v>
      </c>
    </row>
    <row r="36" spans="1:49" x14ac:dyDescent="0.25">
      <c r="A36" s="101">
        <v>-1264909.83</v>
      </c>
      <c r="B36" s="124">
        <v>44944</v>
      </c>
      <c r="G36" s="88"/>
      <c r="J36" s="94">
        <v>0</v>
      </c>
      <c r="Q36" s="83" t="s">
        <v>139</v>
      </c>
      <c r="R36" s="111">
        <v>897.68</v>
      </c>
      <c r="S36" s="111">
        <v>901.13</v>
      </c>
      <c r="T36" s="115">
        <v>908.23</v>
      </c>
      <c r="U36" s="111">
        <v>919.49</v>
      </c>
      <c r="V36" s="111">
        <v>919.49</v>
      </c>
      <c r="W36" s="111">
        <v>919.49</v>
      </c>
      <c r="X36" s="111">
        <v>923.74</v>
      </c>
      <c r="Y36" s="111">
        <v>925.86</v>
      </c>
      <c r="Z36" s="111">
        <v>933.62</v>
      </c>
      <c r="AA36" s="111">
        <v>934.84</v>
      </c>
      <c r="AB36" s="111">
        <v>931.26</v>
      </c>
      <c r="AC36" s="111">
        <v>931.26</v>
      </c>
      <c r="AD36" s="111">
        <v>931.26</v>
      </c>
      <c r="AE36" s="111">
        <v>926.07</v>
      </c>
      <c r="AF36" s="111">
        <v>928.37</v>
      </c>
      <c r="AG36" s="111">
        <v>937.29</v>
      </c>
      <c r="AH36" s="111">
        <v>941.3</v>
      </c>
      <c r="AI36" s="112">
        <v>945.01</v>
      </c>
      <c r="AJ36" s="111">
        <v>945.01</v>
      </c>
      <c r="AK36" s="111">
        <v>945.01</v>
      </c>
      <c r="AL36" s="111">
        <v>946.99</v>
      </c>
      <c r="AM36" s="111">
        <v>954.39</v>
      </c>
      <c r="AN36" s="111">
        <v>949</v>
      </c>
      <c r="AO36" s="111">
        <v>948.2</v>
      </c>
      <c r="AP36" s="111">
        <v>945.29</v>
      </c>
      <c r="AQ36" s="111">
        <v>945.29</v>
      </c>
      <c r="AR36" s="111">
        <v>945.29</v>
      </c>
      <c r="AS36" s="111">
        <v>949.34</v>
      </c>
      <c r="AT36" s="111">
        <v>945.88</v>
      </c>
      <c r="AU36" s="111">
        <v>950.89</v>
      </c>
      <c r="AV36" s="111">
        <v>950.89</v>
      </c>
    </row>
    <row r="37" spans="1:49" x14ac:dyDescent="0.25">
      <c r="A37" s="92">
        <v>-0.7</v>
      </c>
      <c r="B37" s="108"/>
      <c r="G37" s="88"/>
      <c r="J37" s="89">
        <v>0</v>
      </c>
      <c r="Q37" s="83" t="s">
        <v>77</v>
      </c>
      <c r="R37" s="111" t="s">
        <v>218</v>
      </c>
      <c r="S37" s="111"/>
      <c r="T37" s="111" t="s">
        <v>217</v>
      </c>
      <c r="U37" s="111"/>
      <c r="V37" s="111"/>
      <c r="W37" s="111"/>
      <c r="X37" s="111" t="s">
        <v>219</v>
      </c>
      <c r="Y37" s="111"/>
      <c r="Z37" s="111" t="s">
        <v>215</v>
      </c>
      <c r="AA37" s="111" t="s">
        <v>217</v>
      </c>
      <c r="AB37" s="111"/>
      <c r="AC37" s="111"/>
      <c r="AD37" s="111"/>
      <c r="AE37" s="111" t="s">
        <v>215</v>
      </c>
      <c r="AF37" s="111"/>
      <c r="AG37" s="111"/>
      <c r="AH37" s="111"/>
      <c r="AI37" s="112" t="s">
        <v>217</v>
      </c>
      <c r="AJ37" s="111"/>
      <c r="AK37" s="111"/>
      <c r="AL37" s="111"/>
      <c r="AM37" s="111" t="s">
        <v>217</v>
      </c>
      <c r="AN37" s="111"/>
      <c r="AO37" s="111" t="s">
        <v>215</v>
      </c>
      <c r="AP37" s="111"/>
      <c r="AQ37" s="111"/>
      <c r="AR37" s="111"/>
      <c r="AS37" s="111" t="s">
        <v>215</v>
      </c>
      <c r="AT37" s="111"/>
      <c r="AU37" s="111" t="s">
        <v>218</v>
      </c>
      <c r="AV37" s="111"/>
    </row>
    <row r="38" spans="1:49" ht="16.5" thickBot="1" x14ac:dyDescent="0.3">
      <c r="A38" s="101" t="s">
        <v>65</v>
      </c>
      <c r="B38" s="124">
        <v>44945</v>
      </c>
      <c r="G38" s="88"/>
      <c r="J38" s="118">
        <v>0</v>
      </c>
      <c r="Q38" s="119" t="s">
        <v>138</v>
      </c>
      <c r="R38" s="103">
        <f>R35*R36</f>
        <v>359072000</v>
      </c>
      <c r="S38" s="103">
        <f t="shared" ref="S38:AO38" si="19">S35*S36</f>
        <v>0</v>
      </c>
      <c r="T38" s="103">
        <f t="shared" si="19"/>
        <v>181646000</v>
      </c>
      <c r="U38" s="103">
        <f t="shared" si="19"/>
        <v>0</v>
      </c>
      <c r="V38" s="103">
        <f t="shared" si="19"/>
        <v>0</v>
      </c>
      <c r="W38" s="103">
        <f t="shared" si="19"/>
        <v>0</v>
      </c>
      <c r="X38" s="103">
        <f t="shared" si="19"/>
        <v>230935000</v>
      </c>
      <c r="Y38" s="103">
        <f t="shared" si="19"/>
        <v>0</v>
      </c>
      <c r="Z38" s="103">
        <f t="shared" si="19"/>
        <v>280086000</v>
      </c>
      <c r="AA38" s="103">
        <f t="shared" si="19"/>
        <v>186968000</v>
      </c>
      <c r="AB38" s="103">
        <f t="shared" si="19"/>
        <v>0</v>
      </c>
      <c r="AC38" s="103">
        <f t="shared" si="19"/>
        <v>0</v>
      </c>
      <c r="AD38" s="103">
        <f t="shared" si="19"/>
        <v>0</v>
      </c>
      <c r="AE38" s="103">
        <f t="shared" si="19"/>
        <v>277821000</v>
      </c>
      <c r="AF38" s="103">
        <f t="shared" si="19"/>
        <v>0</v>
      </c>
      <c r="AG38" s="103">
        <f t="shared" si="19"/>
        <v>0</v>
      </c>
      <c r="AH38" s="103">
        <f t="shared" si="19"/>
        <v>0</v>
      </c>
      <c r="AI38" s="116">
        <f t="shared" si="19"/>
        <v>189002000</v>
      </c>
      <c r="AJ38" s="103">
        <f t="shared" si="19"/>
        <v>0</v>
      </c>
      <c r="AK38" s="103">
        <f t="shared" si="19"/>
        <v>0</v>
      </c>
      <c r="AL38" s="103">
        <f t="shared" si="19"/>
        <v>0</v>
      </c>
      <c r="AM38" s="103">
        <f t="shared" si="19"/>
        <v>190878000</v>
      </c>
      <c r="AN38" s="103">
        <f t="shared" si="19"/>
        <v>0</v>
      </c>
      <c r="AO38" s="103">
        <f t="shared" si="19"/>
        <v>284460000</v>
      </c>
      <c r="AP38" s="103">
        <f>AP35*AP36</f>
        <v>0</v>
      </c>
      <c r="AQ38" s="103">
        <f t="shared" ref="AQ38:AU38" si="20">AQ35*AQ36</f>
        <v>0</v>
      </c>
      <c r="AR38" s="103">
        <f t="shared" si="20"/>
        <v>0</v>
      </c>
      <c r="AS38" s="103">
        <f t="shared" si="20"/>
        <v>284802000</v>
      </c>
      <c r="AT38" s="103">
        <f t="shared" si="20"/>
        <v>0</v>
      </c>
      <c r="AU38" s="103">
        <f t="shared" si="20"/>
        <v>380356000</v>
      </c>
      <c r="AV38" s="103">
        <f t="shared" ref="AV38" si="21">AV35*AV36</f>
        <v>0</v>
      </c>
    </row>
    <row r="39" spans="1:49" x14ac:dyDescent="0.25">
      <c r="A39" s="125" t="s">
        <v>65</v>
      </c>
      <c r="B39" s="108"/>
      <c r="G39" s="88"/>
      <c r="J39" s="89">
        <v>2061236.9020951241</v>
      </c>
      <c r="Q39" s="83" t="s">
        <v>140</v>
      </c>
      <c r="R39" s="109"/>
      <c r="S39" s="109"/>
      <c r="T39" s="111"/>
      <c r="U39" s="109"/>
      <c r="V39" s="109"/>
      <c r="W39" s="109"/>
      <c r="X39" s="109"/>
      <c r="Y39" s="109"/>
      <c r="Z39" s="109"/>
      <c r="AA39" s="109"/>
      <c r="AB39" s="109"/>
      <c r="AC39" s="109"/>
      <c r="AD39" s="109"/>
      <c r="AE39" s="109"/>
      <c r="AF39" s="109"/>
      <c r="AG39" s="109"/>
      <c r="AH39" s="109"/>
      <c r="AI39" s="117"/>
      <c r="AJ39" s="109"/>
      <c r="AK39" s="109"/>
      <c r="AL39" s="109"/>
      <c r="AM39" s="109"/>
      <c r="AN39" s="109"/>
      <c r="AO39" s="109"/>
      <c r="AP39" s="109"/>
      <c r="AQ39" s="109"/>
      <c r="AR39" s="109"/>
      <c r="AS39" s="109"/>
      <c r="AT39" s="109"/>
      <c r="AU39" s="109"/>
      <c r="AV39" s="109"/>
    </row>
    <row r="40" spans="1:49" x14ac:dyDescent="0.25">
      <c r="A40" s="101" t="s">
        <v>65</v>
      </c>
      <c r="B40" s="124">
        <v>44946</v>
      </c>
      <c r="G40" s="88"/>
      <c r="J40" s="118">
        <v>0.77493774623866329</v>
      </c>
      <c r="Q40" s="83" t="s">
        <v>141</v>
      </c>
      <c r="R40" s="111"/>
      <c r="S40" s="111"/>
      <c r="T40" s="115"/>
      <c r="U40" s="111"/>
      <c r="V40" s="111"/>
      <c r="W40" s="111"/>
      <c r="X40" s="111"/>
      <c r="Y40" s="111"/>
      <c r="Z40" s="111"/>
      <c r="AA40" s="111"/>
      <c r="AB40" s="111"/>
      <c r="AC40" s="111"/>
      <c r="AD40" s="111"/>
      <c r="AE40" s="111"/>
      <c r="AF40" s="111"/>
      <c r="AG40" s="111"/>
      <c r="AH40" s="111"/>
      <c r="AI40" s="112"/>
      <c r="AJ40" s="111"/>
      <c r="AK40" s="111"/>
      <c r="AL40" s="111"/>
      <c r="AM40" s="111"/>
      <c r="AN40" s="111"/>
      <c r="AO40" s="111"/>
      <c r="AP40" s="111"/>
      <c r="AQ40" s="111"/>
      <c r="AR40" s="111"/>
      <c r="AS40" s="111"/>
      <c r="AT40" s="111"/>
      <c r="AU40" s="111"/>
      <c r="AV40" s="111"/>
    </row>
    <row r="41" spans="1:49" x14ac:dyDescent="0.25">
      <c r="A41" s="125" t="s">
        <v>65</v>
      </c>
      <c r="B41" s="108"/>
      <c r="G41" s="88"/>
      <c r="J41" s="89">
        <v>221379.895455069</v>
      </c>
      <c r="Q41" s="83" t="s">
        <v>77</v>
      </c>
      <c r="R41" s="111"/>
      <c r="S41" s="111"/>
      <c r="T41" s="111"/>
      <c r="U41" s="111"/>
      <c r="V41" s="111"/>
      <c r="W41" s="111"/>
      <c r="X41" s="111"/>
      <c r="Y41" s="111"/>
      <c r="Z41" s="111"/>
      <c r="AA41" s="111"/>
      <c r="AB41" s="111"/>
      <c r="AC41" s="111"/>
      <c r="AD41" s="111"/>
      <c r="AE41" s="111"/>
      <c r="AF41" s="111"/>
      <c r="AG41" s="111"/>
      <c r="AH41" s="111"/>
      <c r="AI41" s="112"/>
      <c r="AJ41" s="111"/>
      <c r="AK41" s="111"/>
      <c r="AL41" s="111"/>
      <c r="AM41" s="111"/>
      <c r="AN41" s="111"/>
      <c r="AO41" s="111"/>
      <c r="AP41" s="111"/>
      <c r="AQ41" s="111"/>
      <c r="AR41" s="111"/>
      <c r="AS41" s="111"/>
      <c r="AT41" s="111"/>
      <c r="AU41" s="111"/>
      <c r="AV41" s="111"/>
    </row>
    <row r="42" spans="1:49" ht="16.5" thickBot="1" x14ac:dyDescent="0.3">
      <c r="A42" s="101">
        <v>1899643.7</v>
      </c>
      <c r="B42" s="124">
        <v>44947</v>
      </c>
      <c r="G42" s="88"/>
      <c r="J42" s="94">
        <v>9.5269456747786294E-2</v>
      </c>
      <c r="Q42" s="119" t="s">
        <v>140</v>
      </c>
      <c r="R42" s="103">
        <f t="shared" ref="R42:AO42" si="22">R39*R40</f>
        <v>0</v>
      </c>
      <c r="S42" s="103">
        <f t="shared" si="22"/>
        <v>0</v>
      </c>
      <c r="T42" s="103">
        <f t="shared" si="22"/>
        <v>0</v>
      </c>
      <c r="U42" s="103">
        <f t="shared" si="22"/>
        <v>0</v>
      </c>
      <c r="V42" s="103">
        <f t="shared" si="22"/>
        <v>0</v>
      </c>
      <c r="W42" s="103">
        <f t="shared" si="22"/>
        <v>0</v>
      </c>
      <c r="X42" s="103">
        <f t="shared" si="22"/>
        <v>0</v>
      </c>
      <c r="Y42" s="103">
        <f t="shared" si="22"/>
        <v>0</v>
      </c>
      <c r="Z42" s="103">
        <f t="shared" si="22"/>
        <v>0</v>
      </c>
      <c r="AA42" s="103">
        <f t="shared" si="22"/>
        <v>0</v>
      </c>
      <c r="AB42" s="103">
        <f t="shared" si="22"/>
        <v>0</v>
      </c>
      <c r="AC42" s="103">
        <f t="shared" si="22"/>
        <v>0</v>
      </c>
      <c r="AD42" s="103">
        <f t="shared" si="22"/>
        <v>0</v>
      </c>
      <c r="AE42" s="103">
        <f t="shared" si="22"/>
        <v>0</v>
      </c>
      <c r="AF42" s="103">
        <f t="shared" si="22"/>
        <v>0</v>
      </c>
      <c r="AG42" s="103">
        <f t="shared" si="22"/>
        <v>0</v>
      </c>
      <c r="AH42" s="103">
        <f t="shared" si="22"/>
        <v>0</v>
      </c>
      <c r="AI42" s="116">
        <f t="shared" si="22"/>
        <v>0</v>
      </c>
      <c r="AJ42" s="103">
        <f t="shared" si="22"/>
        <v>0</v>
      </c>
      <c r="AK42" s="103">
        <f t="shared" si="22"/>
        <v>0</v>
      </c>
      <c r="AL42" s="103">
        <f t="shared" si="22"/>
        <v>0</v>
      </c>
      <c r="AM42" s="103">
        <f t="shared" si="22"/>
        <v>0</v>
      </c>
      <c r="AN42" s="103">
        <f t="shared" si="22"/>
        <v>0</v>
      </c>
      <c r="AO42" s="103">
        <f t="shared" si="22"/>
        <v>0</v>
      </c>
      <c r="AP42" s="103">
        <f>AP39*AP40</f>
        <v>0</v>
      </c>
      <c r="AQ42" s="103">
        <f t="shared" ref="AQ42:AS42" si="23">AQ39*AQ40</f>
        <v>0</v>
      </c>
      <c r="AR42" s="103">
        <f t="shared" si="23"/>
        <v>0</v>
      </c>
      <c r="AS42" s="103">
        <f t="shared" si="23"/>
        <v>0</v>
      </c>
      <c r="AT42" s="103"/>
      <c r="AU42" s="103"/>
      <c r="AV42" s="103">
        <f t="shared" ref="AV42" si="24">AV39*AV40</f>
        <v>0</v>
      </c>
    </row>
    <row r="43" spans="1:49" ht="16.5" thickBot="1" x14ac:dyDescent="0.3">
      <c r="A43" s="92">
        <v>1.98</v>
      </c>
      <c r="B43" s="108"/>
      <c r="G43" s="88"/>
      <c r="J43" s="89">
        <v>1190845.4496999499</v>
      </c>
      <c r="Q43" s="121" t="s">
        <v>106</v>
      </c>
      <c r="R43" s="126"/>
      <c r="S43" s="126"/>
      <c r="T43" s="126"/>
      <c r="U43" s="126"/>
      <c r="V43" s="126"/>
      <c r="W43" s="127"/>
      <c r="X43" s="127"/>
      <c r="Y43" s="128"/>
      <c r="Z43" s="127"/>
      <c r="AA43" s="127"/>
      <c r="AB43" s="127"/>
      <c r="AC43" s="127"/>
      <c r="AD43" s="127"/>
      <c r="AE43" s="127"/>
      <c r="AF43" s="128"/>
      <c r="AG43" s="128"/>
      <c r="AH43" s="127"/>
      <c r="AI43" s="129"/>
      <c r="AJ43" s="127"/>
      <c r="AK43" s="127"/>
      <c r="AL43" s="127"/>
      <c r="AM43" s="127"/>
      <c r="AN43" s="127"/>
      <c r="AO43" s="127"/>
      <c r="AP43" s="127"/>
      <c r="AQ43" s="127"/>
      <c r="AR43" s="127"/>
      <c r="AS43" s="127"/>
      <c r="AT43" s="127"/>
      <c r="AU43" s="127"/>
      <c r="AV43" s="127"/>
      <c r="AW43" s="97">
        <f t="shared" ref="AW43:AW44" si="25">SUM(R43:AV43)</f>
        <v>0</v>
      </c>
    </row>
    <row r="44" spans="1:49" ht="16.5" thickBot="1" x14ac:dyDescent="0.3">
      <c r="A44" s="101">
        <v>7599191.6100000003</v>
      </c>
      <c r="B44" s="124">
        <v>45007</v>
      </c>
      <c r="G44" s="88"/>
      <c r="J44" s="94">
        <v>0.58885543228993198</v>
      </c>
      <c r="Q44" s="121" t="s">
        <v>108</v>
      </c>
      <c r="R44" s="126">
        <v>113000000</v>
      </c>
      <c r="S44" s="126">
        <v>0</v>
      </c>
      <c r="T44" s="126">
        <v>0</v>
      </c>
      <c r="U44" s="126">
        <v>0</v>
      </c>
      <c r="V44" s="126">
        <v>0</v>
      </c>
      <c r="W44" s="127">
        <v>0</v>
      </c>
      <c r="X44" s="127">
        <v>0</v>
      </c>
      <c r="Y44" s="128">
        <v>0</v>
      </c>
      <c r="Z44" s="127">
        <v>0</v>
      </c>
      <c r="AA44" s="127">
        <v>0</v>
      </c>
      <c r="AB44" s="127">
        <v>101000000</v>
      </c>
      <c r="AC44" s="127">
        <v>0</v>
      </c>
      <c r="AD44" s="127">
        <v>0</v>
      </c>
      <c r="AE44" s="127">
        <v>0</v>
      </c>
      <c r="AF44" s="128">
        <v>0</v>
      </c>
      <c r="AG44" s="127">
        <v>250000000</v>
      </c>
      <c r="AH44" s="127">
        <v>0</v>
      </c>
      <c r="AI44" s="129">
        <v>0</v>
      </c>
      <c r="AJ44" s="127">
        <v>0</v>
      </c>
      <c r="AK44" s="127">
        <v>0</v>
      </c>
      <c r="AL44" s="127">
        <v>45000000</v>
      </c>
      <c r="AM44" s="127">
        <v>0</v>
      </c>
      <c r="AN44" s="127">
        <v>40000000</v>
      </c>
      <c r="AO44" s="127">
        <v>0</v>
      </c>
      <c r="AP44" s="127">
        <v>0</v>
      </c>
      <c r="AQ44" s="127">
        <v>0</v>
      </c>
      <c r="AR44" s="127">
        <v>0</v>
      </c>
      <c r="AS44" s="127">
        <v>0</v>
      </c>
      <c r="AT44" s="127">
        <v>41000000</v>
      </c>
      <c r="AU44" s="127">
        <v>0</v>
      </c>
      <c r="AV44" s="127">
        <v>0</v>
      </c>
      <c r="AW44" s="97">
        <f t="shared" si="25"/>
        <v>590000000</v>
      </c>
    </row>
    <row r="45" spans="1:49" x14ac:dyDescent="0.25">
      <c r="A45" s="125">
        <v>3.78</v>
      </c>
      <c r="B45" s="108"/>
      <c r="G45" s="88"/>
      <c r="J45" s="89">
        <v>2061236.9020951241</v>
      </c>
      <c r="Q45" s="83" t="s">
        <v>157</v>
      </c>
      <c r="R45" s="120">
        <v>711532.25</v>
      </c>
      <c r="S45" s="120"/>
      <c r="T45" s="120">
        <v>1012060.2</v>
      </c>
      <c r="U45" s="120">
        <v>718000</v>
      </c>
      <c r="V45" s="120"/>
      <c r="W45" s="120"/>
      <c r="X45" s="120">
        <v>973392.37</v>
      </c>
      <c r="Y45" s="120">
        <v>1767973.2</v>
      </c>
      <c r="Z45" s="120"/>
      <c r="AA45" s="120">
        <v>226493.44</v>
      </c>
      <c r="AB45" s="120"/>
      <c r="AC45" s="120"/>
      <c r="AD45" s="120"/>
      <c r="AE45" s="111">
        <v>616359</v>
      </c>
      <c r="AF45" s="120"/>
      <c r="AG45" s="120">
        <v>510576.74</v>
      </c>
      <c r="AH45" s="120">
        <v>350960.6</v>
      </c>
      <c r="AI45" s="130">
        <v>750862.21</v>
      </c>
      <c r="AJ45" s="120"/>
      <c r="AK45" s="120"/>
      <c r="AL45" s="120">
        <v>756566.43</v>
      </c>
      <c r="AM45" s="120">
        <v>996413.06</v>
      </c>
      <c r="AN45" s="120"/>
      <c r="AO45" s="120">
        <v>239772.3</v>
      </c>
      <c r="AP45" s="120"/>
      <c r="AQ45" s="120"/>
      <c r="AR45" s="120"/>
      <c r="AS45" s="120">
        <v>250766.61</v>
      </c>
      <c r="AT45" s="120"/>
      <c r="AU45" s="120">
        <v>849793.97</v>
      </c>
      <c r="AV45" s="120"/>
    </row>
    <row r="46" spans="1:49" x14ac:dyDescent="0.25">
      <c r="A46" s="101">
        <v>-7320008.46</v>
      </c>
      <c r="B46" s="124">
        <v>45314</v>
      </c>
      <c r="G46" s="88"/>
      <c r="J46" s="118">
        <v>0.77493774623866329</v>
      </c>
      <c r="Q46" s="83" t="s">
        <v>158</v>
      </c>
      <c r="R46" s="111">
        <v>711532.25</v>
      </c>
      <c r="S46" s="111"/>
      <c r="T46" s="111">
        <v>1012060.2</v>
      </c>
      <c r="U46" s="131">
        <v>718000</v>
      </c>
      <c r="V46" s="131"/>
      <c r="W46" s="111"/>
      <c r="X46" s="131">
        <v>973382.37</v>
      </c>
      <c r="Y46" s="111">
        <v>1767973.2</v>
      </c>
      <c r="Z46" s="111"/>
      <c r="AA46" s="111">
        <v>226493.44</v>
      </c>
      <c r="AB46" s="111"/>
      <c r="AC46" s="111"/>
      <c r="AD46" s="111"/>
      <c r="AE46" s="111">
        <v>616359</v>
      </c>
      <c r="AF46" s="111"/>
      <c r="AG46" s="111">
        <v>510566.74</v>
      </c>
      <c r="AH46" s="120">
        <v>350890.6</v>
      </c>
      <c r="AI46" s="112">
        <v>750852.21</v>
      </c>
      <c r="AJ46" s="111"/>
      <c r="AK46" s="111"/>
      <c r="AL46" s="111">
        <v>756536.43</v>
      </c>
      <c r="AM46" s="111">
        <v>996413.06</v>
      </c>
      <c r="AN46" s="111"/>
      <c r="AO46" s="111">
        <v>239762.3</v>
      </c>
      <c r="AP46" s="111"/>
      <c r="AQ46" s="111"/>
      <c r="AR46" s="111"/>
      <c r="AS46" s="111">
        <v>250696.61</v>
      </c>
      <c r="AT46" s="111"/>
      <c r="AU46" s="111">
        <v>849793.97</v>
      </c>
      <c r="AV46" s="111"/>
    </row>
    <row r="47" spans="1:49" x14ac:dyDescent="0.25">
      <c r="A47" s="101">
        <v>-5.39</v>
      </c>
      <c r="B47" s="124"/>
      <c r="G47" s="88"/>
      <c r="J47" s="118">
        <v>221379.895455069</v>
      </c>
      <c r="Q47" s="83" t="s">
        <v>159</v>
      </c>
      <c r="R47" s="153">
        <f>+R45-R46</f>
        <v>0</v>
      </c>
      <c r="S47" s="153">
        <f>+S45-S46</f>
        <v>0</v>
      </c>
      <c r="T47" s="111">
        <f t="shared" ref="T47:AV47" si="26">+T45-T46</f>
        <v>0</v>
      </c>
      <c r="U47" s="111">
        <f t="shared" si="26"/>
        <v>0</v>
      </c>
      <c r="V47" s="111">
        <f t="shared" si="26"/>
        <v>0</v>
      </c>
      <c r="W47" s="111">
        <f t="shared" si="26"/>
        <v>0</v>
      </c>
      <c r="X47" s="111">
        <f t="shared" si="26"/>
        <v>10</v>
      </c>
      <c r="Y47" s="111">
        <f t="shared" si="26"/>
        <v>0</v>
      </c>
      <c r="Z47" s="111">
        <f t="shared" si="26"/>
        <v>0</v>
      </c>
      <c r="AA47" s="111">
        <f t="shared" si="26"/>
        <v>0</v>
      </c>
      <c r="AB47" s="111">
        <f t="shared" si="26"/>
        <v>0</v>
      </c>
      <c r="AC47" s="111">
        <f t="shared" si="26"/>
        <v>0</v>
      </c>
      <c r="AD47" s="111">
        <f t="shared" si="26"/>
        <v>0</v>
      </c>
      <c r="AE47" s="111">
        <f t="shared" si="26"/>
        <v>0</v>
      </c>
      <c r="AF47" s="111">
        <f t="shared" si="26"/>
        <v>0</v>
      </c>
      <c r="AG47" s="111">
        <f t="shared" si="26"/>
        <v>10</v>
      </c>
      <c r="AH47" s="111">
        <f t="shared" si="26"/>
        <v>70</v>
      </c>
      <c r="AI47" s="112">
        <f t="shared" si="26"/>
        <v>10</v>
      </c>
      <c r="AJ47" s="111">
        <f t="shared" si="26"/>
        <v>0</v>
      </c>
      <c r="AK47" s="111">
        <f t="shared" si="26"/>
        <v>0</v>
      </c>
      <c r="AL47" s="111">
        <f t="shared" si="26"/>
        <v>30</v>
      </c>
      <c r="AM47" s="111">
        <f t="shared" si="26"/>
        <v>0</v>
      </c>
      <c r="AN47" s="111">
        <f t="shared" si="26"/>
        <v>0</v>
      </c>
      <c r="AO47" s="111">
        <f t="shared" si="26"/>
        <v>10</v>
      </c>
      <c r="AP47" s="111">
        <f t="shared" si="26"/>
        <v>0</v>
      </c>
      <c r="AQ47" s="111">
        <f t="shared" si="26"/>
        <v>0</v>
      </c>
      <c r="AR47" s="111">
        <f t="shared" si="26"/>
        <v>0</v>
      </c>
      <c r="AS47" s="111">
        <f t="shared" si="26"/>
        <v>70</v>
      </c>
      <c r="AT47" s="111">
        <f t="shared" si="26"/>
        <v>0</v>
      </c>
      <c r="AU47" s="111">
        <f t="shared" si="26"/>
        <v>0</v>
      </c>
      <c r="AV47" s="111">
        <f t="shared" si="26"/>
        <v>0</v>
      </c>
      <c r="AW47" s="97"/>
    </row>
    <row r="48" spans="1:49" x14ac:dyDescent="0.25">
      <c r="A48" s="101">
        <v>-194267.5</v>
      </c>
      <c r="B48" s="124">
        <v>45315</v>
      </c>
      <c r="G48" s="88"/>
      <c r="J48" s="118">
        <v>9.5269456747786294E-2</v>
      </c>
      <c r="Q48" s="83" t="s">
        <v>155</v>
      </c>
      <c r="R48" s="111">
        <v>897.68</v>
      </c>
      <c r="S48" s="111"/>
      <c r="T48" s="111">
        <v>901.13</v>
      </c>
      <c r="U48" s="111">
        <v>908.23</v>
      </c>
      <c r="V48" s="111"/>
      <c r="W48" s="111"/>
      <c r="X48" s="111">
        <v>919.49</v>
      </c>
      <c r="Y48" s="111">
        <v>925.86</v>
      </c>
      <c r="Z48" s="111"/>
      <c r="AA48" s="111">
        <v>933.62</v>
      </c>
      <c r="AB48" s="111"/>
      <c r="AC48" s="82"/>
      <c r="AD48" s="111"/>
      <c r="AE48" s="111">
        <v>931.26</v>
      </c>
      <c r="AF48" s="111"/>
      <c r="AG48" s="111">
        <v>937.29</v>
      </c>
      <c r="AH48" s="111">
        <v>941.3</v>
      </c>
      <c r="AI48" s="112">
        <v>945.01</v>
      </c>
      <c r="AJ48" s="111"/>
      <c r="AK48" s="111"/>
      <c r="AL48" s="111">
        <v>945.01</v>
      </c>
      <c r="AM48" s="111">
        <v>954.39</v>
      </c>
      <c r="AN48" s="111"/>
      <c r="AO48" s="111">
        <v>949</v>
      </c>
      <c r="AP48" s="111"/>
      <c r="AQ48" s="111"/>
      <c r="AR48" s="111"/>
      <c r="AS48" s="111">
        <v>945.29</v>
      </c>
      <c r="AT48" s="111"/>
      <c r="AU48" s="111">
        <v>945.88</v>
      </c>
      <c r="AV48" s="111"/>
    </row>
    <row r="49" spans="1:50" x14ac:dyDescent="0.25">
      <c r="A49" s="101">
        <v>-0.19</v>
      </c>
      <c r="B49" s="124"/>
      <c r="G49" s="88"/>
      <c r="J49" s="118">
        <v>2061236.9020951241</v>
      </c>
      <c r="Q49" s="83" t="s">
        <v>77</v>
      </c>
      <c r="R49" s="111">
        <f t="shared" ref="R49:Z49" si="27">+R46</f>
        <v>711532.25</v>
      </c>
      <c r="S49" s="111">
        <f>+S46</f>
        <v>0</v>
      </c>
      <c r="T49" s="111">
        <f t="shared" si="27"/>
        <v>1012060.2</v>
      </c>
      <c r="U49" s="96">
        <f t="shared" si="27"/>
        <v>718000</v>
      </c>
      <c r="V49" s="111">
        <f t="shared" si="27"/>
        <v>0</v>
      </c>
      <c r="W49" s="111">
        <f>+W46</f>
        <v>0</v>
      </c>
      <c r="X49" s="111">
        <f t="shared" si="27"/>
        <v>973382.37</v>
      </c>
      <c r="Y49" s="111">
        <f t="shared" si="27"/>
        <v>1767973.2</v>
      </c>
      <c r="Z49" s="111">
        <f t="shared" si="27"/>
        <v>0</v>
      </c>
      <c r="AA49" s="111">
        <f>+AA46</f>
        <v>226493.44</v>
      </c>
      <c r="AB49" s="111">
        <f t="shared" ref="AB49:AV49" si="28">+AB46</f>
        <v>0</v>
      </c>
      <c r="AC49" s="111">
        <f t="shared" si="28"/>
        <v>0</v>
      </c>
      <c r="AD49" s="111">
        <f t="shared" si="28"/>
        <v>0</v>
      </c>
      <c r="AE49" s="111">
        <f t="shared" si="28"/>
        <v>616359</v>
      </c>
      <c r="AF49" s="111">
        <f t="shared" si="28"/>
        <v>0</v>
      </c>
      <c r="AG49" s="111">
        <f t="shared" si="28"/>
        <v>510566.74</v>
      </c>
      <c r="AH49" s="111">
        <f t="shared" si="28"/>
        <v>350890.6</v>
      </c>
      <c r="AI49" s="112">
        <f t="shared" si="28"/>
        <v>750852.21</v>
      </c>
      <c r="AJ49" s="111">
        <f t="shared" si="28"/>
        <v>0</v>
      </c>
      <c r="AK49" s="111">
        <f t="shared" si="28"/>
        <v>0</v>
      </c>
      <c r="AL49" s="111">
        <f t="shared" si="28"/>
        <v>756536.43</v>
      </c>
      <c r="AM49" s="111">
        <f t="shared" si="28"/>
        <v>996413.06</v>
      </c>
      <c r="AN49" s="111">
        <f t="shared" si="28"/>
        <v>0</v>
      </c>
      <c r="AO49" s="111">
        <f t="shared" si="28"/>
        <v>239762.3</v>
      </c>
      <c r="AP49" s="111">
        <f t="shared" si="28"/>
        <v>0</v>
      </c>
      <c r="AQ49" s="111">
        <f t="shared" si="28"/>
        <v>0</v>
      </c>
      <c r="AR49" s="111">
        <f t="shared" si="28"/>
        <v>0</v>
      </c>
      <c r="AS49" s="111">
        <f t="shared" si="28"/>
        <v>250696.61</v>
      </c>
      <c r="AT49" s="111">
        <f t="shared" si="28"/>
        <v>0</v>
      </c>
      <c r="AU49" s="111">
        <f t="shared" si="28"/>
        <v>849793.97</v>
      </c>
      <c r="AV49" s="111">
        <f t="shared" si="28"/>
        <v>0</v>
      </c>
    </row>
    <row r="50" spans="1:50" x14ac:dyDescent="0.25">
      <c r="A50" s="101">
        <v>-2073779.12</v>
      </c>
      <c r="B50" s="124">
        <v>45316</v>
      </c>
      <c r="G50" s="88"/>
      <c r="J50" s="118">
        <v>0.77493774623866329</v>
      </c>
      <c r="Q50" s="83" t="s">
        <v>161</v>
      </c>
      <c r="R50" s="111" t="s">
        <v>162</v>
      </c>
      <c r="S50" s="111" t="s">
        <v>162</v>
      </c>
      <c r="T50" s="111" t="s">
        <v>162</v>
      </c>
      <c r="U50" s="111" t="s">
        <v>162</v>
      </c>
      <c r="V50" s="111" t="s">
        <v>162</v>
      </c>
      <c r="W50" s="111" t="s">
        <v>162</v>
      </c>
      <c r="X50" s="111" t="s">
        <v>162</v>
      </c>
      <c r="Y50" s="111" t="s">
        <v>162</v>
      </c>
      <c r="Z50" s="111" t="s">
        <v>162</v>
      </c>
      <c r="AA50" s="111" t="s">
        <v>162</v>
      </c>
      <c r="AB50" s="111" t="s">
        <v>162</v>
      </c>
      <c r="AC50" s="111" t="s">
        <v>162</v>
      </c>
      <c r="AD50" s="111" t="s">
        <v>162</v>
      </c>
      <c r="AE50" s="111" t="s">
        <v>162</v>
      </c>
      <c r="AF50" s="111" t="s">
        <v>162</v>
      </c>
      <c r="AG50" s="111" t="s">
        <v>162</v>
      </c>
      <c r="AH50" s="111" t="s">
        <v>162</v>
      </c>
      <c r="AI50" s="112" t="s">
        <v>162</v>
      </c>
      <c r="AJ50" s="111" t="s">
        <v>162</v>
      </c>
      <c r="AK50" s="111" t="s">
        <v>162</v>
      </c>
      <c r="AL50" s="111" t="s">
        <v>162</v>
      </c>
      <c r="AM50" s="111" t="s">
        <v>162</v>
      </c>
      <c r="AN50" s="111" t="s">
        <v>162</v>
      </c>
      <c r="AO50" s="111" t="s">
        <v>162</v>
      </c>
      <c r="AP50" s="111" t="s">
        <v>162</v>
      </c>
      <c r="AQ50" s="111" t="s">
        <v>162</v>
      </c>
      <c r="AR50" s="111" t="s">
        <v>162</v>
      </c>
      <c r="AS50" s="111" t="s">
        <v>162</v>
      </c>
      <c r="AT50" s="111" t="s">
        <v>162</v>
      </c>
      <c r="AU50" s="111" t="s">
        <v>162</v>
      </c>
      <c r="AV50" s="111" t="s">
        <v>162</v>
      </c>
    </row>
    <row r="51" spans="1:50" x14ac:dyDescent="0.25">
      <c r="A51" s="101">
        <v>-4.1500000000000004</v>
      </c>
      <c r="B51" s="124"/>
      <c r="G51" s="88"/>
      <c r="J51" s="118">
        <v>221379.895455069</v>
      </c>
      <c r="Q51" s="83" t="s">
        <v>160</v>
      </c>
      <c r="R51" s="111">
        <f t="shared" ref="R51:U51" si="29">R48*R47</f>
        <v>0</v>
      </c>
      <c r="S51" s="111">
        <f t="shared" si="29"/>
        <v>0</v>
      </c>
      <c r="T51" s="111">
        <f t="shared" si="29"/>
        <v>0</v>
      </c>
      <c r="U51" s="111">
        <f t="shared" si="29"/>
        <v>0</v>
      </c>
      <c r="V51" s="96">
        <f>V48*V47</f>
        <v>0</v>
      </c>
      <c r="W51" s="96">
        <f t="shared" ref="W51:AU51" si="30">W48*W47</f>
        <v>0</v>
      </c>
      <c r="X51" s="111">
        <f t="shared" si="30"/>
        <v>9194.9</v>
      </c>
      <c r="Y51" s="111">
        <f t="shared" si="30"/>
        <v>0</v>
      </c>
      <c r="Z51" s="111">
        <f t="shared" si="30"/>
        <v>0</v>
      </c>
      <c r="AA51" s="96">
        <f t="shared" si="30"/>
        <v>0</v>
      </c>
      <c r="AB51" s="111">
        <f t="shared" si="30"/>
        <v>0</v>
      </c>
      <c r="AC51" s="111">
        <f t="shared" si="30"/>
        <v>0</v>
      </c>
      <c r="AD51" s="111">
        <f t="shared" si="30"/>
        <v>0</v>
      </c>
      <c r="AE51" s="111">
        <f t="shared" si="30"/>
        <v>0</v>
      </c>
      <c r="AF51" s="111">
        <f t="shared" si="30"/>
        <v>0</v>
      </c>
      <c r="AG51" s="111">
        <f t="shared" si="30"/>
        <v>9372.9</v>
      </c>
      <c r="AH51" s="111">
        <f t="shared" si="30"/>
        <v>65891</v>
      </c>
      <c r="AI51" s="112">
        <f t="shared" si="30"/>
        <v>9450.1</v>
      </c>
      <c r="AJ51" s="111">
        <f t="shared" si="30"/>
        <v>0</v>
      </c>
      <c r="AK51" s="111">
        <f t="shared" si="30"/>
        <v>0</v>
      </c>
      <c r="AL51" s="111">
        <f t="shared" si="30"/>
        <v>28350.3</v>
      </c>
      <c r="AM51" s="111">
        <f t="shared" si="30"/>
        <v>0</v>
      </c>
      <c r="AN51" s="111">
        <f t="shared" si="30"/>
        <v>0</v>
      </c>
      <c r="AO51" s="111">
        <f t="shared" si="30"/>
        <v>9490</v>
      </c>
      <c r="AP51" s="111">
        <f t="shared" si="30"/>
        <v>0</v>
      </c>
      <c r="AQ51" s="111">
        <f t="shared" si="30"/>
        <v>0</v>
      </c>
      <c r="AR51" s="111">
        <f t="shared" si="30"/>
        <v>0</v>
      </c>
      <c r="AS51" s="111">
        <f t="shared" si="30"/>
        <v>66170.3</v>
      </c>
      <c r="AT51" s="111">
        <f t="shared" si="30"/>
        <v>0</v>
      </c>
      <c r="AU51" s="111">
        <f t="shared" si="30"/>
        <v>0</v>
      </c>
      <c r="AV51" s="111">
        <f>AV48*AV47</f>
        <v>0</v>
      </c>
      <c r="AW51" s="97">
        <f t="shared" ref="AW51" si="31">SUM(R51:AV51)</f>
        <v>197919.5</v>
      </c>
    </row>
    <row r="52" spans="1:50" ht="16.5" thickBot="1" x14ac:dyDescent="0.3">
      <c r="A52" s="101">
        <v>0</v>
      </c>
      <c r="B52" s="124">
        <v>45317</v>
      </c>
      <c r="G52" s="88"/>
      <c r="J52" s="94">
        <v>9.5269456747786294E-2</v>
      </c>
      <c r="Q52" s="119" t="s">
        <v>156</v>
      </c>
      <c r="R52" s="103">
        <f>R48*R49</f>
        <v>638728270.17999995</v>
      </c>
      <c r="S52" s="103">
        <f t="shared" ref="S52:U52" si="32">S48*S49</f>
        <v>0</v>
      </c>
      <c r="T52" s="103">
        <f t="shared" si="32"/>
        <v>911997808.0259999</v>
      </c>
      <c r="U52" s="103">
        <f t="shared" si="32"/>
        <v>652109140</v>
      </c>
      <c r="V52" s="103">
        <f>V48*V49</f>
        <v>0</v>
      </c>
      <c r="W52" s="103">
        <f t="shared" ref="W52:AV52" si="33">W48*W49</f>
        <v>0</v>
      </c>
      <c r="X52" s="103">
        <f t="shared" si="33"/>
        <v>895015355.39129996</v>
      </c>
      <c r="Y52" s="103">
        <f t="shared" si="33"/>
        <v>1636895666.9519999</v>
      </c>
      <c r="Z52" s="103">
        <f t="shared" si="33"/>
        <v>0</v>
      </c>
      <c r="AA52" s="103">
        <f t="shared" si="33"/>
        <v>211458805.45280001</v>
      </c>
      <c r="AB52" s="103">
        <f t="shared" si="33"/>
        <v>0</v>
      </c>
      <c r="AC52" s="103">
        <f t="shared" ref="AC52:AD52" si="34">AC48*AC49</f>
        <v>0</v>
      </c>
      <c r="AD52" s="103">
        <f t="shared" si="34"/>
        <v>0</v>
      </c>
      <c r="AE52" s="103">
        <f t="shared" si="33"/>
        <v>573990482.34000003</v>
      </c>
      <c r="AF52" s="103">
        <f t="shared" si="33"/>
        <v>0</v>
      </c>
      <c r="AG52" s="103">
        <f t="shared" si="33"/>
        <v>478549099.73459995</v>
      </c>
      <c r="AH52" s="103">
        <f t="shared" si="33"/>
        <v>330293321.77999997</v>
      </c>
      <c r="AI52" s="116">
        <f t="shared" si="33"/>
        <v>709562846.9720999</v>
      </c>
      <c r="AJ52" s="103">
        <f t="shared" si="33"/>
        <v>0</v>
      </c>
      <c r="AK52" s="103">
        <f t="shared" si="33"/>
        <v>0</v>
      </c>
      <c r="AL52" s="103">
        <f t="shared" si="33"/>
        <v>714934491.71430004</v>
      </c>
      <c r="AM52" s="103">
        <f t="shared" si="33"/>
        <v>950966660.33340001</v>
      </c>
      <c r="AN52" s="103">
        <f t="shared" si="33"/>
        <v>0</v>
      </c>
      <c r="AO52" s="103">
        <f t="shared" si="33"/>
        <v>227534422.69999999</v>
      </c>
      <c r="AP52" s="103">
        <f t="shared" si="33"/>
        <v>0</v>
      </c>
      <c r="AQ52" s="103">
        <f t="shared" si="33"/>
        <v>0</v>
      </c>
      <c r="AR52" s="103">
        <f t="shared" si="33"/>
        <v>0</v>
      </c>
      <c r="AS52" s="103">
        <f t="shared" si="33"/>
        <v>236980998.46689999</v>
      </c>
      <c r="AT52" s="103">
        <f t="shared" si="33"/>
        <v>0</v>
      </c>
      <c r="AU52" s="103">
        <f t="shared" si="33"/>
        <v>803803120.34359992</v>
      </c>
      <c r="AV52" s="103">
        <f t="shared" si="33"/>
        <v>0</v>
      </c>
      <c r="AW52" s="97">
        <f>SUM(R52:AV52)</f>
        <v>9972820490.3869991</v>
      </c>
      <c r="AX52" s="90">
        <f>+AW51+AW52</f>
        <v>9973018409.8869991</v>
      </c>
    </row>
    <row r="53" spans="1:50" x14ac:dyDescent="0.25">
      <c r="A53" s="92">
        <v>0</v>
      </c>
      <c r="B53" s="108"/>
      <c r="G53" s="88"/>
      <c r="J53" s="89">
        <v>1809882.5201380395</v>
      </c>
      <c r="Q53" s="83" t="s">
        <v>157</v>
      </c>
      <c r="R53" s="111"/>
      <c r="S53" s="111"/>
      <c r="T53" s="111"/>
      <c r="U53" s="111"/>
      <c r="V53" s="111"/>
      <c r="W53" s="111"/>
      <c r="X53" s="111"/>
      <c r="Y53" s="111"/>
      <c r="Z53" s="111"/>
      <c r="AA53" s="111">
        <v>725213.86</v>
      </c>
      <c r="AB53" s="111"/>
      <c r="AC53" s="111"/>
      <c r="AD53" s="111"/>
      <c r="AE53" s="111">
        <v>716807.02</v>
      </c>
      <c r="AF53" s="111">
        <v>773226.95</v>
      </c>
      <c r="AG53" s="111">
        <v>202727.46</v>
      </c>
      <c r="AH53" s="111"/>
      <c r="AI53" s="130"/>
      <c r="AJ53" s="111"/>
      <c r="AK53" s="111"/>
      <c r="AL53" s="111"/>
      <c r="AM53" s="111"/>
      <c r="AN53" s="111"/>
      <c r="AO53" s="111">
        <v>801412.44</v>
      </c>
      <c r="AP53" s="111"/>
      <c r="AQ53" s="111"/>
      <c r="AR53" s="111"/>
      <c r="AS53" s="111">
        <v>753110.88</v>
      </c>
      <c r="AT53" s="111"/>
      <c r="AU53" s="111">
        <v>707018.71</v>
      </c>
      <c r="AV53" s="111"/>
    </row>
    <row r="54" spans="1:50" x14ac:dyDescent="0.25">
      <c r="A54" s="101">
        <v>0</v>
      </c>
      <c r="B54" s="124">
        <v>44953</v>
      </c>
      <c r="G54" s="88"/>
      <c r="J54" s="94">
        <v>0.87041816900855906</v>
      </c>
      <c r="Q54" s="83" t="s">
        <v>158</v>
      </c>
      <c r="R54" s="111"/>
      <c r="S54" s="111"/>
      <c r="T54" s="132"/>
      <c r="U54" s="131"/>
      <c r="V54" s="131"/>
      <c r="W54" s="111"/>
      <c r="X54" s="111"/>
      <c r="Y54" s="111"/>
      <c r="Z54" s="111"/>
      <c r="AA54" s="111">
        <v>725213.86</v>
      </c>
      <c r="AB54" s="111"/>
      <c r="AC54" s="111"/>
      <c r="AD54" s="111"/>
      <c r="AE54" s="111">
        <v>716797.02</v>
      </c>
      <c r="AF54" s="111">
        <v>773196.95</v>
      </c>
      <c r="AG54" s="111">
        <v>202657.46</v>
      </c>
      <c r="AH54" s="111"/>
      <c r="AI54" s="112"/>
      <c r="AJ54" s="111"/>
      <c r="AK54" s="111"/>
      <c r="AL54" s="111"/>
      <c r="AM54" s="111"/>
      <c r="AN54" s="111"/>
      <c r="AO54" s="111">
        <v>801402.44</v>
      </c>
      <c r="AP54" s="111"/>
      <c r="AQ54" s="111"/>
      <c r="AR54" s="111"/>
      <c r="AS54" s="111">
        <v>753080.88</v>
      </c>
      <c r="AT54" s="111"/>
      <c r="AU54" s="111">
        <v>706948.71</v>
      </c>
      <c r="AV54" s="111"/>
    </row>
    <row r="55" spans="1:50" x14ac:dyDescent="0.25">
      <c r="A55" s="92">
        <v>0</v>
      </c>
      <c r="B55" s="108"/>
      <c r="G55" s="88"/>
      <c r="J55" s="89">
        <v>1470104.333046</v>
      </c>
      <c r="Q55" s="83" t="s">
        <v>159</v>
      </c>
      <c r="R55" s="111">
        <f>+R53-R54</f>
        <v>0</v>
      </c>
      <c r="S55" s="111">
        <f t="shared" ref="S55:AV55" si="35">+S53-S54</f>
        <v>0</v>
      </c>
      <c r="T55" s="111">
        <f t="shared" si="35"/>
        <v>0</v>
      </c>
      <c r="U55" s="111">
        <f t="shared" si="35"/>
        <v>0</v>
      </c>
      <c r="V55" s="111">
        <f t="shared" si="35"/>
        <v>0</v>
      </c>
      <c r="W55" s="111">
        <f t="shared" si="35"/>
        <v>0</v>
      </c>
      <c r="X55" s="111">
        <f t="shared" si="35"/>
        <v>0</v>
      </c>
      <c r="Y55" s="111">
        <f t="shared" si="35"/>
        <v>0</v>
      </c>
      <c r="Z55" s="111">
        <f t="shared" si="35"/>
        <v>0</v>
      </c>
      <c r="AA55" s="111">
        <f t="shared" si="35"/>
        <v>0</v>
      </c>
      <c r="AB55" s="111">
        <f t="shared" si="35"/>
        <v>0</v>
      </c>
      <c r="AC55" s="111">
        <f t="shared" si="35"/>
        <v>0</v>
      </c>
      <c r="AD55" s="111">
        <f t="shared" si="35"/>
        <v>0</v>
      </c>
      <c r="AE55" s="111">
        <f t="shared" si="35"/>
        <v>10</v>
      </c>
      <c r="AF55" s="111">
        <f t="shared" si="35"/>
        <v>30</v>
      </c>
      <c r="AG55" s="111">
        <f t="shared" si="35"/>
        <v>70</v>
      </c>
      <c r="AH55" s="111">
        <f t="shared" si="35"/>
        <v>0</v>
      </c>
      <c r="AI55" s="112">
        <f t="shared" si="35"/>
        <v>0</v>
      </c>
      <c r="AJ55" s="111">
        <f t="shared" si="35"/>
        <v>0</v>
      </c>
      <c r="AK55" s="111">
        <f t="shared" si="35"/>
        <v>0</v>
      </c>
      <c r="AL55" s="111">
        <f t="shared" si="35"/>
        <v>0</v>
      </c>
      <c r="AM55" s="111">
        <f t="shared" si="35"/>
        <v>0</v>
      </c>
      <c r="AN55" s="111">
        <f t="shared" si="35"/>
        <v>0</v>
      </c>
      <c r="AO55" s="111">
        <f t="shared" si="35"/>
        <v>10</v>
      </c>
      <c r="AP55" s="111">
        <f t="shared" si="35"/>
        <v>0</v>
      </c>
      <c r="AQ55" s="111">
        <f t="shared" si="35"/>
        <v>0</v>
      </c>
      <c r="AR55" s="111">
        <f t="shared" si="35"/>
        <v>0</v>
      </c>
      <c r="AS55" s="111">
        <f t="shared" si="35"/>
        <v>30</v>
      </c>
      <c r="AT55" s="111">
        <f t="shared" si="35"/>
        <v>0</v>
      </c>
      <c r="AU55" s="111">
        <f t="shared" si="35"/>
        <v>70</v>
      </c>
      <c r="AV55" s="111">
        <f t="shared" si="35"/>
        <v>0</v>
      </c>
    </row>
    <row r="56" spans="1:50" x14ac:dyDescent="0.25">
      <c r="A56" s="101">
        <v>6825707.9100000001</v>
      </c>
      <c r="B56" s="124">
        <v>44954</v>
      </c>
      <c r="G56" s="88"/>
      <c r="J56" s="94">
        <v>-0.66932213895475456</v>
      </c>
      <c r="Q56" s="83" t="s">
        <v>155</v>
      </c>
      <c r="R56" s="111"/>
      <c r="S56" s="111"/>
      <c r="T56" s="111"/>
      <c r="U56" s="111"/>
      <c r="V56" s="111"/>
      <c r="W56" s="111"/>
      <c r="X56" s="111"/>
      <c r="Y56" s="111"/>
      <c r="Z56" s="111"/>
      <c r="AA56" s="111">
        <v>933.62</v>
      </c>
      <c r="AB56" s="111"/>
      <c r="AC56" s="111"/>
      <c r="AD56" s="111"/>
      <c r="AE56" s="111">
        <v>931.26</v>
      </c>
      <c r="AF56" s="111">
        <v>928.37</v>
      </c>
      <c r="AG56" s="111">
        <v>928.37</v>
      </c>
      <c r="AH56" s="111"/>
      <c r="AI56" s="112"/>
      <c r="AJ56" s="111"/>
      <c r="AK56" s="111"/>
      <c r="AL56" s="111"/>
      <c r="AM56" s="111"/>
      <c r="AN56" s="111"/>
      <c r="AO56" s="111">
        <v>948.2</v>
      </c>
      <c r="AP56" s="111"/>
      <c r="AQ56" s="111"/>
      <c r="AR56" s="111"/>
      <c r="AS56" s="111">
        <v>945.29</v>
      </c>
      <c r="AT56" s="111"/>
      <c r="AU56" s="111">
        <v>950.89</v>
      </c>
      <c r="AV56" s="111"/>
    </row>
    <row r="57" spans="1:50" x14ac:dyDescent="0.25">
      <c r="A57" s="92">
        <v>4.01</v>
      </c>
      <c r="B57" s="108"/>
      <c r="G57" s="88"/>
      <c r="J57" s="89">
        <v>-604792.72427197779</v>
      </c>
      <c r="Q57" s="83" t="s">
        <v>77</v>
      </c>
      <c r="R57" s="111">
        <f t="shared" ref="R57:AV57" si="36">+R54</f>
        <v>0</v>
      </c>
      <c r="S57" s="111">
        <f>+S54</f>
        <v>0</v>
      </c>
      <c r="T57" s="111">
        <f t="shared" si="36"/>
        <v>0</v>
      </c>
      <c r="U57" s="111">
        <f t="shared" si="36"/>
        <v>0</v>
      </c>
      <c r="V57" s="111">
        <f t="shared" si="36"/>
        <v>0</v>
      </c>
      <c r="W57" s="111">
        <f t="shared" si="36"/>
        <v>0</v>
      </c>
      <c r="X57" s="111">
        <f t="shared" si="36"/>
        <v>0</v>
      </c>
      <c r="Y57" s="111">
        <f t="shared" si="36"/>
        <v>0</v>
      </c>
      <c r="Z57" s="111">
        <f t="shared" si="36"/>
        <v>0</v>
      </c>
      <c r="AA57" s="111">
        <f t="shared" si="36"/>
        <v>725213.86</v>
      </c>
      <c r="AB57" s="111">
        <f t="shared" si="36"/>
        <v>0</v>
      </c>
      <c r="AC57" s="111">
        <f t="shared" si="36"/>
        <v>0</v>
      </c>
      <c r="AD57" s="111">
        <f t="shared" si="36"/>
        <v>0</v>
      </c>
      <c r="AE57" s="111">
        <f t="shared" si="36"/>
        <v>716797.02</v>
      </c>
      <c r="AF57" s="111">
        <f t="shared" si="36"/>
        <v>773196.95</v>
      </c>
      <c r="AG57" s="111">
        <f t="shared" si="36"/>
        <v>202657.46</v>
      </c>
      <c r="AH57" s="111">
        <f t="shared" si="36"/>
        <v>0</v>
      </c>
      <c r="AI57" s="112">
        <f t="shared" si="36"/>
        <v>0</v>
      </c>
      <c r="AJ57" s="111">
        <f t="shared" si="36"/>
        <v>0</v>
      </c>
      <c r="AK57" s="111">
        <f t="shared" si="36"/>
        <v>0</v>
      </c>
      <c r="AL57" s="111">
        <f t="shared" si="36"/>
        <v>0</v>
      </c>
      <c r="AM57" s="111">
        <f t="shared" si="36"/>
        <v>0</v>
      </c>
      <c r="AN57" s="111">
        <f t="shared" si="36"/>
        <v>0</v>
      </c>
      <c r="AO57" s="111">
        <f t="shared" si="36"/>
        <v>801402.44</v>
      </c>
      <c r="AP57" s="111">
        <f t="shared" si="36"/>
        <v>0</v>
      </c>
      <c r="AQ57" s="111">
        <f t="shared" si="36"/>
        <v>0</v>
      </c>
      <c r="AR57" s="111">
        <f t="shared" si="36"/>
        <v>0</v>
      </c>
      <c r="AS57" s="111">
        <f t="shared" si="36"/>
        <v>753080.88</v>
      </c>
      <c r="AT57" s="111">
        <f t="shared" si="36"/>
        <v>0</v>
      </c>
      <c r="AU57" s="111">
        <f t="shared" si="36"/>
        <v>706948.71</v>
      </c>
      <c r="AV57" s="111">
        <f t="shared" si="36"/>
        <v>0</v>
      </c>
    </row>
    <row r="58" spans="1:50" x14ac:dyDescent="0.25">
      <c r="A58" s="101">
        <v>-2259429.48</v>
      </c>
      <c r="B58" s="124">
        <v>44955</v>
      </c>
      <c r="G58" s="88"/>
      <c r="J58" s="94">
        <v>-0.42935995908308655</v>
      </c>
      <c r="Q58" s="83" t="s">
        <v>161</v>
      </c>
      <c r="R58" s="111" t="s">
        <v>162</v>
      </c>
      <c r="S58" s="111" t="s">
        <v>162</v>
      </c>
      <c r="T58" s="115" t="s">
        <v>162</v>
      </c>
      <c r="U58" s="111" t="s">
        <v>162</v>
      </c>
      <c r="V58" s="111" t="s">
        <v>162</v>
      </c>
      <c r="W58" s="111" t="s">
        <v>162</v>
      </c>
      <c r="X58" s="111" t="s">
        <v>162</v>
      </c>
      <c r="Y58" s="111" t="s">
        <v>162</v>
      </c>
      <c r="Z58" s="111" t="s">
        <v>162</v>
      </c>
      <c r="AA58" s="111" t="s">
        <v>162</v>
      </c>
      <c r="AB58" s="111" t="s">
        <v>162</v>
      </c>
      <c r="AC58" s="111" t="s">
        <v>162</v>
      </c>
      <c r="AD58" s="111" t="s">
        <v>162</v>
      </c>
      <c r="AE58" s="111" t="s">
        <v>162</v>
      </c>
      <c r="AF58" s="111" t="s">
        <v>162</v>
      </c>
      <c r="AG58" s="111" t="s">
        <v>162</v>
      </c>
      <c r="AH58" s="111" t="s">
        <v>162</v>
      </c>
      <c r="AI58" s="112" t="s">
        <v>162</v>
      </c>
      <c r="AJ58" s="111" t="s">
        <v>162</v>
      </c>
      <c r="AK58" s="111" t="s">
        <v>162</v>
      </c>
      <c r="AL58" s="111" t="s">
        <v>162</v>
      </c>
      <c r="AM58" s="111" t="s">
        <v>162</v>
      </c>
      <c r="AN58" s="111" t="s">
        <v>162</v>
      </c>
      <c r="AO58" s="111" t="s">
        <v>162</v>
      </c>
      <c r="AP58" s="111" t="s">
        <v>162</v>
      </c>
      <c r="AQ58" s="111" t="s">
        <v>162</v>
      </c>
      <c r="AR58" s="111" t="s">
        <v>162</v>
      </c>
      <c r="AS58" s="111" t="s">
        <v>162</v>
      </c>
      <c r="AT58" s="111" t="s">
        <v>162</v>
      </c>
      <c r="AU58" s="111" t="s">
        <v>162</v>
      </c>
      <c r="AV58" s="111" t="s">
        <v>162</v>
      </c>
    </row>
    <row r="59" spans="1:50" x14ac:dyDescent="0.25">
      <c r="A59" s="92">
        <v>-3.46</v>
      </c>
      <c r="B59" s="108"/>
      <c r="G59" s="88"/>
      <c r="J59" s="133">
        <v>-401928.11064896989</v>
      </c>
      <c r="Q59" s="83" t="s">
        <v>160</v>
      </c>
      <c r="R59" s="111">
        <f t="shared" ref="R59:AV59" si="37">R56*R55</f>
        <v>0</v>
      </c>
      <c r="S59" s="111">
        <f t="shared" si="37"/>
        <v>0</v>
      </c>
      <c r="T59" s="111">
        <f t="shared" si="37"/>
        <v>0</v>
      </c>
      <c r="U59" s="111">
        <f t="shared" si="37"/>
        <v>0</v>
      </c>
      <c r="V59" s="111">
        <f t="shared" si="37"/>
        <v>0</v>
      </c>
      <c r="W59" s="111">
        <f t="shared" si="37"/>
        <v>0</v>
      </c>
      <c r="X59" s="111">
        <f t="shared" si="37"/>
        <v>0</v>
      </c>
      <c r="Y59" s="111">
        <f t="shared" si="37"/>
        <v>0</v>
      </c>
      <c r="Z59" s="111">
        <f t="shared" si="37"/>
        <v>0</v>
      </c>
      <c r="AA59" s="111">
        <f t="shared" si="37"/>
        <v>0</v>
      </c>
      <c r="AB59" s="111">
        <f t="shared" si="37"/>
        <v>0</v>
      </c>
      <c r="AC59" s="111">
        <f t="shared" si="37"/>
        <v>0</v>
      </c>
      <c r="AD59" s="111">
        <f t="shared" si="37"/>
        <v>0</v>
      </c>
      <c r="AE59" s="111">
        <f t="shared" si="37"/>
        <v>9312.6</v>
      </c>
      <c r="AF59" s="111">
        <f t="shared" si="37"/>
        <v>27851.1</v>
      </c>
      <c r="AG59" s="111">
        <f t="shared" si="37"/>
        <v>64985.9</v>
      </c>
      <c r="AH59" s="111">
        <f t="shared" si="37"/>
        <v>0</v>
      </c>
      <c r="AI59" s="112">
        <f t="shared" si="37"/>
        <v>0</v>
      </c>
      <c r="AJ59" s="111">
        <f t="shared" si="37"/>
        <v>0</v>
      </c>
      <c r="AK59" s="111">
        <f t="shared" si="37"/>
        <v>0</v>
      </c>
      <c r="AL59" s="111">
        <f t="shared" si="37"/>
        <v>0</v>
      </c>
      <c r="AM59" s="111">
        <f t="shared" si="37"/>
        <v>0</v>
      </c>
      <c r="AN59" s="111">
        <f t="shared" si="37"/>
        <v>0</v>
      </c>
      <c r="AO59" s="111">
        <f t="shared" si="37"/>
        <v>9482</v>
      </c>
      <c r="AP59" s="111">
        <f t="shared" si="37"/>
        <v>0</v>
      </c>
      <c r="AQ59" s="111">
        <f t="shared" si="37"/>
        <v>0</v>
      </c>
      <c r="AR59" s="111">
        <f t="shared" si="37"/>
        <v>0</v>
      </c>
      <c r="AS59" s="111">
        <f t="shared" si="37"/>
        <v>28358.699999999997</v>
      </c>
      <c r="AT59" s="111">
        <f t="shared" si="37"/>
        <v>0</v>
      </c>
      <c r="AU59" s="111">
        <f t="shared" si="37"/>
        <v>66562.3</v>
      </c>
      <c r="AV59" s="111">
        <f t="shared" si="37"/>
        <v>0</v>
      </c>
    </row>
    <row r="60" spans="1:50" ht="16.5" thickBot="1" x14ac:dyDescent="0.3">
      <c r="A60" s="101">
        <v>6277810.4299999997</v>
      </c>
      <c r="B60" s="124">
        <v>44956</v>
      </c>
      <c r="G60" s="88"/>
      <c r="J60" s="134">
        <v>-0.3215397027763629</v>
      </c>
      <c r="Q60" s="119" t="s">
        <v>156</v>
      </c>
      <c r="R60" s="103">
        <f>R56*R57</f>
        <v>0</v>
      </c>
      <c r="S60" s="103">
        <f t="shared" ref="S60:AV60" si="38">S56*S57</f>
        <v>0</v>
      </c>
      <c r="T60" s="103">
        <f t="shared" si="38"/>
        <v>0</v>
      </c>
      <c r="U60" s="103">
        <f t="shared" si="38"/>
        <v>0</v>
      </c>
      <c r="V60" s="103">
        <f t="shared" si="38"/>
        <v>0</v>
      </c>
      <c r="W60" s="103">
        <f t="shared" si="38"/>
        <v>0</v>
      </c>
      <c r="X60" s="103">
        <f t="shared" si="38"/>
        <v>0</v>
      </c>
      <c r="Y60" s="103">
        <f t="shared" si="38"/>
        <v>0</v>
      </c>
      <c r="Z60" s="103">
        <f t="shared" si="38"/>
        <v>0</v>
      </c>
      <c r="AA60" s="103">
        <f t="shared" si="38"/>
        <v>677074163.97319996</v>
      </c>
      <c r="AB60" s="103">
        <f t="shared" si="38"/>
        <v>0</v>
      </c>
      <c r="AC60" s="103">
        <f t="shared" si="38"/>
        <v>0</v>
      </c>
      <c r="AD60" s="103">
        <f t="shared" si="38"/>
        <v>0</v>
      </c>
      <c r="AE60" s="103">
        <f t="shared" si="38"/>
        <v>667524392.84520006</v>
      </c>
      <c r="AF60" s="103">
        <f t="shared" si="38"/>
        <v>717812852.47149992</v>
      </c>
      <c r="AG60" s="103">
        <f t="shared" si="38"/>
        <v>188141106.14019999</v>
      </c>
      <c r="AH60" s="103">
        <f t="shared" si="38"/>
        <v>0</v>
      </c>
      <c r="AI60" s="116">
        <f t="shared" si="38"/>
        <v>0</v>
      </c>
      <c r="AJ60" s="103">
        <f t="shared" si="38"/>
        <v>0</v>
      </c>
      <c r="AK60" s="103">
        <f t="shared" si="38"/>
        <v>0</v>
      </c>
      <c r="AL60" s="103">
        <f t="shared" si="38"/>
        <v>0</v>
      </c>
      <c r="AM60" s="103">
        <f t="shared" si="38"/>
        <v>0</v>
      </c>
      <c r="AN60" s="103">
        <f t="shared" si="38"/>
        <v>0</v>
      </c>
      <c r="AO60" s="103">
        <f t="shared" si="38"/>
        <v>759889793.60800004</v>
      </c>
      <c r="AP60" s="103">
        <f t="shared" si="38"/>
        <v>0</v>
      </c>
      <c r="AQ60" s="103">
        <f t="shared" si="38"/>
        <v>0</v>
      </c>
      <c r="AR60" s="103">
        <f t="shared" si="38"/>
        <v>0</v>
      </c>
      <c r="AS60" s="103">
        <f t="shared" si="38"/>
        <v>711879825.05519998</v>
      </c>
      <c r="AT60" s="103">
        <f t="shared" si="38"/>
        <v>0</v>
      </c>
      <c r="AU60" s="103">
        <f t="shared" si="38"/>
        <v>672230458.85189998</v>
      </c>
      <c r="AV60" s="103">
        <f t="shared" si="38"/>
        <v>0</v>
      </c>
    </row>
    <row r="61" spans="1:50" ht="16.5" thickBot="1" x14ac:dyDescent="0.3">
      <c r="A61" s="92">
        <v>3.2</v>
      </c>
      <c r="B61" s="108"/>
      <c r="G61" s="88"/>
      <c r="J61" s="89">
        <v>-604792.72427197779</v>
      </c>
      <c r="Q61" s="121" t="s">
        <v>115</v>
      </c>
      <c r="R61" s="126">
        <v>1739565000</v>
      </c>
      <c r="S61" s="126">
        <v>1023900000</v>
      </c>
      <c r="T61" s="126">
        <v>679800000</v>
      </c>
      <c r="U61" s="126">
        <v>477970000</v>
      </c>
      <c r="V61" s="126" t="s">
        <v>65</v>
      </c>
      <c r="W61" s="127" t="s">
        <v>65</v>
      </c>
      <c r="X61" s="127">
        <v>567950000</v>
      </c>
      <c r="Y61" s="127">
        <v>1399950000</v>
      </c>
      <c r="Z61" s="127">
        <v>1636900000</v>
      </c>
      <c r="AA61" s="127">
        <v>1487865000</v>
      </c>
      <c r="AB61" s="127">
        <v>508310000</v>
      </c>
      <c r="AC61" s="127" t="s">
        <v>65</v>
      </c>
      <c r="AD61" s="127" t="s">
        <v>65</v>
      </c>
      <c r="AE61" s="127">
        <v>974720000</v>
      </c>
      <c r="AF61" s="127">
        <v>1411320000</v>
      </c>
      <c r="AG61" s="127">
        <v>1122690000</v>
      </c>
      <c r="AH61" s="127">
        <v>1183325000</v>
      </c>
      <c r="AI61" s="129" t="s">
        <v>65</v>
      </c>
      <c r="AJ61" s="127" t="s">
        <v>65</v>
      </c>
      <c r="AK61" s="127" t="s">
        <v>65</v>
      </c>
      <c r="AL61" s="127">
        <v>1669225000</v>
      </c>
      <c r="AM61" s="127">
        <v>947450000</v>
      </c>
      <c r="AN61" s="127">
        <v>1137040000</v>
      </c>
      <c r="AO61" s="127">
        <v>1183500000</v>
      </c>
      <c r="AP61" s="127">
        <v>1425150000</v>
      </c>
      <c r="AQ61" s="127" t="s">
        <v>65</v>
      </c>
      <c r="AR61" s="127" t="s">
        <v>65</v>
      </c>
      <c r="AS61" s="127">
        <v>1833870000</v>
      </c>
      <c r="AT61" s="127">
        <v>1246050000</v>
      </c>
      <c r="AU61" s="127">
        <v>1200750000</v>
      </c>
      <c r="AV61" s="127" t="s">
        <v>65</v>
      </c>
      <c r="AW61" s="135">
        <f t="shared" ref="AW61:AW62" si="39">SUM(R61:AV61)</f>
        <v>24857300000</v>
      </c>
    </row>
    <row r="62" spans="1:50" x14ac:dyDescent="0.25">
      <c r="A62" s="83">
        <v>0</v>
      </c>
      <c r="B62" s="124">
        <v>44957</v>
      </c>
      <c r="C62" s="95"/>
      <c r="D62" s="95"/>
      <c r="E62" s="95"/>
      <c r="F62" s="95"/>
      <c r="J62" s="83">
        <v>-0.42935995908308655</v>
      </c>
      <c r="Q62" s="83" t="s">
        <v>117</v>
      </c>
      <c r="R62" s="109"/>
      <c r="S62" s="109"/>
      <c r="T62" s="109"/>
      <c r="U62" s="109"/>
      <c r="V62" s="109"/>
      <c r="W62" s="109"/>
      <c r="X62" s="109"/>
      <c r="Y62" s="109"/>
      <c r="Z62" s="109"/>
      <c r="AA62" s="109"/>
      <c r="AB62" s="109"/>
      <c r="AC62" s="109"/>
      <c r="AD62" s="109"/>
      <c r="AE62" s="109"/>
      <c r="AF62" s="109"/>
      <c r="AG62" s="109"/>
      <c r="AH62" s="109"/>
      <c r="AI62" s="117"/>
      <c r="AJ62" s="109"/>
      <c r="AK62" s="109"/>
      <c r="AL62" s="109"/>
      <c r="AM62" s="109"/>
      <c r="AN62" s="109"/>
      <c r="AO62" s="109"/>
      <c r="AP62" s="109"/>
      <c r="AQ62" s="109"/>
      <c r="AR62" s="109"/>
      <c r="AS62" s="109"/>
      <c r="AT62" s="109"/>
      <c r="AU62" s="109"/>
      <c r="AV62" s="109"/>
      <c r="AW62" s="135">
        <f t="shared" si="39"/>
        <v>0</v>
      </c>
    </row>
    <row r="63" spans="1:50" x14ac:dyDescent="0.25">
      <c r="A63" s="92">
        <v>0</v>
      </c>
      <c r="B63" s="108"/>
      <c r="G63" s="88"/>
      <c r="J63" s="133">
        <v>-401928.11064896989</v>
      </c>
      <c r="Q63" s="83" t="s">
        <v>116</v>
      </c>
      <c r="R63" s="111"/>
      <c r="S63" s="111"/>
      <c r="T63" s="115"/>
      <c r="U63" s="111"/>
      <c r="V63" s="111"/>
      <c r="W63" s="111"/>
      <c r="X63" s="111"/>
      <c r="Y63" s="111"/>
      <c r="Z63" s="111"/>
      <c r="AA63" s="111"/>
      <c r="AB63" s="111"/>
      <c r="AC63" s="111"/>
      <c r="AD63" s="111"/>
      <c r="AE63" s="111"/>
      <c r="AF63" s="111"/>
      <c r="AG63" s="111"/>
      <c r="AH63" s="111"/>
      <c r="AI63" s="112"/>
      <c r="AJ63" s="111"/>
      <c r="AK63" s="111"/>
      <c r="AL63" s="111"/>
      <c r="AM63" s="111"/>
      <c r="AN63" s="111"/>
      <c r="AO63" s="111"/>
      <c r="AP63" s="111"/>
      <c r="AQ63" s="111"/>
      <c r="AR63" s="111"/>
      <c r="AS63" s="111"/>
      <c r="AT63" s="111"/>
      <c r="AU63" s="111"/>
      <c r="AV63" s="111"/>
    </row>
    <row r="64" spans="1:50" x14ac:dyDescent="0.25">
      <c r="A64" s="101"/>
      <c r="G64" s="88"/>
      <c r="J64" s="134">
        <v>-0.3215397027763629</v>
      </c>
      <c r="Q64" s="83" t="s">
        <v>77</v>
      </c>
      <c r="R64" s="111"/>
      <c r="S64" s="111"/>
      <c r="T64" s="111"/>
      <c r="U64" s="111"/>
      <c r="V64" s="111"/>
      <c r="W64" s="111"/>
      <c r="X64" s="111"/>
      <c r="Y64" s="111"/>
      <c r="Z64" s="111"/>
      <c r="AA64" s="111"/>
      <c r="AB64" s="111"/>
      <c r="AC64" s="111"/>
      <c r="AD64" s="111"/>
      <c r="AE64" s="111"/>
      <c r="AF64" s="111"/>
      <c r="AG64" s="111"/>
      <c r="AH64" s="111"/>
      <c r="AI64" s="112"/>
      <c r="AJ64" s="111"/>
      <c r="AK64" s="111"/>
      <c r="AL64" s="111"/>
      <c r="AM64" s="111"/>
      <c r="AN64" s="111"/>
      <c r="AO64" s="111"/>
      <c r="AP64" s="111"/>
      <c r="AQ64" s="111"/>
      <c r="AR64" s="111"/>
      <c r="AS64" s="111"/>
      <c r="AT64" s="111"/>
      <c r="AU64" s="111"/>
      <c r="AV64" s="111"/>
    </row>
    <row r="65" spans="1:50" ht="16.5" thickBot="1" x14ac:dyDescent="0.3">
      <c r="Q65" s="119" t="s">
        <v>118</v>
      </c>
      <c r="R65" s="103">
        <f>R62*R63</f>
        <v>0</v>
      </c>
      <c r="S65" s="103">
        <f t="shared" ref="S65:AL65" si="40">S62*S63</f>
        <v>0</v>
      </c>
      <c r="T65" s="103">
        <f t="shared" si="40"/>
        <v>0</v>
      </c>
      <c r="U65" s="103">
        <f t="shared" si="40"/>
        <v>0</v>
      </c>
      <c r="V65" s="103">
        <f t="shared" si="40"/>
        <v>0</v>
      </c>
      <c r="W65" s="103">
        <f t="shared" si="40"/>
        <v>0</v>
      </c>
      <c r="X65" s="103">
        <f t="shared" ref="X65:AC65" si="41">X62*X63</f>
        <v>0</v>
      </c>
      <c r="Y65" s="103">
        <f t="shared" si="41"/>
        <v>0</v>
      </c>
      <c r="Z65" s="103">
        <f t="shared" si="41"/>
        <v>0</v>
      </c>
      <c r="AA65" s="103">
        <f t="shared" si="41"/>
        <v>0</v>
      </c>
      <c r="AB65" s="103">
        <f t="shared" si="41"/>
        <v>0</v>
      </c>
      <c r="AC65" s="103">
        <f t="shared" si="41"/>
        <v>0</v>
      </c>
      <c r="AD65" s="103">
        <f t="shared" si="40"/>
        <v>0</v>
      </c>
      <c r="AE65" s="103">
        <f t="shared" si="40"/>
        <v>0</v>
      </c>
      <c r="AF65" s="103">
        <f t="shared" si="40"/>
        <v>0</v>
      </c>
      <c r="AG65" s="103">
        <f t="shared" si="40"/>
        <v>0</v>
      </c>
      <c r="AH65" s="103">
        <f t="shared" si="40"/>
        <v>0</v>
      </c>
      <c r="AI65" s="116">
        <f>AI62*AI63</f>
        <v>0</v>
      </c>
      <c r="AJ65" s="103">
        <f>AJ62*AJ63</f>
        <v>0</v>
      </c>
      <c r="AK65" s="103">
        <f t="shared" si="40"/>
        <v>0</v>
      </c>
      <c r="AL65" s="103">
        <f t="shared" si="40"/>
        <v>0</v>
      </c>
      <c r="AM65" s="103">
        <f>AM62*AM63</f>
        <v>0</v>
      </c>
      <c r="AN65" s="103">
        <f>AN62*AN63</f>
        <v>0</v>
      </c>
      <c r="AO65" s="103">
        <f>AO62*AO63</f>
        <v>0</v>
      </c>
      <c r="AP65" s="103">
        <f>AP62*AP63</f>
        <v>0</v>
      </c>
      <c r="AQ65" s="103">
        <f t="shared" ref="AQ65:AT65" si="42">AQ62*AQ63</f>
        <v>0</v>
      </c>
      <c r="AR65" s="103">
        <f>AR62*AR63</f>
        <v>0</v>
      </c>
      <c r="AS65" s="103">
        <f t="shared" si="42"/>
        <v>0</v>
      </c>
      <c r="AT65" s="103">
        <f t="shared" si="42"/>
        <v>0</v>
      </c>
      <c r="AU65" s="103">
        <f>AU62*AU63</f>
        <v>0</v>
      </c>
      <c r="AV65" s="103">
        <f>AV62*AV63</f>
        <v>0</v>
      </c>
    </row>
    <row r="66" spans="1:50" x14ac:dyDescent="0.25">
      <c r="B66" s="84"/>
      <c r="C66" s="95"/>
      <c r="D66" s="95"/>
      <c r="E66" s="95"/>
      <c r="F66" s="95"/>
      <c r="Q66" s="83" t="s">
        <v>119</v>
      </c>
      <c r="R66" s="109">
        <v>2000000</v>
      </c>
      <c r="S66" s="109">
        <v>1350000</v>
      </c>
      <c r="T66" s="109">
        <v>850000</v>
      </c>
      <c r="U66" s="109">
        <v>550000</v>
      </c>
      <c r="V66" s="109"/>
      <c r="W66" s="109"/>
      <c r="X66" s="109">
        <v>250000</v>
      </c>
      <c r="Y66" s="109">
        <v>600000</v>
      </c>
      <c r="Z66" s="109"/>
      <c r="AA66" s="109">
        <v>400000</v>
      </c>
      <c r="AB66" s="109">
        <v>550000</v>
      </c>
      <c r="AC66" s="109"/>
      <c r="AD66" s="109"/>
      <c r="AE66" s="109">
        <v>1050000</v>
      </c>
      <c r="AF66" s="109">
        <v>1050000</v>
      </c>
      <c r="AG66" s="109">
        <v>1700000</v>
      </c>
      <c r="AH66" s="109"/>
      <c r="AI66" s="117"/>
      <c r="AJ66" s="109"/>
      <c r="AK66" s="109"/>
      <c r="AL66" s="109"/>
      <c r="AM66" s="109">
        <v>700000</v>
      </c>
      <c r="AN66" s="109">
        <v>1200000</v>
      </c>
      <c r="AO66" s="109">
        <v>350000</v>
      </c>
      <c r="AP66" s="109">
        <v>950000</v>
      </c>
      <c r="AQ66" s="109"/>
      <c r="AR66" s="109"/>
      <c r="AS66" s="109">
        <v>2500000</v>
      </c>
      <c r="AT66" s="109">
        <v>600000</v>
      </c>
      <c r="AU66" s="109"/>
      <c r="AV66" s="109"/>
      <c r="AW66" s="135">
        <f>SUM(R66:AV66)</f>
        <v>16650000</v>
      </c>
    </row>
    <row r="67" spans="1:50" x14ac:dyDescent="0.25">
      <c r="A67" s="95"/>
      <c r="B67" s="95"/>
      <c r="C67" s="95"/>
      <c r="D67" s="95"/>
      <c r="E67" s="95"/>
      <c r="F67" s="84"/>
      <c r="G67" s="95"/>
      <c r="I67" s="95"/>
      <c r="K67" s="95"/>
      <c r="M67" s="95"/>
      <c r="O67" s="95"/>
      <c r="Q67" s="83" t="s">
        <v>120</v>
      </c>
      <c r="R67" s="111">
        <v>897.68</v>
      </c>
      <c r="S67" s="111">
        <v>901.13</v>
      </c>
      <c r="T67" s="115">
        <v>908.23</v>
      </c>
      <c r="U67" s="111">
        <v>919.49</v>
      </c>
      <c r="V67" s="111">
        <v>919.49</v>
      </c>
      <c r="W67" s="111">
        <v>919.49</v>
      </c>
      <c r="X67" s="111">
        <v>923.74</v>
      </c>
      <c r="Y67" s="111">
        <v>925.86</v>
      </c>
      <c r="Z67" s="111">
        <v>933.62</v>
      </c>
      <c r="AA67" s="111">
        <v>934.84</v>
      </c>
      <c r="AB67" s="111">
        <v>931.26</v>
      </c>
      <c r="AC67" s="111">
        <v>931.26</v>
      </c>
      <c r="AD67" s="111">
        <v>931.26</v>
      </c>
      <c r="AE67" s="111">
        <v>926.07</v>
      </c>
      <c r="AF67" s="111">
        <v>928.37</v>
      </c>
      <c r="AG67" s="111">
        <v>937.29</v>
      </c>
      <c r="AH67" s="111">
        <v>941.3</v>
      </c>
      <c r="AI67" s="112">
        <v>945.01</v>
      </c>
      <c r="AJ67" s="111">
        <v>945.01</v>
      </c>
      <c r="AK67" s="111">
        <v>945.01</v>
      </c>
      <c r="AL67" s="111">
        <v>946.99</v>
      </c>
      <c r="AM67" s="111">
        <v>954.39</v>
      </c>
      <c r="AN67" s="111">
        <v>949</v>
      </c>
      <c r="AO67" s="136">
        <v>948.2</v>
      </c>
      <c r="AP67" s="136">
        <v>945.29</v>
      </c>
      <c r="AQ67" s="136">
        <v>945.29</v>
      </c>
      <c r="AR67" s="136">
        <v>945.29</v>
      </c>
      <c r="AS67" s="136">
        <v>949.34</v>
      </c>
      <c r="AT67" s="136">
        <v>945.88</v>
      </c>
      <c r="AU67" s="136">
        <v>950.89</v>
      </c>
      <c r="AV67" s="136">
        <v>950.89</v>
      </c>
      <c r="AW67" s="95"/>
    </row>
    <row r="68" spans="1:50" x14ac:dyDescent="0.25">
      <c r="B68" s="95"/>
      <c r="C68" s="95"/>
      <c r="D68" s="84"/>
      <c r="F68" s="95"/>
      <c r="G68" s="95"/>
      <c r="I68" s="95"/>
      <c r="Q68" s="83" t="s">
        <v>77</v>
      </c>
      <c r="R68" s="111" t="s">
        <v>188</v>
      </c>
      <c r="S68" s="111" t="s">
        <v>221</v>
      </c>
      <c r="T68" s="111" t="s">
        <v>222</v>
      </c>
      <c r="U68" s="111" t="s">
        <v>196</v>
      </c>
      <c r="V68" s="111"/>
      <c r="W68" s="111"/>
      <c r="X68" s="111" t="s">
        <v>219</v>
      </c>
      <c r="Y68" s="111" t="s">
        <v>201</v>
      </c>
      <c r="Z68" s="111"/>
      <c r="AA68" s="111" t="s">
        <v>218</v>
      </c>
      <c r="AB68" s="111" t="s">
        <v>196</v>
      </c>
      <c r="AC68" s="111"/>
      <c r="AD68" s="111"/>
      <c r="AE68" s="111" t="s">
        <v>209</v>
      </c>
      <c r="AF68" s="111" t="s">
        <v>209</v>
      </c>
      <c r="AG68" s="111" t="s">
        <v>223</v>
      </c>
      <c r="AH68" s="111"/>
      <c r="AI68" s="112"/>
      <c r="AJ68" s="111"/>
      <c r="AK68" s="111"/>
      <c r="AL68" s="111"/>
      <c r="AM68" s="111" t="s">
        <v>213</v>
      </c>
      <c r="AN68" s="111" t="s">
        <v>224</v>
      </c>
      <c r="AO68" s="111" t="s">
        <v>216</v>
      </c>
      <c r="AP68" s="111" t="s">
        <v>202</v>
      </c>
      <c r="AQ68" s="111"/>
      <c r="AR68" s="111"/>
      <c r="AS68" s="111" t="s">
        <v>225</v>
      </c>
      <c r="AT68" s="111" t="s">
        <v>201</v>
      </c>
      <c r="AU68" s="111"/>
      <c r="AV68" s="111"/>
    </row>
    <row r="69" spans="1:50" ht="16.5" thickBot="1" x14ac:dyDescent="0.3">
      <c r="A69" s="95"/>
      <c r="B69" s="95"/>
      <c r="C69" s="84"/>
      <c r="D69" s="95"/>
      <c r="E69" s="95"/>
      <c r="F69" s="95"/>
      <c r="G69" s="95"/>
      <c r="Q69" s="119" t="s">
        <v>121</v>
      </c>
      <c r="R69" s="103">
        <f t="shared" ref="R69:AO69" si="43">R66*R67</f>
        <v>1795360000</v>
      </c>
      <c r="S69" s="103">
        <f t="shared" si="43"/>
        <v>1216525500</v>
      </c>
      <c r="T69" s="103">
        <f t="shared" si="43"/>
        <v>771995500</v>
      </c>
      <c r="U69" s="103">
        <f t="shared" si="43"/>
        <v>505719500</v>
      </c>
      <c r="V69" s="103">
        <f t="shared" si="43"/>
        <v>0</v>
      </c>
      <c r="W69" s="103">
        <f t="shared" si="43"/>
        <v>0</v>
      </c>
      <c r="X69" s="103">
        <f t="shared" si="43"/>
        <v>230935000</v>
      </c>
      <c r="Y69" s="103">
        <f t="shared" si="43"/>
        <v>555516000</v>
      </c>
      <c r="Z69" s="103">
        <f t="shared" si="43"/>
        <v>0</v>
      </c>
      <c r="AA69" s="103">
        <f t="shared" si="43"/>
        <v>373936000</v>
      </c>
      <c r="AB69" s="103">
        <f t="shared" si="43"/>
        <v>512193000</v>
      </c>
      <c r="AC69" s="103">
        <f t="shared" si="43"/>
        <v>0</v>
      </c>
      <c r="AD69" s="103">
        <f t="shared" si="43"/>
        <v>0</v>
      </c>
      <c r="AE69" s="103">
        <f t="shared" si="43"/>
        <v>972373500</v>
      </c>
      <c r="AF69" s="103">
        <f t="shared" si="43"/>
        <v>974788500</v>
      </c>
      <c r="AG69" s="103">
        <f t="shared" si="43"/>
        <v>1593393000</v>
      </c>
      <c r="AH69" s="103">
        <f t="shared" si="43"/>
        <v>0</v>
      </c>
      <c r="AI69" s="116">
        <f t="shared" si="43"/>
        <v>0</v>
      </c>
      <c r="AJ69" s="103">
        <f t="shared" si="43"/>
        <v>0</v>
      </c>
      <c r="AK69" s="103">
        <f t="shared" si="43"/>
        <v>0</v>
      </c>
      <c r="AL69" s="103">
        <f t="shared" si="43"/>
        <v>0</v>
      </c>
      <c r="AM69" s="103">
        <f t="shared" si="43"/>
        <v>668073000</v>
      </c>
      <c r="AN69" s="103">
        <f t="shared" si="43"/>
        <v>1138800000</v>
      </c>
      <c r="AO69" s="103">
        <f t="shared" si="43"/>
        <v>331870000</v>
      </c>
      <c r="AP69" s="103">
        <f>AP66*AP67</f>
        <v>898025500</v>
      </c>
      <c r="AQ69" s="103">
        <f t="shared" ref="AQ69:AV69" si="44">AQ66*AQ67</f>
        <v>0</v>
      </c>
      <c r="AR69" s="103">
        <f t="shared" si="44"/>
        <v>0</v>
      </c>
      <c r="AS69" s="103">
        <f t="shared" si="44"/>
        <v>2373350000</v>
      </c>
      <c r="AT69" s="103">
        <f t="shared" si="44"/>
        <v>567528000</v>
      </c>
      <c r="AU69" s="103">
        <f t="shared" si="44"/>
        <v>0</v>
      </c>
      <c r="AV69" s="103">
        <f t="shared" si="44"/>
        <v>0</v>
      </c>
      <c r="AX69" s="135"/>
    </row>
    <row r="70" spans="1:50" x14ac:dyDescent="0.25">
      <c r="B70" s="84"/>
      <c r="C70" s="95"/>
      <c r="D70" s="95"/>
      <c r="E70" s="95"/>
      <c r="F70" s="95"/>
      <c r="Q70" s="83" t="s">
        <v>124</v>
      </c>
      <c r="R70" s="109"/>
      <c r="S70" s="109">
        <v>650000</v>
      </c>
      <c r="T70" s="109">
        <v>400000</v>
      </c>
      <c r="U70" s="109">
        <v>600000</v>
      </c>
      <c r="V70" s="109"/>
      <c r="W70" s="109"/>
      <c r="X70" s="109">
        <v>750000</v>
      </c>
      <c r="Y70" s="109">
        <v>900000</v>
      </c>
      <c r="Z70" s="109"/>
      <c r="AA70" s="109"/>
      <c r="AB70" s="109"/>
      <c r="AC70" s="109"/>
      <c r="AD70" s="109"/>
      <c r="AE70" s="109"/>
      <c r="AF70" s="109">
        <v>450000</v>
      </c>
      <c r="AG70" s="109"/>
      <c r="AH70" s="109">
        <v>950000</v>
      </c>
      <c r="AI70" s="117"/>
      <c r="AJ70" s="109"/>
      <c r="AK70" s="109"/>
      <c r="AL70" s="109">
        <v>1100000</v>
      </c>
      <c r="AM70" s="109">
        <v>300000</v>
      </c>
      <c r="AN70" s="109"/>
      <c r="AO70" s="109">
        <v>900000</v>
      </c>
      <c r="AP70" s="109">
        <v>550000</v>
      </c>
      <c r="AQ70" s="109"/>
      <c r="AR70" s="109"/>
      <c r="AS70" s="109">
        <v>400000</v>
      </c>
      <c r="AT70" s="109">
        <v>700000</v>
      </c>
      <c r="AU70" s="109"/>
      <c r="AV70" s="109"/>
      <c r="AW70" s="135">
        <f>SUM(R70:AV70)</f>
        <v>8650000</v>
      </c>
    </row>
    <row r="71" spans="1:50" x14ac:dyDescent="0.25">
      <c r="A71" s="84"/>
      <c r="B71" s="95"/>
      <c r="C71" s="95"/>
      <c r="D71" s="95"/>
      <c r="E71" s="95"/>
      <c r="F71" s="95"/>
      <c r="G71" s="95"/>
      <c r="Q71" s="83" t="s">
        <v>125</v>
      </c>
      <c r="R71" s="111">
        <v>897.68</v>
      </c>
      <c r="S71" s="111">
        <v>901.13</v>
      </c>
      <c r="T71" s="115">
        <v>908.23</v>
      </c>
      <c r="U71" s="111">
        <v>919.49</v>
      </c>
      <c r="V71" s="111">
        <v>919.49</v>
      </c>
      <c r="W71" s="111">
        <v>919.49</v>
      </c>
      <c r="X71" s="111">
        <v>923.74</v>
      </c>
      <c r="Y71" s="111">
        <v>925.86</v>
      </c>
      <c r="Z71" s="111">
        <v>933.62</v>
      </c>
      <c r="AA71" s="111">
        <v>934.84</v>
      </c>
      <c r="AB71" s="111">
        <v>931.26</v>
      </c>
      <c r="AC71" s="111">
        <v>931.26</v>
      </c>
      <c r="AD71" s="111">
        <v>931.26</v>
      </c>
      <c r="AE71" s="111">
        <v>926.07</v>
      </c>
      <c r="AF71" s="111">
        <v>928.37</v>
      </c>
      <c r="AG71" s="111">
        <v>937.29</v>
      </c>
      <c r="AH71" s="111">
        <v>941.3</v>
      </c>
      <c r="AI71" s="112">
        <v>945.01</v>
      </c>
      <c r="AJ71" s="111">
        <v>945.01</v>
      </c>
      <c r="AK71" s="111">
        <v>945.01</v>
      </c>
      <c r="AL71" s="111">
        <v>946.99</v>
      </c>
      <c r="AM71" s="111">
        <v>954.39</v>
      </c>
      <c r="AN71" s="111">
        <v>949</v>
      </c>
      <c r="AO71" s="136">
        <v>948.2</v>
      </c>
      <c r="AP71" s="136">
        <v>945.29</v>
      </c>
      <c r="AQ71" s="136">
        <v>945.29</v>
      </c>
      <c r="AR71" s="136">
        <v>945.29</v>
      </c>
      <c r="AS71" s="136">
        <v>949.34</v>
      </c>
      <c r="AT71" s="136">
        <v>945.88</v>
      </c>
      <c r="AU71" s="136">
        <v>950.89</v>
      </c>
      <c r="AV71" s="136">
        <v>950.89</v>
      </c>
    </row>
    <row r="72" spans="1:50" x14ac:dyDescent="0.25">
      <c r="A72" s="95"/>
      <c r="B72" s="95"/>
      <c r="C72" s="95"/>
      <c r="D72" s="95"/>
      <c r="E72" s="95"/>
      <c r="F72" s="95"/>
      <c r="G72" s="95"/>
      <c r="I72" s="95"/>
      <c r="Q72" s="83" t="s">
        <v>77</v>
      </c>
      <c r="R72" s="111"/>
      <c r="S72" s="111" t="s">
        <v>187</v>
      </c>
      <c r="T72" s="111" t="s">
        <v>218</v>
      </c>
      <c r="U72" s="111" t="s">
        <v>201</v>
      </c>
      <c r="V72" s="111"/>
      <c r="W72" s="111"/>
      <c r="X72" s="111" t="s">
        <v>212</v>
      </c>
      <c r="Y72" s="111" t="s">
        <v>211</v>
      </c>
      <c r="Z72" s="111"/>
      <c r="AA72" s="111"/>
      <c r="AB72" s="111"/>
      <c r="AC72" s="111"/>
      <c r="AD72" s="111"/>
      <c r="AE72" s="111"/>
      <c r="AF72" s="111" t="s">
        <v>199</v>
      </c>
      <c r="AG72" s="111"/>
      <c r="AH72" s="111" t="s">
        <v>202</v>
      </c>
      <c r="AI72" s="112"/>
      <c r="AJ72" s="111"/>
      <c r="AK72" s="111"/>
      <c r="AL72" s="111" t="s">
        <v>226</v>
      </c>
      <c r="AM72" s="111" t="s">
        <v>215</v>
      </c>
      <c r="AN72" s="111"/>
      <c r="AO72" s="111" t="s">
        <v>211</v>
      </c>
      <c r="AP72" s="111" t="s">
        <v>196</v>
      </c>
      <c r="AQ72" s="111"/>
      <c r="AR72" s="111"/>
      <c r="AS72" s="111" t="s">
        <v>218</v>
      </c>
      <c r="AT72" s="111" t="s">
        <v>213</v>
      </c>
      <c r="AU72" s="111"/>
      <c r="AV72" s="111"/>
    </row>
    <row r="73" spans="1:50" ht="16.5" thickBot="1" x14ac:dyDescent="0.3">
      <c r="A73" s="95"/>
      <c r="B73" s="95"/>
      <c r="C73" s="95"/>
      <c r="D73" s="95"/>
      <c r="E73" s="95"/>
      <c r="F73" s="95"/>
      <c r="Q73" s="119" t="s">
        <v>126</v>
      </c>
      <c r="R73" s="103">
        <f t="shared" ref="R73:AO73" si="45">R70*R71</f>
        <v>0</v>
      </c>
      <c r="S73" s="103">
        <f t="shared" si="45"/>
        <v>585734500</v>
      </c>
      <c r="T73" s="103">
        <f t="shared" si="45"/>
        <v>363292000</v>
      </c>
      <c r="U73" s="103">
        <f t="shared" si="45"/>
        <v>551694000</v>
      </c>
      <c r="V73" s="103">
        <f t="shared" si="45"/>
        <v>0</v>
      </c>
      <c r="W73" s="103">
        <f t="shared" si="45"/>
        <v>0</v>
      </c>
      <c r="X73" s="103">
        <f t="shared" si="45"/>
        <v>692805000</v>
      </c>
      <c r="Y73" s="103">
        <f t="shared" si="45"/>
        <v>833274000</v>
      </c>
      <c r="Z73" s="103">
        <f t="shared" si="45"/>
        <v>0</v>
      </c>
      <c r="AA73" s="103">
        <f t="shared" si="45"/>
        <v>0</v>
      </c>
      <c r="AB73" s="103">
        <f t="shared" si="45"/>
        <v>0</v>
      </c>
      <c r="AC73" s="103">
        <f t="shared" si="45"/>
        <v>0</v>
      </c>
      <c r="AD73" s="103">
        <f t="shared" si="45"/>
        <v>0</v>
      </c>
      <c r="AE73" s="103">
        <f t="shared" si="45"/>
        <v>0</v>
      </c>
      <c r="AF73" s="103">
        <f t="shared" si="45"/>
        <v>417766500</v>
      </c>
      <c r="AG73" s="103">
        <f t="shared" si="45"/>
        <v>0</v>
      </c>
      <c r="AH73" s="103">
        <f t="shared" si="45"/>
        <v>894235000</v>
      </c>
      <c r="AI73" s="116">
        <f t="shared" si="45"/>
        <v>0</v>
      </c>
      <c r="AJ73" s="103">
        <f t="shared" si="45"/>
        <v>0</v>
      </c>
      <c r="AK73" s="103">
        <f t="shared" si="45"/>
        <v>0</v>
      </c>
      <c r="AL73" s="103">
        <f t="shared" si="45"/>
        <v>1041689000</v>
      </c>
      <c r="AM73" s="103">
        <f t="shared" si="45"/>
        <v>286317000</v>
      </c>
      <c r="AN73" s="103">
        <f t="shared" si="45"/>
        <v>0</v>
      </c>
      <c r="AO73" s="103">
        <f t="shared" si="45"/>
        <v>853380000</v>
      </c>
      <c r="AP73" s="103">
        <f>AP70*AP71</f>
        <v>519909500</v>
      </c>
      <c r="AQ73" s="103">
        <f t="shared" ref="AQ73:AV73" si="46">AQ70*AQ71</f>
        <v>0</v>
      </c>
      <c r="AR73" s="103">
        <f t="shared" si="46"/>
        <v>0</v>
      </c>
      <c r="AS73" s="103">
        <f t="shared" si="46"/>
        <v>379736000</v>
      </c>
      <c r="AT73" s="103">
        <f t="shared" si="46"/>
        <v>662116000</v>
      </c>
      <c r="AU73" s="103">
        <f t="shared" si="46"/>
        <v>0</v>
      </c>
      <c r="AV73" s="103">
        <f t="shared" si="46"/>
        <v>0</v>
      </c>
      <c r="AX73" s="135"/>
    </row>
    <row r="74" spans="1:50" x14ac:dyDescent="0.25">
      <c r="A74" s="95"/>
      <c r="B74" s="95"/>
      <c r="C74" s="95"/>
      <c r="D74" s="95"/>
      <c r="E74" s="95"/>
      <c r="F74" s="95"/>
      <c r="G74" s="95"/>
      <c r="Q74" s="83" t="s">
        <v>129</v>
      </c>
      <c r="R74" s="109"/>
      <c r="S74" s="109"/>
      <c r="T74" s="111"/>
      <c r="U74" s="109"/>
      <c r="V74" s="109"/>
      <c r="W74" s="109"/>
      <c r="X74" s="109"/>
      <c r="Y74" s="109"/>
      <c r="Z74" s="109">
        <v>1750000</v>
      </c>
      <c r="AA74" s="109">
        <v>1200000</v>
      </c>
      <c r="AB74" s="109"/>
      <c r="AC74" s="109"/>
      <c r="AD74" s="109"/>
      <c r="AE74" s="109"/>
      <c r="AF74" s="109"/>
      <c r="AG74" s="109"/>
      <c r="AH74" s="109"/>
      <c r="AI74" s="117"/>
      <c r="AJ74" s="109"/>
      <c r="AK74" s="109"/>
      <c r="AL74" s="109"/>
      <c r="AM74" s="109"/>
      <c r="AN74" s="109"/>
      <c r="AO74" s="109"/>
      <c r="AP74" s="109"/>
      <c r="AQ74" s="109"/>
      <c r="AR74" s="109"/>
      <c r="AS74" s="109"/>
      <c r="AT74" s="109"/>
      <c r="AU74" s="109"/>
      <c r="AV74" s="109"/>
      <c r="AW74" s="135">
        <f>SUM(R74:AV74)</f>
        <v>2950000</v>
      </c>
    </row>
    <row r="75" spans="1:50" x14ac:dyDescent="0.25">
      <c r="B75" s="95"/>
      <c r="C75" s="95"/>
      <c r="D75" s="95"/>
      <c r="E75" s="95"/>
      <c r="Q75" s="83" t="s">
        <v>130</v>
      </c>
      <c r="R75" s="111">
        <v>897.68</v>
      </c>
      <c r="S75" s="111">
        <v>901.13</v>
      </c>
      <c r="T75" s="115">
        <v>908.23</v>
      </c>
      <c r="U75" s="111">
        <v>919.49</v>
      </c>
      <c r="V75" s="111">
        <v>919.49</v>
      </c>
      <c r="W75" s="111">
        <v>919.49</v>
      </c>
      <c r="X75" s="111">
        <v>923.74</v>
      </c>
      <c r="Y75" s="111">
        <v>925.86</v>
      </c>
      <c r="Z75" s="111">
        <v>933.62</v>
      </c>
      <c r="AA75" s="111">
        <v>934.84</v>
      </c>
      <c r="AB75" s="111">
        <v>931.26</v>
      </c>
      <c r="AC75" s="111">
        <v>931.26</v>
      </c>
      <c r="AD75" s="111">
        <v>931.26</v>
      </c>
      <c r="AE75" s="111">
        <v>926.07</v>
      </c>
      <c r="AF75" s="111">
        <v>928.37</v>
      </c>
      <c r="AG75" s="111">
        <v>937.29</v>
      </c>
      <c r="AH75" s="111">
        <v>941.3</v>
      </c>
      <c r="AI75" s="112">
        <v>945.01</v>
      </c>
      <c r="AJ75" s="111">
        <v>945.01</v>
      </c>
      <c r="AK75" s="111">
        <v>945.01</v>
      </c>
      <c r="AL75" s="111">
        <v>946.99</v>
      </c>
      <c r="AM75" s="111">
        <v>954.39</v>
      </c>
      <c r="AN75" s="111">
        <v>949</v>
      </c>
      <c r="AO75" s="136">
        <v>948.2</v>
      </c>
      <c r="AP75" s="136">
        <v>945.29</v>
      </c>
      <c r="AQ75" s="136">
        <v>945.29</v>
      </c>
      <c r="AR75" s="136">
        <v>945.29</v>
      </c>
      <c r="AS75" s="136">
        <v>949.34</v>
      </c>
      <c r="AT75" s="136">
        <v>945.88</v>
      </c>
      <c r="AU75" s="136">
        <v>950.89</v>
      </c>
      <c r="AV75" s="136">
        <v>950.89</v>
      </c>
    </row>
    <row r="76" spans="1:50" x14ac:dyDescent="0.25">
      <c r="B76" s="95"/>
      <c r="E76" s="83"/>
      <c r="Q76" s="83" t="s">
        <v>77</v>
      </c>
      <c r="R76" s="111"/>
      <c r="S76" s="111"/>
      <c r="T76" s="111"/>
      <c r="U76" s="111"/>
      <c r="V76" s="111"/>
      <c r="W76" s="111"/>
      <c r="X76" s="111"/>
      <c r="Y76" s="111"/>
      <c r="Z76" s="111" t="s">
        <v>227</v>
      </c>
      <c r="AA76" s="111" t="s">
        <v>224</v>
      </c>
      <c r="AB76" s="111"/>
      <c r="AC76" s="111"/>
      <c r="AD76" s="111"/>
      <c r="AE76" s="111"/>
      <c r="AF76" s="111"/>
      <c r="AG76" s="111"/>
      <c r="AH76" s="111"/>
      <c r="AI76" s="112"/>
      <c r="AJ76" s="111"/>
      <c r="AK76" s="111"/>
      <c r="AL76" s="111"/>
      <c r="AM76" s="111"/>
      <c r="AN76" s="111"/>
      <c r="AO76" s="111"/>
      <c r="AP76" s="111"/>
      <c r="AQ76" s="111"/>
      <c r="AR76" s="111"/>
      <c r="AS76" s="111"/>
      <c r="AT76" s="111"/>
      <c r="AU76" s="111"/>
      <c r="AV76" s="111"/>
    </row>
    <row r="77" spans="1:50" ht="16.5" thickBot="1" x14ac:dyDescent="0.3">
      <c r="Q77" s="119" t="s">
        <v>131</v>
      </c>
      <c r="R77" s="103">
        <f t="shared" ref="R77:AO77" si="47">R74*R75</f>
        <v>0</v>
      </c>
      <c r="S77" s="103">
        <f t="shared" si="47"/>
        <v>0</v>
      </c>
      <c r="T77" s="103">
        <f t="shared" si="47"/>
        <v>0</v>
      </c>
      <c r="U77" s="103">
        <f t="shared" si="47"/>
        <v>0</v>
      </c>
      <c r="V77" s="103">
        <f t="shared" si="47"/>
        <v>0</v>
      </c>
      <c r="W77" s="103">
        <f t="shared" si="47"/>
        <v>0</v>
      </c>
      <c r="X77" s="103">
        <f t="shared" si="47"/>
        <v>0</v>
      </c>
      <c r="Y77" s="103">
        <f t="shared" si="47"/>
        <v>0</v>
      </c>
      <c r="Z77" s="103">
        <f t="shared" si="47"/>
        <v>1633835000</v>
      </c>
      <c r="AA77" s="103">
        <f t="shared" si="47"/>
        <v>1121808000</v>
      </c>
      <c r="AB77" s="103">
        <f t="shared" si="47"/>
        <v>0</v>
      </c>
      <c r="AC77" s="103">
        <f t="shared" si="47"/>
        <v>0</v>
      </c>
      <c r="AD77" s="103">
        <f t="shared" si="47"/>
        <v>0</v>
      </c>
      <c r="AE77" s="103">
        <f t="shared" si="47"/>
        <v>0</v>
      </c>
      <c r="AF77" s="103">
        <f t="shared" si="47"/>
        <v>0</v>
      </c>
      <c r="AG77" s="103">
        <f t="shared" si="47"/>
        <v>0</v>
      </c>
      <c r="AH77" s="103">
        <f t="shared" si="47"/>
        <v>0</v>
      </c>
      <c r="AI77" s="116">
        <f t="shared" si="47"/>
        <v>0</v>
      </c>
      <c r="AJ77" s="103">
        <f t="shared" si="47"/>
        <v>0</v>
      </c>
      <c r="AK77" s="103">
        <f t="shared" si="47"/>
        <v>0</v>
      </c>
      <c r="AL77" s="103">
        <f t="shared" si="47"/>
        <v>0</v>
      </c>
      <c r="AM77" s="103">
        <f t="shared" si="47"/>
        <v>0</v>
      </c>
      <c r="AN77" s="103">
        <f t="shared" si="47"/>
        <v>0</v>
      </c>
      <c r="AO77" s="103">
        <f t="shared" si="47"/>
        <v>0</v>
      </c>
      <c r="AP77" s="103">
        <f>AP74*AP75</f>
        <v>0</v>
      </c>
      <c r="AQ77" s="103">
        <f t="shared" ref="AQ77:AV77" si="48">AQ74*AQ75</f>
        <v>0</v>
      </c>
      <c r="AR77" s="103">
        <f t="shared" si="48"/>
        <v>0</v>
      </c>
      <c r="AS77" s="103">
        <f t="shared" si="48"/>
        <v>0</v>
      </c>
      <c r="AT77" s="103">
        <f t="shared" si="48"/>
        <v>0</v>
      </c>
      <c r="AU77" s="103">
        <f t="shared" si="48"/>
        <v>0</v>
      </c>
      <c r="AV77" s="103">
        <f t="shared" si="48"/>
        <v>0</v>
      </c>
      <c r="AX77" s="135"/>
    </row>
    <row r="78" spans="1:50" x14ac:dyDescent="0.25">
      <c r="Q78" s="83" t="s">
        <v>135</v>
      </c>
      <c r="R78" s="109"/>
      <c r="S78" s="109"/>
      <c r="T78" s="111"/>
      <c r="U78" s="109"/>
      <c r="V78" s="109"/>
      <c r="W78" s="109"/>
      <c r="X78" s="109"/>
      <c r="Y78" s="109"/>
      <c r="Z78" s="109"/>
      <c r="AA78" s="109"/>
      <c r="AB78" s="109"/>
      <c r="AC78" s="109"/>
      <c r="AD78" s="109"/>
      <c r="AE78" s="109"/>
      <c r="AF78" s="109"/>
      <c r="AG78" s="109"/>
      <c r="AH78" s="109"/>
      <c r="AI78" s="117"/>
      <c r="AJ78" s="109"/>
      <c r="AK78" s="109"/>
      <c r="AL78" s="109"/>
      <c r="AM78" s="109"/>
      <c r="AN78" s="109"/>
      <c r="AO78" s="109"/>
      <c r="AP78" s="109"/>
      <c r="AQ78" s="109"/>
      <c r="AR78" s="109"/>
      <c r="AS78" s="109"/>
      <c r="AT78" s="109"/>
      <c r="AU78" s="109"/>
      <c r="AV78" s="109"/>
      <c r="AW78" s="135">
        <f>SUM(R78:AV78)</f>
        <v>0</v>
      </c>
    </row>
    <row r="79" spans="1:50" x14ac:dyDescent="0.25">
      <c r="Q79" s="83" t="s">
        <v>136</v>
      </c>
      <c r="R79" s="111">
        <v>897.68</v>
      </c>
      <c r="S79" s="111">
        <v>901.13</v>
      </c>
      <c r="T79" s="115">
        <v>908.23</v>
      </c>
      <c r="U79" s="111">
        <v>919.49</v>
      </c>
      <c r="V79" s="111">
        <v>919.49</v>
      </c>
      <c r="W79" s="111">
        <v>919.49</v>
      </c>
      <c r="X79" s="111">
        <v>923.74</v>
      </c>
      <c r="Y79" s="111">
        <v>925.86</v>
      </c>
      <c r="Z79" s="111">
        <v>933.62</v>
      </c>
      <c r="AA79" s="111">
        <v>934.84</v>
      </c>
      <c r="AB79" s="111">
        <v>931.26</v>
      </c>
      <c r="AC79" s="111">
        <v>931.26</v>
      </c>
      <c r="AD79" s="111">
        <v>931.26</v>
      </c>
      <c r="AE79" s="111">
        <v>926.07</v>
      </c>
      <c r="AF79" s="111">
        <v>928.37</v>
      </c>
      <c r="AG79" s="111">
        <v>937.29</v>
      </c>
      <c r="AH79" s="111">
        <v>941.3</v>
      </c>
      <c r="AI79" s="112">
        <v>945.01</v>
      </c>
      <c r="AJ79" s="111">
        <v>945.01</v>
      </c>
      <c r="AK79" s="111">
        <v>945.01</v>
      </c>
      <c r="AL79" s="111">
        <v>946.99</v>
      </c>
      <c r="AM79" s="111">
        <v>954.39</v>
      </c>
      <c r="AN79" s="111">
        <v>949</v>
      </c>
      <c r="AO79" s="136">
        <v>948.2</v>
      </c>
      <c r="AP79" s="136">
        <v>945.29</v>
      </c>
      <c r="AQ79" s="136">
        <v>945.29</v>
      </c>
      <c r="AR79" s="136">
        <v>945.29</v>
      </c>
      <c r="AS79" s="136">
        <v>949.34</v>
      </c>
      <c r="AT79" s="136">
        <v>945.88</v>
      </c>
      <c r="AU79" s="136">
        <v>950.89</v>
      </c>
      <c r="AV79" s="136">
        <v>950.89</v>
      </c>
    </row>
    <row r="80" spans="1:50" x14ac:dyDescent="0.25">
      <c r="Q80" s="83" t="s">
        <v>77</v>
      </c>
      <c r="R80" s="111"/>
      <c r="S80" s="111"/>
      <c r="T80" s="111"/>
      <c r="U80" s="111"/>
      <c r="V80" s="111"/>
      <c r="W80" s="111"/>
      <c r="X80" s="111"/>
      <c r="Y80" s="111"/>
      <c r="Z80" s="111"/>
      <c r="AA80" s="111"/>
      <c r="AB80" s="111"/>
      <c r="AC80" s="111"/>
      <c r="AD80" s="111"/>
      <c r="AE80" s="111"/>
      <c r="AF80" s="111"/>
      <c r="AG80" s="111"/>
      <c r="AH80" s="111"/>
      <c r="AI80" s="112"/>
      <c r="AJ80" s="111"/>
      <c r="AK80" s="111"/>
      <c r="AL80" s="111"/>
      <c r="AM80" s="111"/>
      <c r="AN80" s="111"/>
      <c r="AO80" s="111"/>
      <c r="AP80" s="111"/>
      <c r="AQ80" s="111"/>
      <c r="AR80" s="111"/>
      <c r="AS80" s="111"/>
      <c r="AT80" s="111"/>
      <c r="AU80" s="111"/>
      <c r="AV80" s="111"/>
    </row>
    <row r="81" spans="1:51" ht="16.5" thickBot="1" x14ac:dyDescent="0.3">
      <c r="A81" s="102"/>
      <c r="C81" s="102"/>
      <c r="G81" s="102"/>
      <c r="I81" s="102"/>
      <c r="O81" s="102"/>
      <c r="Q81" s="119" t="s">
        <v>137</v>
      </c>
      <c r="R81" s="103">
        <f t="shared" ref="R81:AO81" si="49">R78*R79</f>
        <v>0</v>
      </c>
      <c r="S81" s="103">
        <f t="shared" si="49"/>
        <v>0</v>
      </c>
      <c r="T81" s="103">
        <f t="shared" si="49"/>
        <v>0</v>
      </c>
      <c r="U81" s="103">
        <f t="shared" si="49"/>
        <v>0</v>
      </c>
      <c r="V81" s="103">
        <f t="shared" si="49"/>
        <v>0</v>
      </c>
      <c r="W81" s="103">
        <f t="shared" si="49"/>
        <v>0</v>
      </c>
      <c r="X81" s="103">
        <f t="shared" si="49"/>
        <v>0</v>
      </c>
      <c r="Y81" s="103">
        <f t="shared" si="49"/>
        <v>0</v>
      </c>
      <c r="Z81" s="103">
        <f t="shared" si="49"/>
        <v>0</v>
      </c>
      <c r="AA81" s="103">
        <f t="shared" si="49"/>
        <v>0</v>
      </c>
      <c r="AB81" s="103">
        <f t="shared" si="49"/>
        <v>0</v>
      </c>
      <c r="AC81" s="103">
        <f t="shared" si="49"/>
        <v>0</v>
      </c>
      <c r="AD81" s="103">
        <f t="shared" si="49"/>
        <v>0</v>
      </c>
      <c r="AE81" s="103">
        <f t="shared" si="49"/>
        <v>0</v>
      </c>
      <c r="AF81" s="103">
        <f t="shared" si="49"/>
        <v>0</v>
      </c>
      <c r="AG81" s="103">
        <f t="shared" si="49"/>
        <v>0</v>
      </c>
      <c r="AH81" s="103">
        <f t="shared" si="49"/>
        <v>0</v>
      </c>
      <c r="AI81" s="116">
        <f t="shared" si="49"/>
        <v>0</v>
      </c>
      <c r="AJ81" s="103">
        <f t="shared" si="49"/>
        <v>0</v>
      </c>
      <c r="AK81" s="103">
        <f t="shared" si="49"/>
        <v>0</v>
      </c>
      <c r="AL81" s="103">
        <f t="shared" si="49"/>
        <v>0</v>
      </c>
      <c r="AM81" s="103">
        <f t="shared" si="49"/>
        <v>0</v>
      </c>
      <c r="AN81" s="103">
        <f t="shared" si="49"/>
        <v>0</v>
      </c>
      <c r="AO81" s="103">
        <f t="shared" si="49"/>
        <v>0</v>
      </c>
      <c r="AP81" s="103">
        <f>AP78*AP79</f>
        <v>0</v>
      </c>
      <c r="AQ81" s="103">
        <f t="shared" ref="AQ81:AV81" si="50">AQ78*AQ79</f>
        <v>0</v>
      </c>
      <c r="AR81" s="103">
        <f t="shared" si="50"/>
        <v>0</v>
      </c>
      <c r="AS81" s="103">
        <f t="shared" si="50"/>
        <v>0</v>
      </c>
      <c r="AT81" s="103">
        <f t="shared" si="50"/>
        <v>0</v>
      </c>
      <c r="AU81" s="103">
        <f t="shared" si="50"/>
        <v>0</v>
      </c>
      <c r="AV81" s="103">
        <f t="shared" si="50"/>
        <v>0</v>
      </c>
      <c r="AW81" s="102"/>
      <c r="AX81" s="135"/>
    </row>
    <row r="82" spans="1:51" x14ac:dyDescent="0.25">
      <c r="Q82" s="83" t="s">
        <v>132</v>
      </c>
      <c r="R82" s="109"/>
      <c r="S82" s="109"/>
      <c r="T82" s="111"/>
      <c r="U82" s="109"/>
      <c r="V82" s="109"/>
      <c r="W82" s="109"/>
      <c r="X82" s="109"/>
      <c r="Y82" s="109"/>
      <c r="Z82" s="109"/>
      <c r="AA82" s="109"/>
      <c r="AB82" s="109"/>
      <c r="AC82" s="109"/>
      <c r="AD82" s="109"/>
      <c r="AE82" s="109"/>
      <c r="AF82" s="109"/>
      <c r="AG82" s="109"/>
      <c r="AH82" s="109"/>
      <c r="AI82" s="117"/>
      <c r="AJ82" s="109"/>
      <c r="AK82" s="109"/>
      <c r="AL82" s="109"/>
      <c r="AM82" s="109"/>
      <c r="AN82" s="109"/>
      <c r="AO82" s="109"/>
      <c r="AP82" s="109"/>
      <c r="AQ82" s="109"/>
      <c r="AR82" s="109"/>
      <c r="AS82" s="109"/>
      <c r="AT82" s="109"/>
      <c r="AU82" s="109"/>
      <c r="AV82" s="109"/>
      <c r="AW82" s="135">
        <f>SUM(R82:AV82)</f>
        <v>0</v>
      </c>
    </row>
    <row r="83" spans="1:51" x14ac:dyDescent="0.25">
      <c r="Q83" s="83" t="s">
        <v>133</v>
      </c>
      <c r="R83" s="111"/>
      <c r="S83" s="111"/>
      <c r="T83" s="115"/>
      <c r="U83" s="111"/>
      <c r="V83" s="111"/>
      <c r="W83" s="111"/>
      <c r="X83" s="111"/>
      <c r="Y83" s="111"/>
      <c r="Z83" s="111"/>
      <c r="AA83" s="111"/>
      <c r="AB83" s="111"/>
      <c r="AC83" s="111"/>
      <c r="AD83" s="111"/>
      <c r="AE83" s="111"/>
      <c r="AF83" s="111"/>
      <c r="AG83" s="111"/>
      <c r="AH83" s="111"/>
      <c r="AI83" s="112"/>
      <c r="AJ83" s="111"/>
      <c r="AK83" s="111"/>
      <c r="AL83" s="111"/>
      <c r="AM83" s="111"/>
      <c r="AN83" s="111"/>
      <c r="AO83" s="111"/>
      <c r="AP83" s="111"/>
      <c r="AQ83" s="111"/>
      <c r="AR83" s="111"/>
      <c r="AS83" s="111"/>
      <c r="AT83" s="111"/>
      <c r="AU83" s="111"/>
      <c r="AV83" s="111"/>
    </row>
    <row r="84" spans="1:51" x14ac:dyDescent="0.25">
      <c r="Q84" s="83" t="s">
        <v>77</v>
      </c>
      <c r="R84" s="111"/>
      <c r="S84" s="111"/>
      <c r="T84" s="111"/>
      <c r="U84" s="111"/>
      <c r="V84" s="111"/>
      <c r="W84" s="111"/>
      <c r="X84" s="111"/>
      <c r="Y84" s="111"/>
      <c r="Z84" s="111"/>
      <c r="AA84" s="111"/>
      <c r="AB84" s="111"/>
      <c r="AC84" s="111"/>
      <c r="AD84" s="111"/>
      <c r="AE84" s="111"/>
      <c r="AF84" s="111"/>
      <c r="AG84" s="111"/>
      <c r="AH84" s="111"/>
      <c r="AI84" s="112"/>
      <c r="AJ84" s="111"/>
      <c r="AK84" s="111"/>
      <c r="AL84" s="111"/>
      <c r="AM84" s="111"/>
      <c r="AN84" s="111"/>
      <c r="AO84" s="111"/>
      <c r="AP84" s="111"/>
      <c r="AQ84" s="111"/>
      <c r="AR84" s="111"/>
      <c r="AS84" s="111"/>
      <c r="AT84" s="111"/>
      <c r="AU84" s="111"/>
      <c r="AV84" s="111"/>
    </row>
    <row r="85" spans="1:51" ht="16.5" thickBot="1" x14ac:dyDescent="0.3">
      <c r="A85" s="102"/>
      <c r="C85" s="102"/>
      <c r="G85" s="102"/>
      <c r="I85" s="102"/>
      <c r="O85" s="102"/>
      <c r="Q85" s="119" t="s">
        <v>134</v>
      </c>
      <c r="R85" s="103">
        <f t="shared" ref="R85:AO85" si="51">R82*R83</f>
        <v>0</v>
      </c>
      <c r="S85" s="103">
        <f t="shared" si="51"/>
        <v>0</v>
      </c>
      <c r="T85" s="103">
        <f t="shared" si="51"/>
        <v>0</v>
      </c>
      <c r="U85" s="103">
        <f t="shared" si="51"/>
        <v>0</v>
      </c>
      <c r="V85" s="103">
        <f t="shared" si="51"/>
        <v>0</v>
      </c>
      <c r="W85" s="103">
        <f t="shared" si="51"/>
        <v>0</v>
      </c>
      <c r="X85" s="103">
        <f t="shared" si="51"/>
        <v>0</v>
      </c>
      <c r="Y85" s="103">
        <f t="shared" si="51"/>
        <v>0</v>
      </c>
      <c r="Z85" s="103">
        <f t="shared" si="51"/>
        <v>0</v>
      </c>
      <c r="AA85" s="103">
        <f t="shared" si="51"/>
        <v>0</v>
      </c>
      <c r="AB85" s="103">
        <f t="shared" si="51"/>
        <v>0</v>
      </c>
      <c r="AC85" s="103">
        <f t="shared" si="51"/>
        <v>0</v>
      </c>
      <c r="AD85" s="103">
        <f t="shared" si="51"/>
        <v>0</v>
      </c>
      <c r="AE85" s="103">
        <f t="shared" si="51"/>
        <v>0</v>
      </c>
      <c r="AF85" s="103">
        <f t="shared" si="51"/>
        <v>0</v>
      </c>
      <c r="AG85" s="103">
        <f t="shared" si="51"/>
        <v>0</v>
      </c>
      <c r="AH85" s="103">
        <f t="shared" si="51"/>
        <v>0</v>
      </c>
      <c r="AI85" s="116">
        <f t="shared" si="51"/>
        <v>0</v>
      </c>
      <c r="AJ85" s="103">
        <f t="shared" si="51"/>
        <v>0</v>
      </c>
      <c r="AK85" s="103">
        <f t="shared" si="51"/>
        <v>0</v>
      </c>
      <c r="AL85" s="103">
        <f t="shared" si="51"/>
        <v>0</v>
      </c>
      <c r="AM85" s="103">
        <f t="shared" si="51"/>
        <v>0</v>
      </c>
      <c r="AN85" s="103">
        <f t="shared" si="51"/>
        <v>0</v>
      </c>
      <c r="AO85" s="103">
        <f t="shared" si="51"/>
        <v>0</v>
      </c>
      <c r="AP85" s="103">
        <f>AP82*AP83</f>
        <v>0</v>
      </c>
      <c r="AQ85" s="103">
        <f t="shared" ref="AQ85:AV85" si="52">AQ82*AQ83</f>
        <v>0</v>
      </c>
      <c r="AR85" s="103">
        <f t="shared" si="52"/>
        <v>0</v>
      </c>
      <c r="AS85" s="103">
        <f t="shared" si="52"/>
        <v>0</v>
      </c>
      <c r="AT85" s="103">
        <f t="shared" si="52"/>
        <v>0</v>
      </c>
      <c r="AU85" s="103">
        <f t="shared" si="52"/>
        <v>0</v>
      </c>
      <c r="AV85" s="103">
        <f t="shared" si="52"/>
        <v>0</v>
      </c>
      <c r="AW85" s="102"/>
    </row>
    <row r="86" spans="1:51" ht="16.5" thickBot="1" x14ac:dyDescent="0.3">
      <c r="A86" s="102"/>
      <c r="D86" s="102"/>
      <c r="F86" s="102"/>
      <c r="G86" s="102"/>
      <c r="H86" s="102"/>
      <c r="I86" s="102"/>
      <c r="K86" s="102"/>
      <c r="L86" s="102"/>
      <c r="M86" s="102"/>
      <c r="N86" s="102"/>
      <c r="O86" s="102"/>
      <c r="Q86" s="121" t="s">
        <v>147</v>
      </c>
      <c r="R86" s="126">
        <v>0</v>
      </c>
      <c r="S86" s="126">
        <v>0</v>
      </c>
      <c r="T86" s="126">
        <v>0</v>
      </c>
      <c r="U86" s="126">
        <v>0</v>
      </c>
      <c r="V86" s="126">
        <v>0</v>
      </c>
      <c r="W86" s="126">
        <v>0</v>
      </c>
      <c r="X86" s="126">
        <v>0</v>
      </c>
      <c r="Y86" s="126">
        <v>0</v>
      </c>
      <c r="Z86" s="127">
        <v>761500000</v>
      </c>
      <c r="AA86" s="127">
        <v>418264215</v>
      </c>
      <c r="AB86" s="127">
        <v>0</v>
      </c>
      <c r="AC86" s="127">
        <v>0</v>
      </c>
      <c r="AD86" s="127">
        <v>0</v>
      </c>
      <c r="AE86" s="127">
        <v>0</v>
      </c>
      <c r="AF86" s="127">
        <v>981437997</v>
      </c>
      <c r="AG86" s="127">
        <v>0</v>
      </c>
      <c r="AH86" s="127">
        <v>361620545</v>
      </c>
      <c r="AI86" s="129">
        <v>0</v>
      </c>
      <c r="AJ86" s="127">
        <v>0</v>
      </c>
      <c r="AK86" s="127">
        <v>0</v>
      </c>
      <c r="AL86" s="127">
        <v>349574827</v>
      </c>
      <c r="AM86" s="127">
        <v>671754661</v>
      </c>
      <c r="AN86" s="127">
        <v>688216556</v>
      </c>
      <c r="AO86" s="127">
        <v>732261399</v>
      </c>
      <c r="AP86" s="127">
        <v>0</v>
      </c>
      <c r="AQ86" s="127">
        <v>0</v>
      </c>
      <c r="AR86" s="127">
        <v>0</v>
      </c>
      <c r="AS86" s="127">
        <v>0</v>
      </c>
      <c r="AT86" s="127">
        <v>444657859</v>
      </c>
      <c r="AU86" s="127">
        <v>252684489</v>
      </c>
      <c r="AV86" s="127">
        <v>0</v>
      </c>
      <c r="AW86" s="135">
        <f>SUM(R86:AV86)</f>
        <v>5661972548</v>
      </c>
    </row>
    <row r="87" spans="1:51" ht="16.5" thickBot="1" x14ac:dyDescent="0.3">
      <c r="A87" s="102"/>
      <c r="Q87" s="121" t="s">
        <v>148</v>
      </c>
      <c r="R87" s="126"/>
      <c r="S87" s="126"/>
      <c r="T87" s="126"/>
      <c r="U87" s="126"/>
      <c r="V87" s="126"/>
      <c r="W87" s="127"/>
      <c r="X87" s="127"/>
      <c r="Y87" s="127"/>
      <c r="Z87" s="127"/>
      <c r="AA87" s="127"/>
      <c r="AB87" s="127"/>
      <c r="AC87" s="127"/>
      <c r="AD87" s="127"/>
      <c r="AE87" s="127"/>
      <c r="AF87" s="127"/>
      <c r="AG87" s="127"/>
      <c r="AH87" s="127"/>
      <c r="AI87" s="129"/>
      <c r="AJ87" s="127"/>
      <c r="AK87" s="127"/>
      <c r="AL87" s="127">
        <v>300000000</v>
      </c>
      <c r="AM87" s="127"/>
      <c r="AN87" s="127"/>
      <c r="AO87" s="127"/>
      <c r="AP87" s="127"/>
      <c r="AQ87" s="127"/>
      <c r="AR87" s="127"/>
      <c r="AS87" s="127"/>
      <c r="AT87" s="127"/>
      <c r="AU87" s="127"/>
      <c r="AV87" s="127"/>
      <c r="AW87" s="135">
        <f>SUM(R87:AV87)</f>
        <v>300000000</v>
      </c>
    </row>
    <row r="88" spans="1:51" x14ac:dyDescent="0.25">
      <c r="A88" s="102"/>
      <c r="Q88" s="83" t="s">
        <v>149</v>
      </c>
      <c r="R88" s="109"/>
      <c r="S88" s="109"/>
      <c r="T88" s="111"/>
      <c r="U88" s="109"/>
      <c r="V88" s="109"/>
      <c r="W88" s="109"/>
      <c r="X88" s="109"/>
      <c r="Y88" s="109"/>
      <c r="Z88" s="109"/>
      <c r="AA88" s="109"/>
      <c r="AB88" s="109"/>
      <c r="AC88" s="109"/>
      <c r="AD88" s="109"/>
      <c r="AE88" s="109"/>
      <c r="AF88" s="109"/>
      <c r="AG88" s="109"/>
      <c r="AH88" s="109">
        <v>300000</v>
      </c>
      <c r="AI88" s="117"/>
      <c r="AJ88" s="109"/>
      <c r="AK88" s="109"/>
      <c r="AL88" s="109">
        <v>650000</v>
      </c>
      <c r="AM88" s="109"/>
      <c r="AN88" s="109"/>
      <c r="AO88" s="109"/>
      <c r="AP88" s="109"/>
      <c r="AQ88" s="109"/>
      <c r="AR88" s="109"/>
      <c r="AS88" s="109"/>
      <c r="AT88" s="109"/>
      <c r="AU88" s="109"/>
      <c r="AV88" s="109"/>
      <c r="AW88" s="135">
        <f>SUM(R88:AV88)</f>
        <v>950000</v>
      </c>
    </row>
    <row r="89" spans="1:51" x14ac:dyDescent="0.25">
      <c r="A89" s="102"/>
      <c r="Q89" s="83" t="s">
        <v>150</v>
      </c>
      <c r="R89" s="111">
        <v>897.68</v>
      </c>
      <c r="S89" s="111">
        <v>901.13</v>
      </c>
      <c r="T89" s="115">
        <v>908.23</v>
      </c>
      <c r="U89" s="111">
        <v>919.49</v>
      </c>
      <c r="V89" s="111">
        <v>919.49</v>
      </c>
      <c r="W89" s="111">
        <v>919.49</v>
      </c>
      <c r="X89" s="111">
        <v>923.74</v>
      </c>
      <c r="Y89" s="111">
        <v>925.86</v>
      </c>
      <c r="Z89" s="111">
        <v>933.62</v>
      </c>
      <c r="AA89" s="111">
        <v>934.84</v>
      </c>
      <c r="AB89" s="111">
        <v>931.26</v>
      </c>
      <c r="AC89" s="111">
        <v>931.26</v>
      </c>
      <c r="AD89" s="111">
        <v>931.26</v>
      </c>
      <c r="AE89" s="111">
        <v>926.07</v>
      </c>
      <c r="AF89" s="111">
        <v>928.37</v>
      </c>
      <c r="AG89" s="111">
        <v>937.29</v>
      </c>
      <c r="AH89" s="111">
        <v>941.3</v>
      </c>
      <c r="AI89" s="112">
        <v>945.01</v>
      </c>
      <c r="AJ89" s="111">
        <v>945.01</v>
      </c>
      <c r="AK89" s="111">
        <v>945.01</v>
      </c>
      <c r="AL89" s="111">
        <v>946.99</v>
      </c>
      <c r="AM89" s="111">
        <v>954.39</v>
      </c>
      <c r="AN89" s="111">
        <v>949</v>
      </c>
      <c r="AO89" s="136">
        <v>948.2</v>
      </c>
      <c r="AP89" s="136">
        <v>945.29</v>
      </c>
      <c r="AQ89" s="136">
        <v>945.29</v>
      </c>
      <c r="AR89" s="136">
        <v>945.29</v>
      </c>
      <c r="AS89" s="136">
        <v>949.34</v>
      </c>
      <c r="AT89" s="136">
        <v>945.88</v>
      </c>
      <c r="AU89" s="136">
        <v>950.89</v>
      </c>
      <c r="AV89" s="136">
        <v>950.89</v>
      </c>
    </row>
    <row r="90" spans="1:51" x14ac:dyDescent="0.25">
      <c r="A90" s="102"/>
      <c r="Q90" s="83" t="s">
        <v>77</v>
      </c>
      <c r="R90" s="111"/>
      <c r="S90" s="111"/>
      <c r="T90" s="111"/>
      <c r="U90" s="111"/>
      <c r="V90" s="111"/>
      <c r="W90" s="111"/>
      <c r="X90" s="111"/>
      <c r="Y90" s="111"/>
      <c r="Z90" s="111"/>
      <c r="AA90" s="111"/>
      <c r="AB90" s="111"/>
      <c r="AC90" s="111"/>
      <c r="AD90" s="111"/>
      <c r="AE90" s="111"/>
      <c r="AF90" s="111"/>
      <c r="AG90" s="111"/>
      <c r="AH90" s="111" t="s">
        <v>215</v>
      </c>
      <c r="AI90" s="112"/>
      <c r="AJ90" s="111"/>
      <c r="AK90" s="111"/>
      <c r="AL90" s="111" t="s">
        <v>187</v>
      </c>
      <c r="AM90" s="111"/>
      <c r="AN90" s="111"/>
      <c r="AO90" s="111"/>
      <c r="AP90" s="111"/>
      <c r="AQ90" s="111"/>
      <c r="AR90" s="111"/>
      <c r="AS90" s="111"/>
      <c r="AT90" s="111"/>
      <c r="AU90" s="111"/>
      <c r="AV90" s="111"/>
    </row>
    <row r="91" spans="1:51" ht="16.5" thickBot="1" x14ac:dyDescent="0.3">
      <c r="A91" s="102"/>
      <c r="C91" s="102"/>
      <c r="G91" s="102"/>
      <c r="I91" s="102"/>
      <c r="O91" s="102"/>
      <c r="Q91" s="119" t="s">
        <v>151</v>
      </c>
      <c r="R91" s="103">
        <f t="shared" ref="R91:AO91" si="53">R88*R89</f>
        <v>0</v>
      </c>
      <c r="S91" s="103">
        <f t="shared" si="53"/>
        <v>0</v>
      </c>
      <c r="T91" s="103">
        <f t="shared" si="53"/>
        <v>0</v>
      </c>
      <c r="U91" s="103">
        <f t="shared" si="53"/>
        <v>0</v>
      </c>
      <c r="V91" s="103">
        <f t="shared" si="53"/>
        <v>0</v>
      </c>
      <c r="W91" s="103">
        <f t="shared" si="53"/>
        <v>0</v>
      </c>
      <c r="X91" s="103">
        <f t="shared" si="53"/>
        <v>0</v>
      </c>
      <c r="Y91" s="103">
        <f t="shared" si="53"/>
        <v>0</v>
      </c>
      <c r="Z91" s="103">
        <f t="shared" si="53"/>
        <v>0</v>
      </c>
      <c r="AA91" s="103">
        <f t="shared" si="53"/>
        <v>0</v>
      </c>
      <c r="AB91" s="103">
        <f t="shared" si="53"/>
        <v>0</v>
      </c>
      <c r="AC91" s="103">
        <f t="shared" si="53"/>
        <v>0</v>
      </c>
      <c r="AD91" s="103">
        <f t="shared" si="53"/>
        <v>0</v>
      </c>
      <c r="AE91" s="103">
        <f t="shared" si="53"/>
        <v>0</v>
      </c>
      <c r="AF91" s="103">
        <f t="shared" si="53"/>
        <v>0</v>
      </c>
      <c r="AG91" s="103">
        <f t="shared" si="53"/>
        <v>0</v>
      </c>
      <c r="AH91" s="103">
        <f t="shared" si="53"/>
        <v>282390000</v>
      </c>
      <c r="AI91" s="116">
        <f t="shared" si="53"/>
        <v>0</v>
      </c>
      <c r="AJ91" s="103">
        <f t="shared" si="53"/>
        <v>0</v>
      </c>
      <c r="AK91" s="103">
        <f t="shared" si="53"/>
        <v>0</v>
      </c>
      <c r="AL91" s="103">
        <f t="shared" si="53"/>
        <v>615543500</v>
      </c>
      <c r="AM91" s="103">
        <f t="shared" si="53"/>
        <v>0</v>
      </c>
      <c r="AN91" s="103">
        <f t="shared" si="53"/>
        <v>0</v>
      </c>
      <c r="AO91" s="103">
        <f t="shared" si="53"/>
        <v>0</v>
      </c>
      <c r="AP91" s="103">
        <f>AP88*AP89</f>
        <v>0</v>
      </c>
      <c r="AQ91" s="103">
        <f t="shared" ref="AQ91:AV91" si="54">AQ88*AQ89</f>
        <v>0</v>
      </c>
      <c r="AR91" s="103">
        <f t="shared" si="54"/>
        <v>0</v>
      </c>
      <c r="AS91" s="103">
        <f t="shared" si="54"/>
        <v>0</v>
      </c>
      <c r="AT91" s="103">
        <f t="shared" si="54"/>
        <v>0</v>
      </c>
      <c r="AU91" s="103">
        <f t="shared" si="54"/>
        <v>0</v>
      </c>
      <c r="AV91" s="103">
        <f t="shared" si="54"/>
        <v>0</v>
      </c>
      <c r="AW91" s="102"/>
      <c r="AX91" s="135"/>
    </row>
    <row r="92" spans="1:51" ht="16.5" thickBot="1" x14ac:dyDescent="0.3">
      <c r="A92" s="102"/>
      <c r="G92" s="88"/>
      <c r="J92" s="89">
        <v>-604792.72427197779</v>
      </c>
      <c r="Q92" s="121" t="s">
        <v>166</v>
      </c>
      <c r="R92" s="126">
        <v>449900000</v>
      </c>
      <c r="S92" s="126">
        <v>456150000</v>
      </c>
      <c r="T92" s="126">
        <v>460150000</v>
      </c>
      <c r="U92" s="126">
        <v>462150000</v>
      </c>
      <c r="V92" s="126" t="s">
        <v>65</v>
      </c>
      <c r="W92" s="127" t="s">
        <v>65</v>
      </c>
      <c r="X92" s="127" t="s">
        <v>65</v>
      </c>
      <c r="Y92" s="127" t="s">
        <v>65</v>
      </c>
      <c r="Z92" s="127" t="s">
        <v>65</v>
      </c>
      <c r="AA92" s="127" t="s">
        <v>65</v>
      </c>
      <c r="AB92" s="127" t="s">
        <v>65</v>
      </c>
      <c r="AC92" s="127" t="s">
        <v>65</v>
      </c>
      <c r="AD92" s="127" t="s">
        <v>65</v>
      </c>
      <c r="AE92" s="127" t="s">
        <v>65</v>
      </c>
      <c r="AF92" s="127" t="s">
        <v>65</v>
      </c>
      <c r="AG92" s="127">
        <v>470800000</v>
      </c>
      <c r="AH92" s="127" t="s">
        <v>65</v>
      </c>
      <c r="AI92" s="129" t="s">
        <v>65</v>
      </c>
      <c r="AJ92" s="127" t="s">
        <v>65</v>
      </c>
      <c r="AK92" s="127" t="s">
        <v>65</v>
      </c>
      <c r="AL92" s="127">
        <v>477150000</v>
      </c>
      <c r="AM92" s="127">
        <v>570480000</v>
      </c>
      <c r="AN92" s="127">
        <v>473650000</v>
      </c>
      <c r="AO92" s="127">
        <v>474350000</v>
      </c>
      <c r="AP92" s="127">
        <v>475300000</v>
      </c>
      <c r="AQ92" s="127" t="s">
        <v>65</v>
      </c>
      <c r="AR92" s="127" t="s">
        <v>65</v>
      </c>
      <c r="AS92" s="127" t="s">
        <v>65</v>
      </c>
      <c r="AT92" s="127" t="s">
        <v>65</v>
      </c>
      <c r="AU92" s="127">
        <v>479650000</v>
      </c>
      <c r="AV92" s="127" t="s">
        <v>65</v>
      </c>
      <c r="AW92" s="135">
        <f t="shared" ref="AW92:AW93" si="55">SUM(R92:AV92)</f>
        <v>5249730000</v>
      </c>
    </row>
    <row r="93" spans="1:51" x14ac:dyDescent="0.25">
      <c r="A93" s="102"/>
      <c r="G93" s="88"/>
      <c r="J93" s="94">
        <v>-0.42935995908308655</v>
      </c>
      <c r="Q93" s="83" t="s">
        <v>176</v>
      </c>
      <c r="R93" s="109"/>
      <c r="S93" s="109"/>
      <c r="T93" s="109"/>
      <c r="U93" s="109"/>
      <c r="V93" s="109"/>
      <c r="W93" s="109"/>
      <c r="X93" s="109"/>
      <c r="Y93" s="109"/>
      <c r="Z93" s="109"/>
      <c r="AA93" s="109"/>
      <c r="AB93" s="109"/>
      <c r="AC93" s="109"/>
      <c r="AD93" s="109"/>
      <c r="AE93" s="109"/>
      <c r="AF93" s="109"/>
      <c r="AG93" s="109"/>
      <c r="AH93" s="109"/>
      <c r="AI93" s="117"/>
      <c r="AJ93" s="109"/>
      <c r="AK93" s="109"/>
      <c r="AL93" s="109"/>
      <c r="AM93" s="109"/>
      <c r="AN93" s="109"/>
      <c r="AO93" s="109"/>
      <c r="AP93" s="109"/>
      <c r="AQ93" s="109"/>
      <c r="AR93" s="109"/>
      <c r="AS93" s="109"/>
      <c r="AT93" s="109"/>
      <c r="AU93" s="109"/>
      <c r="AV93" s="109"/>
      <c r="AW93" s="135">
        <f t="shared" si="55"/>
        <v>0</v>
      </c>
    </row>
    <row r="94" spans="1:51" x14ac:dyDescent="0.25">
      <c r="A94" s="102"/>
      <c r="G94" s="88"/>
      <c r="J94" s="133">
        <v>-401928.11064896989</v>
      </c>
      <c r="Q94" s="83" t="s">
        <v>167</v>
      </c>
      <c r="R94" s="111"/>
      <c r="S94" s="111"/>
      <c r="T94" s="115"/>
      <c r="U94" s="111"/>
      <c r="V94" s="111"/>
      <c r="W94" s="111"/>
      <c r="X94" s="111"/>
      <c r="Y94" s="111"/>
      <c r="Z94" s="111"/>
      <c r="AA94" s="111"/>
      <c r="AB94" s="111"/>
      <c r="AC94" s="111"/>
      <c r="AD94" s="111"/>
      <c r="AE94" s="111"/>
      <c r="AF94" s="111"/>
      <c r="AG94" s="111"/>
      <c r="AH94" s="111"/>
      <c r="AI94" s="112"/>
      <c r="AJ94" s="111"/>
      <c r="AK94" s="111"/>
      <c r="AL94" s="111"/>
      <c r="AM94" s="111"/>
      <c r="AN94" s="111"/>
      <c r="AO94" s="111"/>
      <c r="AP94" s="111"/>
      <c r="AQ94" s="111"/>
      <c r="AR94" s="111"/>
      <c r="AS94" s="111"/>
      <c r="AT94" s="111"/>
      <c r="AU94" s="111"/>
      <c r="AV94" s="111"/>
      <c r="AY94" s="90"/>
    </row>
    <row r="95" spans="1:51" x14ac:dyDescent="0.25">
      <c r="A95" s="102"/>
      <c r="G95" s="88"/>
      <c r="J95" s="134">
        <v>-0.3215397027763629</v>
      </c>
      <c r="Q95" s="83" t="s">
        <v>77</v>
      </c>
      <c r="R95" s="111"/>
      <c r="S95" s="111"/>
      <c r="T95" s="111"/>
      <c r="U95" s="111"/>
      <c r="V95" s="111"/>
      <c r="W95" s="111"/>
      <c r="X95" s="111"/>
      <c r="Y95" s="111"/>
      <c r="Z95" s="111"/>
      <c r="AA95" s="111"/>
      <c r="AB95" s="111"/>
      <c r="AC95" s="111"/>
      <c r="AD95" s="111"/>
      <c r="AE95" s="111"/>
      <c r="AF95" s="111"/>
      <c r="AG95" s="111"/>
      <c r="AH95" s="111"/>
      <c r="AI95" s="112"/>
      <c r="AJ95" s="111"/>
      <c r="AK95" s="111"/>
      <c r="AL95" s="111"/>
      <c r="AM95" s="111"/>
      <c r="AN95" s="111"/>
      <c r="AO95" s="111"/>
      <c r="AP95" s="111"/>
      <c r="AQ95" s="111"/>
      <c r="AR95" s="111"/>
      <c r="AS95" s="111"/>
      <c r="AT95" s="111"/>
      <c r="AU95" s="111"/>
      <c r="AV95" s="111"/>
      <c r="AY95" s="90"/>
    </row>
    <row r="96" spans="1:51" ht="16.5" thickBot="1" x14ac:dyDescent="0.3">
      <c r="A96" s="102"/>
      <c r="Q96" s="119" t="s">
        <v>177</v>
      </c>
      <c r="R96" s="103">
        <f>R93*R94</f>
        <v>0</v>
      </c>
      <c r="S96" s="103">
        <f t="shared" ref="S96:AI96" si="56">S93*S94</f>
        <v>0</v>
      </c>
      <c r="T96" s="103">
        <f t="shared" si="56"/>
        <v>0</v>
      </c>
      <c r="U96" s="103">
        <f t="shared" si="56"/>
        <v>0</v>
      </c>
      <c r="V96" s="103">
        <f t="shared" si="56"/>
        <v>0</v>
      </c>
      <c r="W96" s="103">
        <f t="shared" si="56"/>
        <v>0</v>
      </c>
      <c r="X96" s="103">
        <f t="shared" si="56"/>
        <v>0</v>
      </c>
      <c r="Y96" s="103">
        <f t="shared" si="56"/>
        <v>0</v>
      </c>
      <c r="Z96" s="103">
        <f t="shared" si="56"/>
        <v>0</v>
      </c>
      <c r="AA96" s="103">
        <f t="shared" si="56"/>
        <v>0</v>
      </c>
      <c r="AB96" s="103">
        <f t="shared" si="56"/>
        <v>0</v>
      </c>
      <c r="AC96" s="103">
        <f t="shared" si="56"/>
        <v>0</v>
      </c>
      <c r="AD96" s="103">
        <f t="shared" si="56"/>
        <v>0</v>
      </c>
      <c r="AE96" s="103">
        <f t="shared" si="56"/>
        <v>0</v>
      </c>
      <c r="AF96" s="103">
        <f t="shared" si="56"/>
        <v>0</v>
      </c>
      <c r="AG96" s="103">
        <f t="shared" si="56"/>
        <v>0</v>
      </c>
      <c r="AH96" s="103">
        <f t="shared" si="56"/>
        <v>0</v>
      </c>
      <c r="AI96" s="116">
        <f t="shared" si="56"/>
        <v>0</v>
      </c>
      <c r="AJ96" s="103">
        <f>AJ93*AJ94</f>
        <v>0</v>
      </c>
      <c r="AK96" s="103">
        <f t="shared" ref="AK96:AL96" si="57">AK93*AK94</f>
        <v>0</v>
      </c>
      <c r="AL96" s="103">
        <f t="shared" si="57"/>
        <v>0</v>
      </c>
      <c r="AM96" s="103">
        <f>AM93*AM94</f>
        <v>0</v>
      </c>
      <c r="AN96" s="103">
        <f>AN93*AN94</f>
        <v>0</v>
      </c>
      <c r="AO96" s="103">
        <f>AO93*AO94</f>
        <v>0</v>
      </c>
      <c r="AP96" s="103">
        <f>AP93*AP94</f>
        <v>0</v>
      </c>
      <c r="AQ96" s="103">
        <f t="shared" ref="AQ96" si="58">AQ93*AQ94</f>
        <v>0</v>
      </c>
      <c r="AR96" s="103">
        <f>AR93*AR94</f>
        <v>0</v>
      </c>
      <c r="AS96" s="103">
        <f t="shared" ref="AS96:AV96" si="59">AS93*AS94</f>
        <v>0</v>
      </c>
      <c r="AT96" s="103">
        <f t="shared" si="59"/>
        <v>0</v>
      </c>
      <c r="AU96" s="103">
        <f t="shared" si="59"/>
        <v>0</v>
      </c>
      <c r="AV96" s="103">
        <f t="shared" si="59"/>
        <v>0</v>
      </c>
    </row>
    <row r="97" spans="1:49" x14ac:dyDescent="0.25">
      <c r="A97" s="102"/>
      <c r="C97" s="95"/>
      <c r="D97" s="95"/>
      <c r="F97" s="95"/>
      <c r="G97" s="95"/>
      <c r="H97" s="95"/>
      <c r="I97" s="95"/>
      <c r="J97" s="95"/>
      <c r="K97" s="95"/>
      <c r="L97" s="95"/>
      <c r="Q97" s="83" t="s">
        <v>168</v>
      </c>
      <c r="R97" s="109">
        <v>600000</v>
      </c>
      <c r="S97" s="109">
        <v>500000</v>
      </c>
      <c r="T97" s="109">
        <v>500000</v>
      </c>
      <c r="U97" s="109">
        <v>750000</v>
      </c>
      <c r="V97" s="109"/>
      <c r="W97" s="109"/>
      <c r="X97" s="109"/>
      <c r="Y97" s="109"/>
      <c r="Z97" s="109"/>
      <c r="AA97" s="109"/>
      <c r="AB97" s="109"/>
      <c r="AC97" s="109"/>
      <c r="AD97" s="109"/>
      <c r="AE97" s="109"/>
      <c r="AF97" s="109"/>
      <c r="AG97" s="109">
        <v>500000</v>
      </c>
      <c r="AH97" s="109"/>
      <c r="AI97" s="117"/>
      <c r="AJ97" s="109"/>
      <c r="AK97" s="109"/>
      <c r="AL97" s="109">
        <v>500000</v>
      </c>
      <c r="AM97" s="109">
        <v>600000</v>
      </c>
      <c r="AN97" s="109">
        <v>650000</v>
      </c>
      <c r="AO97" s="109">
        <v>600000</v>
      </c>
      <c r="AP97" s="109">
        <v>500000</v>
      </c>
      <c r="AQ97" s="109"/>
      <c r="AR97" s="109"/>
      <c r="AS97" s="109"/>
      <c r="AT97" s="109"/>
      <c r="AU97" s="109">
        <v>600000</v>
      </c>
      <c r="AV97" s="109"/>
      <c r="AW97" s="135">
        <f>SUM(R97:AV97)</f>
        <v>6300000</v>
      </c>
    </row>
    <row r="98" spans="1:49" x14ac:dyDescent="0.25">
      <c r="A98" s="102"/>
      <c r="C98" s="95"/>
      <c r="D98" s="95"/>
      <c r="E98" s="95"/>
      <c r="F98" s="84"/>
      <c r="G98" s="95"/>
      <c r="I98" s="95"/>
      <c r="K98" s="95"/>
      <c r="M98" s="95"/>
      <c r="O98" s="95"/>
      <c r="Q98" s="83" t="s">
        <v>120</v>
      </c>
      <c r="R98" s="111">
        <v>897.68</v>
      </c>
      <c r="S98" s="111">
        <v>901.13</v>
      </c>
      <c r="T98" s="115">
        <v>908.23</v>
      </c>
      <c r="U98" s="111">
        <v>919.49</v>
      </c>
      <c r="V98" s="111">
        <v>919.49</v>
      </c>
      <c r="W98" s="111">
        <v>919.49</v>
      </c>
      <c r="X98" s="111">
        <v>923.74</v>
      </c>
      <c r="Y98" s="111">
        <v>925.86</v>
      </c>
      <c r="Z98" s="111">
        <v>933.62</v>
      </c>
      <c r="AA98" s="111">
        <v>934.84</v>
      </c>
      <c r="AB98" s="111">
        <v>931.26</v>
      </c>
      <c r="AC98" s="111">
        <v>931.26</v>
      </c>
      <c r="AD98" s="111">
        <v>931.26</v>
      </c>
      <c r="AE98" s="111">
        <v>926.07</v>
      </c>
      <c r="AF98" s="111">
        <v>928.37</v>
      </c>
      <c r="AG98" s="111">
        <v>937.29</v>
      </c>
      <c r="AH98" s="111">
        <v>941.3</v>
      </c>
      <c r="AI98" s="112">
        <v>945.01</v>
      </c>
      <c r="AJ98" s="111">
        <v>945.01</v>
      </c>
      <c r="AK98" s="111">
        <v>945.01</v>
      </c>
      <c r="AL98" s="111">
        <v>946.99</v>
      </c>
      <c r="AM98" s="111">
        <v>954.39</v>
      </c>
      <c r="AN98" s="111">
        <v>949</v>
      </c>
      <c r="AO98" s="111">
        <v>948.2</v>
      </c>
      <c r="AP98" s="111">
        <v>945.29</v>
      </c>
      <c r="AQ98" s="111">
        <v>945.29</v>
      </c>
      <c r="AR98" s="111">
        <v>945.29</v>
      </c>
      <c r="AS98" s="111">
        <v>949.34</v>
      </c>
      <c r="AT98" s="111">
        <v>945.88</v>
      </c>
      <c r="AU98" s="111">
        <v>950.89</v>
      </c>
      <c r="AV98" s="111">
        <v>950.89</v>
      </c>
      <c r="AW98" s="95"/>
    </row>
    <row r="99" spans="1:49" x14ac:dyDescent="0.25">
      <c r="B99" s="95"/>
      <c r="C99" s="95"/>
      <c r="D99" s="84"/>
      <c r="F99" s="95"/>
      <c r="G99" s="95"/>
      <c r="I99" s="95"/>
      <c r="Q99" s="83" t="s">
        <v>77</v>
      </c>
      <c r="R99" s="111" t="s">
        <v>201</v>
      </c>
      <c r="S99" s="111" t="s">
        <v>214</v>
      </c>
      <c r="T99" s="111" t="s">
        <v>214</v>
      </c>
      <c r="U99" s="111" t="s">
        <v>212</v>
      </c>
      <c r="V99" s="111"/>
      <c r="W99" s="111"/>
      <c r="X99" s="111"/>
      <c r="Y99" s="111"/>
      <c r="Z99" s="111"/>
      <c r="AA99" s="111"/>
      <c r="AB99" s="111"/>
      <c r="AC99" s="111"/>
      <c r="AD99" s="111"/>
      <c r="AE99" s="111"/>
      <c r="AF99" s="111"/>
      <c r="AG99" s="111" t="s">
        <v>214</v>
      </c>
      <c r="AH99" s="111"/>
      <c r="AI99" s="112"/>
      <c r="AJ99" s="111"/>
      <c r="AK99" s="111"/>
      <c r="AL99" s="111" t="s">
        <v>214</v>
      </c>
      <c r="AM99" s="111" t="s">
        <v>228</v>
      </c>
      <c r="AN99" s="111" t="s">
        <v>229</v>
      </c>
      <c r="AO99" s="111" t="s">
        <v>228</v>
      </c>
      <c r="AP99" s="111" t="s">
        <v>214</v>
      </c>
      <c r="AQ99" s="111"/>
      <c r="AR99" s="111"/>
      <c r="AS99" s="111"/>
      <c r="AT99" s="111"/>
      <c r="AU99" s="111" t="s">
        <v>201</v>
      </c>
      <c r="AV99" s="111"/>
    </row>
    <row r="100" spans="1:49" ht="16.5" thickBot="1" x14ac:dyDescent="0.3">
      <c r="A100" s="95"/>
      <c r="B100" s="95"/>
      <c r="C100" s="84"/>
      <c r="D100" s="95"/>
      <c r="E100" s="95"/>
      <c r="F100" s="95"/>
      <c r="G100" s="95"/>
      <c r="Q100" s="119" t="s">
        <v>169</v>
      </c>
      <c r="R100" s="103">
        <f t="shared" ref="R100:AO100" si="60">R97*R98</f>
        <v>538608000</v>
      </c>
      <c r="S100" s="103">
        <f t="shared" si="60"/>
        <v>450565000</v>
      </c>
      <c r="T100" s="103">
        <f t="shared" si="60"/>
        <v>454115000</v>
      </c>
      <c r="U100" s="103">
        <f t="shared" si="60"/>
        <v>689617500</v>
      </c>
      <c r="V100" s="103">
        <f t="shared" si="60"/>
        <v>0</v>
      </c>
      <c r="W100" s="103">
        <f t="shared" si="60"/>
        <v>0</v>
      </c>
      <c r="X100" s="103">
        <f t="shared" si="60"/>
        <v>0</v>
      </c>
      <c r="Y100" s="103">
        <f t="shared" si="60"/>
        <v>0</v>
      </c>
      <c r="Z100" s="103">
        <f t="shared" si="60"/>
        <v>0</v>
      </c>
      <c r="AA100" s="103">
        <f t="shared" si="60"/>
        <v>0</v>
      </c>
      <c r="AB100" s="103">
        <f t="shared" si="60"/>
        <v>0</v>
      </c>
      <c r="AC100" s="103">
        <f t="shared" si="60"/>
        <v>0</v>
      </c>
      <c r="AD100" s="103">
        <f t="shared" si="60"/>
        <v>0</v>
      </c>
      <c r="AE100" s="103">
        <f t="shared" si="60"/>
        <v>0</v>
      </c>
      <c r="AF100" s="103">
        <f t="shared" si="60"/>
        <v>0</v>
      </c>
      <c r="AG100" s="103">
        <f t="shared" si="60"/>
        <v>468645000</v>
      </c>
      <c r="AH100" s="103">
        <f t="shared" si="60"/>
        <v>0</v>
      </c>
      <c r="AI100" s="116">
        <f t="shared" si="60"/>
        <v>0</v>
      </c>
      <c r="AJ100" s="103">
        <f t="shared" si="60"/>
        <v>0</v>
      </c>
      <c r="AK100" s="103">
        <f t="shared" si="60"/>
        <v>0</v>
      </c>
      <c r="AL100" s="103">
        <f t="shared" si="60"/>
        <v>473495000</v>
      </c>
      <c r="AM100" s="103">
        <f t="shared" si="60"/>
        <v>572634000</v>
      </c>
      <c r="AN100" s="103">
        <f t="shared" si="60"/>
        <v>616850000</v>
      </c>
      <c r="AO100" s="103">
        <f t="shared" si="60"/>
        <v>568920000</v>
      </c>
      <c r="AP100" s="103">
        <f>AP97*AP98</f>
        <v>472645000</v>
      </c>
      <c r="AQ100" s="103">
        <f t="shared" ref="AQ100:AV100" si="61">AQ97*AQ98</f>
        <v>0</v>
      </c>
      <c r="AR100" s="103">
        <f t="shared" si="61"/>
        <v>0</v>
      </c>
      <c r="AS100" s="103">
        <f t="shared" si="61"/>
        <v>0</v>
      </c>
      <c r="AT100" s="103">
        <f t="shared" si="61"/>
        <v>0</v>
      </c>
      <c r="AU100" s="103">
        <f t="shared" si="61"/>
        <v>570534000</v>
      </c>
      <c r="AV100" s="103">
        <f t="shared" si="61"/>
        <v>0</v>
      </c>
    </row>
    <row r="101" spans="1:49" x14ac:dyDescent="0.25">
      <c r="B101" s="84"/>
      <c r="C101" s="95"/>
      <c r="D101" s="95"/>
      <c r="E101" s="95"/>
      <c r="F101" s="95"/>
      <c r="Q101" s="83" t="s">
        <v>180</v>
      </c>
      <c r="R101" s="109"/>
      <c r="S101" s="109"/>
      <c r="T101" s="109"/>
      <c r="U101" s="109"/>
      <c r="V101" s="109"/>
      <c r="W101" s="109"/>
      <c r="X101" s="109"/>
      <c r="Y101" s="109"/>
      <c r="Z101" s="109"/>
      <c r="AA101" s="109"/>
      <c r="AB101" s="109"/>
      <c r="AC101" s="109"/>
      <c r="AD101" s="109"/>
      <c r="AE101" s="109"/>
      <c r="AF101" s="109"/>
      <c r="AG101" s="109"/>
      <c r="AH101" s="109"/>
      <c r="AI101" s="117"/>
      <c r="AJ101" s="109"/>
      <c r="AK101" s="109"/>
      <c r="AL101" s="109"/>
      <c r="AM101" s="109"/>
      <c r="AN101" s="109"/>
      <c r="AO101" s="109"/>
      <c r="AP101" s="109"/>
      <c r="AQ101" s="109"/>
      <c r="AR101" s="109"/>
      <c r="AS101" s="109"/>
      <c r="AT101" s="109"/>
      <c r="AU101" s="109"/>
      <c r="AV101" s="109"/>
      <c r="AW101" s="135">
        <f>SUM(R101:AV101)</f>
        <v>0</v>
      </c>
    </row>
    <row r="102" spans="1:49" x14ac:dyDescent="0.25">
      <c r="A102" s="84"/>
      <c r="B102" s="95"/>
      <c r="C102" s="95"/>
      <c r="D102" s="95"/>
      <c r="E102" s="95"/>
      <c r="F102" s="95"/>
      <c r="G102" s="95"/>
      <c r="Q102" s="83" t="s">
        <v>125</v>
      </c>
      <c r="R102" s="111">
        <v>897.68</v>
      </c>
      <c r="S102" s="111">
        <v>901.13</v>
      </c>
      <c r="T102" s="115">
        <v>908.23</v>
      </c>
      <c r="U102" s="111">
        <v>919.49</v>
      </c>
      <c r="V102" s="111">
        <v>919.49</v>
      </c>
      <c r="W102" s="111">
        <v>919.49</v>
      </c>
      <c r="X102" s="111">
        <v>923.74</v>
      </c>
      <c r="Y102" s="111">
        <v>925.86</v>
      </c>
      <c r="Z102" s="111">
        <v>933.62</v>
      </c>
      <c r="AA102" s="111">
        <v>934.84</v>
      </c>
      <c r="AB102" s="111">
        <v>931.26</v>
      </c>
      <c r="AC102" s="111">
        <v>931.26</v>
      </c>
      <c r="AD102" s="111">
        <v>931.26</v>
      </c>
      <c r="AE102" s="111">
        <v>926.07</v>
      </c>
      <c r="AF102" s="111">
        <v>928.37</v>
      </c>
      <c r="AG102" s="111">
        <v>937.29</v>
      </c>
      <c r="AH102" s="111">
        <v>941.3</v>
      </c>
      <c r="AI102" s="112">
        <v>945.01</v>
      </c>
      <c r="AJ102" s="111">
        <v>945.01</v>
      </c>
      <c r="AK102" s="111">
        <v>945.01</v>
      </c>
      <c r="AL102" s="111">
        <v>946.99</v>
      </c>
      <c r="AM102" s="111">
        <v>954.39</v>
      </c>
      <c r="AN102" s="111">
        <v>949</v>
      </c>
      <c r="AO102" s="111">
        <v>948.2</v>
      </c>
      <c r="AP102" s="111">
        <v>945.29</v>
      </c>
      <c r="AQ102" s="111">
        <v>945.29</v>
      </c>
      <c r="AR102" s="111">
        <v>945.29</v>
      </c>
      <c r="AS102" s="111">
        <v>949.34</v>
      </c>
      <c r="AT102" s="111">
        <v>945.88</v>
      </c>
      <c r="AU102" s="111">
        <v>950.89</v>
      </c>
      <c r="AV102" s="111">
        <v>950.89</v>
      </c>
    </row>
    <row r="103" spans="1:49" x14ac:dyDescent="0.25">
      <c r="A103" s="95"/>
      <c r="B103" s="95"/>
      <c r="C103" s="95"/>
      <c r="D103" s="95"/>
      <c r="E103" s="95"/>
      <c r="F103" s="95"/>
      <c r="G103" s="95"/>
      <c r="I103" s="95"/>
      <c r="Q103" s="83" t="s">
        <v>77</v>
      </c>
      <c r="R103" s="111"/>
      <c r="S103" s="111"/>
      <c r="T103" s="111"/>
      <c r="U103" s="111"/>
      <c r="V103" s="111"/>
      <c r="W103" s="111"/>
      <c r="X103" s="111"/>
      <c r="Y103" s="111"/>
      <c r="Z103" s="111"/>
      <c r="AA103" s="111"/>
      <c r="AB103" s="111"/>
      <c r="AC103" s="111"/>
      <c r="AD103" s="111"/>
      <c r="AE103" s="111"/>
      <c r="AF103" s="111"/>
      <c r="AG103" s="111"/>
      <c r="AH103" s="111"/>
      <c r="AI103" s="112"/>
      <c r="AJ103" s="111"/>
      <c r="AK103" s="111"/>
      <c r="AL103" s="111"/>
      <c r="AM103" s="111"/>
      <c r="AN103" s="111"/>
      <c r="AO103" s="111"/>
      <c r="AP103" s="111"/>
      <c r="AQ103" s="111"/>
      <c r="AR103" s="111"/>
      <c r="AS103" s="111"/>
      <c r="AT103" s="111"/>
      <c r="AU103" s="111"/>
      <c r="AV103" s="111"/>
    </row>
    <row r="104" spans="1:49" ht="16.5" thickBot="1" x14ac:dyDescent="0.3">
      <c r="A104" s="95"/>
      <c r="B104" s="95"/>
      <c r="C104" s="95"/>
      <c r="D104" s="95"/>
      <c r="E104" s="95"/>
      <c r="F104" s="95"/>
      <c r="Q104" s="119" t="s">
        <v>181</v>
      </c>
      <c r="R104" s="103">
        <f t="shared" ref="R104:AO104" si="62">R101*R102</f>
        <v>0</v>
      </c>
      <c r="S104" s="103">
        <f t="shared" si="62"/>
        <v>0</v>
      </c>
      <c r="T104" s="103">
        <f t="shared" si="62"/>
        <v>0</v>
      </c>
      <c r="U104" s="103">
        <f t="shared" si="62"/>
        <v>0</v>
      </c>
      <c r="V104" s="103">
        <f t="shared" si="62"/>
        <v>0</v>
      </c>
      <c r="W104" s="103">
        <f t="shared" si="62"/>
        <v>0</v>
      </c>
      <c r="X104" s="103">
        <f t="shared" si="62"/>
        <v>0</v>
      </c>
      <c r="Y104" s="103">
        <f t="shared" si="62"/>
        <v>0</v>
      </c>
      <c r="Z104" s="103">
        <f t="shared" si="62"/>
        <v>0</v>
      </c>
      <c r="AA104" s="103">
        <f t="shared" si="62"/>
        <v>0</v>
      </c>
      <c r="AB104" s="103">
        <f t="shared" si="62"/>
        <v>0</v>
      </c>
      <c r="AC104" s="103">
        <f t="shared" si="62"/>
        <v>0</v>
      </c>
      <c r="AD104" s="103">
        <f t="shared" si="62"/>
        <v>0</v>
      </c>
      <c r="AE104" s="103">
        <f t="shared" si="62"/>
        <v>0</v>
      </c>
      <c r="AF104" s="103">
        <f t="shared" si="62"/>
        <v>0</v>
      </c>
      <c r="AG104" s="103">
        <f t="shared" si="62"/>
        <v>0</v>
      </c>
      <c r="AH104" s="103">
        <f t="shared" si="62"/>
        <v>0</v>
      </c>
      <c r="AI104" s="116">
        <f t="shared" si="62"/>
        <v>0</v>
      </c>
      <c r="AJ104" s="103">
        <f t="shared" si="62"/>
        <v>0</v>
      </c>
      <c r="AK104" s="103">
        <f t="shared" si="62"/>
        <v>0</v>
      </c>
      <c r="AL104" s="103">
        <f t="shared" si="62"/>
        <v>0</v>
      </c>
      <c r="AM104" s="103">
        <f t="shared" si="62"/>
        <v>0</v>
      </c>
      <c r="AN104" s="103">
        <f t="shared" si="62"/>
        <v>0</v>
      </c>
      <c r="AO104" s="103">
        <f t="shared" si="62"/>
        <v>0</v>
      </c>
      <c r="AP104" s="103">
        <f>AP101*AP102</f>
        <v>0</v>
      </c>
      <c r="AQ104" s="103">
        <f t="shared" ref="AQ104:AV104" si="63">AQ101*AQ102</f>
        <v>0</v>
      </c>
      <c r="AR104" s="103">
        <f t="shared" si="63"/>
        <v>0</v>
      </c>
      <c r="AS104" s="103">
        <f t="shared" si="63"/>
        <v>0</v>
      </c>
      <c r="AT104" s="103">
        <f t="shared" si="63"/>
        <v>0</v>
      </c>
      <c r="AU104" s="103">
        <f t="shared" si="63"/>
        <v>0</v>
      </c>
      <c r="AV104" s="103">
        <f t="shared" si="63"/>
        <v>0</v>
      </c>
    </row>
    <row r="105" spans="1:49" x14ac:dyDescent="0.25">
      <c r="A105" s="95"/>
      <c r="B105" s="95"/>
      <c r="C105" s="95"/>
      <c r="D105" s="95"/>
      <c r="E105" s="95"/>
      <c r="F105" s="95"/>
      <c r="G105" s="95"/>
      <c r="Q105" s="83" t="s">
        <v>170</v>
      </c>
      <c r="R105" s="109"/>
      <c r="S105" s="109"/>
      <c r="T105" s="111"/>
      <c r="U105" s="109"/>
      <c r="V105" s="109"/>
      <c r="W105" s="109"/>
      <c r="X105" s="109"/>
      <c r="Y105" s="109"/>
      <c r="Z105" s="109"/>
      <c r="AA105" s="109"/>
      <c r="AB105" s="109"/>
      <c r="AC105" s="109"/>
      <c r="AD105" s="109"/>
      <c r="AE105" s="109"/>
      <c r="AF105" s="109"/>
      <c r="AG105" s="109"/>
      <c r="AH105" s="109"/>
      <c r="AI105" s="117"/>
      <c r="AJ105" s="109"/>
      <c r="AK105" s="109"/>
      <c r="AL105" s="109"/>
      <c r="AM105" s="109"/>
      <c r="AN105" s="109"/>
      <c r="AO105" s="109"/>
      <c r="AP105" s="109"/>
      <c r="AQ105" s="109"/>
      <c r="AR105" s="109"/>
      <c r="AS105" s="109"/>
      <c r="AT105" s="109"/>
      <c r="AU105" s="109"/>
      <c r="AV105" s="109"/>
      <c r="AW105" s="135">
        <f>SUM(R105:AV105)</f>
        <v>0</v>
      </c>
    </row>
    <row r="106" spans="1:49" x14ac:dyDescent="0.25">
      <c r="B106" s="95"/>
      <c r="C106" s="95"/>
      <c r="D106" s="95"/>
      <c r="E106" s="95"/>
      <c r="Q106" s="83" t="s">
        <v>130</v>
      </c>
      <c r="R106" s="111">
        <v>897.68</v>
      </c>
      <c r="S106" s="111">
        <v>901.13</v>
      </c>
      <c r="T106" s="115">
        <v>908.23</v>
      </c>
      <c r="U106" s="111">
        <v>919.49</v>
      </c>
      <c r="V106" s="111">
        <v>919.49</v>
      </c>
      <c r="W106" s="111">
        <v>919.49</v>
      </c>
      <c r="X106" s="111">
        <v>923.74</v>
      </c>
      <c r="Y106" s="111">
        <v>925.86</v>
      </c>
      <c r="Z106" s="111">
        <v>933.62</v>
      </c>
      <c r="AA106" s="111">
        <v>934.84</v>
      </c>
      <c r="AB106" s="111">
        <v>931.26</v>
      </c>
      <c r="AC106" s="111">
        <v>931.26</v>
      </c>
      <c r="AD106" s="111">
        <v>931.26</v>
      </c>
      <c r="AE106" s="111">
        <v>926.07</v>
      </c>
      <c r="AF106" s="111">
        <v>928.37</v>
      </c>
      <c r="AG106" s="111">
        <v>937.29</v>
      </c>
      <c r="AH106" s="111">
        <v>941.3</v>
      </c>
      <c r="AI106" s="112">
        <v>945.01</v>
      </c>
      <c r="AJ106" s="111">
        <v>945.01</v>
      </c>
      <c r="AK106" s="111">
        <v>945.01</v>
      </c>
      <c r="AL106" s="111">
        <v>946.99</v>
      </c>
      <c r="AM106" s="111">
        <v>954.39</v>
      </c>
      <c r="AN106" s="111">
        <v>949</v>
      </c>
      <c r="AO106" s="111">
        <v>948.2</v>
      </c>
      <c r="AP106" s="111">
        <v>945.29</v>
      </c>
      <c r="AQ106" s="111">
        <v>945.29</v>
      </c>
      <c r="AR106" s="111">
        <v>945.29</v>
      </c>
      <c r="AS106" s="111">
        <v>949.34</v>
      </c>
      <c r="AT106" s="111">
        <v>945.88</v>
      </c>
      <c r="AU106" s="111">
        <v>950.89</v>
      </c>
      <c r="AV106" s="111">
        <v>950.89</v>
      </c>
    </row>
    <row r="107" spans="1:49" x14ac:dyDescent="0.25">
      <c r="B107" s="95"/>
      <c r="E107" s="83"/>
      <c r="Q107" s="83" t="s">
        <v>77</v>
      </c>
      <c r="R107" s="111"/>
      <c r="S107" s="111"/>
      <c r="T107" s="111"/>
      <c r="U107" s="111"/>
      <c r="V107" s="111"/>
      <c r="W107" s="111"/>
      <c r="X107" s="111"/>
      <c r="Y107" s="111"/>
      <c r="Z107" s="111"/>
      <c r="AA107" s="111"/>
      <c r="AB107" s="111"/>
      <c r="AC107" s="111"/>
      <c r="AD107" s="111"/>
      <c r="AE107" s="111"/>
      <c r="AF107" s="111"/>
      <c r="AG107" s="111"/>
      <c r="AH107" s="111"/>
      <c r="AI107" s="112"/>
      <c r="AJ107" s="111"/>
      <c r="AK107" s="111"/>
      <c r="AL107" s="111"/>
      <c r="AM107" s="111"/>
      <c r="AN107" s="111"/>
      <c r="AO107" s="111"/>
      <c r="AP107" s="111"/>
      <c r="AQ107" s="111"/>
      <c r="AR107" s="111"/>
      <c r="AS107" s="111"/>
      <c r="AT107" s="111"/>
      <c r="AU107" s="111"/>
      <c r="AV107" s="111"/>
    </row>
    <row r="108" spans="1:49" ht="16.5" thickBot="1" x14ac:dyDescent="0.3">
      <c r="Q108" s="119" t="s">
        <v>171</v>
      </c>
      <c r="R108" s="103">
        <f t="shared" ref="R108:AO108" si="64">R105*R106</f>
        <v>0</v>
      </c>
      <c r="S108" s="103">
        <f t="shared" si="64"/>
        <v>0</v>
      </c>
      <c r="T108" s="103">
        <f t="shared" si="64"/>
        <v>0</v>
      </c>
      <c r="U108" s="103">
        <f t="shared" si="64"/>
        <v>0</v>
      </c>
      <c r="V108" s="103">
        <f t="shared" si="64"/>
        <v>0</v>
      </c>
      <c r="W108" s="103">
        <f t="shared" si="64"/>
        <v>0</v>
      </c>
      <c r="X108" s="103">
        <f t="shared" si="64"/>
        <v>0</v>
      </c>
      <c r="Y108" s="103">
        <f t="shared" si="64"/>
        <v>0</v>
      </c>
      <c r="Z108" s="103">
        <f t="shared" si="64"/>
        <v>0</v>
      </c>
      <c r="AA108" s="103">
        <f t="shared" si="64"/>
        <v>0</v>
      </c>
      <c r="AB108" s="103">
        <f t="shared" si="64"/>
        <v>0</v>
      </c>
      <c r="AC108" s="103">
        <f t="shared" si="64"/>
        <v>0</v>
      </c>
      <c r="AD108" s="103">
        <f t="shared" si="64"/>
        <v>0</v>
      </c>
      <c r="AE108" s="103">
        <f t="shared" si="64"/>
        <v>0</v>
      </c>
      <c r="AF108" s="103">
        <f t="shared" si="64"/>
        <v>0</v>
      </c>
      <c r="AG108" s="103">
        <f t="shared" si="64"/>
        <v>0</v>
      </c>
      <c r="AH108" s="103">
        <f t="shared" si="64"/>
        <v>0</v>
      </c>
      <c r="AI108" s="116">
        <f t="shared" si="64"/>
        <v>0</v>
      </c>
      <c r="AJ108" s="103">
        <f t="shared" si="64"/>
        <v>0</v>
      </c>
      <c r="AK108" s="103">
        <f t="shared" si="64"/>
        <v>0</v>
      </c>
      <c r="AL108" s="103">
        <f t="shared" si="64"/>
        <v>0</v>
      </c>
      <c r="AM108" s="103">
        <f t="shared" si="64"/>
        <v>0</v>
      </c>
      <c r="AN108" s="103">
        <f t="shared" si="64"/>
        <v>0</v>
      </c>
      <c r="AO108" s="103">
        <f t="shared" si="64"/>
        <v>0</v>
      </c>
      <c r="AP108" s="103">
        <f>AP105*AP106</f>
        <v>0</v>
      </c>
      <c r="AQ108" s="103">
        <f t="shared" ref="AQ108:AV108" si="65">AQ105*AQ106</f>
        <v>0</v>
      </c>
      <c r="AR108" s="103">
        <f t="shared" si="65"/>
        <v>0</v>
      </c>
      <c r="AS108" s="103">
        <f t="shared" si="65"/>
        <v>0</v>
      </c>
      <c r="AT108" s="103">
        <f t="shared" si="65"/>
        <v>0</v>
      </c>
      <c r="AU108" s="103">
        <f t="shared" si="65"/>
        <v>0</v>
      </c>
      <c r="AV108" s="103">
        <f t="shared" si="65"/>
        <v>0</v>
      </c>
    </row>
    <row r="109" spans="1:49" x14ac:dyDescent="0.25">
      <c r="Q109" s="83" t="s">
        <v>172</v>
      </c>
      <c r="R109" s="109"/>
      <c r="S109" s="109"/>
      <c r="T109" s="111"/>
      <c r="U109" s="109"/>
      <c r="V109" s="109"/>
      <c r="W109" s="109"/>
      <c r="X109" s="109"/>
      <c r="Y109" s="109"/>
      <c r="Z109" s="109"/>
      <c r="AA109" s="109"/>
      <c r="AB109" s="109"/>
      <c r="AC109" s="109"/>
      <c r="AD109" s="109"/>
      <c r="AE109" s="109"/>
      <c r="AF109" s="109"/>
      <c r="AG109" s="109"/>
      <c r="AH109" s="109"/>
      <c r="AI109" s="117"/>
      <c r="AJ109" s="109"/>
      <c r="AK109" s="109"/>
      <c r="AL109" s="109"/>
      <c r="AM109" s="109"/>
      <c r="AN109" s="109"/>
      <c r="AO109" s="109"/>
      <c r="AP109" s="109"/>
      <c r="AQ109" s="109"/>
      <c r="AR109" s="109"/>
      <c r="AS109" s="109"/>
      <c r="AT109" s="109"/>
      <c r="AU109" s="109"/>
      <c r="AV109" s="109"/>
      <c r="AW109" s="135">
        <f>SUM(R109:AV109)</f>
        <v>0</v>
      </c>
    </row>
    <row r="110" spans="1:49" x14ac:dyDescent="0.25">
      <c r="Q110" s="83" t="s">
        <v>136</v>
      </c>
      <c r="R110" s="111">
        <v>897.68</v>
      </c>
      <c r="S110" s="111">
        <v>901.13</v>
      </c>
      <c r="T110" s="115">
        <v>908.23</v>
      </c>
      <c r="U110" s="111">
        <v>919.49</v>
      </c>
      <c r="V110" s="111">
        <v>919.49</v>
      </c>
      <c r="W110" s="111">
        <v>919.49</v>
      </c>
      <c r="X110" s="111">
        <v>923.74</v>
      </c>
      <c r="Y110" s="111">
        <v>925.86</v>
      </c>
      <c r="Z110" s="111">
        <v>933.62</v>
      </c>
      <c r="AA110" s="111">
        <v>934.84</v>
      </c>
      <c r="AB110" s="111">
        <v>931.26</v>
      </c>
      <c r="AC110" s="111">
        <v>931.26</v>
      </c>
      <c r="AD110" s="111">
        <v>931.26</v>
      </c>
      <c r="AE110" s="111">
        <v>926.07</v>
      </c>
      <c r="AF110" s="111">
        <v>928.37</v>
      </c>
      <c r="AG110" s="111">
        <v>937.29</v>
      </c>
      <c r="AH110" s="111">
        <v>941.3</v>
      </c>
      <c r="AI110" s="112">
        <v>945.01</v>
      </c>
      <c r="AJ110" s="111">
        <v>945.01</v>
      </c>
      <c r="AK110" s="111">
        <v>945.01</v>
      </c>
      <c r="AL110" s="111">
        <v>946.99</v>
      </c>
      <c r="AM110" s="111">
        <v>954.39</v>
      </c>
      <c r="AN110" s="111">
        <v>949</v>
      </c>
      <c r="AO110" s="111">
        <v>948.2</v>
      </c>
      <c r="AP110" s="111">
        <v>945.29</v>
      </c>
      <c r="AQ110" s="111">
        <v>945.29</v>
      </c>
      <c r="AR110" s="111">
        <v>945.29</v>
      </c>
      <c r="AS110" s="111">
        <v>949.34</v>
      </c>
      <c r="AT110" s="111">
        <v>945.88</v>
      </c>
      <c r="AU110" s="111">
        <v>950.89</v>
      </c>
      <c r="AV110" s="111">
        <v>950.89</v>
      </c>
    </row>
    <row r="111" spans="1:49" x14ac:dyDescent="0.25">
      <c r="Q111" s="83" t="s">
        <v>77</v>
      </c>
      <c r="R111" s="111"/>
      <c r="S111" s="111"/>
      <c r="T111" s="111"/>
      <c r="U111" s="111"/>
      <c r="V111" s="111"/>
      <c r="W111" s="111"/>
      <c r="X111" s="111"/>
      <c r="Y111" s="111"/>
      <c r="Z111" s="111"/>
      <c r="AA111" s="111"/>
      <c r="AB111" s="111"/>
      <c r="AC111" s="111"/>
      <c r="AD111" s="111"/>
      <c r="AE111" s="111"/>
      <c r="AF111" s="111"/>
      <c r="AG111" s="111"/>
      <c r="AH111" s="111"/>
      <c r="AI111" s="112"/>
      <c r="AJ111" s="111"/>
      <c r="AK111" s="111"/>
      <c r="AL111" s="111"/>
      <c r="AM111" s="111"/>
      <c r="AN111" s="111"/>
      <c r="AO111" s="111"/>
      <c r="AP111" s="111"/>
      <c r="AQ111" s="111"/>
      <c r="AR111" s="111"/>
      <c r="AS111" s="111"/>
      <c r="AT111" s="111"/>
      <c r="AU111" s="111"/>
      <c r="AV111" s="111"/>
    </row>
    <row r="112" spans="1:49" ht="16.5" thickBot="1" x14ac:dyDescent="0.3">
      <c r="A112" s="102"/>
      <c r="C112" s="102"/>
      <c r="G112" s="102"/>
      <c r="I112" s="102"/>
      <c r="O112" s="102"/>
      <c r="Q112" s="119" t="s">
        <v>173</v>
      </c>
      <c r="R112" s="103">
        <f t="shared" ref="R112:AO112" si="66">R109*R110</f>
        <v>0</v>
      </c>
      <c r="S112" s="103">
        <f t="shared" si="66"/>
        <v>0</v>
      </c>
      <c r="T112" s="103">
        <f t="shared" si="66"/>
        <v>0</v>
      </c>
      <c r="U112" s="103">
        <f t="shared" si="66"/>
        <v>0</v>
      </c>
      <c r="V112" s="103">
        <f t="shared" si="66"/>
        <v>0</v>
      </c>
      <c r="W112" s="103">
        <f t="shared" si="66"/>
        <v>0</v>
      </c>
      <c r="X112" s="103">
        <f t="shared" si="66"/>
        <v>0</v>
      </c>
      <c r="Y112" s="103">
        <f t="shared" si="66"/>
        <v>0</v>
      </c>
      <c r="Z112" s="103">
        <f t="shared" si="66"/>
        <v>0</v>
      </c>
      <c r="AA112" s="103">
        <f t="shared" si="66"/>
        <v>0</v>
      </c>
      <c r="AB112" s="103">
        <f t="shared" si="66"/>
        <v>0</v>
      </c>
      <c r="AC112" s="103">
        <f t="shared" si="66"/>
        <v>0</v>
      </c>
      <c r="AD112" s="103">
        <f t="shared" si="66"/>
        <v>0</v>
      </c>
      <c r="AE112" s="103">
        <f t="shared" si="66"/>
        <v>0</v>
      </c>
      <c r="AF112" s="103">
        <f t="shared" si="66"/>
        <v>0</v>
      </c>
      <c r="AG112" s="103">
        <f t="shared" si="66"/>
        <v>0</v>
      </c>
      <c r="AH112" s="103">
        <f t="shared" si="66"/>
        <v>0</v>
      </c>
      <c r="AI112" s="116">
        <f t="shared" si="66"/>
        <v>0</v>
      </c>
      <c r="AJ112" s="103">
        <f t="shared" si="66"/>
        <v>0</v>
      </c>
      <c r="AK112" s="103">
        <f t="shared" si="66"/>
        <v>0</v>
      </c>
      <c r="AL112" s="103">
        <f t="shared" si="66"/>
        <v>0</v>
      </c>
      <c r="AM112" s="103">
        <f t="shared" si="66"/>
        <v>0</v>
      </c>
      <c r="AN112" s="103">
        <f t="shared" si="66"/>
        <v>0</v>
      </c>
      <c r="AO112" s="103">
        <f t="shared" si="66"/>
        <v>0</v>
      </c>
      <c r="AP112" s="103">
        <f>AP109*AP110</f>
        <v>0</v>
      </c>
      <c r="AQ112" s="103">
        <f t="shared" ref="AQ112:AV112" si="67">AQ109*AQ110</f>
        <v>0</v>
      </c>
      <c r="AR112" s="103">
        <f t="shared" si="67"/>
        <v>0</v>
      </c>
      <c r="AS112" s="103">
        <f t="shared" si="67"/>
        <v>0</v>
      </c>
      <c r="AT112" s="103">
        <f t="shared" si="67"/>
        <v>0</v>
      </c>
      <c r="AU112" s="103">
        <f t="shared" si="67"/>
        <v>0</v>
      </c>
      <c r="AV112" s="103">
        <f t="shared" si="67"/>
        <v>0</v>
      </c>
      <c r="AW112" s="102"/>
    </row>
    <row r="113" spans="1:62" x14ac:dyDescent="0.25">
      <c r="Q113" s="83" t="s">
        <v>174</v>
      </c>
      <c r="R113" s="109"/>
      <c r="S113" s="109"/>
      <c r="T113" s="111"/>
      <c r="U113" s="109"/>
      <c r="V113" s="109"/>
      <c r="W113" s="109"/>
      <c r="X113" s="109"/>
      <c r="Y113" s="109"/>
      <c r="Z113" s="109"/>
      <c r="AA113" s="109"/>
      <c r="AB113" s="109"/>
      <c r="AC113" s="109"/>
      <c r="AD113" s="109"/>
      <c r="AE113" s="109"/>
      <c r="AF113" s="109"/>
      <c r="AG113" s="109"/>
      <c r="AH113" s="109"/>
      <c r="AI113" s="117"/>
      <c r="AJ113" s="109"/>
      <c r="AK113" s="109"/>
      <c r="AL113" s="109"/>
      <c r="AM113" s="109"/>
      <c r="AN113" s="109"/>
      <c r="AO113" s="109"/>
      <c r="AP113" s="109"/>
      <c r="AQ113" s="109"/>
      <c r="AR113" s="109"/>
      <c r="AS113" s="109"/>
      <c r="AT113" s="109"/>
      <c r="AU113" s="109"/>
      <c r="AV113" s="109"/>
      <c r="AW113" s="135">
        <f>SUM(R113:AV113)</f>
        <v>0</v>
      </c>
    </row>
    <row r="114" spans="1:62" x14ac:dyDescent="0.25">
      <c r="Q114" s="83" t="s">
        <v>133</v>
      </c>
      <c r="R114" s="111">
        <v>897.68</v>
      </c>
      <c r="S114" s="111">
        <v>901.13</v>
      </c>
      <c r="T114" s="115">
        <v>908.23</v>
      </c>
      <c r="U114" s="111">
        <v>919.49</v>
      </c>
      <c r="V114" s="111">
        <v>919.49</v>
      </c>
      <c r="W114" s="111">
        <v>919.49</v>
      </c>
      <c r="X114" s="111">
        <v>923.74</v>
      </c>
      <c r="Y114" s="111">
        <v>925.86</v>
      </c>
      <c r="Z114" s="111">
        <v>933.62</v>
      </c>
      <c r="AA114" s="111">
        <v>934.84</v>
      </c>
      <c r="AB114" s="111">
        <v>931.26</v>
      </c>
      <c r="AC114" s="111">
        <v>931.26</v>
      </c>
      <c r="AD114" s="111">
        <v>931.26</v>
      </c>
      <c r="AE114" s="111">
        <v>926.07</v>
      </c>
      <c r="AF114" s="111">
        <v>928.37</v>
      </c>
      <c r="AG114" s="111">
        <v>937.29</v>
      </c>
      <c r="AH114" s="111">
        <v>941.3</v>
      </c>
      <c r="AI114" s="112">
        <v>945.01</v>
      </c>
      <c r="AJ114" s="111">
        <v>945.01</v>
      </c>
      <c r="AK114" s="111">
        <v>945.01</v>
      </c>
      <c r="AL114" s="111">
        <v>946.99</v>
      </c>
      <c r="AM114" s="111">
        <v>954.39</v>
      </c>
      <c r="AN114" s="111">
        <v>949</v>
      </c>
      <c r="AO114" s="111">
        <v>948.2</v>
      </c>
      <c r="AP114" s="111">
        <v>945.29</v>
      </c>
      <c r="AQ114" s="111">
        <v>945.29</v>
      </c>
      <c r="AR114" s="111">
        <v>945.29</v>
      </c>
      <c r="AS114" s="111">
        <v>949.34</v>
      </c>
      <c r="AT114" s="111">
        <v>945.88</v>
      </c>
      <c r="AU114" s="111">
        <v>950.89</v>
      </c>
      <c r="AV114" s="111">
        <v>950.89</v>
      </c>
    </row>
    <row r="115" spans="1:62" x14ac:dyDescent="0.25">
      <c r="Q115" s="83" t="s">
        <v>77</v>
      </c>
      <c r="R115" s="111"/>
      <c r="S115" s="111"/>
      <c r="T115" s="111"/>
      <c r="U115" s="111"/>
      <c r="V115" s="111"/>
      <c r="W115" s="111"/>
      <c r="X115" s="111"/>
      <c r="Y115" s="111"/>
      <c r="Z115" s="111"/>
      <c r="AA115" s="111"/>
      <c r="AB115" s="111"/>
      <c r="AC115" s="111"/>
      <c r="AD115" s="111"/>
      <c r="AE115" s="111"/>
      <c r="AF115" s="111"/>
      <c r="AG115" s="111"/>
      <c r="AH115" s="111"/>
      <c r="AI115" s="112"/>
      <c r="AJ115" s="111"/>
      <c r="AK115" s="111"/>
      <c r="AL115" s="111"/>
      <c r="AM115" s="111"/>
      <c r="AN115" s="111"/>
      <c r="AO115" s="111"/>
      <c r="AP115" s="111"/>
      <c r="AQ115" s="111"/>
      <c r="AR115" s="111"/>
      <c r="AS115" s="111"/>
      <c r="AT115" s="111"/>
      <c r="AU115" s="111"/>
      <c r="AV115" s="111"/>
    </row>
    <row r="116" spans="1:62" ht="16.5" thickBot="1" x14ac:dyDescent="0.3">
      <c r="A116" s="102"/>
      <c r="C116" s="102"/>
      <c r="G116" s="102"/>
      <c r="I116" s="102"/>
      <c r="O116" s="102"/>
      <c r="Q116" s="119" t="s">
        <v>175</v>
      </c>
      <c r="R116" s="103">
        <f t="shared" ref="R116:AO116" si="68">R113*R114</f>
        <v>0</v>
      </c>
      <c r="S116" s="103">
        <f t="shared" si="68"/>
        <v>0</v>
      </c>
      <c r="T116" s="103">
        <f t="shared" si="68"/>
        <v>0</v>
      </c>
      <c r="U116" s="103">
        <f t="shared" si="68"/>
        <v>0</v>
      </c>
      <c r="V116" s="103">
        <f t="shared" si="68"/>
        <v>0</v>
      </c>
      <c r="W116" s="103">
        <f t="shared" si="68"/>
        <v>0</v>
      </c>
      <c r="X116" s="103">
        <f t="shared" si="68"/>
        <v>0</v>
      </c>
      <c r="Y116" s="103">
        <f t="shared" si="68"/>
        <v>0</v>
      </c>
      <c r="Z116" s="103">
        <f t="shared" si="68"/>
        <v>0</v>
      </c>
      <c r="AA116" s="103">
        <f t="shared" si="68"/>
        <v>0</v>
      </c>
      <c r="AB116" s="103">
        <f t="shared" si="68"/>
        <v>0</v>
      </c>
      <c r="AC116" s="103">
        <f t="shared" si="68"/>
        <v>0</v>
      </c>
      <c r="AD116" s="103">
        <f t="shared" si="68"/>
        <v>0</v>
      </c>
      <c r="AE116" s="103">
        <f t="shared" si="68"/>
        <v>0</v>
      </c>
      <c r="AF116" s="103">
        <f t="shared" si="68"/>
        <v>0</v>
      </c>
      <c r="AG116" s="103">
        <f t="shared" si="68"/>
        <v>0</v>
      </c>
      <c r="AH116" s="103">
        <f t="shared" si="68"/>
        <v>0</v>
      </c>
      <c r="AI116" s="116">
        <f t="shared" si="68"/>
        <v>0</v>
      </c>
      <c r="AJ116" s="103">
        <f t="shared" si="68"/>
        <v>0</v>
      </c>
      <c r="AK116" s="103">
        <f t="shared" si="68"/>
        <v>0</v>
      </c>
      <c r="AL116" s="103">
        <f t="shared" si="68"/>
        <v>0</v>
      </c>
      <c r="AM116" s="103">
        <f t="shared" si="68"/>
        <v>0</v>
      </c>
      <c r="AN116" s="103">
        <f t="shared" si="68"/>
        <v>0</v>
      </c>
      <c r="AO116" s="103">
        <f t="shared" si="68"/>
        <v>0</v>
      </c>
      <c r="AP116" s="103">
        <f>AP113*AP114</f>
        <v>0</v>
      </c>
      <c r="AQ116" s="103">
        <f t="shared" ref="AQ116:AV116" si="69">AQ113*AQ114</f>
        <v>0</v>
      </c>
      <c r="AR116" s="103">
        <f t="shared" si="69"/>
        <v>0</v>
      </c>
      <c r="AS116" s="103">
        <f t="shared" si="69"/>
        <v>0</v>
      </c>
      <c r="AT116" s="103">
        <f t="shared" si="69"/>
        <v>0</v>
      </c>
      <c r="AU116" s="103">
        <f t="shared" si="69"/>
        <v>0</v>
      </c>
      <c r="AV116" s="103">
        <f t="shared" si="69"/>
        <v>0</v>
      </c>
      <c r="AW116" s="102"/>
    </row>
    <row r="117" spans="1:62" x14ac:dyDescent="0.25">
      <c r="Q117" s="83" t="s">
        <v>182</v>
      </c>
      <c r="R117" s="109"/>
      <c r="S117" s="109"/>
      <c r="T117" s="111"/>
      <c r="U117" s="109"/>
      <c r="V117" s="109"/>
      <c r="W117" s="109"/>
      <c r="X117" s="109"/>
      <c r="Y117" s="109"/>
      <c r="Z117" s="109"/>
      <c r="AA117" s="109"/>
      <c r="AB117" s="109"/>
      <c r="AC117" s="109"/>
      <c r="AD117" s="109"/>
      <c r="AE117" s="109"/>
      <c r="AF117" s="109"/>
      <c r="AG117" s="109"/>
      <c r="AH117" s="109"/>
      <c r="AI117" s="117"/>
      <c r="AJ117" s="109"/>
      <c r="AK117" s="109"/>
      <c r="AL117" s="109"/>
      <c r="AM117" s="109"/>
      <c r="AN117" s="109"/>
      <c r="AO117" s="109"/>
      <c r="AP117" s="109"/>
      <c r="AQ117" s="109"/>
      <c r="AR117" s="109"/>
      <c r="AS117" s="109"/>
      <c r="AT117" s="109"/>
      <c r="AU117" s="109"/>
      <c r="AV117" s="109"/>
      <c r="AW117" s="135">
        <f>SUM(R117:AV117)</f>
        <v>0</v>
      </c>
    </row>
    <row r="118" spans="1:62" x14ac:dyDescent="0.25">
      <c r="Q118" s="83" t="s">
        <v>150</v>
      </c>
      <c r="R118" s="111">
        <v>897.68</v>
      </c>
      <c r="S118" s="111">
        <v>901.13</v>
      </c>
      <c r="T118" s="115">
        <v>908.23</v>
      </c>
      <c r="U118" s="111">
        <v>919.49</v>
      </c>
      <c r="V118" s="111">
        <v>919.49</v>
      </c>
      <c r="W118" s="111">
        <v>919.49</v>
      </c>
      <c r="X118" s="111">
        <v>923.74</v>
      </c>
      <c r="Y118" s="111">
        <v>925.86</v>
      </c>
      <c r="Z118" s="111">
        <v>933.62</v>
      </c>
      <c r="AA118" s="111">
        <v>934.84</v>
      </c>
      <c r="AB118" s="111">
        <v>931.26</v>
      </c>
      <c r="AC118" s="111">
        <v>931.26</v>
      </c>
      <c r="AD118" s="111">
        <v>931.26</v>
      </c>
      <c r="AE118" s="111">
        <v>926.07</v>
      </c>
      <c r="AF118" s="111">
        <v>928.37</v>
      </c>
      <c r="AG118" s="111">
        <v>937.29</v>
      </c>
      <c r="AH118" s="111">
        <v>941.3</v>
      </c>
      <c r="AI118" s="112">
        <v>945.01</v>
      </c>
      <c r="AJ118" s="111">
        <v>945.01</v>
      </c>
      <c r="AK118" s="111">
        <v>945.01</v>
      </c>
      <c r="AL118" s="111">
        <v>946.99</v>
      </c>
      <c r="AM118" s="111">
        <v>954.39</v>
      </c>
      <c r="AN118" s="111">
        <v>949</v>
      </c>
      <c r="AO118" s="111">
        <v>948.2</v>
      </c>
      <c r="AP118" s="111">
        <v>945.29</v>
      </c>
      <c r="AQ118" s="111">
        <v>945.29</v>
      </c>
      <c r="AR118" s="111">
        <v>945.29</v>
      </c>
      <c r="AS118" s="111">
        <v>949.34</v>
      </c>
      <c r="AT118" s="111">
        <v>945.88</v>
      </c>
      <c r="AU118" s="111">
        <v>950.89</v>
      </c>
      <c r="AV118" s="111">
        <v>950.89</v>
      </c>
    </row>
    <row r="119" spans="1:62" x14ac:dyDescent="0.25">
      <c r="Q119" s="83" t="s">
        <v>77</v>
      </c>
      <c r="R119" s="111"/>
      <c r="S119" s="111"/>
      <c r="T119" s="111"/>
      <c r="U119" s="111"/>
      <c r="V119" s="111"/>
      <c r="W119" s="111"/>
      <c r="X119" s="111"/>
      <c r="Y119" s="111"/>
      <c r="Z119" s="111"/>
      <c r="AA119" s="111"/>
      <c r="AB119" s="111"/>
      <c r="AC119" s="111"/>
      <c r="AD119" s="111"/>
      <c r="AE119" s="111"/>
      <c r="AF119" s="111"/>
      <c r="AG119" s="111"/>
      <c r="AH119" s="111"/>
      <c r="AI119" s="112"/>
      <c r="AJ119" s="111"/>
      <c r="AK119" s="111"/>
      <c r="AL119" s="111"/>
      <c r="AM119" s="111"/>
      <c r="AN119" s="111"/>
      <c r="AO119" s="111"/>
      <c r="AP119" s="111"/>
      <c r="AQ119" s="111"/>
      <c r="AR119" s="111"/>
      <c r="AS119" s="111"/>
      <c r="AT119" s="111"/>
      <c r="AU119" s="111"/>
      <c r="AV119" s="111"/>
    </row>
    <row r="120" spans="1:62" ht="16.5" thickBot="1" x14ac:dyDescent="0.3">
      <c r="A120" s="102"/>
      <c r="C120" s="102"/>
      <c r="G120" s="102"/>
      <c r="I120" s="102"/>
      <c r="O120" s="102"/>
      <c r="Q120" s="119" t="s">
        <v>182</v>
      </c>
      <c r="R120" s="103">
        <f t="shared" ref="R120:AO120" si="70">R117*R118</f>
        <v>0</v>
      </c>
      <c r="S120" s="103">
        <f t="shared" si="70"/>
        <v>0</v>
      </c>
      <c r="T120" s="103">
        <f t="shared" si="70"/>
        <v>0</v>
      </c>
      <c r="U120" s="103">
        <f t="shared" si="70"/>
        <v>0</v>
      </c>
      <c r="V120" s="103">
        <f t="shared" si="70"/>
        <v>0</v>
      </c>
      <c r="W120" s="103">
        <f t="shared" si="70"/>
        <v>0</v>
      </c>
      <c r="X120" s="103">
        <f t="shared" si="70"/>
        <v>0</v>
      </c>
      <c r="Y120" s="103">
        <f t="shared" si="70"/>
        <v>0</v>
      </c>
      <c r="Z120" s="103">
        <f t="shared" si="70"/>
        <v>0</v>
      </c>
      <c r="AA120" s="103">
        <f t="shared" si="70"/>
        <v>0</v>
      </c>
      <c r="AB120" s="103">
        <f t="shared" si="70"/>
        <v>0</v>
      </c>
      <c r="AC120" s="103">
        <f t="shared" si="70"/>
        <v>0</v>
      </c>
      <c r="AD120" s="103">
        <f t="shared" si="70"/>
        <v>0</v>
      </c>
      <c r="AE120" s="103">
        <f t="shared" si="70"/>
        <v>0</v>
      </c>
      <c r="AF120" s="103">
        <f t="shared" si="70"/>
        <v>0</v>
      </c>
      <c r="AG120" s="103">
        <f t="shared" si="70"/>
        <v>0</v>
      </c>
      <c r="AH120" s="103">
        <f t="shared" si="70"/>
        <v>0</v>
      </c>
      <c r="AI120" s="116">
        <f t="shared" si="70"/>
        <v>0</v>
      </c>
      <c r="AJ120" s="103">
        <f t="shared" si="70"/>
        <v>0</v>
      </c>
      <c r="AK120" s="103">
        <f t="shared" si="70"/>
        <v>0</v>
      </c>
      <c r="AL120" s="103">
        <f t="shared" si="70"/>
        <v>0</v>
      </c>
      <c r="AM120" s="103">
        <f t="shared" si="70"/>
        <v>0</v>
      </c>
      <c r="AN120" s="103">
        <f t="shared" si="70"/>
        <v>0</v>
      </c>
      <c r="AO120" s="103">
        <f t="shared" si="70"/>
        <v>0</v>
      </c>
      <c r="AP120" s="103">
        <f>AP117*AP118</f>
        <v>0</v>
      </c>
      <c r="AQ120" s="103">
        <f t="shared" ref="AQ120:AV120" si="71">AQ117*AQ118</f>
        <v>0</v>
      </c>
      <c r="AR120" s="103">
        <f t="shared" si="71"/>
        <v>0</v>
      </c>
      <c r="AS120" s="103">
        <f t="shared" si="71"/>
        <v>0</v>
      </c>
      <c r="AT120" s="103">
        <f t="shared" si="71"/>
        <v>0</v>
      </c>
      <c r="AU120" s="103">
        <f t="shared" si="71"/>
        <v>0</v>
      </c>
      <c r="AV120" s="103">
        <f t="shared" si="71"/>
        <v>0</v>
      </c>
      <c r="AW120" s="102"/>
    </row>
    <row r="121" spans="1:62" ht="16.5" thickBot="1" x14ac:dyDescent="0.3">
      <c r="Q121" s="121" t="s">
        <v>115</v>
      </c>
      <c r="R121" s="126">
        <v>60160000</v>
      </c>
      <c r="S121" s="126">
        <v>800000000</v>
      </c>
      <c r="T121" s="126">
        <v>470000000</v>
      </c>
      <c r="U121" s="126">
        <v>585000000</v>
      </c>
      <c r="V121" s="126"/>
      <c r="W121" s="127"/>
      <c r="X121" s="127">
        <v>360000000</v>
      </c>
      <c r="Y121" s="127"/>
      <c r="Z121" s="127"/>
      <c r="AA121" s="127"/>
      <c r="AB121" s="127"/>
      <c r="AC121" s="127"/>
      <c r="AD121" s="127"/>
      <c r="AE121" s="127"/>
      <c r="AF121" s="127"/>
      <c r="AG121" s="127">
        <v>478000000</v>
      </c>
      <c r="AH121" s="127"/>
      <c r="AI121" s="129"/>
      <c r="AJ121" s="127"/>
      <c r="AK121" s="127"/>
      <c r="AL121" s="127"/>
      <c r="AM121" s="127"/>
      <c r="AN121" s="127"/>
      <c r="AO121" s="127"/>
      <c r="AP121" s="127"/>
      <c r="AQ121" s="127"/>
      <c r="AR121" s="127"/>
      <c r="AS121" s="127">
        <v>910000000</v>
      </c>
      <c r="AT121" s="127"/>
      <c r="AU121" s="127"/>
      <c r="AV121" s="127"/>
    </row>
    <row r="124" spans="1:62" x14ac:dyDescent="0.25">
      <c r="E124" s="83"/>
    </row>
    <row r="125" spans="1:62" x14ac:dyDescent="0.25">
      <c r="A125" s="102"/>
      <c r="C125" s="95"/>
      <c r="E125" s="95"/>
    </row>
    <row r="126" spans="1:62" x14ac:dyDescent="0.25">
      <c r="E126" s="83"/>
    </row>
    <row r="127" spans="1:62" x14ac:dyDescent="0.25">
      <c r="C127" s="95"/>
      <c r="E127" s="95"/>
    </row>
    <row r="128" spans="1:62" x14ac:dyDescent="0.25">
      <c r="A128" s="95">
        <v>-917000</v>
      </c>
      <c r="B128" s="83">
        <v>-1.53</v>
      </c>
      <c r="C128" s="95">
        <v>-5585000</v>
      </c>
      <c r="D128" s="83">
        <v>-11.17</v>
      </c>
      <c r="E128" s="95">
        <v>-6035000</v>
      </c>
      <c r="F128" s="83">
        <v>-8.0500000000000007</v>
      </c>
      <c r="G128" s="95">
        <v>410000</v>
      </c>
      <c r="H128" s="83">
        <v>0.55000000000000004</v>
      </c>
      <c r="I128" s="83" t="s">
        <v>65</v>
      </c>
      <c r="J128" s="83">
        <v>919.49</v>
      </c>
      <c r="K128" s="83" t="s">
        <v>65</v>
      </c>
      <c r="L128" s="83">
        <v>919.49</v>
      </c>
      <c r="M128" s="83" t="s">
        <v>65</v>
      </c>
      <c r="N128" s="83">
        <v>923.74</v>
      </c>
      <c r="O128" s="83" t="s">
        <v>65</v>
      </c>
      <c r="P128" s="83">
        <v>925.86</v>
      </c>
      <c r="Q128" s="83" t="s">
        <v>65</v>
      </c>
      <c r="R128" s="83">
        <v>933.62</v>
      </c>
      <c r="S128" s="83" t="s">
        <v>65</v>
      </c>
      <c r="T128" s="83">
        <v>934.84</v>
      </c>
      <c r="U128" s="83" t="s">
        <v>65</v>
      </c>
      <c r="V128" s="83">
        <v>931.26</v>
      </c>
      <c r="W128" s="83" t="s">
        <v>65</v>
      </c>
      <c r="X128" s="83">
        <v>931.26</v>
      </c>
      <c r="Y128" s="83" t="s">
        <v>65</v>
      </c>
      <c r="Z128" s="83">
        <v>931.26</v>
      </c>
      <c r="AA128" s="83" t="s">
        <v>65</v>
      </c>
      <c r="AB128" s="83">
        <v>926.07</v>
      </c>
      <c r="AC128" s="83" t="s">
        <v>65</v>
      </c>
      <c r="AD128" s="83">
        <v>928.37</v>
      </c>
      <c r="AE128" s="95">
        <v>-2155000</v>
      </c>
      <c r="AF128" s="83">
        <v>-4.3099999999999996</v>
      </c>
      <c r="AG128" s="83" t="s">
        <v>65</v>
      </c>
      <c r="AH128" s="83">
        <v>941.3</v>
      </c>
      <c r="AI128" s="83" t="s">
        <v>65</v>
      </c>
      <c r="AJ128" s="83">
        <v>945.01</v>
      </c>
      <c r="AK128" s="83" t="s">
        <v>65</v>
      </c>
      <c r="AL128" s="83">
        <v>945.01</v>
      </c>
      <c r="AM128" s="83" t="s">
        <v>65</v>
      </c>
      <c r="AN128" s="83">
        <v>945.01</v>
      </c>
      <c r="AO128" s="95">
        <v>-3655000</v>
      </c>
      <c r="AP128" s="83">
        <v>-7.31</v>
      </c>
      <c r="AQ128" s="95">
        <v>5854000</v>
      </c>
      <c r="AR128" s="83">
        <v>4.68</v>
      </c>
      <c r="AS128" s="95">
        <v>41500</v>
      </c>
      <c r="AT128" s="83">
        <v>0.06</v>
      </c>
      <c r="AU128" s="95">
        <v>-330000</v>
      </c>
      <c r="AV128" s="83">
        <v>-0.55000000000000004</v>
      </c>
      <c r="AW128" s="95">
        <v>-2655000</v>
      </c>
      <c r="AX128" s="83">
        <v>-5.31</v>
      </c>
      <c r="AY128" s="83" t="s">
        <v>65</v>
      </c>
      <c r="AZ128" s="83">
        <v>945.29</v>
      </c>
      <c r="BA128" s="83" t="s">
        <v>65</v>
      </c>
      <c r="BB128" s="83">
        <v>945.29</v>
      </c>
      <c r="BC128" s="83" t="s">
        <v>65</v>
      </c>
      <c r="BD128" s="83" t="s">
        <v>65</v>
      </c>
      <c r="BE128" s="95">
        <v>-346000</v>
      </c>
      <c r="BF128" s="83">
        <v>-3.46</v>
      </c>
      <c r="BG128" s="95">
        <v>-3704000</v>
      </c>
      <c r="BH128" s="83">
        <v>-6.17</v>
      </c>
      <c r="BI128" s="83" t="s">
        <v>65</v>
      </c>
      <c r="BJ128" s="83">
        <v>950.89</v>
      </c>
    </row>
    <row r="129" spans="1:62" x14ac:dyDescent="0.25">
      <c r="A129" s="95">
        <v>-4365000</v>
      </c>
      <c r="B129" s="83">
        <v>-2.1800000000000002</v>
      </c>
      <c r="C129" s="95">
        <v>-21640000</v>
      </c>
      <c r="D129" s="83">
        <v>-10.82</v>
      </c>
      <c r="E129" s="95">
        <v>-14512500</v>
      </c>
      <c r="F129" s="83">
        <v>-11.61</v>
      </c>
      <c r="G129" s="95">
        <v>-5556500</v>
      </c>
      <c r="H129" s="83">
        <v>-4.83</v>
      </c>
      <c r="I129" s="83" t="s">
        <v>65</v>
      </c>
      <c r="J129" s="83">
        <v>919.49</v>
      </c>
      <c r="K129" s="83" t="s">
        <v>65</v>
      </c>
      <c r="L129" s="83">
        <v>919.49</v>
      </c>
      <c r="M129" s="95">
        <v>-4210000</v>
      </c>
      <c r="N129" s="83">
        <v>-4.21</v>
      </c>
      <c r="O129" s="95">
        <v>-11160000</v>
      </c>
      <c r="P129" s="83">
        <v>-7.44</v>
      </c>
      <c r="Q129" s="95">
        <v>-3065000</v>
      </c>
      <c r="R129" s="83">
        <v>-1.75</v>
      </c>
      <c r="S129" s="95">
        <v>7879000</v>
      </c>
      <c r="T129" s="83">
        <v>4.92</v>
      </c>
      <c r="U129" s="95">
        <v>3883000</v>
      </c>
      <c r="V129" s="83">
        <v>7.06</v>
      </c>
      <c r="W129" s="83" t="s">
        <v>65</v>
      </c>
      <c r="X129" s="83">
        <v>931.26</v>
      </c>
      <c r="Y129" s="83" t="s">
        <v>65</v>
      </c>
      <c r="Z129" s="83">
        <v>931.26</v>
      </c>
      <c r="AA129" s="95">
        <v>-2346500</v>
      </c>
      <c r="AB129" s="83">
        <v>-2.23</v>
      </c>
      <c r="AC129" s="95">
        <v>-18765000</v>
      </c>
      <c r="AD129" s="83">
        <v>-12.51</v>
      </c>
      <c r="AE129" s="95">
        <v>-7297000</v>
      </c>
      <c r="AF129" s="83">
        <v>-4.29</v>
      </c>
      <c r="AG129" s="95">
        <v>-6700000</v>
      </c>
      <c r="AH129" s="83">
        <v>-5.36</v>
      </c>
      <c r="AI129" s="83" t="s">
        <v>65</v>
      </c>
      <c r="AJ129" s="83">
        <v>945.01</v>
      </c>
      <c r="AK129" s="83" t="s">
        <v>65</v>
      </c>
      <c r="AL129" s="83">
        <v>945.01</v>
      </c>
      <c r="AM129" s="83" t="s">
        <v>65</v>
      </c>
      <c r="AN129" s="83">
        <v>945.01</v>
      </c>
      <c r="AO129" s="95">
        <v>-11992500</v>
      </c>
      <c r="AP129" s="83">
        <v>-6.85</v>
      </c>
      <c r="AQ129" s="95">
        <v>6940000</v>
      </c>
      <c r="AR129" s="83">
        <v>6.94</v>
      </c>
      <c r="AS129" s="95">
        <v>1760000</v>
      </c>
      <c r="AT129" s="83">
        <v>1.47</v>
      </c>
      <c r="AU129" s="95">
        <v>1750000</v>
      </c>
      <c r="AV129" s="83">
        <v>1.4</v>
      </c>
      <c r="AW129" s="95">
        <v>-7215000</v>
      </c>
      <c r="AX129" s="83">
        <v>-4.8099999999999996</v>
      </c>
      <c r="AY129" s="83" t="s">
        <v>65</v>
      </c>
      <c r="AZ129" s="83">
        <v>945.29</v>
      </c>
      <c r="BA129" s="83" t="s">
        <v>65</v>
      </c>
      <c r="BB129" s="83">
        <v>945.29</v>
      </c>
      <c r="BC129" s="95">
        <v>9216000</v>
      </c>
      <c r="BD129" s="83">
        <v>3.18</v>
      </c>
      <c r="BE129" s="95">
        <v>-16406000</v>
      </c>
      <c r="BF129" s="83">
        <v>-12.62</v>
      </c>
      <c r="BG129" s="95">
        <v>-12137500</v>
      </c>
      <c r="BH129" s="83">
        <v>-9.7100000000000009</v>
      </c>
      <c r="BI129" s="83" t="s">
        <v>65</v>
      </c>
      <c r="BJ129" s="83" t="s">
        <v>65</v>
      </c>
    </row>
    <row r="130" spans="1:62" x14ac:dyDescent="0.25">
      <c r="A130" s="83" t="s">
        <v>65</v>
      </c>
      <c r="B130" s="83" t="s">
        <v>65</v>
      </c>
      <c r="C130" s="102">
        <v>1270760</v>
      </c>
      <c r="D130" s="83">
        <v>2.84</v>
      </c>
      <c r="E130" s="102">
        <v>2159950</v>
      </c>
      <c r="F130" s="83">
        <v>5.13</v>
      </c>
      <c r="G130" s="102">
        <v>3587019</v>
      </c>
      <c r="H130" s="83">
        <v>4.9000000000000004</v>
      </c>
      <c r="I130" s="83">
        <v>0</v>
      </c>
      <c r="J130" s="83">
        <v>0</v>
      </c>
      <c r="K130" s="83">
        <v>0</v>
      </c>
      <c r="L130" s="83">
        <v>0</v>
      </c>
      <c r="M130" s="102">
        <v>3107090</v>
      </c>
      <c r="N130" s="83">
        <v>3.39</v>
      </c>
      <c r="O130" s="102">
        <v>665012</v>
      </c>
      <c r="P130" s="83">
        <v>1.32</v>
      </c>
      <c r="Q130" s="102">
        <v>3630975</v>
      </c>
      <c r="R130" s="83">
        <v>4.7</v>
      </c>
      <c r="S130" s="102">
        <v>486364</v>
      </c>
      <c r="T130" s="83">
        <v>0.77</v>
      </c>
      <c r="U130" s="102">
        <v>-1938891</v>
      </c>
      <c r="V130" s="83">
        <v>-1.93</v>
      </c>
      <c r="W130" s="83" t="s">
        <v>65</v>
      </c>
      <c r="X130" s="83" t="s">
        <v>65</v>
      </c>
      <c r="Y130" s="83">
        <v>0</v>
      </c>
      <c r="Z130" s="83">
        <v>0</v>
      </c>
      <c r="AA130" s="102">
        <v>-3972621</v>
      </c>
      <c r="AB130" s="83">
        <v>-4.8499999999999996</v>
      </c>
      <c r="AC130" s="102">
        <v>334804</v>
      </c>
      <c r="AD130" s="83">
        <v>1.68</v>
      </c>
      <c r="AE130" s="102">
        <v>1135571</v>
      </c>
      <c r="AF130" s="83">
        <v>3.41</v>
      </c>
      <c r="AG130" s="102">
        <v>1050096</v>
      </c>
      <c r="AH130" s="83">
        <v>2.2999999999999998</v>
      </c>
      <c r="AI130" s="102">
        <v>1509016</v>
      </c>
      <c r="AJ130" s="83">
        <v>2.68</v>
      </c>
      <c r="AK130" s="83">
        <v>0</v>
      </c>
      <c r="AL130" s="83">
        <v>0</v>
      </c>
      <c r="AM130" s="83" t="s">
        <v>65</v>
      </c>
      <c r="AN130" s="83" t="s">
        <v>65</v>
      </c>
      <c r="AO130" s="102">
        <v>775074</v>
      </c>
      <c r="AP130" s="83">
        <v>1.27</v>
      </c>
      <c r="AQ130" s="102">
        <v>3682185</v>
      </c>
      <c r="AR130" s="83">
        <v>5.75</v>
      </c>
      <c r="AS130" s="102">
        <v>-1563705</v>
      </c>
      <c r="AT130" s="83">
        <v>-3.52</v>
      </c>
      <c r="AU130" s="102">
        <v>-299936</v>
      </c>
      <c r="AV130" s="83">
        <v>-0.49</v>
      </c>
      <c r="AW130" s="102">
        <v>-1563492</v>
      </c>
      <c r="AX130" s="83">
        <v>-2.1800000000000002</v>
      </c>
      <c r="AY130" s="83" t="s">
        <v>65</v>
      </c>
      <c r="AZ130" s="83" t="s">
        <v>65</v>
      </c>
      <c r="BA130" s="83">
        <v>0</v>
      </c>
      <c r="BB130" s="83">
        <v>0</v>
      </c>
      <c r="BC130" s="102">
        <v>3035159</v>
      </c>
      <c r="BD130" s="83">
        <v>2.4900000000000002</v>
      </c>
      <c r="BE130" s="102">
        <v>-2100128</v>
      </c>
      <c r="BF130" s="83">
        <v>-2.63</v>
      </c>
      <c r="BG130" s="102">
        <v>1646879</v>
      </c>
      <c r="BH130" s="83">
        <v>3.26</v>
      </c>
      <c r="BI130" s="83">
        <v>0</v>
      </c>
      <c r="BJ130" s="83">
        <v>0</v>
      </c>
    </row>
    <row r="131" spans="1:62" x14ac:dyDescent="0.25">
      <c r="A131" s="102">
        <v>0</v>
      </c>
      <c r="B131" s="83">
        <v>0</v>
      </c>
      <c r="C131" s="102">
        <v>-610454</v>
      </c>
      <c r="D131" s="83">
        <v>-0.11</v>
      </c>
      <c r="E131" s="102">
        <v>7045282</v>
      </c>
      <c r="F131" s="83">
        <v>1.4</v>
      </c>
      <c r="G131" s="102">
        <v>6394863</v>
      </c>
      <c r="H131" s="83">
        <v>1.42</v>
      </c>
      <c r="I131" s="83" t="s">
        <v>65</v>
      </c>
      <c r="J131" s="83" t="s">
        <v>65</v>
      </c>
      <c r="K131" s="83" t="s">
        <v>65</v>
      </c>
      <c r="L131" s="83" t="s">
        <v>65</v>
      </c>
      <c r="M131" s="102">
        <v>1568037</v>
      </c>
      <c r="N131" s="83">
        <v>0.3</v>
      </c>
      <c r="O131" s="102">
        <v>107787</v>
      </c>
      <c r="P131" s="83">
        <v>0.04</v>
      </c>
      <c r="Q131" s="102">
        <v>5064650</v>
      </c>
      <c r="R131" s="83">
        <v>1.05</v>
      </c>
      <c r="S131" s="102">
        <v>-1590348</v>
      </c>
      <c r="T131" s="83">
        <v>-0.37</v>
      </c>
      <c r="U131" s="102">
        <v>-4173588</v>
      </c>
      <c r="V131" s="83">
        <v>-1.27</v>
      </c>
      <c r="W131" s="83" t="s">
        <v>65</v>
      </c>
      <c r="X131" s="83" t="s">
        <v>65</v>
      </c>
      <c r="Y131" s="83">
        <v>0</v>
      </c>
      <c r="Z131" s="83">
        <v>0</v>
      </c>
      <c r="AA131" s="102">
        <v>-505811</v>
      </c>
      <c r="AB131" s="83">
        <v>-0.1</v>
      </c>
      <c r="AC131" s="102">
        <v>923135</v>
      </c>
      <c r="AD131" s="83">
        <v>0.19</v>
      </c>
      <c r="AE131" s="102">
        <v>5079784</v>
      </c>
      <c r="AF131" s="83">
        <v>1.0900000000000001</v>
      </c>
      <c r="AG131" s="102">
        <v>2428452</v>
      </c>
      <c r="AH131" s="83">
        <v>0.57999999999999996</v>
      </c>
      <c r="AI131" s="102">
        <v>4041378</v>
      </c>
      <c r="AJ131" s="83">
        <v>1.01</v>
      </c>
      <c r="AK131" s="83">
        <v>0</v>
      </c>
      <c r="AL131" s="83">
        <v>0</v>
      </c>
      <c r="AM131" s="83" t="s">
        <v>65</v>
      </c>
      <c r="AN131" s="83" t="s">
        <v>65</v>
      </c>
      <c r="AO131" s="102">
        <v>3235294</v>
      </c>
      <c r="AP131" s="83">
        <v>0.7</v>
      </c>
      <c r="AQ131" s="102">
        <v>1955990</v>
      </c>
      <c r="AR131" s="83">
        <v>0.54</v>
      </c>
      <c r="AS131" s="102">
        <v>-459921</v>
      </c>
      <c r="AT131" s="83">
        <v>-0.12</v>
      </c>
      <c r="AU131" s="102">
        <v>-1578736</v>
      </c>
      <c r="AV131" s="83">
        <v>-0.4</v>
      </c>
      <c r="AW131" s="102">
        <v>-1488498</v>
      </c>
      <c r="AX131" s="83">
        <v>-0.34</v>
      </c>
      <c r="AY131" s="83">
        <v>0</v>
      </c>
      <c r="AZ131" s="83">
        <v>0</v>
      </c>
      <c r="BA131" s="83">
        <v>0</v>
      </c>
      <c r="BB131" s="83">
        <v>0</v>
      </c>
      <c r="BC131" s="102">
        <v>1298220</v>
      </c>
      <c r="BD131" s="83">
        <v>0.28000000000000003</v>
      </c>
      <c r="BE131" s="102">
        <v>-3352860</v>
      </c>
      <c r="BF131" s="83">
        <v>-0.79</v>
      </c>
      <c r="BG131" s="102">
        <v>2806240</v>
      </c>
      <c r="BH131" s="83">
        <v>0.59</v>
      </c>
      <c r="BI131" s="83">
        <v>0</v>
      </c>
      <c r="BJ131" s="83">
        <v>0</v>
      </c>
    </row>
    <row r="132" spans="1:62" x14ac:dyDescent="0.25">
      <c r="A132" s="83">
        <v>0</v>
      </c>
      <c r="B132" s="83">
        <v>0</v>
      </c>
      <c r="C132" s="102">
        <v>478188</v>
      </c>
      <c r="D132" s="83">
        <v>2.71</v>
      </c>
      <c r="E132" s="102">
        <v>1254095</v>
      </c>
      <c r="F132" s="83">
        <v>6.81</v>
      </c>
      <c r="G132" s="102">
        <v>2074147</v>
      </c>
      <c r="H132" s="83">
        <v>7.06</v>
      </c>
      <c r="I132" s="83">
        <v>0</v>
      </c>
      <c r="J132" s="83">
        <v>0</v>
      </c>
      <c r="K132" s="83">
        <v>0</v>
      </c>
      <c r="L132" s="83">
        <v>0</v>
      </c>
      <c r="M132" s="102">
        <v>630838</v>
      </c>
      <c r="N132" s="83">
        <v>4.07</v>
      </c>
      <c r="O132" s="102">
        <v>328097</v>
      </c>
      <c r="P132" s="83">
        <v>1.94</v>
      </c>
      <c r="Q132" s="102">
        <v>1309830</v>
      </c>
      <c r="R132" s="83">
        <v>7.3</v>
      </c>
      <c r="S132" s="102">
        <v>218761</v>
      </c>
      <c r="T132" s="83">
        <v>1.2</v>
      </c>
      <c r="U132" s="102">
        <v>-654871</v>
      </c>
      <c r="V132" s="83">
        <v>-3.56</v>
      </c>
      <c r="W132" s="83" t="s">
        <v>65</v>
      </c>
      <c r="X132" s="83" t="s">
        <v>65</v>
      </c>
      <c r="Y132" s="83" t="s">
        <v>65</v>
      </c>
      <c r="Z132" s="83" t="s">
        <v>65</v>
      </c>
      <c r="AA132" s="102">
        <v>-362402</v>
      </c>
      <c r="AB132" s="83">
        <v>-4.99</v>
      </c>
      <c r="AC132" s="102">
        <v>135531</v>
      </c>
      <c r="AD132" s="83">
        <v>1.71</v>
      </c>
      <c r="AE132" s="102">
        <v>705744</v>
      </c>
      <c r="AF132" s="83">
        <v>8.27</v>
      </c>
      <c r="AG132" s="102">
        <v>342211</v>
      </c>
      <c r="AH132" s="83">
        <v>3.08</v>
      </c>
      <c r="AI132" s="102">
        <v>412105</v>
      </c>
      <c r="AJ132" s="83">
        <v>3.06</v>
      </c>
      <c r="AK132" s="83" t="s">
        <v>65</v>
      </c>
      <c r="AL132" s="83" t="s">
        <v>65</v>
      </c>
      <c r="AM132" s="83" t="s">
        <v>65</v>
      </c>
      <c r="AN132" s="83" t="s">
        <v>65</v>
      </c>
      <c r="AO132" s="102">
        <v>113993</v>
      </c>
      <c r="AP132" s="83">
        <v>1.8</v>
      </c>
      <c r="AQ132" s="102">
        <v>468226</v>
      </c>
      <c r="AR132" s="83">
        <v>5.43</v>
      </c>
      <c r="AS132" s="102">
        <v>-464836</v>
      </c>
      <c r="AT132" s="83">
        <v>-5.28</v>
      </c>
      <c r="AU132" s="102">
        <v>-70391</v>
      </c>
      <c r="AV132" s="83">
        <v>-0.79</v>
      </c>
      <c r="AW132" s="102">
        <v>-260253</v>
      </c>
      <c r="AX132" s="83">
        <v>-2.0699999999999998</v>
      </c>
      <c r="AY132" s="83">
        <v>0</v>
      </c>
      <c r="AZ132" s="83">
        <v>0</v>
      </c>
      <c r="BA132" s="83" t="s">
        <v>65</v>
      </c>
      <c r="BB132" s="83" t="s">
        <v>65</v>
      </c>
      <c r="BC132" s="102">
        <v>202236</v>
      </c>
      <c r="BD132" s="83">
        <v>1.3</v>
      </c>
      <c r="BE132" s="102">
        <v>-345510</v>
      </c>
      <c r="BF132" s="83">
        <v>-2.46</v>
      </c>
      <c r="BG132" s="102">
        <v>608679</v>
      </c>
      <c r="BH132" s="83">
        <v>4.95</v>
      </c>
      <c r="BI132" s="83">
        <v>0</v>
      </c>
      <c r="BJ132" s="83">
        <v>0</v>
      </c>
    </row>
    <row r="133" spans="1:62" x14ac:dyDescent="0.25">
      <c r="A133" s="102">
        <v>-3276000</v>
      </c>
      <c r="B133" s="83">
        <v>-1.32</v>
      </c>
      <c r="C133" s="95">
        <v>-4631699.72</v>
      </c>
      <c r="D133" s="83">
        <v>-2.2999999999999998</v>
      </c>
      <c r="E133" s="95">
        <v>7241296.1100000003</v>
      </c>
      <c r="F133" s="83">
        <v>7.1</v>
      </c>
      <c r="G133" s="95">
        <v>8139863.6799999997</v>
      </c>
      <c r="H133" s="83">
        <v>11.26</v>
      </c>
      <c r="I133" s="83" t="s">
        <v>65</v>
      </c>
      <c r="J133" s="83" t="s">
        <v>65</v>
      </c>
      <c r="K133" s="83" t="s">
        <v>65</v>
      </c>
      <c r="L133" s="83" t="s">
        <v>65</v>
      </c>
      <c r="M133" s="95">
        <v>167878.73</v>
      </c>
      <c r="N133" s="83">
        <v>0.09</v>
      </c>
      <c r="O133" s="95">
        <v>-8378827.5499999998</v>
      </c>
      <c r="P133" s="83">
        <v>-2.6</v>
      </c>
      <c r="Q133" s="95">
        <v>13745725.9</v>
      </c>
      <c r="R133" s="83">
        <v>7.76</v>
      </c>
      <c r="S133" s="95">
        <v>2004461.42</v>
      </c>
      <c r="T133" s="83">
        <v>1.22</v>
      </c>
      <c r="U133" s="95">
        <v>581055.85</v>
      </c>
      <c r="V133" s="83">
        <v>0.38</v>
      </c>
      <c r="W133" s="83" t="s">
        <v>65</v>
      </c>
      <c r="X133" s="83" t="s">
        <v>65</v>
      </c>
      <c r="Y133" s="83" t="s">
        <v>65</v>
      </c>
      <c r="Z133" s="83" t="s">
        <v>65</v>
      </c>
      <c r="AA133" s="95">
        <v>-8504797.6400000006</v>
      </c>
      <c r="AB133" s="83">
        <v>-4.17</v>
      </c>
      <c r="AC133" s="95">
        <v>375327.83</v>
      </c>
      <c r="AD133" s="83">
        <v>0.22</v>
      </c>
      <c r="AE133" s="95">
        <v>8731101.4299999997</v>
      </c>
      <c r="AF133" s="83">
        <v>5.86</v>
      </c>
      <c r="AG133" s="95">
        <v>839652.98</v>
      </c>
      <c r="AH133" s="83">
        <v>1.5</v>
      </c>
      <c r="AI133" s="95">
        <v>-1264909.83</v>
      </c>
      <c r="AJ133" s="83">
        <v>-0.7</v>
      </c>
      <c r="AK133" s="83" t="s">
        <v>65</v>
      </c>
      <c r="AL133" s="83" t="s">
        <v>65</v>
      </c>
      <c r="AM133" s="83" t="s">
        <v>65</v>
      </c>
      <c r="AN133" s="83" t="s">
        <v>65</v>
      </c>
      <c r="AO133" s="95">
        <v>1899643.7</v>
      </c>
      <c r="AP133" s="83">
        <v>1.98</v>
      </c>
      <c r="AQ133" s="95">
        <v>7599191.6100000003</v>
      </c>
      <c r="AR133" s="83">
        <v>3.78</v>
      </c>
      <c r="AS133" s="95">
        <v>-7320008.46</v>
      </c>
      <c r="AT133" s="83">
        <v>-5.39</v>
      </c>
      <c r="AU133" s="95">
        <v>-194267.5</v>
      </c>
      <c r="AV133" s="83">
        <v>-0.19</v>
      </c>
      <c r="AW133" s="95">
        <v>-2073779.12</v>
      </c>
      <c r="AX133" s="83">
        <v>-4.1500000000000004</v>
      </c>
      <c r="AY133" s="83">
        <v>0</v>
      </c>
      <c r="AZ133" s="83">
        <v>0</v>
      </c>
      <c r="BA133" s="83">
        <v>0</v>
      </c>
      <c r="BB133" s="83">
        <v>0</v>
      </c>
      <c r="BC133" s="95">
        <v>6825707.9100000001</v>
      </c>
      <c r="BD133" s="83">
        <v>4.01</v>
      </c>
      <c r="BE133" s="95">
        <v>-2259429.48</v>
      </c>
      <c r="BF133" s="83">
        <v>-3.46</v>
      </c>
      <c r="BG133" s="95">
        <v>6277810.4299999997</v>
      </c>
      <c r="BH133" s="83">
        <v>3.2</v>
      </c>
      <c r="BI133" s="83">
        <v>0</v>
      </c>
      <c r="BJ133" s="83">
        <v>0</v>
      </c>
    </row>
    <row r="134" spans="1:62" x14ac:dyDescent="0.25">
      <c r="E134" s="83"/>
    </row>
    <row r="135" spans="1:62" x14ac:dyDescent="0.25">
      <c r="A135" s="102"/>
      <c r="C135" s="95"/>
      <c r="E135" s="95"/>
    </row>
    <row r="136" spans="1:62" x14ac:dyDescent="0.25">
      <c r="E136" s="83"/>
    </row>
    <row r="137" spans="1:62" x14ac:dyDescent="0.25">
      <c r="C137" s="95"/>
      <c r="E137" s="95"/>
    </row>
    <row r="138" spans="1:62" x14ac:dyDescent="0.25">
      <c r="E138" s="83"/>
    </row>
    <row r="139" spans="1:62" x14ac:dyDescent="0.25">
      <c r="A139" s="102"/>
      <c r="C139" s="95"/>
      <c r="E139" s="95"/>
    </row>
    <row r="140" spans="1:62" x14ac:dyDescent="0.25">
      <c r="E140" s="83"/>
    </row>
    <row r="141" spans="1:62" x14ac:dyDescent="0.25">
      <c r="E141" s="95"/>
    </row>
    <row r="142" spans="1:62" x14ac:dyDescent="0.25">
      <c r="E142" s="83"/>
    </row>
    <row r="143" spans="1:62" x14ac:dyDescent="0.25">
      <c r="E143" s="95"/>
    </row>
    <row r="144" spans="1:62" x14ac:dyDescent="0.25">
      <c r="E144" s="83"/>
    </row>
    <row r="145" spans="1:5" x14ac:dyDescent="0.25">
      <c r="A145" s="102"/>
      <c r="E145" s="83"/>
    </row>
    <row r="146" spans="1:5" x14ac:dyDescent="0.25">
      <c r="E146" s="83"/>
    </row>
    <row r="147" spans="1:5" x14ac:dyDescent="0.25">
      <c r="A147" s="102"/>
    </row>
    <row r="149" spans="1:5" x14ac:dyDescent="0.25">
      <c r="A149" s="102"/>
    </row>
    <row r="151" spans="1:5" x14ac:dyDescent="0.25">
      <c r="A151" s="102"/>
    </row>
    <row r="153" spans="1:5" x14ac:dyDescent="0.25">
      <c r="A153" s="102"/>
    </row>
    <row r="159" spans="1:5" x14ac:dyDescent="0.25">
      <c r="A159" s="102"/>
    </row>
    <row r="161" spans="1:1" x14ac:dyDescent="0.25">
      <c r="A161" s="102"/>
    </row>
    <row r="163" spans="1:1" x14ac:dyDescent="0.25">
      <c r="A163" s="102"/>
    </row>
    <row r="165" spans="1:1" x14ac:dyDescent="0.25">
      <c r="A165" s="102"/>
    </row>
    <row r="167" spans="1:1" x14ac:dyDescent="0.25">
      <c r="A167" s="102"/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C94027-276A-43CD-BAAA-169671BCEFD8}">
  <dimension ref="A1:AD99"/>
  <sheetViews>
    <sheetView showGridLines="0" zoomScaleNormal="100" workbookViewId="0">
      <selection activeCell="F4" sqref="F4:F32"/>
    </sheetView>
  </sheetViews>
  <sheetFormatPr baseColWidth="10" defaultRowHeight="15" x14ac:dyDescent="0.25"/>
  <cols>
    <col min="1" max="4" width="11.5703125" bestFit="1" customWidth="1"/>
    <col min="5" max="5" width="13.28515625" bestFit="1" customWidth="1"/>
    <col min="6" max="7" width="11.5703125" customWidth="1"/>
    <col min="9" max="9" width="12.7109375" bestFit="1" customWidth="1"/>
    <col min="10" max="10" width="13.5703125" bestFit="1" customWidth="1"/>
    <col min="12" max="12" width="11.7109375" bestFit="1" customWidth="1"/>
    <col min="13" max="13" width="13.5703125" bestFit="1" customWidth="1"/>
    <col min="14" max="14" width="10.42578125" bestFit="1" customWidth="1"/>
    <col min="15" max="15" width="7" bestFit="1" customWidth="1"/>
    <col min="16" max="16" width="27.85546875" bestFit="1" customWidth="1"/>
    <col min="17" max="17" width="64.85546875" bestFit="1" customWidth="1"/>
    <col min="18" max="18" width="11.85546875" bestFit="1" customWidth="1"/>
    <col min="19" max="19" width="12" bestFit="1" customWidth="1"/>
    <col min="22" max="22" width="11.5703125" bestFit="1" customWidth="1"/>
    <col min="26" max="26" width="12.42578125" bestFit="1" customWidth="1"/>
    <col min="27" max="27" width="13.140625" bestFit="1" customWidth="1"/>
    <col min="28" max="28" width="13.5703125" bestFit="1" customWidth="1"/>
    <col min="29" max="29" width="14.28515625" bestFit="1" customWidth="1"/>
  </cols>
  <sheetData>
    <row r="1" spans="1:30" x14ac:dyDescent="0.25">
      <c r="A1" s="4" t="s">
        <v>0</v>
      </c>
      <c r="B1" s="4" t="s">
        <v>23</v>
      </c>
      <c r="C1" s="4" t="s">
        <v>24</v>
      </c>
      <c r="D1" s="4" t="s">
        <v>1</v>
      </c>
      <c r="E1" s="4" t="s">
        <v>3</v>
      </c>
      <c r="F1" s="4" t="s">
        <v>30</v>
      </c>
      <c r="G1" s="4" t="s">
        <v>28</v>
      </c>
      <c r="H1" s="4" t="s">
        <v>29</v>
      </c>
      <c r="I1" s="4" t="s">
        <v>4</v>
      </c>
      <c r="J1" s="4"/>
      <c r="K1" s="70" t="s">
        <v>41</v>
      </c>
      <c r="N1" s="22" t="s">
        <v>0</v>
      </c>
      <c r="O1" s="23"/>
      <c r="P1" s="23"/>
      <c r="Q1" s="23"/>
      <c r="R1" s="23" t="s">
        <v>5</v>
      </c>
      <c r="S1" s="24" t="s">
        <v>6</v>
      </c>
      <c r="V1" s="5" t="s">
        <v>0</v>
      </c>
      <c r="W1" s="5" t="s">
        <v>7</v>
      </c>
      <c r="X1" s="5" t="s">
        <v>8</v>
      </c>
      <c r="Y1" s="5" t="s">
        <v>9</v>
      </c>
      <c r="Z1" s="5" t="s">
        <v>10</v>
      </c>
      <c r="AA1" s="5" t="s">
        <v>11</v>
      </c>
      <c r="AB1" s="5" t="s">
        <v>12</v>
      </c>
      <c r="AC1" s="27"/>
    </row>
    <row r="2" spans="1:30" x14ac:dyDescent="0.25">
      <c r="A2" s="1">
        <v>44958</v>
      </c>
      <c r="B2" s="2">
        <v>0</v>
      </c>
      <c r="C2" s="2"/>
      <c r="D2" s="21"/>
      <c r="E2" s="3">
        <f t="shared" ref="E2:E32" si="0">C2*D2</f>
        <v>0</v>
      </c>
      <c r="F2" s="2"/>
      <c r="G2" s="2"/>
      <c r="H2" s="26">
        <f>C2-B2+F2</f>
        <v>0</v>
      </c>
      <c r="I2" s="26">
        <f>H2*D2</f>
        <v>0</v>
      </c>
      <c r="J2" s="30"/>
      <c r="N2" s="9">
        <f>A2</f>
        <v>44958</v>
      </c>
      <c r="O2">
        <v>110262</v>
      </c>
      <c r="P2" t="s">
        <v>22</v>
      </c>
      <c r="Q2" t="str">
        <f>"CPA Movimientos Partner PAYCASH "&amp;TEXT(N2,"dd-mm-yyy") &amp; " MXN " &amp;TEXT(IF(H2&gt;1,H2,H2*-1),"#.##0") &amp; " - T/C " &amp;D2</f>
        <v xml:space="preserve">CPA Movimientos Partner PAYCASH 01-02-2023 MXN 0 - T/C </v>
      </c>
      <c r="R2" s="3">
        <f>+I2</f>
        <v>0</v>
      </c>
      <c r="S2" s="10"/>
      <c r="V2" s="6" t="s">
        <v>13</v>
      </c>
      <c r="W2" s="6">
        <v>110262</v>
      </c>
      <c r="X2" s="6"/>
      <c r="Y2" s="6" t="s">
        <v>14</v>
      </c>
      <c r="Z2" s="7"/>
      <c r="AA2" s="7"/>
      <c r="AB2" s="7">
        <v>43797625</v>
      </c>
      <c r="AC2" s="27"/>
    </row>
    <row r="3" spans="1:30" x14ac:dyDescent="0.25">
      <c r="A3" s="1">
        <v>44959</v>
      </c>
      <c r="B3" s="3"/>
      <c r="C3" s="2"/>
      <c r="D3" s="21"/>
      <c r="E3" s="3">
        <f t="shared" si="0"/>
        <v>0</v>
      </c>
      <c r="F3" s="2"/>
      <c r="G3" s="2"/>
      <c r="H3" s="26">
        <f t="shared" ref="H3:H32" si="1">C3-B3+F3</f>
        <v>0</v>
      </c>
      <c r="I3" s="26">
        <f t="shared" ref="I3:I32" si="2">H3*D3</f>
        <v>0</v>
      </c>
      <c r="N3" s="11"/>
      <c r="O3" s="12">
        <v>211101</v>
      </c>
      <c r="P3" s="12" t="s">
        <v>18</v>
      </c>
      <c r="Q3" s="12" t="str">
        <f>Q2</f>
        <v xml:space="preserve">CPA Movimientos Partner PAYCASH 01-02-2023 MXN 0 - T/C </v>
      </c>
      <c r="R3" s="13"/>
      <c r="S3" s="18">
        <f>R2</f>
        <v>0</v>
      </c>
      <c r="V3" s="25">
        <v>44927</v>
      </c>
      <c r="W3" s="27"/>
      <c r="X3" s="27"/>
      <c r="Y3" s="27"/>
      <c r="Z3" s="28">
        <f>+R2</f>
        <v>0</v>
      </c>
      <c r="AA3" s="29"/>
      <c r="AB3" s="29">
        <f>+AB2+Z3-AA3</f>
        <v>43797625</v>
      </c>
      <c r="AC3" s="28">
        <f t="shared" ref="AC3:AC33" si="3">+AB3-E2</f>
        <v>43797625</v>
      </c>
    </row>
    <row r="4" spans="1:30" x14ac:dyDescent="0.25">
      <c r="A4" s="1">
        <v>44960</v>
      </c>
      <c r="B4" s="3"/>
      <c r="C4" s="2"/>
      <c r="D4" s="21"/>
      <c r="E4" s="3">
        <f t="shared" si="0"/>
        <v>0</v>
      </c>
      <c r="F4" s="2"/>
      <c r="G4" s="2">
        <f>F4/19.829</f>
        <v>0</v>
      </c>
      <c r="H4" s="26">
        <f t="shared" si="1"/>
        <v>0</v>
      </c>
      <c r="I4" s="26">
        <f t="shared" si="2"/>
        <v>0</v>
      </c>
      <c r="K4" s="3">
        <f>G4*855.86</f>
        <v>0</v>
      </c>
      <c r="L4" s="3">
        <f>F4*D4</f>
        <v>0</v>
      </c>
      <c r="M4" s="3">
        <f>+K4-L4</f>
        <v>0</v>
      </c>
      <c r="N4" s="15">
        <v>44928</v>
      </c>
      <c r="O4" s="8">
        <v>110262</v>
      </c>
      <c r="P4" s="8" t="s">
        <v>22</v>
      </c>
      <c r="Q4" s="8" t="str">
        <f>"CPA Movimientos Partner PAYCASH "&amp;TEXT(N4,"dd-mm-yyy") &amp; " MXN " &amp;TEXT(IF(H3&gt;1,H3,H3*-1),"#.##0") &amp; " - T/C " &amp;D3</f>
        <v xml:space="preserve">CPA Movimientos Partner PAYCASH 02-01-2023 MXN 0 - T/C </v>
      </c>
      <c r="R4" s="16">
        <f>+I3</f>
        <v>0</v>
      </c>
      <c r="S4" s="17"/>
      <c r="V4" s="25">
        <v>44928</v>
      </c>
      <c r="W4" s="27"/>
      <c r="X4" s="27"/>
      <c r="Y4" s="27"/>
      <c r="Z4" s="28">
        <f>+R4</f>
        <v>0</v>
      </c>
      <c r="AA4" s="29"/>
      <c r="AB4" s="29">
        <f>+AB3+Z4-AA4</f>
        <v>43797625</v>
      </c>
      <c r="AC4" s="28">
        <f t="shared" si="3"/>
        <v>43797625</v>
      </c>
    </row>
    <row r="5" spans="1:30" x14ac:dyDescent="0.25">
      <c r="A5" s="1">
        <v>44961</v>
      </c>
      <c r="B5" s="3"/>
      <c r="C5" s="2"/>
      <c r="D5" s="21"/>
      <c r="E5" s="3">
        <f t="shared" si="0"/>
        <v>0</v>
      </c>
      <c r="F5" s="2"/>
      <c r="G5" s="2"/>
      <c r="H5" s="26">
        <f t="shared" si="1"/>
        <v>0</v>
      </c>
      <c r="I5" s="26">
        <f t="shared" si="2"/>
        <v>0</v>
      </c>
      <c r="K5" s="3">
        <f>G11*837.19</f>
        <v>0</v>
      </c>
      <c r="L5" s="3">
        <f>F11*D11</f>
        <v>0</v>
      </c>
      <c r="M5" s="3">
        <f>+K5-L5</f>
        <v>0</v>
      </c>
      <c r="N5" s="11"/>
      <c r="O5" s="12">
        <v>211101</v>
      </c>
      <c r="P5" s="12" t="s">
        <v>18</v>
      </c>
      <c r="Q5" s="12" t="str">
        <f t="shared" ref="Q5" si="4">Q4</f>
        <v xml:space="preserve">CPA Movimientos Partner PAYCASH 02-01-2023 MXN 0 - T/C </v>
      </c>
      <c r="R5" s="13"/>
      <c r="S5" s="18">
        <f>R4</f>
        <v>0</v>
      </c>
      <c r="V5" s="25">
        <v>44929</v>
      </c>
      <c r="W5" s="27"/>
      <c r="X5" s="27"/>
      <c r="Y5" s="27"/>
      <c r="Z5" s="28">
        <f>+R6</f>
        <v>0</v>
      </c>
      <c r="AA5" s="29">
        <f>+T11</f>
        <v>0</v>
      </c>
      <c r="AB5" s="29">
        <f t="shared" ref="AB5:AB11" si="5">+AB4+Z5-AA5</f>
        <v>43797625</v>
      </c>
      <c r="AC5" s="28">
        <f t="shared" si="3"/>
        <v>43797625</v>
      </c>
      <c r="AD5" s="3"/>
    </row>
    <row r="6" spans="1:30" x14ac:dyDescent="0.25">
      <c r="A6" s="1">
        <v>44962</v>
      </c>
      <c r="B6" s="3"/>
      <c r="C6" s="2"/>
      <c r="D6" s="21"/>
      <c r="E6" s="3">
        <f t="shared" si="0"/>
        <v>0</v>
      </c>
      <c r="F6" s="2"/>
      <c r="G6" s="2"/>
      <c r="H6" s="26">
        <f t="shared" si="1"/>
        <v>0</v>
      </c>
      <c r="I6" s="26">
        <f t="shared" si="2"/>
        <v>0</v>
      </c>
      <c r="K6" s="3">
        <f>G19*820.89</f>
        <v>0</v>
      </c>
      <c r="L6" s="3">
        <f>F19*D19</f>
        <v>0</v>
      </c>
      <c r="M6" s="3">
        <f>+K6-L6</f>
        <v>0</v>
      </c>
      <c r="N6" s="15">
        <v>44929</v>
      </c>
      <c r="O6" s="8">
        <v>110262</v>
      </c>
      <c r="P6" s="8" t="s">
        <v>22</v>
      </c>
      <c r="Q6" s="8" t="str">
        <f>"CPA Movimientos Partner PAYCASH "&amp;TEXT(N6,"dd-mm-yyy") &amp; " MXN " &amp;TEXT(IF(H4&gt;1,H4,H4*-1),"#.##0") &amp; " - T/C " &amp;D4</f>
        <v xml:space="preserve">CPA Movimientos Partner PAYCASH 03-01-2023 MXN 0 - T/C </v>
      </c>
      <c r="R6" s="16">
        <f>S7</f>
        <v>0</v>
      </c>
      <c r="S6" s="17"/>
      <c r="V6" s="25">
        <v>44930</v>
      </c>
      <c r="W6" s="27"/>
      <c r="X6" s="27"/>
      <c r="Y6" s="27"/>
      <c r="Z6" s="29">
        <f>+T15</f>
        <v>0</v>
      </c>
      <c r="AA6" s="29"/>
      <c r="AB6" s="29">
        <f t="shared" si="5"/>
        <v>43797625</v>
      </c>
      <c r="AC6" s="28">
        <f t="shared" si="3"/>
        <v>43797625</v>
      </c>
    </row>
    <row r="7" spans="1:30" x14ac:dyDescent="0.25">
      <c r="A7" s="1">
        <v>44963</v>
      </c>
      <c r="B7" s="3"/>
      <c r="C7" s="2"/>
      <c r="D7" s="21"/>
      <c r="E7" s="3">
        <f t="shared" si="0"/>
        <v>0</v>
      </c>
      <c r="F7" s="2"/>
      <c r="G7" s="2"/>
      <c r="H7" s="26">
        <f t="shared" si="1"/>
        <v>0</v>
      </c>
      <c r="I7" s="26">
        <f t="shared" si="2"/>
        <v>0</v>
      </c>
      <c r="K7" s="3">
        <f>G32*810.37</f>
        <v>0</v>
      </c>
      <c r="L7" s="3">
        <f>F32*D32</f>
        <v>0</v>
      </c>
      <c r="M7" s="3">
        <f>+K7-L7</f>
        <v>0</v>
      </c>
      <c r="N7" s="20"/>
      <c r="O7">
        <v>211101</v>
      </c>
      <c r="P7" t="s">
        <v>18</v>
      </c>
      <c r="Q7" t="str">
        <f>Q6</f>
        <v xml:space="preserve">CPA Movimientos Partner PAYCASH 03-01-2023 MXN 0 - T/C </v>
      </c>
      <c r="R7" s="3"/>
      <c r="S7" s="10">
        <f>ROUND(I4,0)</f>
        <v>0</v>
      </c>
      <c r="V7" s="25">
        <v>44931</v>
      </c>
      <c r="W7" s="27"/>
      <c r="X7" s="27"/>
      <c r="Y7" s="27"/>
      <c r="Z7" s="28">
        <f>+T19</f>
        <v>0</v>
      </c>
      <c r="AA7" s="28"/>
      <c r="AB7" s="29">
        <f t="shared" si="5"/>
        <v>43797625</v>
      </c>
      <c r="AC7" s="28">
        <f t="shared" si="3"/>
        <v>43797625</v>
      </c>
    </row>
    <row r="8" spans="1:30" x14ac:dyDescent="0.25">
      <c r="A8" s="1">
        <v>44964</v>
      </c>
      <c r="B8" s="3"/>
      <c r="C8" s="2"/>
      <c r="D8" s="21"/>
      <c r="E8" s="3">
        <f t="shared" si="0"/>
        <v>0</v>
      </c>
      <c r="F8" s="2"/>
      <c r="G8" s="2"/>
      <c r="H8" s="26">
        <f t="shared" si="1"/>
        <v>0</v>
      </c>
      <c r="I8" s="26">
        <f t="shared" si="2"/>
        <v>0</v>
      </c>
      <c r="M8" s="43" t="s">
        <v>32</v>
      </c>
      <c r="N8" s="44">
        <v>44929</v>
      </c>
      <c r="O8" s="45">
        <v>110276</v>
      </c>
      <c r="P8" s="45" t="s">
        <v>31</v>
      </c>
      <c r="Q8" s="45" t="str">
        <f>"CPA Rescate de Fondos Pay Cash "&amp;TEXT(N8,"dd-mm-yyy") &amp; " USD " &amp;TEXT(IF(G4&gt;1,G4,G4*-1),"#.##0") &amp; " - T/C  855,86"</f>
        <v>CPA Rescate de Fondos Pay Cash 03-01-2023 USD 0 - T/C  855,86</v>
      </c>
      <c r="R8" s="46">
        <f>S9</f>
        <v>0</v>
      </c>
      <c r="S8" s="47"/>
      <c r="V8" s="25">
        <v>44932</v>
      </c>
      <c r="W8" s="27"/>
      <c r="X8" s="27"/>
      <c r="Y8" s="27"/>
      <c r="Z8" s="28">
        <f>+T23</f>
        <v>0</v>
      </c>
      <c r="AA8" s="27"/>
      <c r="AB8" s="29">
        <f t="shared" si="5"/>
        <v>43797625</v>
      </c>
      <c r="AC8" s="28">
        <f t="shared" si="3"/>
        <v>43797625</v>
      </c>
    </row>
    <row r="9" spans="1:30" x14ac:dyDescent="0.25">
      <c r="A9" s="1">
        <v>44965</v>
      </c>
      <c r="B9" s="3"/>
      <c r="C9" s="2"/>
      <c r="D9" s="21"/>
      <c r="E9" s="3">
        <f t="shared" si="0"/>
        <v>0</v>
      </c>
      <c r="F9" s="2"/>
      <c r="G9" s="2"/>
      <c r="H9" s="26">
        <f t="shared" si="1"/>
        <v>0</v>
      </c>
      <c r="I9" s="26">
        <f t="shared" si="2"/>
        <v>0</v>
      </c>
      <c r="N9" s="48"/>
      <c r="O9" s="49">
        <v>110262</v>
      </c>
      <c r="P9" s="49" t="s">
        <v>22</v>
      </c>
      <c r="Q9" s="49" t="str">
        <f>Q8</f>
        <v>CPA Rescate de Fondos Pay Cash 03-01-2023 USD 0 - T/C  855,86</v>
      </c>
      <c r="R9" s="50"/>
      <c r="S9" s="51">
        <f>+K4</f>
        <v>0</v>
      </c>
      <c r="T9" s="3"/>
      <c r="V9" s="25">
        <v>44933</v>
      </c>
      <c r="W9" s="27"/>
      <c r="X9" s="27"/>
      <c r="Y9" s="27"/>
      <c r="Z9" s="28">
        <f>+T27</f>
        <v>0</v>
      </c>
      <c r="AA9" s="28"/>
      <c r="AB9" s="29">
        <f t="shared" si="5"/>
        <v>43797625</v>
      </c>
      <c r="AC9" s="28">
        <f t="shared" si="3"/>
        <v>43797625</v>
      </c>
    </row>
    <row r="10" spans="1:30" x14ac:dyDescent="0.25">
      <c r="A10" s="1">
        <v>44966</v>
      </c>
      <c r="B10" s="3"/>
      <c r="C10" s="2"/>
      <c r="D10" s="21"/>
      <c r="E10" s="3">
        <f t="shared" si="0"/>
        <v>0</v>
      </c>
      <c r="F10" s="2"/>
      <c r="G10" s="2"/>
      <c r="H10" s="26">
        <f t="shared" si="1"/>
        <v>0</v>
      </c>
      <c r="I10" s="26">
        <f t="shared" si="2"/>
        <v>0</v>
      </c>
      <c r="L10" s="3"/>
      <c r="N10" s="48"/>
      <c r="O10" s="49">
        <v>430105</v>
      </c>
      <c r="P10" s="49" t="s">
        <v>25</v>
      </c>
      <c r="Q10" s="49" t="str">
        <f>"CPA Ajuste T/C Rescate Fondos Partner PAYCASH "&amp;TEXT(N8,"dd-mm-yyy")</f>
        <v>CPA Ajuste T/C Rescate Fondos Partner PAYCASH 03-01-2023</v>
      </c>
      <c r="R10" s="50">
        <f>S11</f>
        <v>0</v>
      </c>
      <c r="S10" s="51"/>
      <c r="V10" s="25">
        <v>44934</v>
      </c>
      <c r="W10" s="27"/>
      <c r="X10" s="27"/>
      <c r="Y10" s="27"/>
      <c r="Z10" s="28">
        <f>+R28</f>
        <v>0</v>
      </c>
      <c r="AA10" s="27"/>
      <c r="AB10" s="29">
        <f t="shared" si="5"/>
        <v>43797625</v>
      </c>
      <c r="AC10" s="28">
        <f t="shared" si="3"/>
        <v>43797625</v>
      </c>
    </row>
    <row r="11" spans="1:30" x14ac:dyDescent="0.25">
      <c r="A11" s="1">
        <v>44967</v>
      </c>
      <c r="B11" s="3"/>
      <c r="C11" s="2"/>
      <c r="D11" s="21"/>
      <c r="E11" s="3">
        <f t="shared" si="0"/>
        <v>0</v>
      </c>
      <c r="F11" s="2"/>
      <c r="G11" s="2">
        <f>F11/19.5001</f>
        <v>0</v>
      </c>
      <c r="H11" s="26">
        <f t="shared" si="1"/>
        <v>0</v>
      </c>
      <c r="I11" s="26">
        <f t="shared" si="2"/>
        <v>0</v>
      </c>
      <c r="N11" s="48"/>
      <c r="O11" s="49">
        <v>110262</v>
      </c>
      <c r="P11" s="49" t="s">
        <v>22</v>
      </c>
      <c r="Q11" s="49" t="str">
        <f>Q10</f>
        <v>CPA Ajuste T/C Rescate Fondos Partner PAYCASH 03-01-2023</v>
      </c>
      <c r="R11" s="50"/>
      <c r="S11" s="51">
        <f>ROUND(M4*-1,0)</f>
        <v>0</v>
      </c>
      <c r="T11" s="3">
        <f>+S9+S11</f>
        <v>0</v>
      </c>
      <c r="V11" s="25">
        <v>44935</v>
      </c>
      <c r="W11" s="27"/>
      <c r="X11" s="27"/>
      <c r="Y11" s="27"/>
      <c r="Z11" s="28">
        <f>+R30</f>
        <v>0</v>
      </c>
      <c r="AA11" s="27"/>
      <c r="AB11" s="29">
        <f t="shared" si="5"/>
        <v>43797625</v>
      </c>
      <c r="AC11" s="28">
        <f t="shared" si="3"/>
        <v>43797625</v>
      </c>
    </row>
    <row r="12" spans="1:30" x14ac:dyDescent="0.25">
      <c r="A12" s="1">
        <v>44968</v>
      </c>
      <c r="B12" s="3"/>
      <c r="C12" s="2"/>
      <c r="D12" s="21"/>
      <c r="E12" s="3">
        <f t="shared" si="0"/>
        <v>0</v>
      </c>
      <c r="F12" s="2"/>
      <c r="G12" s="2"/>
      <c r="H12" s="26">
        <f t="shared" si="1"/>
        <v>0</v>
      </c>
      <c r="I12" s="26">
        <f t="shared" si="2"/>
        <v>0</v>
      </c>
      <c r="M12" s="19"/>
      <c r="N12" s="15">
        <v>44930</v>
      </c>
      <c r="O12" s="8">
        <v>110262</v>
      </c>
      <c r="P12" s="8" t="s">
        <v>22</v>
      </c>
      <c r="Q12" s="8" t="str">
        <f>"CPA Movimientos Partner PAYCASH "&amp;TEXT(N12,"dd-mm-yyy") &amp; " MXN " &amp;TEXT(IF(H5&gt;1,H5,H5*-1),"#.##0") &amp; " - T/C " &amp;D5</f>
        <v xml:space="preserve">CPA Movimientos Partner PAYCASH 04-01-2023 MXN 0 - T/C </v>
      </c>
      <c r="R12" s="16">
        <f>+I5</f>
        <v>0</v>
      </c>
      <c r="S12" s="17"/>
      <c r="V12" s="25">
        <v>44936</v>
      </c>
      <c r="W12" s="27"/>
      <c r="X12" s="27"/>
      <c r="Y12" s="27"/>
      <c r="Z12" s="28">
        <f>+T35</f>
        <v>0</v>
      </c>
      <c r="AA12" s="28">
        <f>+T39</f>
        <v>0</v>
      </c>
      <c r="AB12" s="29">
        <f>+AB11+Z12-AA12</f>
        <v>43797625</v>
      </c>
      <c r="AC12" s="28">
        <f t="shared" si="3"/>
        <v>43797625</v>
      </c>
      <c r="AD12" s="3"/>
    </row>
    <row r="13" spans="1:30" x14ac:dyDescent="0.25">
      <c r="A13" s="1">
        <v>44969</v>
      </c>
      <c r="B13" s="3"/>
      <c r="C13" s="2"/>
      <c r="D13" s="21"/>
      <c r="E13" s="3">
        <f t="shared" si="0"/>
        <v>0</v>
      </c>
      <c r="F13" s="2"/>
      <c r="G13" s="2"/>
      <c r="H13" s="26">
        <f t="shared" si="1"/>
        <v>0</v>
      </c>
      <c r="I13" s="26">
        <f t="shared" si="2"/>
        <v>0</v>
      </c>
      <c r="J13" s="31">
        <f>B5*J14</f>
        <v>0</v>
      </c>
      <c r="K13" s="32">
        <v>44930</v>
      </c>
      <c r="L13" s="39"/>
      <c r="M13" s="39"/>
      <c r="N13" s="20"/>
      <c r="O13">
        <v>211101</v>
      </c>
      <c r="P13" t="s">
        <v>18</v>
      </c>
      <c r="Q13" t="str">
        <f>Q12</f>
        <v xml:space="preserve">CPA Movimientos Partner PAYCASH 04-01-2023 MXN 0 - T/C </v>
      </c>
      <c r="R13" s="3"/>
      <c r="S13" s="10">
        <f>R12</f>
        <v>0</v>
      </c>
      <c r="V13" s="25">
        <v>44937</v>
      </c>
      <c r="Z13" s="28">
        <f>+T43</f>
        <v>0</v>
      </c>
      <c r="AB13" s="29">
        <f t="shared" ref="AB13:AB33" si="6">+AB12+Z13-AA13</f>
        <v>43797625</v>
      </c>
      <c r="AC13" s="28">
        <f t="shared" si="3"/>
        <v>43797625</v>
      </c>
    </row>
    <row r="14" spans="1:30" x14ac:dyDescent="0.25">
      <c r="A14" s="1">
        <v>44970</v>
      </c>
      <c r="B14" s="3"/>
      <c r="C14" s="2"/>
      <c r="D14" s="21"/>
      <c r="E14" s="3">
        <f t="shared" si="0"/>
        <v>0</v>
      </c>
      <c r="F14" s="2"/>
      <c r="G14" s="2"/>
      <c r="H14" s="26">
        <f t="shared" si="1"/>
        <v>0</v>
      </c>
      <c r="I14" s="26">
        <f t="shared" si="2"/>
        <v>0</v>
      </c>
      <c r="J14" s="34">
        <f>+D5-D4</f>
        <v>0</v>
      </c>
      <c r="K14" s="33"/>
      <c r="L14" s="21"/>
      <c r="M14" s="21"/>
      <c r="N14" s="20"/>
      <c r="O14">
        <v>110262</v>
      </c>
      <c r="P14" t="s">
        <v>22</v>
      </c>
      <c r="Q14" t="str">
        <f>"CPA Ajuste T/C Partner PAYCASH "&amp;TEXT(N12,"dd-mm-yyy")</f>
        <v>CPA Ajuste T/C Partner PAYCASH 04-01-2023</v>
      </c>
      <c r="R14" s="3">
        <f>J13</f>
        <v>0</v>
      </c>
      <c r="S14" s="10"/>
      <c r="V14" s="25">
        <v>44938</v>
      </c>
      <c r="Z14" s="28">
        <f>+T47</f>
        <v>0</v>
      </c>
      <c r="AB14" s="29">
        <f t="shared" si="6"/>
        <v>43797625</v>
      </c>
      <c r="AC14" s="28">
        <f t="shared" si="3"/>
        <v>43797625</v>
      </c>
    </row>
    <row r="15" spans="1:30" x14ac:dyDescent="0.25">
      <c r="A15" s="1">
        <v>44971</v>
      </c>
      <c r="B15" s="3"/>
      <c r="C15" s="2"/>
      <c r="D15" s="21"/>
      <c r="E15" s="3">
        <f t="shared" si="0"/>
        <v>0</v>
      </c>
      <c r="F15" s="2"/>
      <c r="G15" s="2"/>
      <c r="H15" s="26">
        <f t="shared" si="1"/>
        <v>0</v>
      </c>
      <c r="I15" s="26">
        <f t="shared" si="2"/>
        <v>0</v>
      </c>
      <c r="J15" s="35">
        <f>B6*J16</f>
        <v>0</v>
      </c>
      <c r="K15" s="38">
        <v>44931</v>
      </c>
      <c r="L15" s="40"/>
      <c r="M15" s="40"/>
      <c r="N15" s="20"/>
      <c r="O15">
        <v>430105</v>
      </c>
      <c r="P15" t="s">
        <v>25</v>
      </c>
      <c r="Q15" t="str">
        <f>Q14</f>
        <v>CPA Ajuste T/C Partner PAYCASH 04-01-2023</v>
      </c>
      <c r="R15" s="3"/>
      <c r="S15" s="10">
        <f>R14</f>
        <v>0</v>
      </c>
      <c r="T15" s="3">
        <f>+R12+R14</f>
        <v>0</v>
      </c>
      <c r="V15" s="25">
        <v>44939</v>
      </c>
      <c r="Z15" s="28">
        <f>+T51</f>
        <v>0</v>
      </c>
      <c r="AB15" s="29">
        <f t="shared" si="6"/>
        <v>43797625</v>
      </c>
      <c r="AC15" s="28">
        <f t="shared" si="3"/>
        <v>43797625</v>
      </c>
    </row>
    <row r="16" spans="1:30" x14ac:dyDescent="0.25">
      <c r="A16" s="1">
        <v>44972</v>
      </c>
      <c r="B16" s="3"/>
      <c r="C16" s="2"/>
      <c r="D16" s="21"/>
      <c r="E16" s="3">
        <f t="shared" si="0"/>
        <v>0</v>
      </c>
      <c r="F16" s="2"/>
      <c r="G16" s="2"/>
      <c r="H16" s="26">
        <f t="shared" si="1"/>
        <v>0</v>
      </c>
      <c r="I16" s="26">
        <f t="shared" si="2"/>
        <v>0</v>
      </c>
      <c r="J16" s="34">
        <f>+D6-D5</f>
        <v>0</v>
      </c>
      <c r="K16" s="33"/>
      <c r="L16" s="21"/>
      <c r="M16" s="21"/>
      <c r="N16" s="15">
        <v>44931</v>
      </c>
      <c r="O16" s="8">
        <v>110262</v>
      </c>
      <c r="P16" s="8" t="s">
        <v>22</v>
      </c>
      <c r="Q16" s="8" t="str">
        <f>"CPA Movimientos Partner PAYCASH "&amp;TEXT(N16,"dd-mm-yyy") &amp; " MXN " &amp;TEXT(IF(H6&gt;1,H6,H6*-1),"#.##0") &amp; " - T/C " &amp;D6</f>
        <v xml:space="preserve">CPA Movimientos Partner PAYCASH 05-01-2023 MXN 0 - T/C </v>
      </c>
      <c r="R16" s="16">
        <f>+I6</f>
        <v>0</v>
      </c>
      <c r="S16" s="17"/>
      <c r="V16" s="25">
        <v>44940</v>
      </c>
      <c r="Z16" s="28">
        <f>+T55</f>
        <v>0</v>
      </c>
      <c r="AB16" s="29">
        <f t="shared" si="6"/>
        <v>43797625</v>
      </c>
      <c r="AC16" s="28">
        <f t="shared" si="3"/>
        <v>43797625</v>
      </c>
    </row>
    <row r="17" spans="1:29" x14ac:dyDescent="0.25">
      <c r="A17" s="1">
        <v>44973</v>
      </c>
      <c r="B17" s="3"/>
      <c r="C17" s="2"/>
      <c r="D17" s="21"/>
      <c r="E17" s="3">
        <f t="shared" si="0"/>
        <v>0</v>
      </c>
      <c r="F17" s="2"/>
      <c r="G17" s="2"/>
      <c r="H17" s="26">
        <f t="shared" si="1"/>
        <v>0</v>
      </c>
      <c r="I17" s="26">
        <f t="shared" si="2"/>
        <v>0</v>
      </c>
      <c r="J17" s="35">
        <f>B7*J18</f>
        <v>0</v>
      </c>
      <c r="K17" s="32">
        <v>44932</v>
      </c>
      <c r="L17" s="39"/>
      <c r="M17" s="39"/>
      <c r="N17" s="20"/>
      <c r="O17">
        <v>211101</v>
      </c>
      <c r="P17" t="s">
        <v>18</v>
      </c>
      <c r="Q17" t="str">
        <f>Q16</f>
        <v xml:space="preserve">CPA Movimientos Partner PAYCASH 05-01-2023 MXN 0 - T/C </v>
      </c>
      <c r="R17" s="3"/>
      <c r="S17" s="10">
        <f>R16</f>
        <v>0</v>
      </c>
      <c r="V17" s="25">
        <v>44941</v>
      </c>
      <c r="Z17" s="3">
        <f>+R56</f>
        <v>0</v>
      </c>
      <c r="AB17" s="29">
        <f t="shared" si="6"/>
        <v>43797625</v>
      </c>
      <c r="AC17" s="28">
        <f t="shared" si="3"/>
        <v>43797625</v>
      </c>
    </row>
    <row r="18" spans="1:29" x14ac:dyDescent="0.25">
      <c r="A18" s="1">
        <v>44974</v>
      </c>
      <c r="B18" s="3"/>
      <c r="C18" s="2"/>
      <c r="D18" s="21"/>
      <c r="E18" s="3">
        <f t="shared" si="0"/>
        <v>0</v>
      </c>
      <c r="F18" s="2"/>
      <c r="G18" s="2"/>
      <c r="H18" s="26">
        <f t="shared" si="1"/>
        <v>0</v>
      </c>
      <c r="I18" s="26">
        <f t="shared" si="2"/>
        <v>0</v>
      </c>
      <c r="J18" s="34">
        <f>+D7-D6</f>
        <v>0</v>
      </c>
      <c r="K18" s="33"/>
      <c r="L18" s="21"/>
      <c r="M18" s="21"/>
      <c r="N18" s="20"/>
      <c r="O18">
        <v>110262</v>
      </c>
      <c r="P18" t="s">
        <v>22</v>
      </c>
      <c r="Q18" t="str">
        <f>"CPA Ajuste T/C Partner PAYCASH "&amp;TEXT(N16,"dd-mm-yyy")</f>
        <v>CPA Ajuste T/C Partner PAYCASH 05-01-2023</v>
      </c>
      <c r="R18" s="3">
        <f>J15</f>
        <v>0</v>
      </c>
      <c r="S18" s="10"/>
      <c r="V18" s="25">
        <v>44942</v>
      </c>
      <c r="Z18" s="3">
        <f>+R58</f>
        <v>0</v>
      </c>
      <c r="AB18" s="29">
        <f t="shared" si="6"/>
        <v>43797625</v>
      </c>
      <c r="AC18" s="28">
        <f t="shared" si="3"/>
        <v>43797625</v>
      </c>
    </row>
    <row r="19" spans="1:29" x14ac:dyDescent="0.25">
      <c r="A19" s="1">
        <v>44975</v>
      </c>
      <c r="B19" s="3"/>
      <c r="C19" s="2"/>
      <c r="D19" s="21"/>
      <c r="E19" s="3">
        <f t="shared" si="0"/>
        <v>0</v>
      </c>
      <c r="F19" s="2"/>
      <c r="G19" s="2">
        <f>F19/18.91</f>
        <v>0</v>
      </c>
      <c r="H19" s="26">
        <f>C19-B19+F19</f>
        <v>0</v>
      </c>
      <c r="I19" s="26">
        <f>H19*D19</f>
        <v>0</v>
      </c>
      <c r="J19" s="35">
        <f>J20*B8</f>
        <v>0</v>
      </c>
      <c r="K19" s="32">
        <v>44933</v>
      </c>
      <c r="L19" s="39"/>
      <c r="M19" s="39"/>
      <c r="N19" s="20"/>
      <c r="O19">
        <v>430105</v>
      </c>
      <c r="P19" t="s">
        <v>25</v>
      </c>
      <c r="Q19" t="str">
        <f>Q18</f>
        <v>CPA Ajuste T/C Partner PAYCASH 05-01-2023</v>
      </c>
      <c r="R19" s="3"/>
      <c r="S19" s="10">
        <f>R18</f>
        <v>0</v>
      </c>
      <c r="T19" s="3">
        <f>+R16+R18</f>
        <v>0</v>
      </c>
      <c r="V19" s="25">
        <v>44943</v>
      </c>
      <c r="Z19" s="3">
        <f>+T63</f>
        <v>0</v>
      </c>
      <c r="AB19" s="29">
        <f t="shared" si="6"/>
        <v>43797625</v>
      </c>
      <c r="AC19" s="28">
        <f t="shared" si="3"/>
        <v>43797625</v>
      </c>
    </row>
    <row r="20" spans="1:29" x14ac:dyDescent="0.25">
      <c r="A20" s="1">
        <v>44976</v>
      </c>
      <c r="B20" s="3"/>
      <c r="C20" s="2"/>
      <c r="D20" s="21"/>
      <c r="E20" s="3">
        <f t="shared" si="0"/>
        <v>0</v>
      </c>
      <c r="F20" s="2"/>
      <c r="G20" s="2"/>
      <c r="H20" s="26">
        <f t="shared" si="1"/>
        <v>0</v>
      </c>
      <c r="I20" s="26">
        <f t="shared" si="2"/>
        <v>0</v>
      </c>
      <c r="J20" s="11">
        <f>+D8-D7</f>
        <v>0</v>
      </c>
      <c r="K20" s="14"/>
      <c r="L20" s="39"/>
      <c r="M20" s="39"/>
      <c r="N20" s="15">
        <v>44932</v>
      </c>
      <c r="O20" s="8">
        <v>110262</v>
      </c>
      <c r="P20" s="8" t="s">
        <v>22</v>
      </c>
      <c r="Q20" s="8" t="str">
        <f>"CPA Movimientos Partner PAYCASH "&amp;TEXT(N20,"dd-mm-yyy") &amp; " MXN " &amp;TEXT(IF(H7&gt;1,H7,H7*-1),"#.##0") &amp; " - T/C " &amp;D7</f>
        <v xml:space="preserve">CPA Movimientos Partner PAYCASH 06-01-2023 MXN 0 - T/C </v>
      </c>
      <c r="R20" s="16">
        <f>+I7</f>
        <v>0</v>
      </c>
      <c r="S20" s="17"/>
      <c r="V20" s="25">
        <v>44944</v>
      </c>
      <c r="Z20" s="3">
        <f>+T67</f>
        <v>0</v>
      </c>
      <c r="AA20" s="3">
        <f>+L6</f>
        <v>0</v>
      </c>
      <c r="AB20" s="29">
        <f t="shared" si="6"/>
        <v>43797625</v>
      </c>
      <c r="AC20" s="28">
        <f t="shared" si="3"/>
        <v>43797625</v>
      </c>
    </row>
    <row r="21" spans="1:29" x14ac:dyDescent="0.25">
      <c r="A21" s="1">
        <v>44977</v>
      </c>
      <c r="B21" s="3"/>
      <c r="C21" s="2"/>
      <c r="E21" s="3">
        <f t="shared" si="0"/>
        <v>0</v>
      </c>
      <c r="H21" s="26">
        <f t="shared" si="1"/>
        <v>0</v>
      </c>
      <c r="I21" s="26">
        <f t="shared" si="2"/>
        <v>0</v>
      </c>
      <c r="J21" s="35">
        <f>B11*J22</f>
        <v>0</v>
      </c>
      <c r="K21" s="38">
        <v>44936</v>
      </c>
      <c r="L21" s="39"/>
      <c r="M21" s="39"/>
      <c r="N21" s="20"/>
      <c r="O21">
        <v>211101</v>
      </c>
      <c r="P21" t="s">
        <v>18</v>
      </c>
      <c r="Q21" t="str">
        <f>Q20</f>
        <v xml:space="preserve">CPA Movimientos Partner PAYCASH 06-01-2023 MXN 0 - T/C </v>
      </c>
      <c r="R21" s="3"/>
      <c r="S21" s="10">
        <f>R20</f>
        <v>0</v>
      </c>
      <c r="V21" s="25">
        <v>44945</v>
      </c>
      <c r="Z21" s="3">
        <f>+T75</f>
        <v>0</v>
      </c>
      <c r="AB21" s="29">
        <f t="shared" si="6"/>
        <v>43797625</v>
      </c>
      <c r="AC21" s="28">
        <f t="shared" si="3"/>
        <v>43797625</v>
      </c>
    </row>
    <row r="22" spans="1:29" x14ac:dyDescent="0.25">
      <c r="A22" s="1">
        <v>44978</v>
      </c>
      <c r="B22" s="3"/>
      <c r="C22" s="2"/>
      <c r="E22" s="3">
        <f t="shared" si="0"/>
        <v>0</v>
      </c>
      <c r="H22" s="26">
        <f t="shared" si="1"/>
        <v>0</v>
      </c>
      <c r="I22" s="26">
        <f t="shared" si="2"/>
        <v>0</v>
      </c>
      <c r="J22" s="11">
        <f>+D11-D10</f>
        <v>0</v>
      </c>
      <c r="K22" s="14"/>
      <c r="L22" s="39"/>
      <c r="M22" s="39"/>
      <c r="N22" s="20"/>
      <c r="O22">
        <v>110262</v>
      </c>
      <c r="P22" t="s">
        <v>22</v>
      </c>
      <c r="Q22" t="str">
        <f>"CPA Ajuste T/C Partner PAYCASH "&amp;TEXT(N20,"dd-mm-yyy")</f>
        <v>CPA Ajuste T/C Partner PAYCASH 06-01-2023</v>
      </c>
      <c r="R22" s="3">
        <f>J17</f>
        <v>0</v>
      </c>
      <c r="S22" s="10"/>
      <c r="V22" s="25">
        <v>44946</v>
      </c>
      <c r="Z22" s="3">
        <f>+T79</f>
        <v>0</v>
      </c>
      <c r="AB22" s="29">
        <f t="shared" si="6"/>
        <v>43797625</v>
      </c>
      <c r="AC22" s="28">
        <f t="shared" si="3"/>
        <v>43797625</v>
      </c>
    </row>
    <row r="23" spans="1:29" x14ac:dyDescent="0.25">
      <c r="A23" s="1">
        <v>44979</v>
      </c>
      <c r="B23" s="3"/>
      <c r="C23" s="2"/>
      <c r="E23" s="3">
        <f t="shared" si="0"/>
        <v>0</v>
      </c>
      <c r="H23" s="26">
        <f t="shared" si="1"/>
        <v>0</v>
      </c>
      <c r="I23" s="26">
        <f t="shared" si="2"/>
        <v>0</v>
      </c>
      <c r="J23" s="35">
        <f>J24*B12</f>
        <v>0</v>
      </c>
      <c r="K23" s="37">
        <v>44937</v>
      </c>
      <c r="L23" s="39"/>
      <c r="M23" s="39"/>
      <c r="N23" s="20"/>
      <c r="O23">
        <v>430105</v>
      </c>
      <c r="P23" t="s">
        <v>25</v>
      </c>
      <c r="Q23" t="str">
        <f>Q22</f>
        <v>CPA Ajuste T/C Partner PAYCASH 06-01-2023</v>
      </c>
      <c r="R23" s="3"/>
      <c r="S23" s="10">
        <f>R22</f>
        <v>0</v>
      </c>
      <c r="T23" s="3">
        <f>+R20+R22</f>
        <v>0</v>
      </c>
      <c r="V23" s="25">
        <v>44947</v>
      </c>
      <c r="Z23" s="3">
        <f>+T83</f>
        <v>0</v>
      </c>
      <c r="AB23" s="29">
        <f t="shared" si="6"/>
        <v>43797625</v>
      </c>
      <c r="AC23" s="28">
        <f t="shared" si="3"/>
        <v>43797625</v>
      </c>
    </row>
    <row r="24" spans="1:29" x14ac:dyDescent="0.25">
      <c r="A24" s="1">
        <v>44980</v>
      </c>
      <c r="B24" s="3"/>
      <c r="C24" s="2"/>
      <c r="E24" s="3">
        <f t="shared" si="0"/>
        <v>0</v>
      </c>
      <c r="H24" s="26">
        <f t="shared" si="1"/>
        <v>0</v>
      </c>
      <c r="I24" s="26">
        <f t="shared" si="2"/>
        <v>0</v>
      </c>
      <c r="J24" s="11">
        <f>+D12-D11</f>
        <v>0</v>
      </c>
      <c r="K24" s="14"/>
      <c r="L24" s="39"/>
      <c r="M24" s="39"/>
      <c r="N24" s="15">
        <v>44933</v>
      </c>
      <c r="O24" s="8">
        <v>110262</v>
      </c>
      <c r="P24" s="8" t="s">
        <v>22</v>
      </c>
      <c r="Q24" s="8" t="str">
        <f>"CPA Movimientos Partner PAYCASH "&amp;TEXT(N24,"dd-mm-yyy") &amp; " MXN " &amp;TEXT(IF(H8&gt;1,H8,H8*-1),"#.##0") &amp; " - T/C " &amp;D8</f>
        <v xml:space="preserve">CPA Movimientos Partner PAYCASH 07-01-2023 MXN 0 - T/C </v>
      </c>
      <c r="R24" s="16">
        <f>+I8</f>
        <v>0</v>
      </c>
      <c r="S24" s="17"/>
      <c r="V24" s="25">
        <v>44948</v>
      </c>
      <c r="Z24" s="3">
        <f>+R84</f>
        <v>0</v>
      </c>
      <c r="AB24" s="29">
        <f t="shared" si="6"/>
        <v>43797625</v>
      </c>
      <c r="AC24" s="28">
        <f t="shared" si="3"/>
        <v>43797625</v>
      </c>
    </row>
    <row r="25" spans="1:29" x14ac:dyDescent="0.25">
      <c r="A25" s="1">
        <v>44981</v>
      </c>
      <c r="B25" s="3"/>
      <c r="C25" s="2"/>
      <c r="E25" s="3">
        <f t="shared" si="0"/>
        <v>0</v>
      </c>
      <c r="H25" s="26">
        <f t="shared" si="1"/>
        <v>0</v>
      </c>
      <c r="I25" s="26">
        <f t="shared" si="2"/>
        <v>0</v>
      </c>
      <c r="J25" s="35">
        <f>B13*J26</f>
        <v>0</v>
      </c>
      <c r="K25" s="32">
        <v>44938</v>
      </c>
      <c r="L25" s="39"/>
      <c r="M25" s="39"/>
      <c r="N25" s="20"/>
      <c r="O25">
        <v>211101</v>
      </c>
      <c r="P25" t="s">
        <v>18</v>
      </c>
      <c r="Q25" t="str">
        <f>Q24</f>
        <v xml:space="preserve">CPA Movimientos Partner PAYCASH 07-01-2023 MXN 0 - T/C </v>
      </c>
      <c r="R25" s="3"/>
      <c r="S25" s="10">
        <f>R24</f>
        <v>0</v>
      </c>
      <c r="V25" s="25">
        <v>44949</v>
      </c>
      <c r="Z25" s="3">
        <f>+R88</f>
        <v>0</v>
      </c>
      <c r="AB25" s="29">
        <f t="shared" si="6"/>
        <v>43797625</v>
      </c>
      <c r="AC25" s="28">
        <f t="shared" si="3"/>
        <v>43797625</v>
      </c>
    </row>
    <row r="26" spans="1:29" x14ac:dyDescent="0.25">
      <c r="A26" s="1">
        <v>44982</v>
      </c>
      <c r="B26" s="3"/>
      <c r="C26" s="2"/>
      <c r="E26" s="3">
        <f t="shared" si="0"/>
        <v>0</v>
      </c>
      <c r="H26" s="26">
        <f t="shared" si="1"/>
        <v>0</v>
      </c>
      <c r="I26" s="26">
        <f t="shared" si="2"/>
        <v>0</v>
      </c>
      <c r="J26" s="11">
        <f>+D13-D12</f>
        <v>0</v>
      </c>
      <c r="K26" s="14"/>
      <c r="N26" s="20"/>
      <c r="O26">
        <v>430105</v>
      </c>
      <c r="P26" t="s">
        <v>25</v>
      </c>
      <c r="Q26" t="str">
        <f>"CPA Ajuste T/C Partner PAYCASH "&amp;TEXT(N24,"dd-mm-yyy")</f>
        <v>CPA Ajuste T/C Partner PAYCASH 07-01-2023</v>
      </c>
      <c r="R26" s="3">
        <f>+J19*-1</f>
        <v>0</v>
      </c>
      <c r="S26" s="10"/>
      <c r="V26" s="25">
        <v>44950</v>
      </c>
      <c r="AA26" s="3">
        <f>+T95</f>
        <v>0</v>
      </c>
      <c r="AB26" s="29">
        <f t="shared" si="6"/>
        <v>43797625</v>
      </c>
      <c r="AC26" s="28">
        <f t="shared" si="3"/>
        <v>43797625</v>
      </c>
    </row>
    <row r="27" spans="1:29" x14ac:dyDescent="0.25">
      <c r="A27" s="1">
        <v>44983</v>
      </c>
      <c r="B27" s="3"/>
      <c r="C27" s="2"/>
      <c r="E27" s="3">
        <f t="shared" si="0"/>
        <v>0</v>
      </c>
      <c r="H27" s="26">
        <f t="shared" si="1"/>
        <v>0</v>
      </c>
      <c r="I27" s="26">
        <f t="shared" si="2"/>
        <v>0</v>
      </c>
      <c r="J27" s="35">
        <f>B14*J28</f>
        <v>0</v>
      </c>
      <c r="K27" s="32">
        <v>44939</v>
      </c>
      <c r="L27" s="39"/>
      <c r="M27" s="39"/>
      <c r="N27" s="20"/>
      <c r="O27">
        <v>110262</v>
      </c>
      <c r="P27" t="s">
        <v>22</v>
      </c>
      <c r="Q27" t="str">
        <f>Q26</f>
        <v>CPA Ajuste T/C Partner PAYCASH 07-01-2023</v>
      </c>
      <c r="R27" s="3"/>
      <c r="S27" s="10">
        <f>+J19*-1</f>
        <v>0</v>
      </c>
      <c r="T27" s="3">
        <f>+R24-S27</f>
        <v>0</v>
      </c>
      <c r="V27" s="25">
        <v>44951</v>
      </c>
      <c r="AB27" s="29">
        <f t="shared" si="6"/>
        <v>43797625</v>
      </c>
      <c r="AC27" s="28">
        <f t="shared" si="3"/>
        <v>43797625</v>
      </c>
    </row>
    <row r="28" spans="1:29" x14ac:dyDescent="0.25">
      <c r="A28" s="1">
        <v>44984</v>
      </c>
      <c r="B28" s="3"/>
      <c r="C28" s="2"/>
      <c r="E28" s="3">
        <f t="shared" si="0"/>
        <v>0</v>
      </c>
      <c r="H28" s="26">
        <f t="shared" si="1"/>
        <v>0</v>
      </c>
      <c r="I28" s="26">
        <f t="shared" si="2"/>
        <v>0</v>
      </c>
      <c r="J28" s="11">
        <f>+D14-D13</f>
        <v>0</v>
      </c>
      <c r="K28" s="14"/>
      <c r="N28" s="15">
        <v>44934</v>
      </c>
      <c r="O28" s="8">
        <v>110262</v>
      </c>
      <c r="P28" s="8" t="s">
        <v>22</v>
      </c>
      <c r="Q28" s="8" t="str">
        <f>"CPA Movimientos Partner PAYCASH "&amp;TEXT(N28,"dd-mm-yyy") &amp; " MXN " &amp;TEXT(IF(H9&gt;1,H9,H9*-1),"#.##0") &amp; " - T/C " &amp;D9</f>
        <v xml:space="preserve">CPA Movimientos Partner PAYCASH 08-01-2023 MXN 0 - T/C </v>
      </c>
      <c r="R28" s="16">
        <f>+I9</f>
        <v>0</v>
      </c>
      <c r="S28" s="17"/>
      <c r="V28" s="25">
        <v>44952</v>
      </c>
      <c r="AB28" s="29">
        <f t="shared" si="6"/>
        <v>43797625</v>
      </c>
      <c r="AC28" s="28">
        <f t="shared" si="3"/>
        <v>43797625</v>
      </c>
    </row>
    <row r="29" spans="1:29" x14ac:dyDescent="0.25">
      <c r="A29" s="1">
        <v>44985</v>
      </c>
      <c r="B29" s="3"/>
      <c r="C29" s="2"/>
      <c r="E29" s="3">
        <f t="shared" si="0"/>
        <v>0</v>
      </c>
      <c r="H29" s="26">
        <f t="shared" si="1"/>
        <v>0</v>
      </c>
      <c r="I29" s="26">
        <f t="shared" si="2"/>
        <v>0</v>
      </c>
      <c r="J29" s="35">
        <f>B15*J30</f>
        <v>0</v>
      </c>
      <c r="K29" s="32">
        <v>44940</v>
      </c>
      <c r="L29" s="39"/>
      <c r="M29" s="39"/>
      <c r="N29" s="11"/>
      <c r="O29" s="12">
        <v>211101</v>
      </c>
      <c r="P29" s="12" t="s">
        <v>18</v>
      </c>
      <c r="Q29" t="str">
        <f>Q28</f>
        <v xml:space="preserve">CPA Movimientos Partner PAYCASH 08-01-2023 MXN 0 - T/C </v>
      </c>
      <c r="R29" s="13"/>
      <c r="S29" s="18">
        <f>R28</f>
        <v>0</v>
      </c>
      <c r="V29" s="25">
        <v>44953</v>
      </c>
      <c r="AB29" s="29">
        <f t="shared" si="6"/>
        <v>43797625</v>
      </c>
      <c r="AC29" s="28">
        <f t="shared" si="3"/>
        <v>43797625</v>
      </c>
    </row>
    <row r="30" spans="1:29" x14ac:dyDescent="0.25">
      <c r="A30" s="1" t="s">
        <v>42</v>
      </c>
      <c r="B30" s="3"/>
      <c r="C30" s="2"/>
      <c r="E30" s="3">
        <f t="shared" si="0"/>
        <v>0</v>
      </c>
      <c r="H30" s="26">
        <f t="shared" si="1"/>
        <v>0</v>
      </c>
      <c r="I30" s="26">
        <f t="shared" si="2"/>
        <v>0</v>
      </c>
      <c r="J30" s="11">
        <f>+D15-D14</f>
        <v>0</v>
      </c>
      <c r="K30" s="14"/>
      <c r="N30" s="15">
        <v>44935</v>
      </c>
      <c r="O30" s="8">
        <v>110262</v>
      </c>
      <c r="P30" s="8" t="s">
        <v>22</v>
      </c>
      <c r="Q30" s="8" t="str">
        <f>"CPA Movimientos Partner PAYCASH "&amp;TEXT(N30,"dd-mm-yyy") &amp; " MXN " &amp;TEXT(IF(H10&gt;1,H10,H10*-1),"#.##0") &amp; " - T/C " &amp;D10</f>
        <v xml:space="preserve">CPA Movimientos Partner PAYCASH 09-01-2023 MXN 0 - T/C </v>
      </c>
      <c r="R30" s="16">
        <f>+I10</f>
        <v>0</v>
      </c>
      <c r="S30" s="17"/>
      <c r="V30" s="25">
        <v>44954</v>
      </c>
      <c r="AB30" s="29">
        <f t="shared" si="6"/>
        <v>43797625</v>
      </c>
      <c r="AC30" s="28">
        <f t="shared" si="3"/>
        <v>43797625</v>
      </c>
    </row>
    <row r="31" spans="1:29" x14ac:dyDescent="0.25">
      <c r="A31" s="1" t="s">
        <v>43</v>
      </c>
      <c r="B31" s="3"/>
      <c r="C31" s="2"/>
      <c r="E31" s="3">
        <f t="shared" si="0"/>
        <v>0</v>
      </c>
      <c r="H31" s="26">
        <f t="shared" si="1"/>
        <v>0</v>
      </c>
      <c r="I31" s="26">
        <f t="shared" si="2"/>
        <v>0</v>
      </c>
      <c r="J31" s="35">
        <f>ROUND(B18*J32,0)</f>
        <v>0</v>
      </c>
      <c r="K31" s="36">
        <v>44943</v>
      </c>
      <c r="N31" s="11"/>
      <c r="O31" s="12">
        <v>211101</v>
      </c>
      <c r="P31" s="12" t="s">
        <v>18</v>
      </c>
      <c r="Q31" t="str">
        <f>Q30</f>
        <v xml:space="preserve">CPA Movimientos Partner PAYCASH 09-01-2023 MXN 0 - T/C </v>
      </c>
      <c r="R31" s="13"/>
      <c r="S31" s="18">
        <f>R30</f>
        <v>0</v>
      </c>
      <c r="T31" s="3"/>
      <c r="V31" s="25">
        <v>44955</v>
      </c>
      <c r="AB31" s="29">
        <f t="shared" si="6"/>
        <v>43797625</v>
      </c>
      <c r="AC31" s="28">
        <f t="shared" si="3"/>
        <v>43797625</v>
      </c>
    </row>
    <row r="32" spans="1:29" x14ac:dyDescent="0.25">
      <c r="A32" s="1" t="s">
        <v>44</v>
      </c>
      <c r="B32" s="3"/>
      <c r="C32" s="2"/>
      <c r="E32" s="3">
        <f t="shared" si="0"/>
        <v>0</v>
      </c>
      <c r="F32" s="3"/>
      <c r="G32" s="3">
        <f>F32/19.025</f>
        <v>0</v>
      </c>
      <c r="H32" s="26">
        <f t="shared" si="1"/>
        <v>0</v>
      </c>
      <c r="I32" s="26">
        <f t="shared" si="2"/>
        <v>0</v>
      </c>
      <c r="J32" s="34">
        <f>+D18-D17</f>
        <v>0</v>
      </c>
      <c r="K32" s="14"/>
      <c r="N32" s="15">
        <v>44936</v>
      </c>
      <c r="O32" s="8">
        <v>110262</v>
      </c>
      <c r="P32" s="8" t="s">
        <v>22</v>
      </c>
      <c r="Q32" s="8" t="str">
        <f>"CPA Movimientos Partner PAYCASH "&amp;TEXT(N32,"dd-mm-yyy") &amp; " MXN " &amp;TEXT(IF(H11&gt;1,H11,H11*-1),"#.##0") &amp; " - T/C " &amp;D11</f>
        <v xml:space="preserve">CPA Movimientos Partner PAYCASH 10-01-2023 MXN 0 - T/C </v>
      </c>
      <c r="R32" s="16">
        <f>+S33</f>
        <v>0</v>
      </c>
      <c r="S32" s="17"/>
      <c r="V32" s="25">
        <v>44956</v>
      </c>
      <c r="AB32" s="29">
        <f t="shared" si="6"/>
        <v>43797625</v>
      </c>
      <c r="AC32" s="28">
        <f t="shared" si="3"/>
        <v>43797625</v>
      </c>
    </row>
    <row r="33" spans="1:29" x14ac:dyDescent="0.25">
      <c r="J33" s="35">
        <f>ROUND(B19*J34,0)</f>
        <v>0</v>
      </c>
      <c r="K33" s="36">
        <v>44944</v>
      </c>
      <c r="N33" s="9"/>
      <c r="O33">
        <v>211101</v>
      </c>
      <c r="P33" t="s">
        <v>18</v>
      </c>
      <c r="Q33" t="str">
        <f>Q32</f>
        <v xml:space="preserve">CPA Movimientos Partner PAYCASH 10-01-2023 MXN 0 - T/C </v>
      </c>
      <c r="R33" s="3"/>
      <c r="S33" s="10">
        <f>I11</f>
        <v>0</v>
      </c>
      <c r="V33" s="25">
        <v>44957</v>
      </c>
      <c r="AB33" s="29">
        <f t="shared" si="6"/>
        <v>43797625</v>
      </c>
      <c r="AC33" s="28">
        <f t="shared" si="3"/>
        <v>43797625</v>
      </c>
    </row>
    <row r="34" spans="1:29" x14ac:dyDescent="0.25">
      <c r="J34" s="34">
        <f>+D19-D18</f>
        <v>0</v>
      </c>
      <c r="K34" s="14"/>
      <c r="M34" s="43"/>
      <c r="N34" s="9"/>
      <c r="O34">
        <v>430105</v>
      </c>
      <c r="P34" t="s">
        <v>25</v>
      </c>
      <c r="Q34" t="str">
        <f>"CPA Ajuste T/C Partner PAYCASH "&amp;TEXT(N32,"dd-mm-yyy")</f>
        <v>CPA Ajuste T/C Partner PAYCASH 10-01-2023</v>
      </c>
      <c r="R34" s="3">
        <f>J21*-1</f>
        <v>0</v>
      </c>
      <c r="S34" s="10"/>
      <c r="V34" s="6" t="s">
        <v>15</v>
      </c>
      <c r="W34" s="6">
        <v>110262</v>
      </c>
      <c r="X34" s="6"/>
      <c r="Y34" s="6" t="s">
        <v>16</v>
      </c>
      <c r="Z34" s="7">
        <f>SUM(Z3:Z33)</f>
        <v>0</v>
      </c>
      <c r="AA34" s="7">
        <f>SUM(AA3:AA33)</f>
        <v>0</v>
      </c>
      <c r="AB34" s="7">
        <f>+Z34-AA34</f>
        <v>0</v>
      </c>
    </row>
    <row r="35" spans="1:29" x14ac:dyDescent="0.25">
      <c r="A35" s="66">
        <v>110262</v>
      </c>
      <c r="B35" s="66" t="s">
        <v>12</v>
      </c>
      <c r="C35" s="66"/>
      <c r="D35" s="69" t="s">
        <v>1</v>
      </c>
      <c r="E35" s="66" t="s">
        <v>38</v>
      </c>
      <c r="J35" s="35">
        <f>ROUND(B20*J36,0)</f>
        <v>0</v>
      </c>
      <c r="K35" s="36">
        <v>44945</v>
      </c>
      <c r="N35" s="9"/>
      <c r="O35">
        <v>110262</v>
      </c>
      <c r="P35" t="s">
        <v>22</v>
      </c>
      <c r="Q35" t="str">
        <f>Q34</f>
        <v>CPA Ajuste T/C Partner PAYCASH 10-01-2023</v>
      </c>
      <c r="R35" s="3"/>
      <c r="S35" s="10">
        <f>J21*-1</f>
        <v>0</v>
      </c>
      <c r="T35" s="3">
        <f>+R32-R34</f>
        <v>0</v>
      </c>
      <c r="V35" s="6"/>
      <c r="W35" s="6"/>
      <c r="X35" s="6"/>
      <c r="Y35" s="6" t="s">
        <v>17</v>
      </c>
      <c r="Z35" s="7"/>
      <c r="AA35" s="7"/>
      <c r="AB35" s="7">
        <f>+AB2+Z34-AA34</f>
        <v>43797625</v>
      </c>
    </row>
    <row r="36" spans="1:29" x14ac:dyDescent="0.25">
      <c r="A36" s="66"/>
      <c r="B36" s="66" t="s">
        <v>39</v>
      </c>
      <c r="C36" s="67">
        <v>0</v>
      </c>
      <c r="D36" s="69">
        <v>42.77</v>
      </c>
      <c r="E36" s="68">
        <f>C36*D36</f>
        <v>0</v>
      </c>
      <c r="J36" s="34">
        <f>+D20-D19</f>
        <v>0</v>
      </c>
      <c r="K36" s="14"/>
      <c r="M36" s="43" t="s">
        <v>32</v>
      </c>
      <c r="N36" s="44">
        <v>44936</v>
      </c>
      <c r="O36" s="45">
        <v>110276</v>
      </c>
      <c r="P36" s="45" t="s">
        <v>31</v>
      </c>
      <c r="Q36" s="45" t="str">
        <f>"CPA Rescate de Fondos Pay Cash "&amp;TEXT(N36,"dd-mm-yyy") &amp; " USD " &amp;TEXT(IF(G11&gt;1,G11,G11*-1),"#.##0") &amp; " - T/C  837,19"</f>
        <v>CPA Rescate de Fondos Pay Cash 10-01-2023 USD 0 - T/C  837,19</v>
      </c>
      <c r="R36" s="46">
        <f>S37</f>
        <v>0</v>
      </c>
      <c r="S36" s="47"/>
    </row>
    <row r="37" spans="1:29" x14ac:dyDescent="0.25">
      <c r="A37" s="66"/>
      <c r="B37" s="66" t="s">
        <v>40</v>
      </c>
      <c r="C37" s="66"/>
      <c r="D37" s="69"/>
      <c r="E37" s="68">
        <v>0</v>
      </c>
      <c r="J37" s="35">
        <f>ROUND(B21*J38,0)</f>
        <v>0</v>
      </c>
      <c r="K37" s="36">
        <v>44946</v>
      </c>
      <c r="N37" s="48"/>
      <c r="O37" s="49">
        <v>110262</v>
      </c>
      <c r="P37" s="49" t="s">
        <v>22</v>
      </c>
      <c r="Q37" s="49" t="str">
        <f>Q36</f>
        <v>CPA Rescate de Fondos Pay Cash 10-01-2023 USD 0 - T/C  837,19</v>
      </c>
      <c r="R37" s="50"/>
      <c r="S37" s="51">
        <f>+K5</f>
        <v>0</v>
      </c>
    </row>
    <row r="38" spans="1:29" x14ac:dyDescent="0.25">
      <c r="A38" s="66"/>
      <c r="B38" s="66"/>
      <c r="C38" s="66"/>
      <c r="D38" s="69"/>
      <c r="E38" s="68">
        <f>E36-E37</f>
        <v>0</v>
      </c>
      <c r="J38" s="34">
        <f>+D21-D20</f>
        <v>0</v>
      </c>
      <c r="K38" s="14"/>
      <c r="N38" s="48"/>
      <c r="O38" s="49">
        <v>430105</v>
      </c>
      <c r="P38" s="49" t="s">
        <v>25</v>
      </c>
      <c r="Q38" s="49" t="str">
        <f>"CPA Ajuste T/C Rescate Fondos Partner PAYCASH "&amp;TEXT(N36,"dd-mm-yyy")</f>
        <v>CPA Ajuste T/C Rescate Fondos Partner PAYCASH 10-01-2023</v>
      </c>
      <c r="R38" s="50">
        <f>S39</f>
        <v>0</v>
      </c>
      <c r="S38" s="51"/>
      <c r="U38" s="3">
        <f>R34</f>
        <v>0</v>
      </c>
      <c r="V38" t="s">
        <v>33</v>
      </c>
    </row>
    <row r="39" spans="1:29" x14ac:dyDescent="0.25">
      <c r="J39" s="35">
        <f>ROUND(B22*J40,0)</f>
        <v>0</v>
      </c>
      <c r="K39" s="36">
        <v>44947</v>
      </c>
      <c r="N39" s="48"/>
      <c r="O39" s="49">
        <v>110262</v>
      </c>
      <c r="P39" s="49" t="s">
        <v>22</v>
      </c>
      <c r="Q39" s="49" t="str">
        <f>Q38</f>
        <v>CPA Ajuste T/C Rescate Fondos Partner PAYCASH 10-01-2023</v>
      </c>
      <c r="R39" s="50"/>
      <c r="S39" s="51">
        <f>ROUND(M5*-1,0)</f>
        <v>0</v>
      </c>
      <c r="T39" s="3">
        <f>+S37+S39</f>
        <v>0</v>
      </c>
      <c r="U39" s="3"/>
    </row>
    <row r="40" spans="1:29" x14ac:dyDescent="0.25">
      <c r="J40" s="11">
        <f>+D22-D21</f>
        <v>0</v>
      </c>
      <c r="K40" s="14"/>
      <c r="N40" s="15">
        <v>44937</v>
      </c>
      <c r="O40" s="8">
        <v>110262</v>
      </c>
      <c r="P40" s="8" t="s">
        <v>22</v>
      </c>
      <c r="Q40" s="8" t="str">
        <f>"CPA Movimientos Partner PAYCASH "&amp;TEXT(N40,"dd-mm-yyy") &amp; " MXN " &amp;TEXT(IF(H12&gt;1,H12,H12*-1),"#.##0") &amp; " - T/C " &amp;D12</f>
        <v xml:space="preserve">CPA Movimientos Partner PAYCASH 11-01-2023 MXN 0 - T/C </v>
      </c>
      <c r="R40" s="16">
        <f>+I12</f>
        <v>0</v>
      </c>
      <c r="S40" s="17"/>
    </row>
    <row r="41" spans="1:29" x14ac:dyDescent="0.25">
      <c r="J41" s="35">
        <f>ROUND(B25*J42,0)</f>
        <v>0</v>
      </c>
      <c r="K41" s="36">
        <v>44950</v>
      </c>
      <c r="N41" s="9"/>
      <c r="O41">
        <v>211101</v>
      </c>
      <c r="P41" t="s">
        <v>18</v>
      </c>
      <c r="Q41" t="str">
        <f>Q40</f>
        <v xml:space="preserve">CPA Movimientos Partner PAYCASH 11-01-2023 MXN 0 - T/C </v>
      </c>
      <c r="R41" s="3"/>
      <c r="S41" s="10">
        <f>R40</f>
        <v>0</v>
      </c>
    </row>
    <row r="42" spans="1:29" x14ac:dyDescent="0.25">
      <c r="J42" s="11">
        <f>+D25-D24</f>
        <v>0</v>
      </c>
      <c r="K42" s="14"/>
      <c r="N42" s="9"/>
      <c r="O42">
        <v>110262</v>
      </c>
      <c r="P42" t="s">
        <v>22</v>
      </c>
      <c r="Q42" t="str">
        <f>"CPA Ajuste T/C Partner PAYCASH "&amp;TEXT(N40,"dd-mm-yyy")</f>
        <v>CPA Ajuste T/C Partner PAYCASH 11-01-2023</v>
      </c>
      <c r="R42" s="3">
        <f>J23</f>
        <v>0</v>
      </c>
      <c r="S42" s="10"/>
    </row>
    <row r="43" spans="1:29" x14ac:dyDescent="0.25">
      <c r="J43" s="35">
        <f>B26*J44</f>
        <v>0</v>
      </c>
      <c r="K43" s="36">
        <v>44951</v>
      </c>
      <c r="N43" s="9"/>
      <c r="O43">
        <v>430105</v>
      </c>
      <c r="P43" t="s">
        <v>25</v>
      </c>
      <c r="Q43" t="str">
        <f>Q42</f>
        <v>CPA Ajuste T/C Partner PAYCASH 11-01-2023</v>
      </c>
      <c r="R43" s="3"/>
      <c r="S43" s="10">
        <f>R42</f>
        <v>0</v>
      </c>
      <c r="T43" s="3">
        <f>+R40+R42</f>
        <v>0</v>
      </c>
    </row>
    <row r="44" spans="1:29" x14ac:dyDescent="0.25">
      <c r="J44" s="11">
        <f>+D26-D25</f>
        <v>0</v>
      </c>
      <c r="K44" s="14"/>
      <c r="N44" s="15">
        <v>44938</v>
      </c>
      <c r="O44" s="8">
        <v>110262</v>
      </c>
      <c r="P44" s="8" t="s">
        <v>22</v>
      </c>
      <c r="Q44" s="8" t="str">
        <f>"CPA Movimientos Partner PAYCASH "&amp;TEXT(N44,"dd-mm-yyy") &amp; " MXN " &amp;TEXT(IF(H13&gt;1,H13,H13*-1),"#.##0") &amp; " - T/C " &amp;D13</f>
        <v xml:space="preserve">CPA Movimientos Partner PAYCASH 12-01-2023 MXN 0 - T/C </v>
      </c>
      <c r="R44" s="16">
        <f>+I13</f>
        <v>0</v>
      </c>
      <c r="S44" s="17"/>
    </row>
    <row r="45" spans="1:29" x14ac:dyDescent="0.25">
      <c r="J45" s="35">
        <f>B27*J46</f>
        <v>0</v>
      </c>
      <c r="K45" s="36">
        <v>44952</v>
      </c>
      <c r="N45" s="9"/>
      <c r="O45">
        <v>211101</v>
      </c>
      <c r="P45" t="s">
        <v>18</v>
      </c>
      <c r="Q45" t="str">
        <f>Q44</f>
        <v xml:space="preserve">CPA Movimientos Partner PAYCASH 12-01-2023 MXN 0 - T/C </v>
      </c>
      <c r="R45" s="3"/>
      <c r="S45" s="10">
        <f>R44</f>
        <v>0</v>
      </c>
    </row>
    <row r="46" spans="1:29" x14ac:dyDescent="0.25">
      <c r="J46" s="11">
        <f>+D27-D26</f>
        <v>0</v>
      </c>
      <c r="K46" s="14"/>
      <c r="N46" s="9"/>
      <c r="O46">
        <v>430105</v>
      </c>
      <c r="P46" t="s">
        <v>25</v>
      </c>
      <c r="Q46" t="str">
        <f>"CPA Ajuste T/C Partner PAYCASH "&amp;TEXT(N44,"dd-mm-yyy")</f>
        <v>CPA Ajuste T/C Partner PAYCASH 12-01-2023</v>
      </c>
      <c r="R46" s="3">
        <f>S47</f>
        <v>0</v>
      </c>
      <c r="S46" s="10"/>
    </row>
    <row r="47" spans="1:29" x14ac:dyDescent="0.25">
      <c r="J47" s="35">
        <f>B28*J48</f>
        <v>0</v>
      </c>
      <c r="K47" s="36">
        <v>44953</v>
      </c>
      <c r="N47" s="9"/>
      <c r="O47">
        <v>110262</v>
      </c>
      <c r="P47" t="s">
        <v>22</v>
      </c>
      <c r="Q47" t="str">
        <f>Q46</f>
        <v>CPA Ajuste T/C Partner PAYCASH 12-01-2023</v>
      </c>
      <c r="R47" s="3"/>
      <c r="S47" s="10">
        <f>+J25*-1</f>
        <v>0</v>
      </c>
      <c r="T47" s="3">
        <f>+R44-S47</f>
        <v>0</v>
      </c>
    </row>
    <row r="48" spans="1:29" x14ac:dyDescent="0.25">
      <c r="J48" s="11">
        <f>+D28-D27</f>
        <v>0</v>
      </c>
      <c r="K48" s="14"/>
      <c r="N48" s="15">
        <v>44939</v>
      </c>
      <c r="O48" s="8">
        <v>110262</v>
      </c>
      <c r="P48" s="8" t="s">
        <v>22</v>
      </c>
      <c r="Q48" s="8" t="str">
        <f>"CPA Movimientos Partner PAYCASH "&amp;TEXT(N48,"dd-mm-yyy") &amp; " MXN " &amp;TEXT(IF(H14&gt;1,H14,H14*-1),"#.##0") &amp; " - T/C " &amp;D14</f>
        <v xml:space="preserve">CPA Movimientos Partner PAYCASH 13-01-2023 MXN 0 - T/C </v>
      </c>
      <c r="R48" s="16">
        <f>+I14</f>
        <v>0</v>
      </c>
      <c r="S48" s="17"/>
    </row>
    <row r="49" spans="10:20" x14ac:dyDescent="0.25">
      <c r="J49" s="35">
        <f>B29*J50</f>
        <v>0</v>
      </c>
      <c r="K49" s="36">
        <v>44954</v>
      </c>
      <c r="N49" s="9"/>
      <c r="O49">
        <v>211101</v>
      </c>
      <c r="P49" t="s">
        <v>18</v>
      </c>
      <c r="Q49" t="str">
        <f>Q48</f>
        <v xml:space="preserve">CPA Movimientos Partner PAYCASH 13-01-2023 MXN 0 - T/C </v>
      </c>
      <c r="R49" s="3"/>
      <c r="S49" s="10">
        <f>R48</f>
        <v>0</v>
      </c>
    </row>
    <row r="50" spans="10:20" x14ac:dyDescent="0.25">
      <c r="J50" s="11">
        <f>+D29-D28</f>
        <v>0</v>
      </c>
      <c r="K50" s="14"/>
      <c r="N50" s="9"/>
      <c r="O50">
        <v>110262</v>
      </c>
      <c r="P50" t="s">
        <v>22</v>
      </c>
      <c r="Q50" t="str">
        <f>"CPA Ajuste T/C Partner PAYCASH "&amp;TEXT(N48,"dd-mm-yyy")</f>
        <v>CPA Ajuste T/C Partner PAYCASH 13-01-2023</v>
      </c>
      <c r="R50" s="3">
        <f>J27</f>
        <v>0</v>
      </c>
      <c r="S50" s="10"/>
    </row>
    <row r="51" spans="10:20" x14ac:dyDescent="0.25">
      <c r="J51" s="35">
        <f>B32*J52</f>
        <v>0</v>
      </c>
      <c r="K51" s="36">
        <v>44957</v>
      </c>
      <c r="N51" s="9"/>
      <c r="O51">
        <v>430105</v>
      </c>
      <c r="P51" t="s">
        <v>25</v>
      </c>
      <c r="Q51" t="str">
        <f>Q50</f>
        <v>CPA Ajuste T/C Partner PAYCASH 13-01-2023</v>
      </c>
      <c r="R51" s="3"/>
      <c r="S51" s="10">
        <f>R50</f>
        <v>0</v>
      </c>
      <c r="T51" s="3">
        <f>+R48+R50</f>
        <v>0</v>
      </c>
    </row>
    <row r="52" spans="10:20" x14ac:dyDescent="0.25">
      <c r="J52" s="11">
        <f>+D32-D31</f>
        <v>0</v>
      </c>
      <c r="K52" s="14"/>
      <c r="N52" s="15">
        <v>44940</v>
      </c>
      <c r="O52" s="8">
        <v>110262</v>
      </c>
      <c r="P52" s="8" t="s">
        <v>22</v>
      </c>
      <c r="Q52" s="8" t="str">
        <f>"CPA Movimientos Partner PAYCASH "&amp;TEXT(N52,"dd-mm-yyy") &amp; " MXN " &amp;TEXT(IF(H15&gt;1,H15,H15*-1),"#.##0") &amp; " - T/C " &amp;D15</f>
        <v xml:space="preserve">CPA Movimientos Partner PAYCASH 14-01-2023 MXN 0 - T/C </v>
      </c>
      <c r="R52" s="16">
        <f>+I15</f>
        <v>0</v>
      </c>
      <c r="S52" s="17"/>
    </row>
    <row r="53" spans="10:20" x14ac:dyDescent="0.25">
      <c r="N53" s="9"/>
      <c r="O53">
        <v>211101</v>
      </c>
      <c r="P53" t="s">
        <v>18</v>
      </c>
      <c r="Q53" t="str">
        <f>Q52</f>
        <v xml:space="preserve">CPA Movimientos Partner PAYCASH 14-01-2023 MXN 0 - T/C </v>
      </c>
      <c r="R53" s="3"/>
      <c r="S53" s="10">
        <f>R52</f>
        <v>0</v>
      </c>
    </row>
    <row r="54" spans="10:20" x14ac:dyDescent="0.25">
      <c r="N54" s="9"/>
      <c r="O54">
        <v>110262</v>
      </c>
      <c r="P54" t="s">
        <v>22</v>
      </c>
      <c r="Q54" t="str">
        <f>"CPA Ajuste T/C Partner PAYCASH "&amp;TEXT(N52,"dd-mm-yyy")</f>
        <v>CPA Ajuste T/C Partner PAYCASH 14-01-2023</v>
      </c>
      <c r="R54" s="3">
        <f>J29</f>
        <v>0</v>
      </c>
      <c r="S54" s="10"/>
    </row>
    <row r="55" spans="10:20" x14ac:dyDescent="0.25">
      <c r="N55" s="9"/>
      <c r="O55">
        <v>430105</v>
      </c>
      <c r="P55" t="s">
        <v>25</v>
      </c>
      <c r="Q55" t="str">
        <f>Q54</f>
        <v>CPA Ajuste T/C Partner PAYCASH 14-01-2023</v>
      </c>
      <c r="R55" s="3"/>
      <c r="S55" s="10">
        <f>R54</f>
        <v>0</v>
      </c>
      <c r="T55" s="3">
        <f>+R52+R54</f>
        <v>0</v>
      </c>
    </row>
    <row r="56" spans="10:20" x14ac:dyDescent="0.25">
      <c r="N56" s="15">
        <v>44941</v>
      </c>
      <c r="O56" s="8">
        <v>110262</v>
      </c>
      <c r="P56" s="8" t="s">
        <v>22</v>
      </c>
      <c r="Q56" s="8" t="str">
        <f>"CPA Movimientos Partner PAYCASH "&amp;TEXT(N56,"dd-mm-yyy") &amp; " MXN " &amp;TEXT(IF(H16&gt;1,H16,H16*-1),"#.##0") &amp; " - T/C " &amp;D16</f>
        <v xml:space="preserve">CPA Movimientos Partner PAYCASH 15-01-2023 MXN 0 - T/C </v>
      </c>
      <c r="R56" s="16">
        <f>+I16</f>
        <v>0</v>
      </c>
      <c r="S56" s="17"/>
    </row>
    <row r="57" spans="10:20" x14ac:dyDescent="0.25">
      <c r="N57" s="11"/>
      <c r="O57" s="12">
        <v>211101</v>
      </c>
      <c r="P57" s="12" t="s">
        <v>18</v>
      </c>
      <c r="Q57" s="12" t="str">
        <f>Q56</f>
        <v xml:space="preserve">CPA Movimientos Partner PAYCASH 15-01-2023 MXN 0 - T/C </v>
      </c>
      <c r="R57" s="13"/>
      <c r="S57" s="18">
        <f>R56</f>
        <v>0</v>
      </c>
    </row>
    <row r="58" spans="10:20" x14ac:dyDescent="0.25">
      <c r="N58" s="15">
        <v>44942</v>
      </c>
      <c r="O58" s="8">
        <v>110262</v>
      </c>
      <c r="P58" s="8" t="s">
        <v>22</v>
      </c>
      <c r="Q58" s="8" t="str">
        <f>"CPA Movimientos Partner PAYCASH "&amp;TEXT(N58,"dd-mm-yyy") &amp; " MXN " &amp;TEXT(IF(H17&gt;1,H17,H17*-1),"#.##0") &amp; " - T/C " &amp;D17</f>
        <v xml:space="preserve">CPA Movimientos Partner PAYCASH 16-01-2023 MXN 0 - T/C </v>
      </c>
      <c r="R58" s="16">
        <f>+I17</f>
        <v>0</v>
      </c>
      <c r="S58" s="17"/>
    </row>
    <row r="59" spans="10:20" x14ac:dyDescent="0.25">
      <c r="N59" s="11"/>
      <c r="O59" s="12">
        <v>211101</v>
      </c>
      <c r="P59" s="12" t="s">
        <v>18</v>
      </c>
      <c r="Q59" s="12" t="str">
        <f>Q58</f>
        <v xml:space="preserve">CPA Movimientos Partner PAYCASH 16-01-2023 MXN 0 - T/C </v>
      </c>
      <c r="R59" s="13"/>
      <c r="S59" s="18">
        <f>R58</f>
        <v>0</v>
      </c>
    </row>
    <row r="60" spans="10:20" x14ac:dyDescent="0.25">
      <c r="N60" s="15">
        <v>44943</v>
      </c>
      <c r="O60" s="8">
        <v>110262</v>
      </c>
      <c r="P60" s="8" t="s">
        <v>22</v>
      </c>
      <c r="Q60" s="8" t="str">
        <f>"CPA Movimientos Partner PAYCASH "&amp;TEXT(N60,"dd-mm-yyy") &amp; " MXN " &amp;TEXT(IF(H18&gt;1,H18,H18*-1),"#.##0") &amp; " - T/C " &amp;D18</f>
        <v xml:space="preserve">CPA Movimientos Partner PAYCASH 17-01-2023 MXN 0 - T/C </v>
      </c>
      <c r="R60" s="16">
        <f>+I18</f>
        <v>0</v>
      </c>
      <c r="S60" s="17"/>
    </row>
    <row r="61" spans="10:20" x14ac:dyDescent="0.25">
      <c r="N61" s="9"/>
      <c r="O61">
        <v>211101</v>
      </c>
      <c r="P61" t="s">
        <v>18</v>
      </c>
      <c r="Q61" t="str">
        <f>Q60</f>
        <v xml:space="preserve">CPA Movimientos Partner PAYCASH 17-01-2023 MXN 0 - T/C </v>
      </c>
      <c r="R61" s="3"/>
      <c r="S61" s="10">
        <f>R60</f>
        <v>0</v>
      </c>
    </row>
    <row r="62" spans="10:20" x14ac:dyDescent="0.25">
      <c r="N62" s="9"/>
      <c r="O62">
        <v>430105</v>
      </c>
      <c r="P62" t="s">
        <v>25</v>
      </c>
      <c r="Q62" t="str">
        <f>"CPA Ajuste T/C Partner PAYCASH "&amp;TEXT(N60,"dd-mm-yyy")</f>
        <v>CPA Ajuste T/C Partner PAYCASH 17-01-2023</v>
      </c>
      <c r="R62" s="3">
        <f>J31*-1</f>
        <v>0</v>
      </c>
      <c r="S62" s="10"/>
    </row>
    <row r="63" spans="10:20" x14ac:dyDescent="0.25">
      <c r="N63" s="9"/>
      <c r="O63">
        <v>110262</v>
      </c>
      <c r="P63" t="s">
        <v>22</v>
      </c>
      <c r="Q63" t="str">
        <f>Q62</f>
        <v>CPA Ajuste T/C Partner PAYCASH 17-01-2023</v>
      </c>
      <c r="R63" s="3"/>
      <c r="S63" s="10">
        <f>R62</f>
        <v>0</v>
      </c>
      <c r="T63" s="3">
        <f>+R60-S63</f>
        <v>0</v>
      </c>
    </row>
    <row r="64" spans="10:20" x14ac:dyDescent="0.25">
      <c r="N64" s="15">
        <v>44944</v>
      </c>
      <c r="O64" s="8">
        <v>110262</v>
      </c>
      <c r="P64" s="8" t="s">
        <v>22</v>
      </c>
      <c r="Q64" s="8" t="str">
        <f>"CPA Movimientos Partner PAYCASH "&amp;TEXT(N64,"dd-mm-yyy") &amp; " MXN " &amp;TEXT(IF(H19&gt;1,H19,H19*-1),"#.##0") &amp; " - T/C " &amp;D19</f>
        <v xml:space="preserve">CPA Movimientos Partner PAYCASH 18-01-2023 MXN 0 - T/C </v>
      </c>
      <c r="R64" s="16">
        <f>+I19</f>
        <v>0</v>
      </c>
      <c r="S64" s="17"/>
    </row>
    <row r="65" spans="13:20" x14ac:dyDescent="0.25">
      <c r="N65" s="9"/>
      <c r="O65">
        <v>211101</v>
      </c>
      <c r="P65" t="s">
        <v>18</v>
      </c>
      <c r="Q65" t="str">
        <f>Q64</f>
        <v xml:space="preserve">CPA Movimientos Partner PAYCASH 18-01-2023 MXN 0 - T/C </v>
      </c>
      <c r="R65" s="3"/>
      <c r="S65" s="10">
        <f>R64</f>
        <v>0</v>
      </c>
    </row>
    <row r="66" spans="13:20" x14ac:dyDescent="0.25">
      <c r="N66" s="9"/>
      <c r="O66">
        <v>110262</v>
      </c>
      <c r="P66" t="s">
        <v>22</v>
      </c>
      <c r="Q66" t="str">
        <f>"CPA Ajuste T/C Partner PAYCASH "&amp;TEXT(N64,"dd-mm-yyy")</f>
        <v>CPA Ajuste T/C Partner PAYCASH 18-01-2023</v>
      </c>
      <c r="R66" s="3">
        <f>J33</f>
        <v>0</v>
      </c>
      <c r="S66" s="10"/>
    </row>
    <row r="67" spans="13:20" x14ac:dyDescent="0.25">
      <c r="N67" s="9"/>
      <c r="O67">
        <v>430105</v>
      </c>
      <c r="P67" t="s">
        <v>25</v>
      </c>
      <c r="Q67" t="str">
        <f>Q66</f>
        <v>CPA Ajuste T/C Partner PAYCASH 18-01-2023</v>
      </c>
      <c r="R67" s="3"/>
      <c r="S67" s="10">
        <f>R66</f>
        <v>0</v>
      </c>
      <c r="T67" s="3">
        <f>+R64+R66</f>
        <v>0</v>
      </c>
    </row>
    <row r="68" spans="13:20" x14ac:dyDescent="0.25">
      <c r="M68" s="43" t="s">
        <v>32</v>
      </c>
      <c r="N68" s="44">
        <v>44944</v>
      </c>
      <c r="O68" s="45">
        <v>110276</v>
      </c>
      <c r="P68" s="45" t="s">
        <v>31</v>
      </c>
      <c r="Q68" s="45" t="str">
        <f>"CPA Rescate de Fondos Pay Cash "&amp;TEXT(N68,"dd-mm-yyy") &amp; " USD " &amp;TEXT(IF(G19&gt;1,G19,G19*-1),"#.##0") &amp; " - T/C  820,89 "</f>
        <v xml:space="preserve">CPA Rescate de Fondos Pay Cash 18-01-2023 USD 0 - T/C  820,89 </v>
      </c>
      <c r="R68" s="46">
        <f>+L6</f>
        <v>0</v>
      </c>
      <c r="S68" s="47"/>
    </row>
    <row r="69" spans="13:20" x14ac:dyDescent="0.25">
      <c r="N69" s="48"/>
      <c r="O69" s="49">
        <v>110262</v>
      </c>
      <c r="P69" s="49" t="s">
        <v>22</v>
      </c>
      <c r="Q69" s="49" t="str">
        <f>Q68</f>
        <v xml:space="preserve">CPA Rescate de Fondos Pay Cash 18-01-2023 USD 0 - T/C  820,89 </v>
      </c>
      <c r="R69" s="50"/>
      <c r="S69" s="51">
        <f>R68</f>
        <v>0</v>
      </c>
    </row>
    <row r="70" spans="13:20" x14ac:dyDescent="0.25">
      <c r="N70" s="48"/>
      <c r="O70" s="49">
        <v>430105</v>
      </c>
      <c r="P70" s="49" t="s">
        <v>25</v>
      </c>
      <c r="Q70" s="49" t="str">
        <f>"CPA Ajuste T/C Rescate Fondos Partner PAYCASH "&amp;TEXT(N68,"dd-mm-yyy")</f>
        <v>CPA Ajuste T/C Rescate Fondos Partner PAYCASH 18-01-2023</v>
      </c>
      <c r="R70" s="50">
        <f>M6*-1</f>
        <v>0</v>
      </c>
      <c r="S70" s="51"/>
    </row>
    <row r="71" spans="13:20" x14ac:dyDescent="0.25">
      <c r="N71" s="48"/>
      <c r="O71" s="49">
        <v>110262</v>
      </c>
      <c r="P71" s="49" t="s">
        <v>22</v>
      </c>
      <c r="Q71" s="49" t="str">
        <f>Q70</f>
        <v>CPA Ajuste T/C Rescate Fondos Partner PAYCASH 18-01-2023</v>
      </c>
      <c r="R71" s="50"/>
      <c r="S71" s="51">
        <f>R70</f>
        <v>0</v>
      </c>
      <c r="T71" s="3">
        <f>+S69+S71</f>
        <v>0</v>
      </c>
    </row>
    <row r="72" spans="13:20" x14ac:dyDescent="0.25">
      <c r="N72" s="15">
        <v>44945</v>
      </c>
      <c r="O72" s="8">
        <v>110262</v>
      </c>
      <c r="P72" s="8" t="s">
        <v>22</v>
      </c>
      <c r="Q72" s="8" t="str">
        <f>"CPA Movimientos Partner PAYCASH "&amp;TEXT(N72,"dd-mm-yyy") &amp; " MXN " &amp;TEXT(IF(H20&gt;1,H20,H20*-1),"#.##0") &amp; " - T/C " &amp;D20</f>
        <v xml:space="preserve">CPA Movimientos Partner PAYCASH 19-01-2023 MXN 0 - T/C </v>
      </c>
      <c r="R72" s="16">
        <f>+I20</f>
        <v>0</v>
      </c>
      <c r="S72" s="17"/>
    </row>
    <row r="73" spans="13:20" x14ac:dyDescent="0.25">
      <c r="N73" s="9"/>
      <c r="O73">
        <v>211101</v>
      </c>
      <c r="P73" t="s">
        <v>18</v>
      </c>
      <c r="Q73" t="str">
        <f>Q72</f>
        <v xml:space="preserve">CPA Movimientos Partner PAYCASH 19-01-2023 MXN 0 - T/C </v>
      </c>
      <c r="R73" s="3"/>
      <c r="S73" s="10">
        <f>R72</f>
        <v>0</v>
      </c>
    </row>
    <row r="74" spans="13:20" x14ac:dyDescent="0.25">
      <c r="N74" s="9"/>
      <c r="O74">
        <v>430105</v>
      </c>
      <c r="P74" t="s">
        <v>25</v>
      </c>
      <c r="Q74" t="str">
        <f>"CPA Ajuste T/C Partner PAYCASH "&amp;TEXT(N72,"dd-mm-yyy")</f>
        <v>CPA Ajuste T/C Partner PAYCASH 19-01-2023</v>
      </c>
      <c r="R74" s="3">
        <f>J35*-1</f>
        <v>0</v>
      </c>
      <c r="S74" s="10"/>
    </row>
    <row r="75" spans="13:20" x14ac:dyDescent="0.25">
      <c r="N75" s="9"/>
      <c r="O75">
        <v>110262</v>
      </c>
      <c r="P75" t="s">
        <v>22</v>
      </c>
      <c r="Q75" t="str">
        <f>Q74</f>
        <v>CPA Ajuste T/C Partner PAYCASH 19-01-2023</v>
      </c>
      <c r="R75" s="3"/>
      <c r="S75" s="10">
        <f>R74</f>
        <v>0</v>
      </c>
      <c r="T75" s="3">
        <f>+R72-S75</f>
        <v>0</v>
      </c>
    </row>
    <row r="76" spans="13:20" x14ac:dyDescent="0.25">
      <c r="N76" s="15">
        <v>44946</v>
      </c>
      <c r="O76" s="8">
        <v>110262</v>
      </c>
      <c r="P76" s="8" t="s">
        <v>22</v>
      </c>
      <c r="Q76" s="8" t="str">
        <f>"CPA Movimientos Partner PAYCASH "&amp;TEXT(N76,"dd-mm-yyy") &amp; " MXN " &amp;TEXT(IF(H21&gt;1,H21,H21*-1),"#.##0") &amp; " - T/C " &amp;D21</f>
        <v xml:space="preserve">CPA Movimientos Partner PAYCASH 20-01-2023 MXN 0 - T/C </v>
      </c>
      <c r="R76" s="16">
        <f>+I21</f>
        <v>0</v>
      </c>
      <c r="S76" s="17"/>
    </row>
    <row r="77" spans="13:20" x14ac:dyDescent="0.25">
      <c r="N77" s="9"/>
      <c r="O77">
        <v>211101</v>
      </c>
      <c r="P77" t="s">
        <v>18</v>
      </c>
      <c r="Q77" t="str">
        <f>Q76</f>
        <v xml:space="preserve">CPA Movimientos Partner PAYCASH 20-01-2023 MXN 0 - T/C </v>
      </c>
      <c r="R77" s="3"/>
      <c r="S77" s="10">
        <f>R76</f>
        <v>0</v>
      </c>
    </row>
    <row r="78" spans="13:20" x14ac:dyDescent="0.25">
      <c r="N78" s="9"/>
      <c r="O78">
        <v>110262</v>
      </c>
      <c r="P78" t="s">
        <v>22</v>
      </c>
      <c r="Q78" t="str">
        <f>"CPA Ajuste T/C Partner PAYCASH "&amp;TEXT(N76,"dd-mm-yyy")</f>
        <v>CPA Ajuste T/C Partner PAYCASH 20-01-2023</v>
      </c>
      <c r="R78" s="3">
        <f>J37</f>
        <v>0</v>
      </c>
      <c r="S78" s="10"/>
    </row>
    <row r="79" spans="13:20" x14ac:dyDescent="0.25">
      <c r="N79" s="9"/>
      <c r="O79">
        <v>430105</v>
      </c>
      <c r="P79" t="s">
        <v>25</v>
      </c>
      <c r="Q79" t="str">
        <f>Q78</f>
        <v>CPA Ajuste T/C Partner PAYCASH 20-01-2023</v>
      </c>
      <c r="R79" s="3"/>
      <c r="S79" s="10">
        <f>R78</f>
        <v>0</v>
      </c>
      <c r="T79" s="3">
        <f>+R76+R78</f>
        <v>0</v>
      </c>
    </row>
    <row r="80" spans="13:20" x14ac:dyDescent="0.25">
      <c r="N80" s="15">
        <v>44947</v>
      </c>
      <c r="O80" s="8">
        <v>110262</v>
      </c>
      <c r="P80" s="8" t="s">
        <v>22</v>
      </c>
      <c r="Q80" s="8" t="str">
        <f>"CPA Movimientos Partner PAYCASH "&amp;TEXT(N80,"dd-mm-yyy") &amp; " MXN " &amp;TEXT(IF(H22&gt;1,H22,H22*-1),"#.##0") &amp; " - T/C " &amp;D22</f>
        <v xml:space="preserve">CPA Movimientos Partner PAYCASH 21-01-2023 MXN 0 - T/C </v>
      </c>
      <c r="R80" s="16">
        <f>+I22</f>
        <v>0</v>
      </c>
      <c r="S80" s="17"/>
    </row>
    <row r="81" spans="13:20" x14ac:dyDescent="0.25">
      <c r="N81" s="9"/>
      <c r="O81">
        <v>211101</v>
      </c>
      <c r="P81" t="s">
        <v>18</v>
      </c>
      <c r="Q81" t="str">
        <f>Q80</f>
        <v xml:space="preserve">CPA Movimientos Partner PAYCASH 21-01-2023 MXN 0 - T/C </v>
      </c>
      <c r="R81" s="3"/>
      <c r="S81" s="10">
        <f>R80</f>
        <v>0</v>
      </c>
    </row>
    <row r="82" spans="13:20" x14ac:dyDescent="0.25">
      <c r="N82" s="9"/>
      <c r="O82">
        <v>430105</v>
      </c>
      <c r="P82" t="s">
        <v>25</v>
      </c>
      <c r="Q82" t="str">
        <f>"CPA Ajuste T/C Partner PAYCASH "&amp;TEXT(N80,"dd-mm-yyy")</f>
        <v>CPA Ajuste T/C Partner PAYCASH 21-01-2023</v>
      </c>
      <c r="R82" s="3">
        <f>J39*-1</f>
        <v>0</v>
      </c>
      <c r="S82" s="10"/>
    </row>
    <row r="83" spans="13:20" x14ac:dyDescent="0.25">
      <c r="N83" s="9"/>
      <c r="O83">
        <v>110262</v>
      </c>
      <c r="P83" t="s">
        <v>22</v>
      </c>
      <c r="Q83" t="str">
        <f>Q82</f>
        <v>CPA Ajuste T/C Partner PAYCASH 21-01-2023</v>
      </c>
      <c r="R83" s="3"/>
      <c r="S83" s="10">
        <f>R82</f>
        <v>0</v>
      </c>
      <c r="T83" s="3">
        <f>+R80-S83</f>
        <v>0</v>
      </c>
    </row>
    <row r="84" spans="13:20" x14ac:dyDescent="0.25">
      <c r="N84" s="15">
        <v>44948</v>
      </c>
      <c r="O84" s="8">
        <v>110262</v>
      </c>
      <c r="P84" s="8" t="s">
        <v>22</v>
      </c>
      <c r="Q84" s="8" t="str">
        <f>"CPA Movimientos Partner PAYCASH "&amp;TEXT(N84,"dd-mm-yyy") &amp; " MXN " &amp;TEXT(IF(H23&gt;1,H23,H23*-1),"#.##0") &amp; " - T/C " &amp;D23</f>
        <v xml:space="preserve">CPA Movimientos Partner PAYCASH 22-01-2023 MXN 0 - T/C </v>
      </c>
      <c r="R84" s="16">
        <f>+I23</f>
        <v>0</v>
      </c>
      <c r="S84" s="17"/>
    </row>
    <row r="85" spans="13:20" x14ac:dyDescent="0.25">
      <c r="N85" s="9"/>
      <c r="O85">
        <v>211101</v>
      </c>
      <c r="P85" t="s">
        <v>18</v>
      </c>
      <c r="Q85" t="str">
        <f>Q84</f>
        <v xml:space="preserve">CPA Movimientos Partner PAYCASH 22-01-2023 MXN 0 - T/C </v>
      </c>
      <c r="R85" s="3"/>
      <c r="S85" s="10">
        <f>R84</f>
        <v>0</v>
      </c>
    </row>
    <row r="86" spans="13:20" x14ac:dyDescent="0.25">
      <c r="N86" s="9"/>
      <c r="O86">
        <v>430105</v>
      </c>
      <c r="P86" t="s">
        <v>25</v>
      </c>
      <c r="Q86" t="str">
        <f>"CPA Ajuste T/C Partner PAYCASH "&amp;TEXT(N84,"dd-mm-yyy")</f>
        <v>CPA Ajuste T/C Partner PAYCASH 22-01-2023</v>
      </c>
      <c r="R86" s="3">
        <f>S87</f>
        <v>0</v>
      </c>
      <c r="S86" s="10"/>
    </row>
    <row r="87" spans="13:20" x14ac:dyDescent="0.25">
      <c r="N87" s="9"/>
      <c r="O87">
        <v>110262</v>
      </c>
      <c r="P87" t="s">
        <v>22</v>
      </c>
      <c r="Q87" t="str">
        <f>Q86</f>
        <v>CPA Ajuste T/C Partner PAYCASH 22-01-2023</v>
      </c>
      <c r="R87" s="3"/>
      <c r="S87" s="10">
        <f>+J65*-1</f>
        <v>0</v>
      </c>
    </row>
    <row r="88" spans="13:20" x14ac:dyDescent="0.25">
      <c r="N88" s="15">
        <v>44949</v>
      </c>
      <c r="O88" s="8">
        <v>110262</v>
      </c>
      <c r="P88" s="8" t="s">
        <v>22</v>
      </c>
      <c r="Q88" s="8" t="str">
        <f>"CPA Movimientos Partner PAYCASH "&amp;TEXT(N88,"dd-mm-yyy") &amp; " MXN " &amp;TEXT(IF(H24&gt;1,H24,H24*-1),"#.##0") &amp; " - T/C " &amp;D24</f>
        <v xml:space="preserve">CPA Movimientos Partner PAYCASH 23-01-2023 MXN 0 - T/C </v>
      </c>
      <c r="R88" s="16">
        <f>+I24</f>
        <v>0</v>
      </c>
      <c r="S88" s="17"/>
    </row>
    <row r="89" spans="13:20" x14ac:dyDescent="0.25">
      <c r="N89" s="9"/>
      <c r="O89">
        <v>211101</v>
      </c>
      <c r="P89" t="s">
        <v>18</v>
      </c>
      <c r="Q89" t="str">
        <f>Q88</f>
        <v xml:space="preserve">CPA Movimientos Partner PAYCASH 23-01-2023 MXN 0 - T/C </v>
      </c>
      <c r="R89" s="3"/>
      <c r="S89" s="10">
        <f>R88</f>
        <v>0</v>
      </c>
    </row>
    <row r="90" spans="13:20" x14ac:dyDescent="0.25">
      <c r="N90" s="9"/>
      <c r="O90">
        <v>110262</v>
      </c>
      <c r="P90" t="s">
        <v>22</v>
      </c>
      <c r="Q90" t="str">
        <f>"CPA Ajuste T/C Partner PAYCASH "&amp;TEXT(N88,"dd-mm-yyy")</f>
        <v>CPA Ajuste T/C Partner PAYCASH 23-01-2023</v>
      </c>
      <c r="R90" s="3">
        <f>J71</f>
        <v>0</v>
      </c>
      <c r="S90" s="10"/>
    </row>
    <row r="91" spans="13:20" x14ac:dyDescent="0.25">
      <c r="N91" s="41"/>
      <c r="O91" s="12">
        <v>430105</v>
      </c>
      <c r="P91" s="12" t="s">
        <v>25</v>
      </c>
      <c r="Q91" s="12" t="str">
        <f>Q90</f>
        <v>CPA Ajuste T/C Partner PAYCASH 23-01-2023</v>
      </c>
      <c r="R91" s="13"/>
      <c r="S91" s="18">
        <f>R90</f>
        <v>0</v>
      </c>
    </row>
    <row r="92" spans="13:20" x14ac:dyDescent="0.25">
      <c r="N92" s="15">
        <v>44950</v>
      </c>
      <c r="O92" s="8">
        <v>211101</v>
      </c>
      <c r="P92" s="8" t="s">
        <v>18</v>
      </c>
      <c r="Q92" s="8" t="str">
        <f>"CPA Movimientos Partner PAYCASH "&amp;TEXT(N92,"dd-mm-yyy") &amp; " MXN " &amp;TEXT(IF(H25&gt;1,H25,H25*-1),"#.##0") &amp; " - T/C " &amp;D25</f>
        <v xml:space="preserve">CPA Movimientos Partner PAYCASH 24-01-2023 MXN 0 - T/C </v>
      </c>
      <c r="R92" s="16">
        <f>+I25*-1</f>
        <v>0</v>
      </c>
      <c r="S92" s="17"/>
    </row>
    <row r="93" spans="13:20" x14ac:dyDescent="0.25">
      <c r="N93" s="9"/>
      <c r="O93">
        <v>110262</v>
      </c>
      <c r="P93" t="s">
        <v>22</v>
      </c>
      <c r="Q93" t="str">
        <f>Q92</f>
        <v xml:space="preserve">CPA Movimientos Partner PAYCASH 24-01-2023 MXN 0 - T/C </v>
      </c>
      <c r="R93" s="3"/>
      <c r="S93" s="10">
        <f>R92</f>
        <v>0</v>
      </c>
    </row>
    <row r="94" spans="13:20" x14ac:dyDescent="0.25">
      <c r="N94" s="9"/>
      <c r="O94">
        <v>430105</v>
      </c>
      <c r="P94" t="s">
        <v>25</v>
      </c>
      <c r="Q94" t="str">
        <f>"CPA Ajuste T/C Partner PAYCASH "&amp;TEXT(N92,"dd-mm-yyy")</f>
        <v>CPA Ajuste T/C Partner PAYCASH 24-01-2023</v>
      </c>
      <c r="R94" s="3">
        <f>J41*-1</f>
        <v>0</v>
      </c>
      <c r="S94" s="10"/>
    </row>
    <row r="95" spans="13:20" x14ac:dyDescent="0.25">
      <c r="N95" s="41"/>
      <c r="O95" s="12">
        <v>110262</v>
      </c>
      <c r="P95" s="12" t="s">
        <v>22</v>
      </c>
      <c r="Q95" s="12" t="str">
        <f>Q94</f>
        <v>CPA Ajuste T/C Partner PAYCASH 24-01-2023</v>
      </c>
      <c r="R95" s="13"/>
      <c r="S95" s="18">
        <f>R94</f>
        <v>0</v>
      </c>
      <c r="T95" s="3">
        <f>+S93+S95</f>
        <v>0</v>
      </c>
    </row>
    <row r="96" spans="13:20" x14ac:dyDescent="0.25">
      <c r="M96" s="43" t="s">
        <v>32</v>
      </c>
      <c r="N96" s="44">
        <v>44957</v>
      </c>
      <c r="O96" s="45">
        <v>110276</v>
      </c>
      <c r="P96" s="45" t="s">
        <v>31</v>
      </c>
      <c r="Q96" s="45" t="str">
        <f>"CPA Rescate de Fondos Pay Cash "&amp;TEXT(N96,"dd-mm-yyy") &amp; " USD " &amp;TEXT(IF(G32&gt;1,G32,G32*-1),"#.##0") &amp; " - T/C  810,37 "</f>
        <v xml:space="preserve">CPA Rescate de Fondos Pay Cash 31-01-2023 USD 0 - T/C  810,37 </v>
      </c>
      <c r="R96" s="46">
        <f>+L7</f>
        <v>0</v>
      </c>
      <c r="S96" s="47"/>
    </row>
    <row r="97" spans="14:20" x14ac:dyDescent="0.25">
      <c r="N97" s="48"/>
      <c r="O97" s="49">
        <v>110262</v>
      </c>
      <c r="P97" s="49" t="s">
        <v>22</v>
      </c>
      <c r="Q97" s="49" t="str">
        <f>Q96</f>
        <v xml:space="preserve">CPA Rescate de Fondos Pay Cash 31-01-2023 USD 0 - T/C  810,37 </v>
      </c>
      <c r="R97" s="50"/>
      <c r="S97" s="51">
        <f>R96</f>
        <v>0</v>
      </c>
    </row>
    <row r="98" spans="14:20" x14ac:dyDescent="0.25">
      <c r="N98" s="48"/>
      <c r="O98" s="49">
        <v>430105</v>
      </c>
      <c r="P98" s="49" t="s">
        <v>25</v>
      </c>
      <c r="Q98" s="49" t="str">
        <f>"CPA Ajuste T/C Rescate Fondos Partner PAYCASH "&amp;TEXT(N96,"dd-mm-yyy")</f>
        <v>CPA Ajuste T/C Rescate Fondos Partner PAYCASH 31-01-2023</v>
      </c>
      <c r="R98" s="50">
        <f>M7*-1</f>
        <v>0</v>
      </c>
      <c r="S98" s="51"/>
    </row>
    <row r="99" spans="14:20" x14ac:dyDescent="0.25">
      <c r="N99" s="71"/>
      <c r="O99" s="72">
        <v>110262</v>
      </c>
      <c r="P99" s="72" t="s">
        <v>22</v>
      </c>
      <c r="Q99" s="72" t="str">
        <f>Q98</f>
        <v>CPA Ajuste T/C Rescate Fondos Partner PAYCASH 31-01-2023</v>
      </c>
      <c r="R99" s="73"/>
      <c r="S99" s="74">
        <f>R98</f>
        <v>0</v>
      </c>
      <c r="T99" s="3">
        <f>+S97+S99</f>
        <v>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22CA4-E3D4-4911-89E3-7E1AC64FA988}">
  <dimension ref="A1:AB105"/>
  <sheetViews>
    <sheetView showGridLines="0" zoomScaleNormal="100" workbookViewId="0">
      <selection activeCell="F4" sqref="F4:F6"/>
    </sheetView>
  </sheetViews>
  <sheetFormatPr baseColWidth="10" defaultRowHeight="15" x14ac:dyDescent="0.25"/>
  <cols>
    <col min="1" max="4" width="11.7109375" bestFit="1" customWidth="1"/>
    <col min="5" max="5" width="13.5703125" bestFit="1" customWidth="1"/>
    <col min="6" max="7" width="13.5703125" customWidth="1"/>
    <col min="8" max="8" width="11.5703125" bestFit="1" customWidth="1"/>
    <col min="9" max="9" width="14.28515625" bestFit="1" customWidth="1"/>
    <col min="10" max="10" width="13.7109375" bestFit="1" customWidth="1"/>
    <col min="11" max="11" width="11.5703125" bestFit="1" customWidth="1"/>
    <col min="12" max="12" width="13.5703125" bestFit="1" customWidth="1"/>
    <col min="13" max="13" width="10.42578125" bestFit="1" customWidth="1"/>
    <col min="14" max="14" width="7.85546875" bestFit="1" customWidth="1"/>
    <col min="15" max="15" width="25.7109375" bestFit="1" customWidth="1"/>
    <col min="16" max="16" width="61.85546875" bestFit="1" customWidth="1"/>
    <col min="17" max="18" width="12" bestFit="1" customWidth="1"/>
    <col min="19" max="19" width="13.5703125" bestFit="1" customWidth="1"/>
    <col min="21" max="21" width="10.140625" bestFit="1" customWidth="1"/>
    <col min="22" max="22" width="11.85546875" bestFit="1" customWidth="1"/>
    <col min="24" max="26" width="12.28515625" bestFit="1" customWidth="1"/>
    <col min="27" max="27" width="11.7109375" bestFit="1" customWidth="1"/>
  </cols>
  <sheetData>
    <row r="1" spans="1:28" x14ac:dyDescent="0.25">
      <c r="A1" s="4" t="s">
        <v>0</v>
      </c>
      <c r="B1" s="4" t="s">
        <v>19</v>
      </c>
      <c r="C1" s="4" t="s">
        <v>20</v>
      </c>
      <c r="D1" s="4" t="s">
        <v>1</v>
      </c>
      <c r="E1" s="4" t="s">
        <v>3</v>
      </c>
      <c r="F1" s="4" t="s">
        <v>36</v>
      </c>
      <c r="G1" s="4" t="s">
        <v>37</v>
      </c>
      <c r="H1" s="4" t="s">
        <v>21</v>
      </c>
      <c r="I1" s="4" t="s">
        <v>4</v>
      </c>
      <c r="J1" s="4"/>
      <c r="K1" s="70" t="s">
        <v>41</v>
      </c>
      <c r="M1" s="22" t="s">
        <v>0</v>
      </c>
      <c r="N1" s="23"/>
      <c r="O1" s="23"/>
      <c r="P1" s="23"/>
      <c r="Q1" s="23" t="s">
        <v>5</v>
      </c>
      <c r="R1" s="24" t="s">
        <v>6</v>
      </c>
      <c r="U1" s="52" t="s">
        <v>0</v>
      </c>
      <c r="V1" s="52" t="s">
        <v>7</v>
      </c>
      <c r="W1" s="52" t="s">
        <v>9</v>
      </c>
      <c r="X1" s="52" t="s">
        <v>10</v>
      </c>
      <c r="Y1" s="52" t="s">
        <v>11</v>
      </c>
      <c r="Z1" s="52" t="s">
        <v>12</v>
      </c>
      <c r="AA1" s="53"/>
    </row>
    <row r="2" spans="1:28" x14ac:dyDescent="0.25">
      <c r="A2" s="1">
        <v>44958</v>
      </c>
      <c r="B2" s="2">
        <v>0</v>
      </c>
      <c r="C2" s="2"/>
      <c r="D2" s="21"/>
      <c r="E2" s="3">
        <f>C2*D2</f>
        <v>0</v>
      </c>
      <c r="F2" s="3"/>
      <c r="G2" s="3">
        <f>F2*D2</f>
        <v>0</v>
      </c>
      <c r="H2" s="26">
        <f>C2-B2+F2</f>
        <v>0</v>
      </c>
      <c r="I2" s="26">
        <f t="shared" ref="I2:I32" si="0">H2*D2</f>
        <v>0</v>
      </c>
      <c r="J2" s="30"/>
      <c r="M2" s="9">
        <f>A2</f>
        <v>44958</v>
      </c>
      <c r="N2">
        <v>110267</v>
      </c>
      <c r="O2" t="s">
        <v>34</v>
      </c>
      <c r="P2" t="str">
        <f>"CPA Movimientos Partner FacilitaPay PayIn "&amp;TEXT(M2,"dd-mm-yyy")</f>
        <v>CPA Movimientos Partner FacilitaPay PayIn 01-02-2023</v>
      </c>
      <c r="Q2" s="3">
        <f>+I2</f>
        <v>0</v>
      </c>
      <c r="R2" s="10"/>
      <c r="U2" s="54" t="s">
        <v>13</v>
      </c>
      <c r="V2" s="54">
        <v>110267</v>
      </c>
      <c r="W2" s="54" t="s">
        <v>14</v>
      </c>
      <c r="X2" s="55"/>
      <c r="Y2" s="55"/>
      <c r="Z2" s="55">
        <f>+E2</f>
        <v>0</v>
      </c>
      <c r="AA2" s="53"/>
    </row>
    <row r="3" spans="1:28" x14ac:dyDescent="0.25">
      <c r="A3" s="1">
        <v>44959</v>
      </c>
      <c r="B3" s="3"/>
      <c r="C3" s="2"/>
      <c r="D3" s="21"/>
      <c r="E3" s="3">
        <f t="shared" ref="E3:E32" si="1">C3*D3</f>
        <v>0</v>
      </c>
      <c r="F3" s="3"/>
      <c r="G3" s="3">
        <f t="shared" ref="G3:G6" si="2">F3*D3</f>
        <v>0</v>
      </c>
      <c r="H3" s="26">
        <f t="shared" ref="H3:H32" si="3">C3-B3+F3</f>
        <v>0</v>
      </c>
      <c r="I3" s="26">
        <f t="shared" si="0"/>
        <v>0</v>
      </c>
      <c r="M3" s="11"/>
      <c r="N3" s="12">
        <v>211101</v>
      </c>
      <c r="O3" s="12" t="s">
        <v>18</v>
      </c>
      <c r="P3" s="12" t="str">
        <f>P2</f>
        <v>CPA Movimientos Partner FacilitaPay PayIn 01-02-2023</v>
      </c>
      <c r="Q3" s="13"/>
      <c r="R3" s="18">
        <f>Q2</f>
        <v>0</v>
      </c>
      <c r="U3" s="56">
        <v>44927</v>
      </c>
      <c r="V3" s="53"/>
      <c r="W3" s="53"/>
      <c r="X3" s="57"/>
      <c r="Y3" s="58"/>
      <c r="Z3" s="58">
        <f>+Z2+X3-Y3</f>
        <v>0</v>
      </c>
      <c r="AA3" s="57">
        <f>+Z3-E2</f>
        <v>0</v>
      </c>
    </row>
    <row r="4" spans="1:28" x14ac:dyDescent="0.25">
      <c r="A4" s="1">
        <v>44960</v>
      </c>
      <c r="B4" s="3"/>
      <c r="C4" s="2"/>
      <c r="D4" s="21"/>
      <c r="E4" s="3">
        <f t="shared" si="1"/>
        <v>0</v>
      </c>
      <c r="F4" s="3"/>
      <c r="G4" s="3">
        <f t="shared" si="2"/>
        <v>0</v>
      </c>
      <c r="H4" s="26">
        <f t="shared" si="3"/>
        <v>0</v>
      </c>
      <c r="I4" s="26">
        <f t="shared" si="0"/>
        <v>0</v>
      </c>
      <c r="K4" s="3"/>
      <c r="L4" s="3"/>
      <c r="M4" s="15">
        <v>44928</v>
      </c>
      <c r="N4" s="8">
        <v>110267</v>
      </c>
      <c r="O4" s="8" t="s">
        <v>34</v>
      </c>
      <c r="P4" s="8" t="str">
        <f>"CPA Movimientos Partner FacilitaPay PayIn "&amp;TEXT(M4,"dd-mm-yyy")</f>
        <v>CPA Movimientos Partner FacilitaPay PayIn 02-01-2023</v>
      </c>
      <c r="Q4" s="16">
        <f>+I3</f>
        <v>0</v>
      </c>
      <c r="R4" s="17"/>
      <c r="U4" s="56">
        <v>44928</v>
      </c>
      <c r="V4" s="53"/>
      <c r="W4" s="53"/>
      <c r="X4" s="57">
        <f>+Q4</f>
        <v>0</v>
      </c>
      <c r="Y4" s="58"/>
      <c r="Z4" s="58">
        <f>+Z3+X4-Y4</f>
        <v>0</v>
      </c>
      <c r="AA4" s="57">
        <f t="shared" ref="AA4:AA33" si="4">+Z4-E3</f>
        <v>0</v>
      </c>
    </row>
    <row r="5" spans="1:28" x14ac:dyDescent="0.25">
      <c r="A5" s="1">
        <v>44961</v>
      </c>
      <c r="B5" s="3"/>
      <c r="C5" s="2"/>
      <c r="D5" s="21"/>
      <c r="E5" s="3">
        <f t="shared" si="1"/>
        <v>0</v>
      </c>
      <c r="F5" s="3"/>
      <c r="G5" s="3">
        <f t="shared" si="2"/>
        <v>0</v>
      </c>
      <c r="H5" s="26">
        <f t="shared" si="3"/>
        <v>0</v>
      </c>
      <c r="I5" s="26">
        <f t="shared" si="0"/>
        <v>0</v>
      </c>
      <c r="K5" s="3"/>
      <c r="L5" s="3"/>
      <c r="M5" s="11"/>
      <c r="N5" s="12">
        <v>211101</v>
      </c>
      <c r="O5" s="12" t="s">
        <v>18</v>
      </c>
      <c r="P5" s="12" t="str">
        <f t="shared" ref="P5" si="5">P4</f>
        <v>CPA Movimientos Partner FacilitaPay PayIn 02-01-2023</v>
      </c>
      <c r="Q5" s="13"/>
      <c r="R5" s="18">
        <f>Q4</f>
        <v>0</v>
      </c>
      <c r="U5" s="56">
        <v>44929</v>
      </c>
      <c r="V5" s="53"/>
      <c r="W5" s="53"/>
      <c r="X5" s="57"/>
      <c r="Y5" s="58">
        <f>+S9</f>
        <v>0</v>
      </c>
      <c r="Z5" s="58">
        <f t="shared" ref="Z5:Z11" si="6">+Z4+X5-Y5</f>
        <v>0</v>
      </c>
      <c r="AA5" s="57">
        <f t="shared" si="4"/>
        <v>0</v>
      </c>
      <c r="AB5" s="3"/>
    </row>
    <row r="6" spans="1:28" x14ac:dyDescent="0.25">
      <c r="A6" s="1">
        <v>44962</v>
      </c>
      <c r="B6" s="3"/>
      <c r="C6" s="2"/>
      <c r="D6" s="21"/>
      <c r="E6" s="3">
        <f t="shared" si="1"/>
        <v>0</v>
      </c>
      <c r="F6" s="3"/>
      <c r="G6" s="3">
        <f t="shared" si="2"/>
        <v>0</v>
      </c>
      <c r="H6" s="26">
        <f t="shared" si="3"/>
        <v>0</v>
      </c>
      <c r="I6" s="26">
        <f t="shared" si="0"/>
        <v>0</v>
      </c>
      <c r="K6" s="3"/>
      <c r="L6" s="3"/>
      <c r="M6" s="15">
        <v>44929</v>
      </c>
      <c r="N6" s="8">
        <v>110267</v>
      </c>
      <c r="O6" s="8" t="s">
        <v>34</v>
      </c>
      <c r="P6" s="8" t="str">
        <f>"CPA Movimientos Partner FacilitaPay PayIn "&amp;TEXT(M6,"dd-mm-yyy")</f>
        <v>CPA Movimientos Partner FacilitaPay PayIn 03-01-2023</v>
      </c>
      <c r="Q6" s="16">
        <f>ROUND(I4,0)</f>
        <v>0</v>
      </c>
      <c r="R6" s="17"/>
      <c r="U6" s="56">
        <v>44930</v>
      </c>
      <c r="V6" s="53"/>
      <c r="W6" s="53"/>
      <c r="X6" s="58"/>
      <c r="Y6" s="58"/>
      <c r="Z6" s="58">
        <f t="shared" si="6"/>
        <v>0</v>
      </c>
      <c r="AA6" s="57">
        <f t="shared" si="4"/>
        <v>0</v>
      </c>
    </row>
    <row r="7" spans="1:28" x14ac:dyDescent="0.25">
      <c r="A7" s="1">
        <v>44963</v>
      </c>
      <c r="B7" s="3"/>
      <c r="C7" s="2"/>
      <c r="D7" s="21"/>
      <c r="E7" s="3">
        <f t="shared" si="1"/>
        <v>0</v>
      </c>
      <c r="F7" s="3"/>
      <c r="G7" s="3"/>
      <c r="H7" s="26">
        <f t="shared" si="3"/>
        <v>0</v>
      </c>
      <c r="I7" s="26">
        <f t="shared" si="0"/>
        <v>0</v>
      </c>
      <c r="M7" s="20"/>
      <c r="N7">
        <v>211101</v>
      </c>
      <c r="O7" t="s">
        <v>18</v>
      </c>
      <c r="P7" t="str">
        <f>P6</f>
        <v>CPA Movimientos Partner FacilitaPay PayIn 03-01-2023</v>
      </c>
      <c r="Q7" s="3"/>
      <c r="R7" s="10">
        <f>Q6</f>
        <v>0</v>
      </c>
      <c r="U7" s="56">
        <v>44931</v>
      </c>
      <c r="V7" s="53"/>
      <c r="W7" s="53"/>
      <c r="X7" s="57">
        <f>+S17</f>
        <v>0</v>
      </c>
      <c r="Y7" s="57"/>
      <c r="Z7" s="58">
        <f t="shared" si="6"/>
        <v>0</v>
      </c>
      <c r="AA7" s="57">
        <f t="shared" si="4"/>
        <v>0</v>
      </c>
    </row>
    <row r="8" spans="1:28" x14ac:dyDescent="0.25">
      <c r="A8" s="1">
        <v>44964</v>
      </c>
      <c r="B8" s="3"/>
      <c r="C8" s="2"/>
      <c r="D8" s="21"/>
      <c r="E8" s="3">
        <f t="shared" si="1"/>
        <v>0</v>
      </c>
      <c r="F8" s="3"/>
      <c r="G8" s="3"/>
      <c r="H8" s="26">
        <f t="shared" si="3"/>
        <v>0</v>
      </c>
      <c r="I8" s="26">
        <f t="shared" si="0"/>
        <v>0</v>
      </c>
      <c r="L8" s="19"/>
      <c r="M8" s="20"/>
      <c r="N8">
        <v>110274</v>
      </c>
      <c r="O8" t="s">
        <v>35</v>
      </c>
      <c r="P8" t="str">
        <f>"CPA Rescate Partner FacilitaPay "&amp;TEXT(M6,"dd-mm-yyy") &amp; " USD 320K - T/C  " &amp; D4</f>
        <v xml:space="preserve">CPA Rescate Partner FacilitaPay 03-01-2023 USD 320K - T/C  </v>
      </c>
      <c r="Q8" s="3">
        <f>G4</f>
        <v>0</v>
      </c>
      <c r="R8" s="10"/>
      <c r="U8" s="56">
        <v>44932</v>
      </c>
      <c r="V8" s="53"/>
      <c r="W8" s="53"/>
      <c r="X8" s="57"/>
      <c r="Y8" s="57"/>
      <c r="Z8" s="58">
        <f>+Z7+X8-Y8</f>
        <v>0</v>
      </c>
      <c r="AA8" s="57">
        <f t="shared" si="4"/>
        <v>0</v>
      </c>
    </row>
    <row r="9" spans="1:28" x14ac:dyDescent="0.25">
      <c r="A9" s="1">
        <v>44965</v>
      </c>
      <c r="B9" s="3"/>
      <c r="C9" s="2"/>
      <c r="D9" s="21"/>
      <c r="E9" s="3">
        <f t="shared" si="1"/>
        <v>0</v>
      </c>
      <c r="F9" s="3"/>
      <c r="G9" s="3"/>
      <c r="H9" s="26">
        <f t="shared" si="3"/>
        <v>0</v>
      </c>
      <c r="I9" s="26">
        <f t="shared" si="0"/>
        <v>0</v>
      </c>
      <c r="L9" s="39"/>
      <c r="M9" s="20"/>
      <c r="N9">
        <v>110267</v>
      </c>
      <c r="O9" t="s">
        <v>34</v>
      </c>
      <c r="P9" t="str">
        <f>P8</f>
        <v xml:space="preserve">CPA Rescate Partner FacilitaPay 03-01-2023 USD 320K - T/C  </v>
      </c>
      <c r="Q9" s="3"/>
      <c r="R9" s="10">
        <f>Q8</f>
        <v>0</v>
      </c>
      <c r="S9" s="3">
        <f>+R9-Q6</f>
        <v>0</v>
      </c>
      <c r="U9" s="56">
        <v>44933</v>
      </c>
      <c r="V9" s="53"/>
      <c r="W9" s="53"/>
      <c r="X9" s="57"/>
      <c r="Y9" s="57"/>
      <c r="Z9" s="58">
        <f t="shared" si="6"/>
        <v>0</v>
      </c>
      <c r="AA9" s="57">
        <f t="shared" si="4"/>
        <v>0</v>
      </c>
    </row>
    <row r="10" spans="1:28" x14ac:dyDescent="0.25">
      <c r="A10" s="1">
        <v>44966</v>
      </c>
      <c r="B10" s="3"/>
      <c r="C10" s="2"/>
      <c r="D10" s="21"/>
      <c r="E10" s="3">
        <f t="shared" si="1"/>
        <v>0</v>
      </c>
      <c r="F10" s="3"/>
      <c r="G10" s="3"/>
      <c r="H10" s="26">
        <f t="shared" si="3"/>
        <v>0</v>
      </c>
      <c r="I10" s="26">
        <f t="shared" si="0"/>
        <v>0</v>
      </c>
      <c r="L10" s="21"/>
      <c r="M10" s="15">
        <v>44930</v>
      </c>
      <c r="N10" s="8">
        <v>110267</v>
      </c>
      <c r="O10" s="8" t="s">
        <v>34</v>
      </c>
      <c r="P10" s="8" t="str">
        <f>"CPA Movimientos Partner FacilitaPay PayIn "&amp;TEXT(M10,"dd-mm-yyy")</f>
        <v>CPA Movimientos Partner FacilitaPay PayIn 04-01-2023</v>
      </c>
      <c r="Q10" s="16">
        <f>ROUND(I5,0)</f>
        <v>0</v>
      </c>
      <c r="R10" s="17"/>
      <c r="U10" s="56">
        <v>44934</v>
      </c>
      <c r="V10" s="53"/>
      <c r="W10" s="53"/>
      <c r="X10" s="57"/>
      <c r="Y10" s="53"/>
      <c r="Z10" s="58">
        <f t="shared" si="6"/>
        <v>0</v>
      </c>
      <c r="AA10" s="57">
        <f t="shared" si="4"/>
        <v>0</v>
      </c>
    </row>
    <row r="11" spans="1:28" x14ac:dyDescent="0.25">
      <c r="A11" s="1">
        <v>44967</v>
      </c>
      <c r="B11" s="3"/>
      <c r="C11" s="2"/>
      <c r="D11" s="21"/>
      <c r="E11" s="3">
        <f t="shared" si="1"/>
        <v>0</v>
      </c>
      <c r="F11" s="3"/>
      <c r="G11" s="3"/>
      <c r="H11" s="26">
        <f t="shared" si="3"/>
        <v>0</v>
      </c>
      <c r="I11" s="26">
        <f t="shared" si="0"/>
        <v>0</v>
      </c>
      <c r="L11" s="40"/>
      <c r="M11" s="20"/>
      <c r="N11">
        <v>211101</v>
      </c>
      <c r="O11" t="s">
        <v>18</v>
      </c>
      <c r="P11" t="str">
        <f>P10</f>
        <v>CPA Movimientos Partner FacilitaPay PayIn 04-01-2023</v>
      </c>
      <c r="Q11" s="3"/>
      <c r="R11" s="10">
        <f>Q10</f>
        <v>0</v>
      </c>
      <c r="S11" s="3"/>
      <c r="U11" s="56">
        <v>44935</v>
      </c>
      <c r="V11" s="53"/>
      <c r="W11" s="53"/>
      <c r="X11" s="57"/>
      <c r="Y11" s="53"/>
      <c r="Z11" s="58">
        <f t="shared" si="6"/>
        <v>0</v>
      </c>
      <c r="AA11" s="57">
        <f t="shared" si="4"/>
        <v>0</v>
      </c>
    </row>
    <row r="12" spans="1:28" x14ac:dyDescent="0.25">
      <c r="A12" s="1">
        <v>44968</v>
      </c>
      <c r="B12" s="3"/>
      <c r="C12" s="2"/>
      <c r="D12" s="21"/>
      <c r="E12" s="3">
        <f t="shared" si="1"/>
        <v>0</v>
      </c>
      <c r="F12" s="3"/>
      <c r="G12" s="3"/>
      <c r="H12" s="26">
        <f t="shared" si="3"/>
        <v>0</v>
      </c>
      <c r="I12" s="26">
        <f t="shared" si="0"/>
        <v>0</v>
      </c>
      <c r="L12" s="21"/>
      <c r="M12" s="20"/>
      <c r="N12">
        <v>430105</v>
      </c>
      <c r="O12" t="s">
        <v>25</v>
      </c>
      <c r="P12" t="str">
        <f>"CPA Ajuste T/C Partner FacilitaPay "&amp;TEXT(M10,"dd-mm-yyy")</f>
        <v>CPA Ajuste T/C Partner FacilitaPay 04-01-2023</v>
      </c>
      <c r="Q12" s="3">
        <f>ROUND(J13*-1,0)</f>
        <v>0</v>
      </c>
      <c r="R12" s="10"/>
      <c r="U12" s="56">
        <v>44936</v>
      </c>
      <c r="V12" s="53"/>
      <c r="W12" s="53"/>
      <c r="X12" s="57"/>
      <c r="Y12" s="57"/>
      <c r="Z12" s="58">
        <f>+Z11+X12-Y12</f>
        <v>0</v>
      </c>
      <c r="AA12" s="57">
        <f t="shared" si="4"/>
        <v>0</v>
      </c>
      <c r="AB12" s="3"/>
    </row>
    <row r="13" spans="1:28" x14ac:dyDescent="0.25">
      <c r="A13" s="1">
        <v>44969</v>
      </c>
      <c r="B13" s="3"/>
      <c r="C13" s="2"/>
      <c r="D13" s="21"/>
      <c r="E13" s="3">
        <f t="shared" si="1"/>
        <v>0</v>
      </c>
      <c r="F13" s="3"/>
      <c r="G13" s="3"/>
      <c r="H13" s="26">
        <f t="shared" si="3"/>
        <v>0</v>
      </c>
      <c r="I13" s="26">
        <f t="shared" si="0"/>
        <v>0</v>
      </c>
      <c r="J13" s="31">
        <f>B5*J14</f>
        <v>0</v>
      </c>
      <c r="K13" s="32">
        <v>44930</v>
      </c>
      <c r="L13" s="39"/>
      <c r="M13" s="20"/>
      <c r="N13">
        <v>110267</v>
      </c>
      <c r="O13" t="s">
        <v>34</v>
      </c>
      <c r="P13" t="str">
        <f>P12</f>
        <v>CPA Ajuste T/C Partner FacilitaPay 04-01-2023</v>
      </c>
      <c r="Q13" s="3"/>
      <c r="R13" s="10">
        <f>Q12</f>
        <v>0</v>
      </c>
      <c r="U13" s="56">
        <v>44937</v>
      </c>
      <c r="X13" s="57"/>
      <c r="Y13" s="3"/>
      <c r="Z13" s="58">
        <f t="shared" ref="Z13:Z33" si="7">+Z12+X13-Y13</f>
        <v>0</v>
      </c>
      <c r="AA13" s="57">
        <f t="shared" si="4"/>
        <v>0</v>
      </c>
    </row>
    <row r="14" spans="1:28" x14ac:dyDescent="0.25">
      <c r="A14" s="1">
        <v>44970</v>
      </c>
      <c r="B14" s="3"/>
      <c r="C14" s="2"/>
      <c r="D14" s="21"/>
      <c r="E14" s="3">
        <f t="shared" si="1"/>
        <v>0</v>
      </c>
      <c r="F14" s="3"/>
      <c r="G14" s="3"/>
      <c r="H14" s="26">
        <f t="shared" si="3"/>
        <v>0</v>
      </c>
      <c r="I14" s="26">
        <f t="shared" si="0"/>
        <v>0</v>
      </c>
      <c r="J14" s="34">
        <f>+D5-D4</f>
        <v>0</v>
      </c>
      <c r="K14" s="33"/>
      <c r="L14" s="21"/>
      <c r="M14" s="15">
        <v>44931</v>
      </c>
      <c r="N14" s="8">
        <v>110267</v>
      </c>
      <c r="O14" s="8" t="s">
        <v>34</v>
      </c>
      <c r="P14" s="8" t="str">
        <f>"CPA Movimientos Partner FacilitaPay PayIn "&amp;TEXT(M14,"dd-mm-yyy")</f>
        <v>CPA Movimientos Partner FacilitaPay PayIn 05-01-2023</v>
      </c>
      <c r="Q14" s="16">
        <f>ROUND(I6,0)</f>
        <v>0</v>
      </c>
      <c r="R14" s="17"/>
      <c r="U14" s="56">
        <v>44938</v>
      </c>
      <c r="X14" s="57"/>
      <c r="Y14" s="3"/>
      <c r="Z14" s="58">
        <f t="shared" si="7"/>
        <v>0</v>
      </c>
      <c r="AA14" s="57">
        <f t="shared" si="4"/>
        <v>0</v>
      </c>
    </row>
    <row r="15" spans="1:28" x14ac:dyDescent="0.25">
      <c r="A15" s="1">
        <v>44971</v>
      </c>
      <c r="B15" s="3"/>
      <c r="C15" s="2"/>
      <c r="D15" s="21"/>
      <c r="E15" s="3">
        <f t="shared" si="1"/>
        <v>0</v>
      </c>
      <c r="F15" s="3"/>
      <c r="G15" s="3"/>
      <c r="H15" s="26">
        <f t="shared" si="3"/>
        <v>0</v>
      </c>
      <c r="I15" s="26">
        <f t="shared" si="0"/>
        <v>0</v>
      </c>
      <c r="J15" s="35">
        <f>B6*J16</f>
        <v>0</v>
      </c>
      <c r="K15" s="38">
        <v>44931</v>
      </c>
      <c r="L15" s="39"/>
      <c r="M15" s="20"/>
      <c r="N15">
        <v>211101</v>
      </c>
      <c r="O15" t="s">
        <v>18</v>
      </c>
      <c r="P15" t="str">
        <f>P14</f>
        <v>CPA Movimientos Partner FacilitaPay PayIn 05-01-2023</v>
      </c>
      <c r="Q15" s="3"/>
      <c r="R15" s="10">
        <f>Q14</f>
        <v>0</v>
      </c>
      <c r="S15" s="3"/>
      <c r="U15" s="56">
        <v>44939</v>
      </c>
      <c r="X15" s="57"/>
      <c r="Z15" s="58">
        <f t="shared" si="7"/>
        <v>0</v>
      </c>
      <c r="AA15" s="57">
        <f t="shared" si="4"/>
        <v>0</v>
      </c>
    </row>
    <row r="16" spans="1:28" x14ac:dyDescent="0.25">
      <c r="A16" s="1">
        <v>44972</v>
      </c>
      <c r="B16" s="3"/>
      <c r="C16" s="2"/>
      <c r="D16" s="21"/>
      <c r="E16" s="3">
        <f t="shared" si="1"/>
        <v>0</v>
      </c>
      <c r="F16" s="3"/>
      <c r="G16" s="3"/>
      <c r="H16" s="26">
        <f t="shared" si="3"/>
        <v>0</v>
      </c>
      <c r="I16" s="26">
        <f t="shared" si="0"/>
        <v>0</v>
      </c>
      <c r="J16" s="34">
        <f>+D6-D5</f>
        <v>0</v>
      </c>
      <c r="K16" s="33"/>
      <c r="L16" s="39"/>
      <c r="M16" s="20"/>
      <c r="N16">
        <v>110274</v>
      </c>
      <c r="O16" t="s">
        <v>35</v>
      </c>
      <c r="P16" t="str">
        <f>"CPA Rescate Partner FacilitaPay "&amp;TEXT(M14,"dd-mm-yyy") &amp; " USD 152,61 - T/C  " &amp; D6</f>
        <v xml:space="preserve">CPA Rescate Partner FacilitaPay 05-01-2023 USD 152,61 - T/C  </v>
      </c>
      <c r="Q16" s="3">
        <f>ROUND(G6,0)</f>
        <v>0</v>
      </c>
      <c r="R16" s="10"/>
      <c r="U16" s="56">
        <v>44940</v>
      </c>
      <c r="X16" s="57"/>
      <c r="Z16" s="58">
        <f t="shared" si="7"/>
        <v>0</v>
      </c>
      <c r="AA16" s="57">
        <f t="shared" si="4"/>
        <v>0</v>
      </c>
    </row>
    <row r="17" spans="1:27" ht="15.75" customHeight="1" x14ac:dyDescent="0.25">
      <c r="A17" s="1">
        <v>44973</v>
      </c>
      <c r="B17" s="3"/>
      <c r="C17" s="2"/>
      <c r="D17" s="21"/>
      <c r="E17" s="3">
        <f t="shared" si="1"/>
        <v>0</v>
      </c>
      <c r="F17" s="3"/>
      <c r="G17" s="3"/>
      <c r="H17" s="26">
        <f t="shared" si="3"/>
        <v>0</v>
      </c>
      <c r="I17" s="26">
        <f t="shared" si="0"/>
        <v>0</v>
      </c>
      <c r="J17" s="35">
        <f>B7*J18</f>
        <v>0</v>
      </c>
      <c r="K17" s="32">
        <v>44932</v>
      </c>
      <c r="L17" s="39"/>
      <c r="M17" s="20"/>
      <c r="N17">
        <v>110267</v>
      </c>
      <c r="O17" t="s">
        <v>34</v>
      </c>
      <c r="P17" t="str">
        <f>P16</f>
        <v xml:space="preserve">CPA Rescate Partner FacilitaPay 05-01-2023 USD 152,61 - T/C  </v>
      </c>
      <c r="Q17" s="3"/>
      <c r="R17" s="10">
        <f>Q16</f>
        <v>0</v>
      </c>
      <c r="S17" s="3">
        <f>Q14-R17</f>
        <v>0</v>
      </c>
      <c r="U17" s="56">
        <v>44941</v>
      </c>
      <c r="X17" s="3"/>
      <c r="Y17" s="3"/>
      <c r="Z17" s="58">
        <f t="shared" si="7"/>
        <v>0</v>
      </c>
      <c r="AA17" s="57">
        <f t="shared" si="4"/>
        <v>0</v>
      </c>
    </row>
    <row r="18" spans="1:27" x14ac:dyDescent="0.25">
      <c r="A18" s="1">
        <v>44974</v>
      </c>
      <c r="B18" s="3"/>
      <c r="C18" s="2"/>
      <c r="D18" s="21"/>
      <c r="E18" s="3">
        <f t="shared" si="1"/>
        <v>0</v>
      </c>
      <c r="F18" s="3"/>
      <c r="G18" s="3"/>
      <c r="H18" s="26">
        <f t="shared" si="3"/>
        <v>0</v>
      </c>
      <c r="I18" s="26">
        <f t="shared" si="0"/>
        <v>0</v>
      </c>
      <c r="J18" s="34">
        <f>+D7-D6</f>
        <v>0</v>
      </c>
      <c r="K18" s="33"/>
      <c r="L18" s="39"/>
      <c r="M18" s="15">
        <v>44932</v>
      </c>
      <c r="N18" s="8">
        <v>211101</v>
      </c>
      <c r="O18" s="8" t="s">
        <v>18</v>
      </c>
      <c r="P18" s="8" t="str">
        <f>"CPA Movimientos Partner FacilitaPay PayIn "&amp;TEXT(M18,"dd-mm-yyy")</f>
        <v>CPA Movimientos Partner FacilitaPay PayIn 06-01-2023</v>
      </c>
      <c r="Q18" s="16">
        <f>ROUND(I7*-1,0)</f>
        <v>0</v>
      </c>
      <c r="R18" s="17"/>
      <c r="U18" s="56">
        <v>44942</v>
      </c>
      <c r="Y18" s="3"/>
      <c r="Z18" s="58">
        <f t="shared" si="7"/>
        <v>0</v>
      </c>
      <c r="AA18" s="57">
        <f t="shared" si="4"/>
        <v>0</v>
      </c>
    </row>
    <row r="19" spans="1:27" x14ac:dyDescent="0.25">
      <c r="A19" s="1">
        <v>44975</v>
      </c>
      <c r="B19" s="3"/>
      <c r="C19" s="2"/>
      <c r="D19" s="21"/>
      <c r="E19" s="3">
        <f t="shared" si="1"/>
        <v>0</v>
      </c>
      <c r="F19" s="3"/>
      <c r="G19" s="3"/>
      <c r="H19" s="26">
        <f t="shared" si="3"/>
        <v>0</v>
      </c>
      <c r="I19" s="26">
        <f t="shared" si="0"/>
        <v>0</v>
      </c>
      <c r="J19" s="35">
        <f>J20*B8</f>
        <v>0</v>
      </c>
      <c r="K19" s="32">
        <v>44933</v>
      </c>
      <c r="L19" s="39"/>
      <c r="M19" s="20"/>
      <c r="N19">
        <v>110267</v>
      </c>
      <c r="O19" t="s">
        <v>34</v>
      </c>
      <c r="P19" t="str">
        <f>P18</f>
        <v>CPA Movimientos Partner FacilitaPay PayIn 06-01-2023</v>
      </c>
      <c r="Q19" s="3"/>
      <c r="R19" s="10">
        <f>Q18</f>
        <v>0</v>
      </c>
      <c r="S19" s="3"/>
      <c r="U19" s="56">
        <v>44943</v>
      </c>
      <c r="X19" s="3"/>
      <c r="Z19" s="58">
        <f t="shared" si="7"/>
        <v>0</v>
      </c>
      <c r="AA19" s="57">
        <f t="shared" si="4"/>
        <v>0</v>
      </c>
    </row>
    <row r="20" spans="1:27" x14ac:dyDescent="0.25">
      <c r="A20" s="1">
        <v>44976</v>
      </c>
      <c r="B20" s="3"/>
      <c r="C20" s="2"/>
      <c r="D20" s="21"/>
      <c r="E20" s="3">
        <f t="shared" si="1"/>
        <v>0</v>
      </c>
      <c r="F20" s="3"/>
      <c r="G20" s="3"/>
      <c r="H20" s="26">
        <f t="shared" si="3"/>
        <v>0</v>
      </c>
      <c r="I20" s="26">
        <f t="shared" si="0"/>
        <v>0</v>
      </c>
      <c r="J20" s="11">
        <f>+D8-D7</f>
        <v>0</v>
      </c>
      <c r="K20" s="14"/>
      <c r="L20" s="39"/>
      <c r="M20" s="20"/>
      <c r="N20">
        <v>110267</v>
      </c>
      <c r="O20" t="s">
        <v>34</v>
      </c>
      <c r="P20" t="str">
        <f>"CPA Ajuste T/C Partner FacilitaPay "&amp;TEXT(M18,"dd-mm-yyy")</f>
        <v>CPA Ajuste T/C Partner FacilitaPay 06-01-2023</v>
      </c>
      <c r="Q20" s="3">
        <f>ROUND(J17,0)</f>
        <v>0</v>
      </c>
      <c r="R20" s="10"/>
      <c r="U20" s="56">
        <v>44944</v>
      </c>
      <c r="X20" s="3"/>
      <c r="Z20" s="58">
        <f t="shared" si="7"/>
        <v>0</v>
      </c>
      <c r="AA20" s="57">
        <f t="shared" si="4"/>
        <v>0</v>
      </c>
    </row>
    <row r="21" spans="1:27" x14ac:dyDescent="0.25">
      <c r="A21" s="1">
        <v>44977</v>
      </c>
      <c r="B21" s="3"/>
      <c r="C21" s="2"/>
      <c r="E21" s="3">
        <f t="shared" si="1"/>
        <v>0</v>
      </c>
      <c r="F21" s="3"/>
      <c r="G21" s="3"/>
      <c r="H21" s="26">
        <f t="shared" si="3"/>
        <v>0</v>
      </c>
      <c r="I21" s="26">
        <f t="shared" si="0"/>
        <v>0</v>
      </c>
      <c r="J21" s="35">
        <f>B11*J22</f>
        <v>0</v>
      </c>
      <c r="K21" s="38">
        <v>44936</v>
      </c>
      <c r="L21" s="39"/>
      <c r="M21" s="20"/>
      <c r="N21">
        <v>430105</v>
      </c>
      <c r="O21" t="s">
        <v>25</v>
      </c>
      <c r="P21" t="str">
        <f>P20</f>
        <v>CPA Ajuste T/C Partner FacilitaPay 06-01-2023</v>
      </c>
      <c r="Q21" s="3"/>
      <c r="R21" s="10">
        <f>Q20</f>
        <v>0</v>
      </c>
      <c r="U21" s="56">
        <v>44945</v>
      </c>
      <c r="Y21" s="3"/>
      <c r="Z21" s="58">
        <f t="shared" si="7"/>
        <v>0</v>
      </c>
      <c r="AA21" s="57">
        <f t="shared" si="4"/>
        <v>0</v>
      </c>
    </row>
    <row r="22" spans="1:27" x14ac:dyDescent="0.25">
      <c r="A22" s="1">
        <v>44978</v>
      </c>
      <c r="B22" s="3"/>
      <c r="C22" s="2"/>
      <c r="E22" s="3">
        <f t="shared" si="1"/>
        <v>0</v>
      </c>
      <c r="F22" s="3"/>
      <c r="G22" s="3"/>
      <c r="H22" s="26">
        <f t="shared" si="3"/>
        <v>0</v>
      </c>
      <c r="I22" s="26">
        <f t="shared" si="0"/>
        <v>0</v>
      </c>
      <c r="J22" s="11">
        <f>+D11-D10</f>
        <v>0</v>
      </c>
      <c r="K22" s="14"/>
      <c r="M22" s="15">
        <v>44933</v>
      </c>
      <c r="N22" s="8">
        <v>110267</v>
      </c>
      <c r="O22" s="8" t="s">
        <v>34</v>
      </c>
      <c r="P22" s="8" t="str">
        <f>"CPA Movimientos Partner FacilitaPay "&amp;TEXT(M22,"dd-mm-yyy")</f>
        <v>CPA Movimientos Partner FacilitaPay 07-01-2023</v>
      </c>
      <c r="Q22" s="16">
        <f>+I8</f>
        <v>0</v>
      </c>
      <c r="R22" s="17"/>
      <c r="U22" s="56">
        <v>44946</v>
      </c>
      <c r="X22" s="3"/>
      <c r="Z22" s="58">
        <f t="shared" si="7"/>
        <v>0</v>
      </c>
      <c r="AA22" s="57">
        <f t="shared" si="4"/>
        <v>0</v>
      </c>
    </row>
    <row r="23" spans="1:27" x14ac:dyDescent="0.25">
      <c r="A23" s="1">
        <v>44979</v>
      </c>
      <c r="B23" s="3"/>
      <c r="C23" s="2"/>
      <c r="E23" s="3">
        <f t="shared" si="1"/>
        <v>0</v>
      </c>
      <c r="F23" s="3"/>
      <c r="G23" s="3"/>
      <c r="H23" s="26">
        <f t="shared" si="3"/>
        <v>0</v>
      </c>
      <c r="I23" s="26">
        <f t="shared" si="0"/>
        <v>0</v>
      </c>
      <c r="J23" s="35">
        <f>J24*B12</f>
        <v>0</v>
      </c>
      <c r="K23" s="37">
        <v>44937</v>
      </c>
      <c r="L23" s="39"/>
      <c r="M23" s="20"/>
      <c r="N23">
        <v>211101</v>
      </c>
      <c r="O23" t="s">
        <v>18</v>
      </c>
      <c r="P23" t="str">
        <f>P22</f>
        <v>CPA Movimientos Partner FacilitaPay 07-01-2023</v>
      </c>
      <c r="Q23" s="3"/>
      <c r="R23" s="10">
        <f>Q22</f>
        <v>0</v>
      </c>
      <c r="S23" s="3"/>
      <c r="U23" s="56">
        <v>44947</v>
      </c>
      <c r="X23" s="3"/>
      <c r="Y23" s="3"/>
      <c r="Z23" s="58">
        <f t="shared" si="7"/>
        <v>0</v>
      </c>
      <c r="AA23" s="57">
        <f t="shared" si="4"/>
        <v>0</v>
      </c>
    </row>
    <row r="24" spans="1:27" x14ac:dyDescent="0.25">
      <c r="A24" s="1">
        <v>44980</v>
      </c>
      <c r="B24" s="3"/>
      <c r="C24" s="2"/>
      <c r="E24" s="3">
        <f t="shared" si="1"/>
        <v>0</v>
      </c>
      <c r="F24" s="3"/>
      <c r="G24" s="3"/>
      <c r="H24" s="26">
        <f t="shared" si="3"/>
        <v>0</v>
      </c>
      <c r="I24" s="26">
        <f t="shared" si="0"/>
        <v>0</v>
      </c>
      <c r="J24" s="11">
        <f>+D12-D11</f>
        <v>0</v>
      </c>
      <c r="K24" s="14"/>
      <c r="M24" s="20"/>
      <c r="N24">
        <v>110267</v>
      </c>
      <c r="O24" t="s">
        <v>34</v>
      </c>
      <c r="P24" t="str">
        <f>"CPA Ajuste T/C Partner FacilitaPay "&amp;TEXT(M22,"dd-mm-yyy")</f>
        <v>CPA Ajuste T/C Partner FacilitaPay 07-01-2023</v>
      </c>
      <c r="Q24" s="3">
        <f>ROUND(J19,0)</f>
        <v>0</v>
      </c>
      <c r="R24" s="10"/>
      <c r="U24" s="56">
        <v>44948</v>
      </c>
      <c r="X24" s="3"/>
      <c r="Y24" s="3"/>
      <c r="Z24" s="58">
        <f t="shared" si="7"/>
        <v>0</v>
      </c>
      <c r="AA24" s="57">
        <f t="shared" si="4"/>
        <v>0</v>
      </c>
    </row>
    <row r="25" spans="1:27" x14ac:dyDescent="0.25">
      <c r="A25" s="1">
        <v>44981</v>
      </c>
      <c r="B25" s="3"/>
      <c r="C25" s="2"/>
      <c r="E25" s="3">
        <f t="shared" si="1"/>
        <v>0</v>
      </c>
      <c r="F25" s="3"/>
      <c r="G25" s="3"/>
      <c r="H25" s="26">
        <f t="shared" si="3"/>
        <v>0</v>
      </c>
      <c r="I25" s="26">
        <f t="shared" si="0"/>
        <v>0</v>
      </c>
      <c r="J25" s="35">
        <f>B13*J26</f>
        <v>0</v>
      </c>
      <c r="K25" s="32">
        <v>44938</v>
      </c>
      <c r="L25" s="39"/>
      <c r="M25" s="20"/>
      <c r="N25">
        <v>430105</v>
      </c>
      <c r="O25" t="s">
        <v>25</v>
      </c>
      <c r="P25" t="str">
        <f>P24</f>
        <v>CPA Ajuste T/C Partner FacilitaPay 07-01-2023</v>
      </c>
      <c r="Q25" s="3"/>
      <c r="R25" s="10">
        <f>Q24</f>
        <v>0</v>
      </c>
      <c r="U25" s="56">
        <v>44949</v>
      </c>
      <c r="X25" s="3"/>
      <c r="Y25" s="3"/>
      <c r="Z25" s="58">
        <f t="shared" si="7"/>
        <v>0</v>
      </c>
      <c r="AA25" s="57">
        <f t="shared" si="4"/>
        <v>0</v>
      </c>
    </row>
    <row r="26" spans="1:27" x14ac:dyDescent="0.25">
      <c r="A26" s="1">
        <v>44982</v>
      </c>
      <c r="B26" s="3"/>
      <c r="C26" s="59"/>
      <c r="E26" s="3">
        <f t="shared" si="1"/>
        <v>0</v>
      </c>
      <c r="F26" s="3"/>
      <c r="G26" s="3"/>
      <c r="H26" s="26">
        <f t="shared" si="3"/>
        <v>0</v>
      </c>
      <c r="I26" s="26">
        <f t="shared" si="0"/>
        <v>0</v>
      </c>
      <c r="J26" s="11">
        <f>+D13-D12</f>
        <v>0</v>
      </c>
      <c r="K26" s="14"/>
      <c r="M26" s="15">
        <v>44934</v>
      </c>
      <c r="N26" s="8">
        <v>110267</v>
      </c>
      <c r="O26" s="8" t="s">
        <v>34</v>
      </c>
      <c r="P26" s="8" t="str">
        <f>"CPA Movimientos Partner FacilitaPay "&amp;TEXT(M26,"dd-mm-yyy")</f>
        <v>CPA Movimientos Partner FacilitaPay 08-01-2023</v>
      </c>
      <c r="Q26" s="16">
        <f>+I9</f>
        <v>0</v>
      </c>
      <c r="R26" s="17"/>
      <c r="U26" s="56">
        <v>44950</v>
      </c>
      <c r="X26" s="3"/>
      <c r="Y26" s="3"/>
      <c r="Z26" s="58">
        <f t="shared" si="7"/>
        <v>0</v>
      </c>
      <c r="AA26" s="57">
        <f t="shared" si="4"/>
        <v>0</v>
      </c>
    </row>
    <row r="27" spans="1:27" x14ac:dyDescent="0.25">
      <c r="A27" s="1">
        <v>44983</v>
      </c>
      <c r="B27" s="3"/>
      <c r="C27" s="2"/>
      <c r="E27" s="3">
        <f t="shared" si="1"/>
        <v>0</v>
      </c>
      <c r="F27" s="3"/>
      <c r="G27" s="3"/>
      <c r="H27" s="26">
        <f t="shared" si="3"/>
        <v>0</v>
      </c>
      <c r="I27" s="26">
        <f t="shared" si="0"/>
        <v>0</v>
      </c>
      <c r="J27" s="35">
        <f>B14*J28</f>
        <v>0</v>
      </c>
      <c r="K27" s="32">
        <v>44939</v>
      </c>
      <c r="M27" s="11"/>
      <c r="N27" s="12">
        <v>211101</v>
      </c>
      <c r="O27" s="12" t="s">
        <v>18</v>
      </c>
      <c r="P27" t="str">
        <f>P26</f>
        <v>CPA Movimientos Partner FacilitaPay 08-01-2023</v>
      </c>
      <c r="Q27" s="13"/>
      <c r="R27" s="18">
        <f>Q26</f>
        <v>0</v>
      </c>
      <c r="S27" s="3"/>
      <c r="T27" s="2"/>
      <c r="U27" s="56">
        <v>44951</v>
      </c>
      <c r="X27" s="3"/>
      <c r="Y27" s="3">
        <f>+I26*-1</f>
        <v>0</v>
      </c>
      <c r="Z27" s="58">
        <f t="shared" si="7"/>
        <v>0</v>
      </c>
      <c r="AA27" s="57">
        <f t="shared" si="4"/>
        <v>0</v>
      </c>
    </row>
    <row r="28" spans="1:27" x14ac:dyDescent="0.25">
      <c r="A28" s="1">
        <v>44984</v>
      </c>
      <c r="B28" s="3"/>
      <c r="C28" s="2"/>
      <c r="E28" s="3">
        <f t="shared" si="1"/>
        <v>0</v>
      </c>
      <c r="F28" s="3"/>
      <c r="G28" s="3"/>
      <c r="H28" s="26">
        <f t="shared" si="3"/>
        <v>0</v>
      </c>
      <c r="I28" s="26">
        <f t="shared" si="0"/>
        <v>0</v>
      </c>
      <c r="J28" s="11">
        <f>+D14-D13</f>
        <v>0</v>
      </c>
      <c r="K28" s="14"/>
      <c r="M28" s="15">
        <v>44935</v>
      </c>
      <c r="N28" s="8">
        <v>110267</v>
      </c>
      <c r="O28" s="8" t="s">
        <v>34</v>
      </c>
      <c r="P28" s="8" t="str">
        <f>"CPA Movimientos Partner FacilitaPay "&amp;TEXT(M28,"dd-mm-yyy")</f>
        <v>CPA Movimientos Partner FacilitaPay 09-01-2023</v>
      </c>
      <c r="Q28" s="16">
        <f>+I10</f>
        <v>0</v>
      </c>
      <c r="R28" s="17"/>
      <c r="T28" s="2"/>
      <c r="U28" s="56">
        <v>44952</v>
      </c>
      <c r="X28" s="3"/>
      <c r="Y28" s="3"/>
      <c r="Z28" s="58">
        <f t="shared" si="7"/>
        <v>0</v>
      </c>
      <c r="AA28" s="57">
        <f t="shared" si="4"/>
        <v>0</v>
      </c>
    </row>
    <row r="29" spans="1:27" x14ac:dyDescent="0.25">
      <c r="A29" s="1">
        <v>44985</v>
      </c>
      <c r="B29" s="3"/>
      <c r="C29" s="2"/>
      <c r="E29" s="3">
        <f t="shared" si="1"/>
        <v>0</v>
      </c>
      <c r="F29" s="3"/>
      <c r="G29" s="3"/>
      <c r="H29" s="26">
        <f t="shared" si="3"/>
        <v>0</v>
      </c>
      <c r="I29" s="26">
        <f t="shared" si="0"/>
        <v>0</v>
      </c>
      <c r="J29" s="35">
        <f>B15*J30</f>
        <v>0</v>
      </c>
      <c r="K29" s="32">
        <v>44940</v>
      </c>
      <c r="M29" s="11"/>
      <c r="N29" s="12">
        <v>211101</v>
      </c>
      <c r="O29" s="12" t="s">
        <v>18</v>
      </c>
      <c r="P29" t="str">
        <f>P28</f>
        <v>CPA Movimientos Partner FacilitaPay 09-01-2023</v>
      </c>
      <c r="Q29" s="13"/>
      <c r="R29" s="18">
        <f>Q28</f>
        <v>0</v>
      </c>
      <c r="T29" s="2"/>
      <c r="U29" s="56">
        <v>44953</v>
      </c>
      <c r="X29" s="3"/>
      <c r="Y29" s="3"/>
      <c r="Z29" s="58">
        <f t="shared" si="7"/>
        <v>0</v>
      </c>
      <c r="AA29" s="57">
        <f t="shared" si="4"/>
        <v>0</v>
      </c>
    </row>
    <row r="30" spans="1:27" x14ac:dyDescent="0.25">
      <c r="A30" s="1" t="s">
        <v>42</v>
      </c>
      <c r="B30" s="3"/>
      <c r="C30" s="2"/>
      <c r="E30" s="3">
        <f t="shared" si="1"/>
        <v>0</v>
      </c>
      <c r="F30" s="3"/>
      <c r="G30" s="3"/>
      <c r="H30" s="26">
        <f t="shared" si="3"/>
        <v>0</v>
      </c>
      <c r="I30" s="26">
        <f t="shared" si="0"/>
        <v>0</v>
      </c>
      <c r="J30" s="11">
        <f>+D15-D14</f>
        <v>0</v>
      </c>
      <c r="K30" s="14"/>
      <c r="L30" s="43"/>
      <c r="M30" s="15">
        <v>44936</v>
      </c>
      <c r="N30" s="8">
        <v>110267</v>
      </c>
      <c r="O30" s="8" t="s">
        <v>34</v>
      </c>
      <c r="P30" s="8" t="str">
        <f>"CPA Movimientos Partner FacilitaPay "&amp;TEXT(M30,"dd-mm-yyy")</f>
        <v>CPA Movimientos Partner FacilitaPay 10-01-2023</v>
      </c>
      <c r="Q30" s="16">
        <f>+R31</f>
        <v>0</v>
      </c>
      <c r="R30" s="17"/>
      <c r="U30" s="56">
        <v>44954</v>
      </c>
      <c r="X30" s="3"/>
      <c r="Y30" s="3"/>
      <c r="Z30" s="58">
        <f t="shared" si="7"/>
        <v>0</v>
      </c>
      <c r="AA30" s="57">
        <f t="shared" si="4"/>
        <v>0</v>
      </c>
    </row>
    <row r="31" spans="1:27" x14ac:dyDescent="0.25">
      <c r="A31" s="1" t="s">
        <v>43</v>
      </c>
      <c r="C31" s="2"/>
      <c r="E31" s="3">
        <f t="shared" si="1"/>
        <v>0</v>
      </c>
      <c r="F31" s="3"/>
      <c r="G31" s="3"/>
      <c r="H31" s="26">
        <f t="shared" si="3"/>
        <v>0</v>
      </c>
      <c r="I31" s="26">
        <f t="shared" si="0"/>
        <v>0</v>
      </c>
      <c r="J31" s="35">
        <f>B18*J32</f>
        <v>0</v>
      </c>
      <c r="K31" s="36">
        <v>44943</v>
      </c>
      <c r="M31" s="9"/>
      <c r="N31">
        <v>211101</v>
      </c>
      <c r="O31" t="s">
        <v>18</v>
      </c>
      <c r="P31" t="str">
        <f>P30</f>
        <v>CPA Movimientos Partner FacilitaPay 10-01-2023</v>
      </c>
      <c r="Q31" s="3"/>
      <c r="R31" s="10">
        <f>I11</f>
        <v>0</v>
      </c>
      <c r="S31" s="3"/>
      <c r="U31" s="56">
        <v>44955</v>
      </c>
      <c r="X31" s="3"/>
      <c r="Y31" s="3"/>
      <c r="Z31" s="58">
        <f t="shared" si="7"/>
        <v>0</v>
      </c>
      <c r="AA31" s="57">
        <f t="shared" si="4"/>
        <v>0</v>
      </c>
    </row>
    <row r="32" spans="1:27" x14ac:dyDescent="0.25">
      <c r="A32" s="1" t="s">
        <v>44</v>
      </c>
      <c r="C32" s="2"/>
      <c r="E32" s="3">
        <f t="shared" si="1"/>
        <v>0</v>
      </c>
      <c r="F32" s="3"/>
      <c r="G32" s="3"/>
      <c r="H32" s="26">
        <f t="shared" si="3"/>
        <v>0</v>
      </c>
      <c r="I32" s="26">
        <f t="shared" si="0"/>
        <v>0</v>
      </c>
      <c r="J32" s="34">
        <f>+D18-D17</f>
        <v>0</v>
      </c>
      <c r="K32" s="14"/>
      <c r="M32" s="9"/>
      <c r="N32">
        <v>430105</v>
      </c>
      <c r="O32" t="s">
        <v>25</v>
      </c>
      <c r="P32" t="str">
        <f>"CPA Ajuste T/C Partner FacilitaPay "&amp;TEXT(M30,"dd-mm-yyy")</f>
        <v>CPA Ajuste T/C Partner FacilitaPay 10-01-2023</v>
      </c>
      <c r="Q32" s="3">
        <f>ROUND(J21*-1,0)</f>
        <v>0</v>
      </c>
      <c r="R32" s="10"/>
      <c r="U32" s="56">
        <v>44956</v>
      </c>
      <c r="X32" s="3"/>
      <c r="Y32" s="3"/>
      <c r="Z32" s="58">
        <f t="shared" si="7"/>
        <v>0</v>
      </c>
      <c r="AA32" s="57">
        <f t="shared" si="4"/>
        <v>0</v>
      </c>
    </row>
    <row r="33" spans="10:27" x14ac:dyDescent="0.25">
      <c r="J33" s="35">
        <f>B19*J34</f>
        <v>0</v>
      </c>
      <c r="K33" s="36">
        <v>44944</v>
      </c>
      <c r="M33" s="9"/>
      <c r="N33">
        <v>110267</v>
      </c>
      <c r="O33" t="s">
        <v>34</v>
      </c>
      <c r="P33" t="str">
        <f>P32</f>
        <v>CPA Ajuste T/C Partner FacilitaPay 10-01-2023</v>
      </c>
      <c r="Q33" s="3"/>
      <c r="R33" s="10">
        <f>J21*-1</f>
        <v>0</v>
      </c>
      <c r="U33" s="56">
        <v>44957</v>
      </c>
      <c r="X33" s="3"/>
      <c r="Y33" s="3"/>
      <c r="Z33" s="58">
        <f t="shared" si="7"/>
        <v>0</v>
      </c>
      <c r="AA33" s="57">
        <f t="shared" si="4"/>
        <v>0</v>
      </c>
    </row>
    <row r="34" spans="10:27" x14ac:dyDescent="0.25">
      <c r="J34" s="34">
        <f>+D19-D18</f>
        <v>0</v>
      </c>
      <c r="K34" s="14"/>
      <c r="M34" s="15">
        <v>44937</v>
      </c>
      <c r="N34" s="8">
        <v>211101</v>
      </c>
      <c r="O34" s="8" t="s">
        <v>18</v>
      </c>
      <c r="P34" s="8" t="str">
        <f>"CPA Movimientos Partner FacilitaPay "&amp;TEXT(M34,"dd-mm-yyy")</f>
        <v>CPA Movimientos Partner FacilitaPay 11-01-2023</v>
      </c>
      <c r="Q34" s="16">
        <f>ROUND(I12*-1,0)</f>
        <v>0</v>
      </c>
      <c r="R34" s="17"/>
      <c r="T34" s="3"/>
      <c r="U34" s="54" t="s">
        <v>15</v>
      </c>
      <c r="V34" s="54">
        <v>110267</v>
      </c>
      <c r="W34" s="54" t="s">
        <v>16</v>
      </c>
      <c r="X34" s="55">
        <f>SUM(X3:X33)</f>
        <v>0</v>
      </c>
      <c r="Y34" s="55">
        <f>SUM(Y3:Y33)</f>
        <v>0</v>
      </c>
      <c r="Z34" s="55">
        <f>Z2+X34-Y34</f>
        <v>0</v>
      </c>
    </row>
    <row r="35" spans="10:27" x14ac:dyDescent="0.25">
      <c r="J35" s="35">
        <f>B20*J36</f>
        <v>0</v>
      </c>
      <c r="K35" s="36">
        <v>44945</v>
      </c>
      <c r="M35" s="9"/>
      <c r="N35">
        <v>110267</v>
      </c>
      <c r="O35" t="s">
        <v>34</v>
      </c>
      <c r="P35" t="str">
        <f>P34</f>
        <v>CPA Movimientos Partner FacilitaPay 11-01-2023</v>
      </c>
      <c r="Q35" s="3"/>
      <c r="R35" s="10">
        <f>Q34</f>
        <v>0</v>
      </c>
      <c r="S35" s="3">
        <f>+R35-Q36</f>
        <v>0</v>
      </c>
      <c r="U35" s="54"/>
      <c r="V35" s="54"/>
      <c r="W35" s="54" t="s">
        <v>17</v>
      </c>
      <c r="X35" s="55"/>
      <c r="Y35" s="55"/>
      <c r="Z35" s="55">
        <f>+Z2+X34-Y34</f>
        <v>0</v>
      </c>
    </row>
    <row r="36" spans="10:27" x14ac:dyDescent="0.25">
      <c r="J36" s="34">
        <f>+D20-D19</f>
        <v>0</v>
      </c>
      <c r="K36" s="14"/>
      <c r="M36" s="9"/>
      <c r="N36">
        <v>110267</v>
      </c>
      <c r="O36" t="s">
        <v>34</v>
      </c>
      <c r="P36" t="str">
        <f>"CPA Ajuste T/C Partner FacilitaPay "&amp;TEXT(M34,"dd-mm-yyy")</f>
        <v>CPA Ajuste T/C Partner FacilitaPay 11-01-2023</v>
      </c>
      <c r="Q36" s="3">
        <f>ROUND(J23,0)</f>
        <v>0</v>
      </c>
      <c r="R36" s="10"/>
    </row>
    <row r="37" spans="10:27" x14ac:dyDescent="0.25">
      <c r="J37" s="35">
        <f>B21*J38</f>
        <v>0</v>
      </c>
      <c r="K37" s="36">
        <v>44946</v>
      </c>
      <c r="M37" s="9"/>
      <c r="N37">
        <v>430105</v>
      </c>
      <c r="O37" t="s">
        <v>25</v>
      </c>
      <c r="P37" t="str">
        <f>P36</f>
        <v>CPA Ajuste T/C Partner FacilitaPay 11-01-2023</v>
      </c>
      <c r="Q37" s="3"/>
      <c r="R37" s="10">
        <f>Q36</f>
        <v>0</v>
      </c>
    </row>
    <row r="38" spans="10:27" x14ac:dyDescent="0.25">
      <c r="J38" s="34">
        <f>+D21-D20</f>
        <v>0</v>
      </c>
      <c r="K38" s="14"/>
      <c r="M38" s="15">
        <v>44938</v>
      </c>
      <c r="N38" s="8">
        <v>110267</v>
      </c>
      <c r="O38" s="8" t="s">
        <v>34</v>
      </c>
      <c r="P38" s="8" t="str">
        <f>"CPA Movimientos Partner FacilitaPay "&amp;TEXT(M38,"dd-mm-yyy")</f>
        <v>CPA Movimientos Partner FacilitaPay 12-01-2023</v>
      </c>
      <c r="Q38" s="16">
        <f>+I13</f>
        <v>0</v>
      </c>
      <c r="R38" s="17"/>
    </row>
    <row r="39" spans="10:27" x14ac:dyDescent="0.25">
      <c r="J39" s="35">
        <f>B22*J40</f>
        <v>0</v>
      </c>
      <c r="K39" s="36">
        <v>44947</v>
      </c>
      <c r="M39" s="9"/>
      <c r="N39">
        <v>211101</v>
      </c>
      <c r="O39" t="s">
        <v>18</v>
      </c>
      <c r="P39" t="str">
        <f>P38</f>
        <v>CPA Movimientos Partner FacilitaPay 12-01-2023</v>
      </c>
      <c r="Q39" s="3"/>
      <c r="R39" s="10">
        <f>Q38</f>
        <v>0</v>
      </c>
      <c r="S39" s="3"/>
      <c r="T39" s="3"/>
    </row>
    <row r="40" spans="10:27" x14ac:dyDescent="0.25">
      <c r="J40" s="11">
        <f>+D22-D21</f>
        <v>0</v>
      </c>
      <c r="K40" s="14"/>
      <c r="M40" s="9"/>
      <c r="N40">
        <v>430105</v>
      </c>
      <c r="O40" t="s">
        <v>25</v>
      </c>
      <c r="P40" t="str">
        <f>"CPA Ajuste T/C Partner FacilitaPay "&amp;TEXT(M38,"dd-mm-yyy")</f>
        <v>CPA Ajuste T/C Partner FacilitaPay 12-01-2023</v>
      </c>
      <c r="Q40" s="3">
        <f>ROUND(J25*-1,0)</f>
        <v>0</v>
      </c>
      <c r="R40" s="10"/>
    </row>
    <row r="41" spans="10:27" x14ac:dyDescent="0.25">
      <c r="J41" s="35">
        <f>B25*J42</f>
        <v>0</v>
      </c>
      <c r="K41" s="36">
        <v>44950</v>
      </c>
      <c r="M41" s="9"/>
      <c r="N41">
        <v>110267</v>
      </c>
      <c r="O41" t="s">
        <v>34</v>
      </c>
      <c r="P41" t="str">
        <f>P40</f>
        <v>CPA Ajuste T/C Partner FacilitaPay 12-01-2023</v>
      </c>
      <c r="Q41" s="3"/>
      <c r="R41" s="10">
        <f>+J25*-1</f>
        <v>0</v>
      </c>
    </row>
    <row r="42" spans="10:27" x14ac:dyDescent="0.25">
      <c r="J42" s="11">
        <f>+D25-D24</f>
        <v>0</v>
      </c>
      <c r="K42" s="14"/>
      <c r="M42" s="15">
        <v>44939</v>
      </c>
      <c r="N42" s="8">
        <v>110267</v>
      </c>
      <c r="O42" s="8" t="s">
        <v>34</v>
      </c>
      <c r="P42" s="8" t="str">
        <f>"CPA Movimientos Partner FacilitaPay "&amp;TEXT(M42,"dd-mm-yyy")</f>
        <v>CPA Movimientos Partner FacilitaPay 13-01-2023</v>
      </c>
      <c r="Q42" s="16">
        <f>+I14</f>
        <v>0</v>
      </c>
      <c r="R42" s="17"/>
    </row>
    <row r="43" spans="10:27" x14ac:dyDescent="0.25">
      <c r="J43" s="35">
        <f>B26*J44</f>
        <v>0</v>
      </c>
      <c r="K43" s="36">
        <v>44951</v>
      </c>
      <c r="M43" s="9"/>
      <c r="N43">
        <v>211101</v>
      </c>
      <c r="O43" t="s">
        <v>18</v>
      </c>
      <c r="P43" t="str">
        <f>P42</f>
        <v>CPA Movimientos Partner FacilitaPay 13-01-2023</v>
      </c>
      <c r="Q43" s="3"/>
      <c r="R43" s="10">
        <f>Q42</f>
        <v>0</v>
      </c>
      <c r="S43" s="3"/>
    </row>
    <row r="44" spans="10:27" x14ac:dyDescent="0.25">
      <c r="J44" s="11">
        <f>+D26-D25</f>
        <v>0</v>
      </c>
      <c r="K44" s="14"/>
      <c r="M44" s="9"/>
      <c r="N44">
        <v>110267</v>
      </c>
      <c r="O44" t="s">
        <v>34</v>
      </c>
      <c r="P44" t="str">
        <f>"CPA Ajuste T/C Partner FacilitaPay "&amp;TEXT(M42,"dd-mm-yyy")</f>
        <v>CPA Ajuste T/C Partner FacilitaPay 13-01-2023</v>
      </c>
      <c r="Q44" s="3">
        <f>ROUND(J27,0)</f>
        <v>0</v>
      </c>
      <c r="R44" s="10"/>
    </row>
    <row r="45" spans="10:27" x14ac:dyDescent="0.25">
      <c r="J45" s="35">
        <f>B27*J46</f>
        <v>0</v>
      </c>
      <c r="K45" s="36">
        <v>44952</v>
      </c>
      <c r="M45" s="9"/>
      <c r="N45">
        <v>430105</v>
      </c>
      <c r="O45" t="s">
        <v>25</v>
      </c>
      <c r="P45" t="str">
        <f>P44</f>
        <v>CPA Ajuste T/C Partner FacilitaPay 13-01-2023</v>
      </c>
      <c r="Q45" s="3"/>
      <c r="R45" s="10">
        <f>Q44</f>
        <v>0</v>
      </c>
    </row>
    <row r="46" spans="10:27" x14ac:dyDescent="0.25">
      <c r="J46" s="11">
        <f>+D27-D26</f>
        <v>0</v>
      </c>
      <c r="K46" s="14"/>
      <c r="M46" s="15">
        <v>44940</v>
      </c>
      <c r="N46" s="8">
        <v>110267</v>
      </c>
      <c r="O46" s="8" t="s">
        <v>34</v>
      </c>
      <c r="P46" s="8" t="str">
        <f>"CPA Movimientos Partner FacilitaPay "&amp;TEXT(M46,"dd-mm-yyy")</f>
        <v>CPA Movimientos Partner FacilitaPay 14-01-2023</v>
      </c>
      <c r="Q46" s="16">
        <f>+I15</f>
        <v>0</v>
      </c>
      <c r="R46" s="17"/>
    </row>
    <row r="47" spans="10:27" x14ac:dyDescent="0.25">
      <c r="J47" s="35">
        <f>B28*J48</f>
        <v>0</v>
      </c>
      <c r="K47" s="36">
        <v>44953</v>
      </c>
      <c r="M47" s="9"/>
      <c r="N47">
        <v>211101</v>
      </c>
      <c r="O47" t="s">
        <v>18</v>
      </c>
      <c r="P47" t="str">
        <f>P46</f>
        <v>CPA Movimientos Partner FacilitaPay 14-01-2023</v>
      </c>
      <c r="Q47" s="3"/>
      <c r="R47" s="10">
        <f>Q46</f>
        <v>0</v>
      </c>
      <c r="S47" s="3"/>
    </row>
    <row r="48" spans="10:27" x14ac:dyDescent="0.25">
      <c r="J48" s="11">
        <f>+D28-D27</f>
        <v>0</v>
      </c>
      <c r="K48" s="14"/>
      <c r="M48" s="9"/>
      <c r="N48">
        <v>110267</v>
      </c>
      <c r="O48" t="s">
        <v>34</v>
      </c>
      <c r="P48" t="str">
        <f>"CPA Ajuste T/C Partner FacilitaPay "&amp;TEXT(M46,"dd-mm-yyy")</f>
        <v>CPA Ajuste T/C Partner FacilitaPay 14-01-2023</v>
      </c>
      <c r="Q48" s="3">
        <f>ROUND(J29,0)</f>
        <v>0</v>
      </c>
      <c r="R48" s="10"/>
    </row>
    <row r="49" spans="10:19" x14ac:dyDescent="0.25">
      <c r="J49" s="35">
        <f>B29*J50</f>
        <v>0</v>
      </c>
      <c r="K49" s="36">
        <v>44954</v>
      </c>
      <c r="M49" s="9"/>
      <c r="N49">
        <v>430105</v>
      </c>
      <c r="O49" t="s">
        <v>25</v>
      </c>
      <c r="P49" t="str">
        <f>P48</f>
        <v>CPA Ajuste T/C Partner FacilitaPay 14-01-2023</v>
      </c>
      <c r="Q49" s="3"/>
      <c r="R49" s="10">
        <f>Q48</f>
        <v>0</v>
      </c>
    </row>
    <row r="50" spans="10:19" x14ac:dyDescent="0.25">
      <c r="J50" s="11">
        <f>+D29-D28</f>
        <v>0</v>
      </c>
      <c r="K50" s="14"/>
      <c r="M50" s="15">
        <v>44941</v>
      </c>
      <c r="N50" s="8">
        <v>110267</v>
      </c>
      <c r="O50" s="8" t="s">
        <v>34</v>
      </c>
      <c r="P50" s="8" t="str">
        <f>"CPA Movimientos Partner FacilitaPay "&amp;TEXT(M50,"dd-mm-yyy")</f>
        <v>CPA Movimientos Partner FacilitaPay 15-01-2023</v>
      </c>
      <c r="Q50" s="16">
        <f>+I16</f>
        <v>0</v>
      </c>
      <c r="R50" s="17"/>
    </row>
    <row r="51" spans="10:19" x14ac:dyDescent="0.25">
      <c r="J51" s="35">
        <f>B32*J52</f>
        <v>0</v>
      </c>
      <c r="K51" s="36">
        <v>44957</v>
      </c>
      <c r="M51" s="11"/>
      <c r="N51" s="12">
        <v>211101</v>
      </c>
      <c r="O51" s="12" t="s">
        <v>18</v>
      </c>
      <c r="P51" s="12" t="str">
        <f>P50</f>
        <v>CPA Movimientos Partner FacilitaPay 15-01-2023</v>
      </c>
      <c r="Q51" s="13"/>
      <c r="R51" s="18">
        <f>Q50</f>
        <v>0</v>
      </c>
      <c r="S51" s="3"/>
    </row>
    <row r="52" spans="10:19" x14ac:dyDescent="0.25">
      <c r="J52" s="11">
        <f>+D32-D31</f>
        <v>0</v>
      </c>
      <c r="K52" s="14"/>
      <c r="M52" s="15">
        <v>44942</v>
      </c>
      <c r="N52" s="8">
        <v>211101</v>
      </c>
      <c r="O52" s="8" t="s">
        <v>18</v>
      </c>
      <c r="P52" s="8" t="str">
        <f>"CPA Movimientos Partner FacilitaPay "&amp;TEXT(M52,"dd-mm-yyy")</f>
        <v>CPA Movimientos Partner FacilitaPay 16-01-2023</v>
      </c>
      <c r="Q52" s="16">
        <f>ROUND(I17*-1,0)</f>
        <v>0</v>
      </c>
      <c r="R52" s="17"/>
    </row>
    <row r="53" spans="10:19" x14ac:dyDescent="0.25">
      <c r="M53" s="11"/>
      <c r="N53" s="12">
        <v>110267</v>
      </c>
      <c r="O53" s="12" t="s">
        <v>34</v>
      </c>
      <c r="P53" s="12" t="str">
        <f>P52</f>
        <v>CPA Movimientos Partner FacilitaPay 16-01-2023</v>
      </c>
      <c r="Q53" s="13"/>
      <c r="R53" s="18">
        <f>Q52</f>
        <v>0</v>
      </c>
    </row>
    <row r="54" spans="10:19" x14ac:dyDescent="0.25">
      <c r="M54" s="15">
        <v>44943</v>
      </c>
      <c r="N54" s="8">
        <v>110267</v>
      </c>
      <c r="O54" s="8" t="s">
        <v>34</v>
      </c>
      <c r="P54" s="8" t="str">
        <f>"CPA Movimientos Partner FacilitaPay "&amp;TEXT(M54,"dd-mm-yyy")</f>
        <v>CPA Movimientos Partner FacilitaPay 17-01-2023</v>
      </c>
      <c r="Q54" s="16">
        <f>ROUND(I18,0)</f>
        <v>0</v>
      </c>
      <c r="R54" s="17"/>
    </row>
    <row r="55" spans="10:19" x14ac:dyDescent="0.25">
      <c r="M55" s="9"/>
      <c r="N55">
        <v>211101</v>
      </c>
      <c r="O55" t="s">
        <v>18</v>
      </c>
      <c r="P55" t="str">
        <f>P54</f>
        <v>CPA Movimientos Partner FacilitaPay 17-01-2023</v>
      </c>
      <c r="Q55" s="3"/>
      <c r="R55" s="10">
        <f>Q54</f>
        <v>0</v>
      </c>
      <c r="S55" s="3">
        <f>+Q54-R57</f>
        <v>0</v>
      </c>
    </row>
    <row r="56" spans="10:19" x14ac:dyDescent="0.25">
      <c r="M56" s="9"/>
      <c r="N56">
        <v>430105</v>
      </c>
      <c r="O56" t="s">
        <v>25</v>
      </c>
      <c r="P56" t="str">
        <f>"CPA Ajuste T/C Partner FacilitaPay "&amp;TEXT(M54,"dd-mm-yyy")</f>
        <v>CPA Ajuste T/C Partner FacilitaPay 17-01-2023</v>
      </c>
      <c r="Q56" s="3">
        <f>ROUND(J31*-1,0)</f>
        <v>0</v>
      </c>
      <c r="R56" s="10"/>
    </row>
    <row r="57" spans="10:19" x14ac:dyDescent="0.25">
      <c r="M57" s="41"/>
      <c r="N57" s="12">
        <v>110267</v>
      </c>
      <c r="O57" s="12" t="s">
        <v>34</v>
      </c>
      <c r="P57" s="12" t="str">
        <f>P56</f>
        <v>CPA Ajuste T/C Partner FacilitaPay 17-01-2023</v>
      </c>
      <c r="Q57" s="13"/>
      <c r="R57" s="18">
        <f>Q56</f>
        <v>0</v>
      </c>
    </row>
    <row r="58" spans="10:19" x14ac:dyDescent="0.25">
      <c r="M58" s="15">
        <v>44944</v>
      </c>
      <c r="N58" s="8">
        <v>211101</v>
      </c>
      <c r="O58" s="8" t="s">
        <v>18</v>
      </c>
      <c r="P58" s="8" t="str">
        <f>"CPA Movimientos Partner FacilitaPay "&amp;TEXT(M58,"dd-mm-yyy")</f>
        <v>CPA Movimientos Partner FacilitaPay 18-01-2023</v>
      </c>
      <c r="Q58" s="16"/>
      <c r="R58" s="17"/>
    </row>
    <row r="59" spans="10:19" x14ac:dyDescent="0.25">
      <c r="M59" s="9"/>
      <c r="N59">
        <v>110267</v>
      </c>
      <c r="O59" t="s">
        <v>34</v>
      </c>
      <c r="P59" t="str">
        <f>P58</f>
        <v>CPA Movimientos Partner FacilitaPay 18-01-2023</v>
      </c>
      <c r="Q59" s="3"/>
      <c r="R59" s="10"/>
    </row>
    <row r="60" spans="10:19" x14ac:dyDescent="0.25">
      <c r="M60" s="9"/>
      <c r="N60">
        <v>430105</v>
      </c>
      <c r="O60" t="s">
        <v>25</v>
      </c>
      <c r="P60" t="str">
        <f>"CPA Ajuste T/C Partner FacilitaPay "&amp;TEXT(M58,"dd-mm-yyy")</f>
        <v>CPA Ajuste T/C Partner FacilitaPay 18-01-2023</v>
      </c>
      <c r="Q60" s="3">
        <f>ROUND(J33,0)</f>
        <v>0</v>
      </c>
      <c r="R60" s="10"/>
    </row>
    <row r="61" spans="10:19" x14ac:dyDescent="0.25">
      <c r="M61" s="41"/>
      <c r="N61" s="12">
        <v>110267</v>
      </c>
      <c r="O61" s="12" t="s">
        <v>34</v>
      </c>
      <c r="P61" s="12" t="str">
        <f>P60</f>
        <v>CPA Ajuste T/C Partner FacilitaPay 18-01-2023</v>
      </c>
      <c r="Q61" s="13"/>
      <c r="R61" s="18">
        <f>Q60</f>
        <v>0</v>
      </c>
    </row>
    <row r="62" spans="10:19" x14ac:dyDescent="0.25">
      <c r="M62" s="15">
        <v>44945</v>
      </c>
      <c r="N62" s="8">
        <v>211101</v>
      </c>
      <c r="O62" s="8" t="s">
        <v>18</v>
      </c>
      <c r="P62" s="8" t="str">
        <f>"CPA Movimientos Partner FacilitaPay "&amp;TEXT(M62,"dd-mm-yyy")</f>
        <v>CPA Movimientos Partner FacilitaPay 19-01-2023</v>
      </c>
      <c r="Q62" s="16"/>
      <c r="R62" s="17"/>
    </row>
    <row r="63" spans="10:19" x14ac:dyDescent="0.25">
      <c r="M63" s="9"/>
      <c r="N63">
        <v>110267</v>
      </c>
      <c r="O63" t="s">
        <v>34</v>
      </c>
      <c r="P63" t="str">
        <f>P62</f>
        <v>CPA Movimientos Partner FacilitaPay 19-01-2023</v>
      </c>
      <c r="Q63" s="3"/>
      <c r="R63" s="10"/>
    </row>
    <row r="64" spans="10:19" x14ac:dyDescent="0.25">
      <c r="M64" s="9"/>
      <c r="N64">
        <v>430105</v>
      </c>
      <c r="O64" t="s">
        <v>25</v>
      </c>
      <c r="P64" t="str">
        <f>"CPA Ajuste T/C Partner FacilitaPay "&amp;TEXT(M62,"dd-mm-yyy")</f>
        <v>CPA Ajuste T/C Partner FacilitaPay 19-01-2023</v>
      </c>
      <c r="Q64" s="3">
        <f>ROUND(J35*-1,0)</f>
        <v>0</v>
      </c>
      <c r="R64" s="10"/>
    </row>
    <row r="65" spans="13:19" x14ac:dyDescent="0.25">
      <c r="M65" s="41"/>
      <c r="N65" s="12">
        <v>110267</v>
      </c>
      <c r="O65" s="12" t="s">
        <v>34</v>
      </c>
      <c r="P65" s="12" t="str">
        <f>P64</f>
        <v>CPA Ajuste T/C Partner FacilitaPay 19-01-2023</v>
      </c>
      <c r="Q65" s="13"/>
      <c r="R65" s="18">
        <f>Q64</f>
        <v>0</v>
      </c>
    </row>
    <row r="66" spans="13:19" x14ac:dyDescent="0.25">
      <c r="M66" s="15">
        <v>44946</v>
      </c>
      <c r="N66" s="8">
        <v>110267</v>
      </c>
      <c r="O66" s="8" t="s">
        <v>34</v>
      </c>
      <c r="P66" s="8" t="str">
        <f>"CPA Movimientos Partner FacilitaPay "&amp;TEXT(M66,"dd-mm-yyy")</f>
        <v>CPA Movimientos Partner FacilitaPay 20-01-2023</v>
      </c>
      <c r="Q66" s="16">
        <f>ROUND(I21,0)</f>
        <v>0</v>
      </c>
      <c r="R66" s="17"/>
    </row>
    <row r="67" spans="13:19" x14ac:dyDescent="0.25">
      <c r="M67" s="9"/>
      <c r="N67">
        <v>211101</v>
      </c>
      <c r="O67" t="s">
        <v>18</v>
      </c>
      <c r="P67" t="str">
        <f>P66</f>
        <v>CPA Movimientos Partner FacilitaPay 20-01-2023</v>
      </c>
      <c r="Q67" s="3"/>
      <c r="R67" s="10">
        <f>Q66</f>
        <v>0</v>
      </c>
      <c r="S67" s="3">
        <f>+Q66+Q68</f>
        <v>0</v>
      </c>
    </row>
    <row r="68" spans="13:19" x14ac:dyDescent="0.25">
      <c r="M68" s="9"/>
      <c r="N68">
        <v>110267</v>
      </c>
      <c r="O68" t="s">
        <v>34</v>
      </c>
      <c r="P68" t="str">
        <f>"CPA Ajuste T/C Partner FacilitaPay "&amp;TEXT(M66,"dd-mm-yyy")</f>
        <v>CPA Ajuste T/C Partner FacilitaPay 20-01-2023</v>
      </c>
      <c r="Q68" s="3">
        <f>ROUND(J37,0)</f>
        <v>0</v>
      </c>
      <c r="R68" s="10"/>
    </row>
    <row r="69" spans="13:19" x14ac:dyDescent="0.25">
      <c r="M69" s="41"/>
      <c r="N69" s="12">
        <v>430105</v>
      </c>
      <c r="O69" s="12" t="s">
        <v>25</v>
      </c>
      <c r="P69" s="12" t="str">
        <f>P68</f>
        <v>CPA Ajuste T/C Partner FacilitaPay 20-01-2023</v>
      </c>
      <c r="Q69" s="13"/>
      <c r="R69" s="18">
        <f>Q68</f>
        <v>0</v>
      </c>
    </row>
    <row r="70" spans="13:19" x14ac:dyDescent="0.25">
      <c r="M70" s="15">
        <v>44947</v>
      </c>
      <c r="N70" s="8">
        <v>211101</v>
      </c>
      <c r="O70" s="8" t="s">
        <v>18</v>
      </c>
      <c r="P70" s="8" t="str">
        <f>"CPA Movimientos Partner FacilitaPay "&amp;TEXT(M70,"dd-mm-yyy")</f>
        <v>CPA Movimientos Partner FacilitaPay 21-01-2023</v>
      </c>
      <c r="Q70" s="16">
        <f>+I22</f>
        <v>0</v>
      </c>
      <c r="R70" s="17"/>
    </row>
    <row r="71" spans="13:19" x14ac:dyDescent="0.25">
      <c r="M71" s="9"/>
      <c r="N71">
        <v>110267</v>
      </c>
      <c r="O71" t="s">
        <v>34</v>
      </c>
      <c r="P71" t="str">
        <f>P70</f>
        <v>CPA Movimientos Partner FacilitaPay 21-01-2023</v>
      </c>
      <c r="Q71" s="3"/>
      <c r="R71" s="10"/>
    </row>
    <row r="72" spans="13:19" x14ac:dyDescent="0.25">
      <c r="M72" s="9"/>
      <c r="N72">
        <v>430105</v>
      </c>
      <c r="O72" t="s">
        <v>25</v>
      </c>
      <c r="P72" t="str">
        <f>"CPA Ajuste T/C Partner FacilitaPay "&amp;TEXT(M70,"dd-mm-yyy")</f>
        <v>CPA Ajuste T/C Partner FacilitaPay 21-01-2023</v>
      </c>
      <c r="Q72" s="3">
        <f>ROUND(J39*-1,0)</f>
        <v>0</v>
      </c>
      <c r="R72" s="10"/>
    </row>
    <row r="73" spans="13:19" x14ac:dyDescent="0.25">
      <c r="M73" s="41"/>
      <c r="N73" s="12">
        <v>110267</v>
      </c>
      <c r="O73" s="12" t="s">
        <v>34</v>
      </c>
      <c r="P73" s="12" t="str">
        <f>P72</f>
        <v>CPA Ajuste T/C Partner FacilitaPay 21-01-2023</v>
      </c>
      <c r="Q73" s="13"/>
      <c r="R73" s="18">
        <f>Q72</f>
        <v>0</v>
      </c>
    </row>
    <row r="74" spans="13:19" x14ac:dyDescent="0.25">
      <c r="M74" s="15">
        <v>44948</v>
      </c>
      <c r="N74" s="8">
        <v>110267</v>
      </c>
      <c r="O74" s="8" t="s">
        <v>34</v>
      </c>
      <c r="P74" s="8" t="str">
        <f>"CPA Movimientos Partner FacilitaPay "&amp;TEXT(M74,"dd-mm-yyy")</f>
        <v>CPA Movimientos Partner FacilitaPay 22-01-2023</v>
      </c>
      <c r="Q74" s="16">
        <f>+I23</f>
        <v>0</v>
      </c>
      <c r="R74" s="17"/>
    </row>
    <row r="75" spans="13:19" x14ac:dyDescent="0.25">
      <c r="M75" s="11"/>
      <c r="N75" s="12">
        <v>211101</v>
      </c>
      <c r="O75" s="12" t="s">
        <v>18</v>
      </c>
      <c r="P75" s="12" t="str">
        <f>P74</f>
        <v>CPA Movimientos Partner FacilitaPay 22-01-2023</v>
      </c>
      <c r="Q75" s="13"/>
      <c r="R75" s="18"/>
    </row>
    <row r="76" spans="13:19" x14ac:dyDescent="0.25">
      <c r="M76" s="15">
        <v>44949</v>
      </c>
      <c r="N76" s="8">
        <v>211101</v>
      </c>
      <c r="O76" s="8" t="s">
        <v>18</v>
      </c>
      <c r="P76" s="8" t="str">
        <f>"CPA Movimientos Partner FacilitaPay "&amp;TEXT(M76,"dd-mm-yyy")</f>
        <v>CPA Movimientos Partner FacilitaPay 23-01-2023</v>
      </c>
      <c r="Q76" s="16">
        <f>ROUND(I24*-1,0)</f>
        <v>0</v>
      </c>
      <c r="R76" s="17"/>
    </row>
    <row r="77" spans="13:19" x14ac:dyDescent="0.25">
      <c r="M77" s="11"/>
      <c r="N77" s="12">
        <v>110267</v>
      </c>
      <c r="O77" s="12" t="s">
        <v>34</v>
      </c>
      <c r="P77" s="12" t="str">
        <f>P76</f>
        <v>CPA Movimientos Partner FacilitaPay 23-01-2023</v>
      </c>
      <c r="Q77" s="13"/>
      <c r="R77" s="18">
        <f>Q76</f>
        <v>0</v>
      </c>
    </row>
    <row r="78" spans="13:19" x14ac:dyDescent="0.25">
      <c r="M78" s="15">
        <v>44950</v>
      </c>
      <c r="N78" s="8">
        <v>110267</v>
      </c>
      <c r="O78" s="8" t="s">
        <v>34</v>
      </c>
      <c r="P78" s="8" t="str">
        <f>"CPA Movimientos Partner FacilitaPay "&amp;TEXT(M78,"dd-mm-yyy")</f>
        <v>CPA Movimientos Partner FacilitaPay 24-01-2023</v>
      </c>
      <c r="Q78" s="16">
        <f>ROUND(I25,0)</f>
        <v>0</v>
      </c>
      <c r="R78" s="17"/>
    </row>
    <row r="79" spans="13:19" x14ac:dyDescent="0.25">
      <c r="M79" s="9"/>
      <c r="N79">
        <v>211101</v>
      </c>
      <c r="O79" t="s">
        <v>18</v>
      </c>
      <c r="P79" t="str">
        <f>P78</f>
        <v>CPA Movimientos Partner FacilitaPay 24-01-2023</v>
      </c>
      <c r="Q79" s="3"/>
      <c r="R79" s="10">
        <f>Q78</f>
        <v>0</v>
      </c>
      <c r="S79" s="3">
        <f>+Q78-R81</f>
        <v>0</v>
      </c>
    </row>
    <row r="80" spans="13:19" x14ac:dyDescent="0.25">
      <c r="M80" s="9"/>
      <c r="N80">
        <v>430105</v>
      </c>
      <c r="O80" t="s">
        <v>25</v>
      </c>
      <c r="P80" t="str">
        <f>"CPA Ajuste T/C Partner FacilitaPay "&amp;TEXT(M78,"dd-mm-yyy")</f>
        <v>CPA Ajuste T/C Partner FacilitaPay 24-01-2023</v>
      </c>
      <c r="Q80" s="3">
        <f>ROUND(J41*-1,0)</f>
        <v>0</v>
      </c>
      <c r="R80" s="10"/>
    </row>
    <row r="81" spans="13:19" x14ac:dyDescent="0.25">
      <c r="M81" s="41"/>
      <c r="N81" s="12">
        <v>110267</v>
      </c>
      <c r="O81" s="12" t="s">
        <v>34</v>
      </c>
      <c r="P81" s="12" t="str">
        <f>P80</f>
        <v>CPA Ajuste T/C Partner FacilitaPay 24-01-2023</v>
      </c>
      <c r="Q81" s="13"/>
      <c r="R81" s="18">
        <f>Q80</f>
        <v>0</v>
      </c>
    </row>
    <row r="82" spans="13:19" x14ac:dyDescent="0.25">
      <c r="M82" s="15">
        <v>44951</v>
      </c>
      <c r="N82" s="8">
        <v>211101</v>
      </c>
      <c r="O82" s="8" t="s">
        <v>18</v>
      </c>
      <c r="P82" s="8" t="str">
        <f>"CPA Movimientos Partner FacilitaPay PayIn "&amp;TEXT(M82,"dd-mm-yyy")</f>
        <v>CPA Movimientos Partner FacilitaPay PayIn 25-01-2023</v>
      </c>
      <c r="Q82" s="16">
        <f>ROUND(I29,0)</f>
        <v>0</v>
      </c>
      <c r="R82" s="17"/>
    </row>
    <row r="83" spans="13:19" x14ac:dyDescent="0.25">
      <c r="M83" s="9"/>
      <c r="N83">
        <v>110267</v>
      </c>
      <c r="O83" t="s">
        <v>34</v>
      </c>
      <c r="P83" t="str">
        <f>P82</f>
        <v>CPA Movimientos Partner FacilitaPay PayIn 25-01-2023</v>
      </c>
      <c r="Q83" s="3"/>
      <c r="R83" s="10">
        <f>Q82</f>
        <v>0</v>
      </c>
    </row>
    <row r="84" spans="13:19" x14ac:dyDescent="0.25">
      <c r="M84" s="9"/>
      <c r="N84">
        <v>430105</v>
      </c>
      <c r="O84" t="s">
        <v>25</v>
      </c>
      <c r="P84" t="str">
        <f>"CPA Ajuste T/C Partner FacilitaPay "&amp;TEXT(M82,"dd-mm-yyy")</f>
        <v>CPA Ajuste T/C Partner FacilitaPay 25-01-2023</v>
      </c>
      <c r="Q84" s="3">
        <f>ROUND(J43*-1,0)</f>
        <v>0</v>
      </c>
      <c r="R84" s="10"/>
    </row>
    <row r="85" spans="13:19" x14ac:dyDescent="0.25">
      <c r="M85" s="41"/>
      <c r="N85" s="12">
        <v>110267</v>
      </c>
      <c r="O85" s="12" t="s">
        <v>34</v>
      </c>
      <c r="P85" s="12" t="str">
        <f>P84</f>
        <v>CPA Ajuste T/C Partner FacilitaPay 25-01-2023</v>
      </c>
      <c r="Q85" s="13"/>
      <c r="R85" s="18">
        <f>Q84</f>
        <v>0</v>
      </c>
    </row>
    <row r="86" spans="13:19" x14ac:dyDescent="0.25">
      <c r="M86" s="15">
        <v>44952</v>
      </c>
      <c r="N86" s="8">
        <v>110267</v>
      </c>
      <c r="O86" s="8" t="s">
        <v>34</v>
      </c>
      <c r="P86" s="8" t="str">
        <f>"CPA Movimientos Partner FacilitaPay "&amp;TEXT(M86,"dd-mm-yyy")</f>
        <v>CPA Movimientos Partner FacilitaPay 26-01-2023</v>
      </c>
      <c r="Q86" s="16">
        <f>ROUND(I27,0)</f>
        <v>0</v>
      </c>
      <c r="R86" s="17"/>
    </row>
    <row r="87" spans="13:19" x14ac:dyDescent="0.25">
      <c r="M87" s="9"/>
      <c r="N87">
        <v>211101</v>
      </c>
      <c r="O87" t="s">
        <v>18</v>
      </c>
      <c r="P87" t="str">
        <f>P86</f>
        <v>CPA Movimientos Partner FacilitaPay 26-01-2023</v>
      </c>
      <c r="Q87" s="3"/>
      <c r="R87" s="10">
        <f>Q86</f>
        <v>0</v>
      </c>
      <c r="S87" s="3">
        <f>+Q86+Q88</f>
        <v>0</v>
      </c>
    </row>
    <row r="88" spans="13:19" x14ac:dyDescent="0.25">
      <c r="M88" s="9"/>
      <c r="N88">
        <v>110267</v>
      </c>
      <c r="O88" t="s">
        <v>34</v>
      </c>
      <c r="P88" t="str">
        <f>"CPA Ajuste T/C Partner FacilitaPay "&amp;TEXT(M86,"dd-mm-yyy")</f>
        <v>CPA Ajuste T/C Partner FacilitaPay 26-01-2023</v>
      </c>
      <c r="Q88" s="3">
        <f>ROUND(J45,0)</f>
        <v>0</v>
      </c>
      <c r="R88" s="10"/>
    </row>
    <row r="89" spans="13:19" x14ac:dyDescent="0.25">
      <c r="M89" s="41"/>
      <c r="N89" s="12">
        <v>430105</v>
      </c>
      <c r="O89" s="12" t="s">
        <v>25</v>
      </c>
      <c r="P89" s="12" t="str">
        <f>P88</f>
        <v>CPA Ajuste T/C Partner FacilitaPay 26-01-2023</v>
      </c>
      <c r="Q89" s="13"/>
      <c r="R89" s="18">
        <f>Q88</f>
        <v>0</v>
      </c>
    </row>
    <row r="90" spans="13:19" x14ac:dyDescent="0.25">
      <c r="M90" s="15">
        <v>44953</v>
      </c>
      <c r="N90" s="8">
        <v>211101</v>
      </c>
      <c r="O90" s="8" t="s">
        <v>18</v>
      </c>
      <c r="P90" s="8" t="str">
        <f>"CPA Movimientos Partner FacilitaPay "&amp;TEXT(M90,"dd-mm-yyy")</f>
        <v>CPA Movimientos Partner FacilitaPay 27-01-2023</v>
      </c>
      <c r="Q90" s="16">
        <f>ROUND(I28*-1,0)</f>
        <v>0</v>
      </c>
      <c r="R90" s="17"/>
    </row>
    <row r="91" spans="13:19" x14ac:dyDescent="0.25">
      <c r="M91" s="9"/>
      <c r="N91">
        <v>110267</v>
      </c>
      <c r="O91" t="s">
        <v>34</v>
      </c>
      <c r="P91" t="str">
        <f>P90</f>
        <v>CPA Movimientos Partner FacilitaPay 27-01-2023</v>
      </c>
      <c r="Q91" s="3"/>
      <c r="R91" s="10">
        <f>Q90</f>
        <v>0</v>
      </c>
      <c r="S91" s="3">
        <f>+R91+R93</f>
        <v>0</v>
      </c>
    </row>
    <row r="92" spans="13:19" x14ac:dyDescent="0.25">
      <c r="M92" s="9"/>
      <c r="N92">
        <v>430105</v>
      </c>
      <c r="O92" t="s">
        <v>25</v>
      </c>
      <c r="P92" t="str">
        <f>"CPA Ajuste T/C Partner FacilitaPay "&amp;TEXT(M90,"dd-mm-yyy")</f>
        <v>CPA Ajuste T/C Partner FacilitaPay 27-01-2023</v>
      </c>
      <c r="Q92" s="3">
        <f>ROUND(J47*-1,0)</f>
        <v>0</v>
      </c>
      <c r="R92" s="10"/>
    </row>
    <row r="93" spans="13:19" x14ac:dyDescent="0.25">
      <c r="M93" s="41"/>
      <c r="N93" s="12">
        <v>110267</v>
      </c>
      <c r="O93" s="12" t="s">
        <v>34</v>
      </c>
      <c r="P93" s="12" t="str">
        <f>P92</f>
        <v>CPA Ajuste T/C Partner FacilitaPay 27-01-2023</v>
      </c>
      <c r="Q93" s="13"/>
      <c r="R93" s="18">
        <f>Q92</f>
        <v>0</v>
      </c>
    </row>
    <row r="94" spans="13:19" x14ac:dyDescent="0.25">
      <c r="M94" s="15">
        <v>44954</v>
      </c>
      <c r="N94" s="8">
        <v>110267</v>
      </c>
      <c r="O94" s="8" t="s">
        <v>34</v>
      </c>
      <c r="P94" s="8" t="str">
        <f>"CPA Movimientos Partner FacilitaPay "&amp;TEXT(M94,"dd-mm-yyy")</f>
        <v>CPA Movimientos Partner FacilitaPay 28-01-2023</v>
      </c>
      <c r="Q94" s="16">
        <f>ROUND(I29,0)</f>
        <v>0</v>
      </c>
      <c r="R94" s="17"/>
    </row>
    <row r="95" spans="13:19" x14ac:dyDescent="0.25">
      <c r="M95" s="9"/>
      <c r="N95">
        <v>211101</v>
      </c>
      <c r="O95" t="s">
        <v>18</v>
      </c>
      <c r="P95" t="str">
        <f>P94</f>
        <v>CPA Movimientos Partner FacilitaPay 28-01-2023</v>
      </c>
      <c r="Q95" s="3"/>
      <c r="R95" s="10">
        <f>Q94</f>
        <v>0</v>
      </c>
    </row>
    <row r="96" spans="13:19" x14ac:dyDescent="0.25">
      <c r="M96" s="9"/>
      <c r="N96">
        <v>110267</v>
      </c>
      <c r="O96" t="s">
        <v>34</v>
      </c>
      <c r="P96" t="str">
        <f>"CPA Ajuste T/C Partner FacilitaPay "&amp;TEXT(M94,"dd-mm-yyy")</f>
        <v>CPA Ajuste T/C Partner FacilitaPay 28-01-2023</v>
      </c>
      <c r="Q96" s="3">
        <f>ROUND(J49,0)</f>
        <v>0</v>
      </c>
      <c r="R96" s="10"/>
    </row>
    <row r="97" spans="13:18" x14ac:dyDescent="0.25">
      <c r="M97" s="41"/>
      <c r="N97" s="12">
        <v>430105</v>
      </c>
      <c r="O97" s="12" t="s">
        <v>25</v>
      </c>
      <c r="P97" s="12" t="str">
        <f>P96</f>
        <v>CPA Ajuste T/C Partner FacilitaPay 28-01-2023</v>
      </c>
      <c r="Q97" s="13"/>
      <c r="R97" s="18">
        <f>Q96</f>
        <v>0</v>
      </c>
    </row>
    <row r="98" spans="13:18" x14ac:dyDescent="0.25">
      <c r="M98" s="15">
        <v>44955</v>
      </c>
      <c r="N98" s="8">
        <v>110267</v>
      </c>
      <c r="O98" s="8" t="s">
        <v>34</v>
      </c>
      <c r="P98" s="8" t="str">
        <f>"CPA Movimientos Partner FacilitaPay "&amp;TEXT(M98,"dd-mm-yyy")</f>
        <v>CPA Movimientos Partner FacilitaPay 29-01-2023</v>
      </c>
      <c r="Q98" s="16">
        <f>+I47</f>
        <v>0</v>
      </c>
      <c r="R98" s="17"/>
    </row>
    <row r="99" spans="13:18" x14ac:dyDescent="0.25">
      <c r="M99" s="11"/>
      <c r="N99" s="12">
        <v>211101</v>
      </c>
      <c r="O99" s="12" t="s">
        <v>18</v>
      </c>
      <c r="P99" s="12" t="str">
        <f>P98</f>
        <v>CPA Movimientos Partner FacilitaPay 29-01-2023</v>
      </c>
      <c r="Q99" s="13"/>
      <c r="R99" s="18"/>
    </row>
    <row r="100" spans="13:18" x14ac:dyDescent="0.25">
      <c r="M100" s="15">
        <v>44956</v>
      </c>
      <c r="N100" s="8">
        <v>211101</v>
      </c>
      <c r="O100" s="8" t="s">
        <v>18</v>
      </c>
      <c r="P100" s="8" t="str">
        <f>"CPA Movimientos Partner FacilitaPay "&amp;TEXT(M100,"dd-mm-yyy")</f>
        <v>CPA Movimientos Partner FacilitaPay 30-01-2023</v>
      </c>
      <c r="Q100" s="16">
        <f>ROUND(I48*-1,0)</f>
        <v>0</v>
      </c>
      <c r="R100" s="17"/>
    </row>
    <row r="101" spans="13:18" x14ac:dyDescent="0.25">
      <c r="M101" s="11"/>
      <c r="N101" s="12">
        <v>110267</v>
      </c>
      <c r="O101" s="12" t="s">
        <v>34</v>
      </c>
      <c r="P101" s="12" t="str">
        <f>P100</f>
        <v>CPA Movimientos Partner FacilitaPay 30-01-2023</v>
      </c>
      <c r="Q101" s="13"/>
      <c r="R101" s="18">
        <f>Q100</f>
        <v>0</v>
      </c>
    </row>
    <row r="102" spans="13:18" x14ac:dyDescent="0.25">
      <c r="M102" s="15">
        <v>44957</v>
      </c>
      <c r="N102" s="8">
        <v>110267</v>
      </c>
      <c r="O102" s="8" t="s">
        <v>34</v>
      </c>
      <c r="P102" s="8" t="str">
        <f>"CPA Movimientos Partner FacilitaPay "&amp;TEXT(M102,"dd-mm-yyy")</f>
        <v>CPA Movimientos Partner FacilitaPay 31-01-2023</v>
      </c>
      <c r="Q102" s="16">
        <f>ROUND(I49,0)</f>
        <v>0</v>
      </c>
      <c r="R102" s="17"/>
    </row>
    <row r="103" spans="13:18" x14ac:dyDescent="0.25">
      <c r="M103" s="9"/>
      <c r="N103">
        <v>211101</v>
      </c>
      <c r="O103" t="s">
        <v>18</v>
      </c>
      <c r="P103" t="str">
        <f>P102</f>
        <v>CPA Movimientos Partner FacilitaPay 31-01-2023</v>
      </c>
      <c r="Q103" s="3"/>
      <c r="R103" s="10">
        <f>Q102</f>
        <v>0</v>
      </c>
    </row>
    <row r="104" spans="13:18" x14ac:dyDescent="0.25">
      <c r="M104" s="9"/>
      <c r="N104">
        <v>430105</v>
      </c>
      <c r="O104" t="s">
        <v>25</v>
      </c>
      <c r="P104" t="str">
        <f>"CPA Ajuste T/C Partner FacilitaPay "&amp;TEXT(M102,"dd-mm-yyy")</f>
        <v>CPA Ajuste T/C Partner FacilitaPay 31-01-2023</v>
      </c>
      <c r="Q104" s="3">
        <f>ROUND(J65*-1,0)</f>
        <v>0</v>
      </c>
      <c r="R104" s="10"/>
    </row>
    <row r="105" spans="13:18" x14ac:dyDescent="0.25">
      <c r="M105" s="41"/>
      <c r="N105" s="12">
        <v>110267</v>
      </c>
      <c r="O105" s="12" t="s">
        <v>34</v>
      </c>
      <c r="P105" s="12" t="str">
        <f>P104</f>
        <v>CPA Ajuste T/C Partner FacilitaPay 31-01-2023</v>
      </c>
      <c r="Q105" s="13"/>
      <c r="R105" s="18">
        <f>Q104</f>
        <v>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1DCE1-E603-43AE-8CE6-8987B2944766}">
  <dimension ref="A1:CS63"/>
  <sheetViews>
    <sheetView showGridLines="0" topLeftCell="CD1" zoomScaleNormal="100" workbookViewId="0">
      <selection activeCell="BX2" sqref="BX2"/>
    </sheetView>
  </sheetViews>
  <sheetFormatPr baseColWidth="10" defaultRowHeight="15" outlineLevelCol="1" x14ac:dyDescent="0.25"/>
  <cols>
    <col min="1" max="1" width="11.5703125" customWidth="1" outlineLevel="1"/>
    <col min="2" max="2" width="14.5703125" customWidth="1" outlineLevel="1"/>
    <col min="3" max="3" width="12" customWidth="1" outlineLevel="1"/>
    <col min="4" max="6" width="11.42578125" customWidth="1" outlineLevel="1"/>
    <col min="7" max="7" width="23.140625" customWidth="1" outlineLevel="1"/>
    <col min="8" max="8" width="34.5703125" bestFit="1" customWidth="1" outlineLevel="1"/>
    <col min="9" max="10" width="13.5703125" customWidth="1" outlineLevel="1"/>
    <col min="13" max="13" width="11.5703125" customWidth="1" outlineLevel="1"/>
    <col min="14" max="14" width="13.5703125" customWidth="1" outlineLevel="1"/>
    <col min="15" max="15" width="12" customWidth="1" outlineLevel="1"/>
    <col min="16" max="18" width="11.42578125" customWidth="1" outlineLevel="1"/>
    <col min="19" max="19" width="23.140625" customWidth="1" outlineLevel="1"/>
    <col min="20" max="20" width="44.140625" bestFit="1" customWidth="1" outlineLevel="1"/>
    <col min="21" max="22" width="13.5703125" customWidth="1" outlineLevel="1"/>
    <col min="25" max="25" width="11.5703125" customWidth="1" outlineLevel="1"/>
    <col min="26" max="26" width="13.5703125" customWidth="1" outlineLevel="1"/>
    <col min="27" max="27" width="12" customWidth="1" outlineLevel="1"/>
    <col min="28" max="30" width="11.42578125" customWidth="1" outlineLevel="1"/>
    <col min="31" max="31" width="23.140625" customWidth="1" outlineLevel="1"/>
    <col min="32" max="32" width="35.28515625" bestFit="1" customWidth="1" outlineLevel="1"/>
    <col min="33" max="34" width="13.5703125" customWidth="1" outlineLevel="1"/>
    <col min="37" max="37" width="11.5703125" customWidth="1" outlineLevel="1"/>
    <col min="38" max="38" width="13.5703125" customWidth="1" outlineLevel="1"/>
    <col min="39" max="39" width="12" customWidth="1" outlineLevel="1"/>
    <col min="40" max="42" width="11.42578125" customWidth="1" outlineLevel="1"/>
    <col min="43" max="43" width="23.140625" customWidth="1" outlineLevel="1"/>
    <col min="44" max="44" width="44.28515625" bestFit="1" customWidth="1" outlineLevel="1"/>
    <col min="45" max="46" width="13.5703125" customWidth="1" outlineLevel="1"/>
    <col min="49" max="49" width="11.5703125" customWidth="1" outlineLevel="1"/>
    <col min="50" max="50" width="13.5703125" customWidth="1" outlineLevel="1"/>
    <col min="51" max="51" width="12" customWidth="1" outlineLevel="1"/>
    <col min="52" max="54" width="11.42578125" customWidth="1" outlineLevel="1"/>
    <col min="55" max="55" width="23.140625" customWidth="1" outlineLevel="1"/>
    <col min="56" max="56" width="38.5703125" bestFit="1" customWidth="1" outlineLevel="1"/>
    <col min="57" max="58" width="13.5703125" customWidth="1" outlineLevel="1"/>
    <col min="62" max="62" width="11.5703125" customWidth="1" outlineLevel="1"/>
    <col min="63" max="63" width="13.5703125" customWidth="1" outlineLevel="1"/>
    <col min="64" max="64" width="12" customWidth="1" outlineLevel="1"/>
    <col min="65" max="67" width="11.42578125" customWidth="1" outlineLevel="1"/>
    <col min="68" max="68" width="23.140625" customWidth="1" outlineLevel="1"/>
    <col min="69" max="69" width="35.28515625" bestFit="1" customWidth="1" outlineLevel="1"/>
    <col min="70" max="71" width="13.5703125" customWidth="1" outlineLevel="1"/>
    <col min="75" max="75" width="11.5703125" customWidth="1" outlineLevel="1"/>
    <col min="76" max="76" width="13.5703125" customWidth="1" outlineLevel="1"/>
    <col min="77" max="77" width="12" customWidth="1" outlineLevel="1"/>
    <col min="78" max="80" width="11.42578125" outlineLevel="1"/>
    <col min="81" max="81" width="30.42578125" bestFit="1" customWidth="1" outlineLevel="1"/>
    <col min="82" max="82" width="35.28515625" bestFit="1" customWidth="1" outlineLevel="1"/>
    <col min="83" max="84" width="13.5703125" customWidth="1" outlineLevel="1"/>
    <col min="88" max="88" width="11.5703125" customWidth="1" outlineLevel="1"/>
    <col min="89" max="89" width="13.5703125" customWidth="1" outlineLevel="1"/>
    <col min="90" max="90" width="12" customWidth="1" outlineLevel="1"/>
    <col min="91" max="93" width="11.42578125" outlineLevel="1"/>
    <col min="94" max="94" width="30.42578125" bestFit="1" customWidth="1" outlineLevel="1"/>
    <col min="95" max="95" width="35.28515625" bestFit="1" customWidth="1" outlineLevel="1"/>
    <col min="96" max="97" width="13.5703125" customWidth="1" outlineLevel="1"/>
  </cols>
  <sheetData>
    <row r="1" spans="1:97" x14ac:dyDescent="0.25">
      <c r="A1" s="4" t="s">
        <v>0</v>
      </c>
      <c r="B1" s="4" t="s">
        <v>27</v>
      </c>
      <c r="C1" s="75" t="s">
        <v>47</v>
      </c>
      <c r="E1" s="22" t="s">
        <v>0</v>
      </c>
      <c r="F1" s="23"/>
      <c r="G1" s="23"/>
      <c r="H1" s="23"/>
      <c r="I1" s="23" t="s">
        <v>5</v>
      </c>
      <c r="J1" s="24" t="s">
        <v>6</v>
      </c>
      <c r="M1" s="4" t="s">
        <v>0</v>
      </c>
      <c r="N1" s="4" t="s">
        <v>27</v>
      </c>
      <c r="O1" s="75" t="s">
        <v>48</v>
      </c>
      <c r="Q1" s="22" t="s">
        <v>0</v>
      </c>
      <c r="R1" s="23"/>
      <c r="S1" s="23"/>
      <c r="T1" s="23"/>
      <c r="U1" s="23" t="s">
        <v>5</v>
      </c>
      <c r="V1" s="24" t="s">
        <v>6</v>
      </c>
      <c r="Y1" s="4" t="s">
        <v>0</v>
      </c>
      <c r="Z1" s="4" t="s">
        <v>27</v>
      </c>
      <c r="AA1" s="75" t="s">
        <v>49</v>
      </c>
      <c r="AC1" s="22" t="s">
        <v>0</v>
      </c>
      <c r="AD1" s="23"/>
      <c r="AE1" s="23"/>
      <c r="AF1" s="23"/>
      <c r="AG1" s="23" t="s">
        <v>5</v>
      </c>
      <c r="AH1" s="24" t="s">
        <v>6</v>
      </c>
      <c r="AK1" s="4" t="s">
        <v>0</v>
      </c>
      <c r="AL1" s="4" t="s">
        <v>27</v>
      </c>
      <c r="AM1" s="75" t="s">
        <v>50</v>
      </c>
      <c r="AO1" s="22" t="s">
        <v>0</v>
      </c>
      <c r="AP1" s="23"/>
      <c r="AQ1" s="23"/>
      <c r="AR1" s="23"/>
      <c r="AS1" s="23" t="s">
        <v>5</v>
      </c>
      <c r="AT1" s="24" t="s">
        <v>6</v>
      </c>
      <c r="AW1" s="4" t="s">
        <v>0</v>
      </c>
      <c r="AX1" s="4" t="s">
        <v>27</v>
      </c>
      <c r="AY1" s="75" t="s">
        <v>52</v>
      </c>
      <c r="BA1" s="22" t="s">
        <v>0</v>
      </c>
      <c r="BB1" s="23"/>
      <c r="BC1" s="23"/>
      <c r="BD1" s="23"/>
      <c r="BE1" s="23" t="s">
        <v>5</v>
      </c>
      <c r="BF1" s="24" t="s">
        <v>6</v>
      </c>
      <c r="BJ1" s="4" t="s">
        <v>0</v>
      </c>
      <c r="BK1" s="4" t="s">
        <v>27</v>
      </c>
      <c r="BL1" s="75" t="s">
        <v>58</v>
      </c>
      <c r="BN1" s="22" t="s">
        <v>0</v>
      </c>
      <c r="BO1" s="23"/>
      <c r="BP1" s="23"/>
      <c r="BQ1" s="23"/>
      <c r="BR1" s="23" t="s">
        <v>5</v>
      </c>
      <c r="BS1" s="24" t="s">
        <v>6</v>
      </c>
      <c r="BW1" s="4" t="s">
        <v>0</v>
      </c>
      <c r="BX1" s="4" t="s">
        <v>27</v>
      </c>
      <c r="BY1" s="75" t="s">
        <v>145</v>
      </c>
      <c r="CA1" s="22" t="s">
        <v>0</v>
      </c>
      <c r="CB1" s="23"/>
      <c r="CC1" s="23"/>
      <c r="CD1" s="23"/>
      <c r="CE1" s="23" t="s">
        <v>5</v>
      </c>
      <c r="CF1" s="24" t="s">
        <v>6</v>
      </c>
      <c r="CJ1" s="4" t="s">
        <v>0</v>
      </c>
      <c r="CK1" s="4" t="s">
        <v>27</v>
      </c>
      <c r="CL1" s="75" t="s">
        <v>145</v>
      </c>
      <c r="CN1" s="22" t="s">
        <v>0</v>
      </c>
      <c r="CO1" s="23"/>
      <c r="CP1" s="23"/>
      <c r="CQ1" s="23"/>
      <c r="CR1" s="23" t="s">
        <v>5</v>
      </c>
      <c r="CS1" s="24" t="s">
        <v>6</v>
      </c>
    </row>
    <row r="2" spans="1:97" x14ac:dyDescent="0.25">
      <c r="A2" s="1">
        <v>45566</v>
      </c>
      <c r="B2" s="26">
        <f>HLOOKUP(A2,Hoja2!$R$2:$AV$3,2,FALSE)</f>
        <v>1989021985</v>
      </c>
      <c r="C2" s="3"/>
      <c r="E2" s="9">
        <v>45444</v>
      </c>
      <c r="F2">
        <v>110208</v>
      </c>
      <c r="G2" t="s">
        <v>46</v>
      </c>
      <c r="H2" t="str">
        <f>"CPA Recaudación Clientes BCI OP 648 "</f>
        <v xml:space="preserve">CPA Recaudación Clientes BCI OP 648 </v>
      </c>
      <c r="I2" s="3">
        <f>+B2</f>
        <v>1989021985</v>
      </c>
      <c r="J2" s="10"/>
      <c r="M2" s="1">
        <v>45566</v>
      </c>
      <c r="N2" s="26">
        <f>HLOOKUP(M2,Hoja2!$R$2:$AV$4,3,FALSE)</f>
        <v>695384</v>
      </c>
      <c r="O2" s="3"/>
      <c r="Q2" s="9">
        <v>45444</v>
      </c>
      <c r="R2">
        <v>110208</v>
      </c>
      <c r="S2" t="s">
        <v>46</v>
      </c>
      <c r="T2" t="str">
        <f>"CPA Abonos operaciones rechazadas BCI OP 648 "</f>
        <v xml:space="preserve">CPA Abonos operaciones rechazadas BCI OP 648 </v>
      </c>
      <c r="U2" s="3">
        <f>+N2</f>
        <v>695384</v>
      </c>
      <c r="V2" s="10"/>
      <c r="Y2" s="1">
        <v>45566</v>
      </c>
      <c r="Z2" s="26">
        <f>HLOOKUP(Y2,Hoja2!$R$2:$AV$5,4,FALSE)</f>
        <v>0</v>
      </c>
      <c r="AA2" s="3"/>
      <c r="AC2" s="9">
        <v>45444</v>
      </c>
      <c r="AD2">
        <v>110208</v>
      </c>
      <c r="AE2" t="s">
        <v>46</v>
      </c>
      <c r="AF2" t="str">
        <f>"CPA Fondeo BCI ADM 656 a BCI OP 648 "</f>
        <v xml:space="preserve">CPA Fondeo BCI ADM 656 a BCI OP 648 </v>
      </c>
      <c r="AG2" s="3">
        <f>+Z2</f>
        <v>0</v>
      </c>
      <c r="AH2" s="10"/>
      <c r="AK2" s="1">
        <v>45566</v>
      </c>
      <c r="AL2" s="26">
        <f>HLOOKUP(AK2,Hoja2!$R$2:$AV$6,5,FALSE)</f>
        <v>0</v>
      </c>
      <c r="AM2" s="3"/>
      <c r="AO2" s="9">
        <v>45444</v>
      </c>
      <c r="AP2">
        <v>110204</v>
      </c>
      <c r="AQ2" t="s">
        <v>51</v>
      </c>
      <c r="AR2" t="str">
        <f>"CPA Traspaso de Fondos Bco. BCI 648 a Bco. BICE "</f>
        <v xml:space="preserve">CPA Traspaso de Fondos Bco. BCI 648 a Bco. BICE </v>
      </c>
      <c r="AS2" s="3">
        <f>+AL2</f>
        <v>0</v>
      </c>
      <c r="AT2" s="10"/>
      <c r="AW2" s="1">
        <v>45566</v>
      </c>
      <c r="AX2" s="26">
        <f>HLOOKUP(AW2,Hoja2!$R$2:$AV$7,6,FALSE)</f>
        <v>0</v>
      </c>
      <c r="AY2" s="3"/>
      <c r="BA2" s="9">
        <v>45444</v>
      </c>
      <c r="BB2" s="8">
        <v>211101</v>
      </c>
      <c r="BC2" s="8" t="s">
        <v>18</v>
      </c>
      <c r="BD2" t="str">
        <f>"CPA Pago Operaciones Locales BCI OP 648 "</f>
        <v xml:space="preserve">CPA Pago Operaciones Locales BCI OP 648 </v>
      </c>
      <c r="BE2" s="3">
        <f>+AX2</f>
        <v>0</v>
      </c>
      <c r="BF2" s="10"/>
      <c r="BJ2" s="1">
        <v>45566</v>
      </c>
      <c r="BK2" s="26">
        <f>HLOOKUP(BJ2,Hoja2!$R$2:$AV$9,8,FALSE)</f>
        <v>110000000</v>
      </c>
      <c r="BL2" s="3" t="s">
        <v>72</v>
      </c>
      <c r="BN2" s="9">
        <v>45444</v>
      </c>
      <c r="BO2">
        <v>110209</v>
      </c>
      <c r="BP2" t="s">
        <v>55</v>
      </c>
      <c r="BQ2" t="str">
        <f>"CPA Fondeo BCI OP 648 a BCI ADM 656 "</f>
        <v xml:space="preserve">CPA Fondeo BCI OP 648 a BCI ADM 656 </v>
      </c>
      <c r="BR2" s="3">
        <f>+BK2</f>
        <v>110000000</v>
      </c>
      <c r="BS2" s="10"/>
      <c r="BW2" s="1">
        <v>45566</v>
      </c>
      <c r="BX2" s="26">
        <f>HLOOKUP(BW2,Hoja2!$R$2:$AV$86,85,FALSE)</f>
        <v>0</v>
      </c>
      <c r="BY2" s="3"/>
      <c r="CA2" s="9">
        <v>45444</v>
      </c>
      <c r="CB2" s="8">
        <v>110208</v>
      </c>
      <c r="CC2" s="8" t="s">
        <v>46</v>
      </c>
      <c r="CD2" t="str">
        <f>"CPA LIQ CORRESPONSAL GC BCI 648"</f>
        <v>CPA LIQ CORRESPONSAL GC BCI 648</v>
      </c>
      <c r="CE2" s="3">
        <f>+BX2</f>
        <v>0</v>
      </c>
      <c r="CF2" s="10"/>
      <c r="CJ2" s="1">
        <v>45566</v>
      </c>
      <c r="CK2" s="26">
        <f>HLOOKUP(CJ2,Hoja2!$R$2:$AV$87,86,FALSE)</f>
        <v>0</v>
      </c>
      <c r="CL2" s="3"/>
      <c r="CN2" s="9">
        <v>45444</v>
      </c>
      <c r="CO2" s="8">
        <v>110608</v>
      </c>
      <c r="CP2" s="8" t="s">
        <v>146</v>
      </c>
      <c r="CQ2" t="str">
        <f>"CPA LIQ CORRESPONSAL GC BCI 648"</f>
        <v>CPA LIQ CORRESPONSAL GC BCI 648</v>
      </c>
      <c r="CR2" s="3">
        <f>+CK2</f>
        <v>0</v>
      </c>
      <c r="CS2" s="10"/>
    </row>
    <row r="3" spans="1:97" x14ac:dyDescent="0.25">
      <c r="A3" s="1">
        <v>45567</v>
      </c>
      <c r="B3" s="26">
        <f>HLOOKUP(A3,Hoja2!$R$2:$AV$3,2,FALSE)</f>
        <v>1459297462</v>
      </c>
      <c r="E3" s="11"/>
      <c r="F3" s="12">
        <v>211101</v>
      </c>
      <c r="G3" s="12" t="s">
        <v>18</v>
      </c>
      <c r="H3" s="12" t="str">
        <f>H2</f>
        <v xml:space="preserve">CPA Recaudación Clientes BCI OP 648 </v>
      </c>
      <c r="I3" s="13"/>
      <c r="J3" s="18">
        <f>I2</f>
        <v>1989021985</v>
      </c>
      <c r="M3" s="1">
        <v>45567</v>
      </c>
      <c r="N3" s="26">
        <f>HLOOKUP(M3,Hoja2!$R$2:$AV$4,3,FALSE)</f>
        <v>1212019</v>
      </c>
      <c r="Q3" s="11"/>
      <c r="R3" s="12">
        <v>211101</v>
      </c>
      <c r="S3" s="12" t="s">
        <v>18</v>
      </c>
      <c r="T3" s="12" t="str">
        <f>T2</f>
        <v xml:space="preserve">CPA Abonos operaciones rechazadas BCI OP 648 </v>
      </c>
      <c r="U3" s="13"/>
      <c r="V3" s="18">
        <f>U2</f>
        <v>695384</v>
      </c>
      <c r="Y3" s="1">
        <v>45567</v>
      </c>
      <c r="Z3" s="26">
        <f>HLOOKUP(Y3,Hoja2!$R$2:$AV$5,4,FALSE)</f>
        <v>0</v>
      </c>
      <c r="AC3" s="11"/>
      <c r="AD3" s="12">
        <v>110209</v>
      </c>
      <c r="AE3" s="12" t="s">
        <v>55</v>
      </c>
      <c r="AF3" s="12" t="str">
        <f>AF2</f>
        <v xml:space="preserve">CPA Fondeo BCI ADM 656 a BCI OP 648 </v>
      </c>
      <c r="AG3" s="13"/>
      <c r="AH3" s="18">
        <f>AG2</f>
        <v>0</v>
      </c>
      <c r="AK3" s="1">
        <v>45567</v>
      </c>
      <c r="AL3" s="26">
        <f>HLOOKUP(AK3,Hoja2!$R$2:$AV$6,5,FALSE)</f>
        <v>0</v>
      </c>
      <c r="AO3" s="11"/>
      <c r="AP3" s="12">
        <v>110208</v>
      </c>
      <c r="AQ3" s="12" t="s">
        <v>46</v>
      </c>
      <c r="AR3" s="12" t="str">
        <f>AR2</f>
        <v xml:space="preserve">CPA Traspaso de Fondos Bco. BCI 648 a Bco. BICE </v>
      </c>
      <c r="AS3" s="13"/>
      <c r="AT3" s="18">
        <f>AS2</f>
        <v>0</v>
      </c>
      <c r="AW3" s="1">
        <v>45567</v>
      </c>
      <c r="AX3" s="26">
        <f>HLOOKUP(AW3,Hoja2!$R$2:$AV$7,6,FALSE)</f>
        <v>0</v>
      </c>
      <c r="BA3" s="11"/>
      <c r="BB3" s="12">
        <v>110208</v>
      </c>
      <c r="BC3" s="12" t="s">
        <v>46</v>
      </c>
      <c r="BD3" s="12" t="str">
        <f>BD2</f>
        <v xml:space="preserve">CPA Pago Operaciones Locales BCI OP 648 </v>
      </c>
      <c r="BE3" s="13"/>
      <c r="BF3" s="18">
        <f>BE2</f>
        <v>0</v>
      </c>
      <c r="BJ3" s="1">
        <v>45567</v>
      </c>
      <c r="BK3" s="26">
        <f>HLOOKUP(BJ3,Hoja2!$R$2:$AV$9,8,FALSE)</f>
        <v>0</v>
      </c>
      <c r="BN3" s="11"/>
      <c r="BO3" s="12">
        <v>110208</v>
      </c>
      <c r="BP3" s="12" t="s">
        <v>46</v>
      </c>
      <c r="BQ3" s="12" t="str">
        <f>BQ2</f>
        <v xml:space="preserve">CPA Fondeo BCI OP 648 a BCI ADM 656 </v>
      </c>
      <c r="BR3" s="13"/>
      <c r="BS3" s="18">
        <f>BR2</f>
        <v>110000000</v>
      </c>
      <c r="BW3" s="1">
        <v>45567</v>
      </c>
      <c r="BX3" s="26">
        <f>HLOOKUP(BW3,Hoja2!$R$2:$AV$86,85,FALSE)</f>
        <v>0</v>
      </c>
      <c r="CA3" s="11"/>
      <c r="CB3" s="12">
        <v>110608</v>
      </c>
      <c r="CC3" s="12" t="s">
        <v>146</v>
      </c>
      <c r="CD3" s="12" t="str">
        <f>CD2</f>
        <v>CPA LIQ CORRESPONSAL GC BCI 648</v>
      </c>
      <c r="CE3" s="13"/>
      <c r="CF3" s="18">
        <f>CE2</f>
        <v>0</v>
      </c>
      <c r="CJ3" s="1">
        <v>45567</v>
      </c>
      <c r="CK3" s="26">
        <f>HLOOKUP(CJ3,Hoja2!$R$2:$AV$87,86,FALSE)</f>
        <v>0</v>
      </c>
      <c r="CN3" s="11"/>
      <c r="CO3" s="12">
        <v>110208</v>
      </c>
      <c r="CP3" s="12" t="s">
        <v>46</v>
      </c>
      <c r="CQ3" s="12" t="str">
        <f>CQ2</f>
        <v>CPA LIQ CORRESPONSAL GC BCI 648</v>
      </c>
      <c r="CR3" s="13"/>
      <c r="CS3" s="18">
        <f>CR2</f>
        <v>0</v>
      </c>
    </row>
    <row r="4" spans="1:97" x14ac:dyDescent="0.25">
      <c r="A4" s="1">
        <v>45568</v>
      </c>
      <c r="B4" s="26">
        <f>HLOOKUP(A4,Hoja2!$R$2:$AV$3,2,FALSE)</f>
        <v>1232710228</v>
      </c>
      <c r="E4" s="15">
        <v>45445</v>
      </c>
      <c r="F4" s="8">
        <v>110208</v>
      </c>
      <c r="G4" s="8" t="s">
        <v>46</v>
      </c>
      <c r="H4" s="8" t="str">
        <f t="shared" ref="H4" si="0">"CPA Recaudación Clientes BCI OP 648 "</f>
        <v xml:space="preserve">CPA Recaudación Clientes BCI OP 648 </v>
      </c>
      <c r="I4" s="16">
        <f>+B3</f>
        <v>1459297462</v>
      </c>
      <c r="J4" s="17"/>
      <c r="M4" s="1">
        <v>45568</v>
      </c>
      <c r="N4" s="26">
        <f>HLOOKUP(M4,Hoja2!$R$2:$AV$4,3,FALSE)</f>
        <v>0</v>
      </c>
      <c r="Q4" s="15">
        <v>45445</v>
      </c>
      <c r="R4" s="8">
        <v>110208</v>
      </c>
      <c r="S4" s="8" t="s">
        <v>46</v>
      </c>
      <c r="T4" s="8" t="str">
        <f t="shared" ref="T4" si="1">"CPA Abonos operaciones rechazadas BCI OP 648 "</f>
        <v xml:space="preserve">CPA Abonos operaciones rechazadas BCI OP 648 </v>
      </c>
      <c r="U4" s="16">
        <f>+N3</f>
        <v>1212019</v>
      </c>
      <c r="V4" s="17"/>
      <c r="Y4" s="1">
        <v>45568</v>
      </c>
      <c r="Z4" s="26">
        <f>HLOOKUP(Y4,Hoja2!$R$2:$AV$5,4,FALSE)</f>
        <v>0</v>
      </c>
      <c r="AC4" s="15">
        <v>45445</v>
      </c>
      <c r="AD4" s="8">
        <v>110208</v>
      </c>
      <c r="AE4" s="8" t="s">
        <v>46</v>
      </c>
      <c r="AF4" s="8" t="str">
        <f t="shared" ref="AF4" si="2">"CPA Fondeo BCI ADM 656 a BCI OP 648 "</f>
        <v xml:space="preserve">CPA Fondeo BCI ADM 656 a BCI OP 648 </v>
      </c>
      <c r="AG4" s="16">
        <f>+Z3</f>
        <v>0</v>
      </c>
      <c r="AH4" s="17"/>
      <c r="AK4" s="1">
        <v>45568</v>
      </c>
      <c r="AL4" s="26">
        <f>HLOOKUP(AK4,Hoja2!$R$2:$AV$6,5,FALSE)</f>
        <v>0</v>
      </c>
      <c r="AO4" s="15">
        <v>45445</v>
      </c>
      <c r="AP4" s="8">
        <v>110204</v>
      </c>
      <c r="AQ4" s="8" t="s">
        <v>51</v>
      </c>
      <c r="AR4" s="8" t="str">
        <f t="shared" ref="AR4" si="3">"CPA Traspaso de Fondos Bco. BCI 648 a Bco. BICE "</f>
        <v xml:space="preserve">CPA Traspaso de Fondos Bco. BCI 648 a Bco. BICE </v>
      </c>
      <c r="AS4" s="16">
        <f>+AL3</f>
        <v>0</v>
      </c>
      <c r="AT4" s="17"/>
      <c r="AW4" s="1">
        <v>45568</v>
      </c>
      <c r="AX4" s="26">
        <f>HLOOKUP(AW4,Hoja2!$R$2:$AV$7,6,FALSE)</f>
        <v>0</v>
      </c>
      <c r="BA4" s="15">
        <v>45445</v>
      </c>
      <c r="BB4" s="8">
        <v>211101</v>
      </c>
      <c r="BC4" s="8" t="s">
        <v>18</v>
      </c>
      <c r="BD4" s="8" t="str">
        <f t="shared" ref="BD4" si="4">"CPA Pago Operaciones Locales BCI OP 648 "</f>
        <v xml:space="preserve">CPA Pago Operaciones Locales BCI OP 648 </v>
      </c>
      <c r="BE4" s="16">
        <f>+AX3</f>
        <v>0</v>
      </c>
      <c r="BF4" s="17"/>
      <c r="BJ4" s="1">
        <v>45568</v>
      </c>
      <c r="BK4" s="26">
        <f>HLOOKUP(BJ4,Hoja2!$R$2:$AV$9,8,FALSE)</f>
        <v>0</v>
      </c>
      <c r="BN4" s="15">
        <v>45445</v>
      </c>
      <c r="BO4" s="8">
        <v>110209</v>
      </c>
      <c r="BP4" s="8" t="s">
        <v>55</v>
      </c>
      <c r="BQ4" s="8" t="str">
        <f t="shared" ref="BQ4" si="5">"CPA Fondeo BCI OP 648 a BCI ADM 656 "</f>
        <v xml:space="preserve">CPA Fondeo BCI OP 648 a BCI ADM 656 </v>
      </c>
      <c r="BR4" s="16">
        <f>+BK3</f>
        <v>0</v>
      </c>
      <c r="BS4" s="17"/>
      <c r="BW4" s="1">
        <v>45568</v>
      </c>
      <c r="BX4" s="26">
        <f>HLOOKUP(BW4,Hoja2!$R$2:$AV$86,85,FALSE)</f>
        <v>0</v>
      </c>
      <c r="CA4" s="15">
        <v>45445</v>
      </c>
      <c r="CB4" s="8">
        <v>110208</v>
      </c>
      <c r="CC4" s="8" t="s">
        <v>46</v>
      </c>
      <c r="CD4" s="8" t="str">
        <f t="shared" ref="CD4" si="6">"CPA LIQ CORRESPONSAL GC BCI 648"</f>
        <v>CPA LIQ CORRESPONSAL GC BCI 648</v>
      </c>
      <c r="CE4" s="16">
        <f>+BX3</f>
        <v>0</v>
      </c>
      <c r="CF4" s="17"/>
      <c r="CJ4" s="1">
        <v>45568</v>
      </c>
      <c r="CK4" s="26">
        <f>HLOOKUP(CJ4,Hoja2!$R$2:$AV$87,86,FALSE)</f>
        <v>0</v>
      </c>
      <c r="CN4" s="15">
        <v>45445</v>
      </c>
      <c r="CO4" s="8">
        <v>110608</v>
      </c>
      <c r="CP4" s="8" t="s">
        <v>146</v>
      </c>
      <c r="CQ4" s="8" t="str">
        <f t="shared" ref="CQ4" si="7">"CPA LIQ CORRESPONSAL GC BCI 648"</f>
        <v>CPA LIQ CORRESPONSAL GC BCI 648</v>
      </c>
      <c r="CR4" s="16">
        <f>+CK3</f>
        <v>0</v>
      </c>
      <c r="CS4" s="17"/>
    </row>
    <row r="5" spans="1:97" x14ac:dyDescent="0.25">
      <c r="A5" s="1">
        <v>45569</v>
      </c>
      <c r="B5" s="26">
        <f>HLOOKUP(A5,Hoja2!$R$2:$AV$3,2,FALSE)</f>
        <v>1052420022</v>
      </c>
      <c r="E5" s="11"/>
      <c r="F5" s="12">
        <v>211101</v>
      </c>
      <c r="G5" s="12" t="s">
        <v>18</v>
      </c>
      <c r="H5" s="12" t="str">
        <f t="shared" ref="H5" si="8">H4</f>
        <v xml:space="preserve">CPA Recaudación Clientes BCI OP 648 </v>
      </c>
      <c r="I5" s="13"/>
      <c r="J5" s="18">
        <f>I4</f>
        <v>1459297462</v>
      </c>
      <c r="M5" s="1">
        <v>45569</v>
      </c>
      <c r="N5" s="26">
        <f>HLOOKUP(M5,Hoja2!$R$2:$AV$4,3,FALSE)</f>
        <v>18419653</v>
      </c>
      <c r="Q5" s="11"/>
      <c r="R5" s="12">
        <v>211101</v>
      </c>
      <c r="S5" s="12" t="s">
        <v>18</v>
      </c>
      <c r="T5" s="12" t="str">
        <f t="shared" ref="T5" si="9">T4</f>
        <v xml:space="preserve">CPA Abonos operaciones rechazadas BCI OP 648 </v>
      </c>
      <c r="U5" s="13"/>
      <c r="V5" s="18">
        <f>U4</f>
        <v>1212019</v>
      </c>
      <c r="Y5" s="1">
        <v>45569</v>
      </c>
      <c r="Z5" s="26">
        <f>HLOOKUP(Y5,Hoja2!$R$2:$AV$5,4,FALSE)</f>
        <v>0</v>
      </c>
      <c r="AC5" s="11"/>
      <c r="AD5" s="12">
        <v>110209</v>
      </c>
      <c r="AE5" s="12" t="s">
        <v>55</v>
      </c>
      <c r="AF5" s="12" t="str">
        <f t="shared" ref="AF5" si="10">AF4</f>
        <v xml:space="preserve">CPA Fondeo BCI ADM 656 a BCI OP 648 </v>
      </c>
      <c r="AG5" s="13"/>
      <c r="AH5" s="18">
        <f>AG4</f>
        <v>0</v>
      </c>
      <c r="AK5" s="1">
        <v>45569</v>
      </c>
      <c r="AL5" s="26">
        <f>HLOOKUP(AK5,Hoja2!$R$2:$AV$6,5,FALSE)</f>
        <v>45000000</v>
      </c>
      <c r="AO5" s="11"/>
      <c r="AP5" s="12">
        <v>110208</v>
      </c>
      <c r="AQ5" s="12" t="s">
        <v>46</v>
      </c>
      <c r="AR5" s="12" t="str">
        <f t="shared" ref="AR5" si="11">AR4</f>
        <v xml:space="preserve">CPA Traspaso de Fondos Bco. BCI 648 a Bco. BICE </v>
      </c>
      <c r="AS5" s="13"/>
      <c r="AT5" s="18">
        <f>AS4</f>
        <v>0</v>
      </c>
      <c r="AW5" s="1">
        <v>45569</v>
      </c>
      <c r="AX5" s="26">
        <f>HLOOKUP(AW5,Hoja2!$R$2:$AV$7,6,FALSE)</f>
        <v>0</v>
      </c>
      <c r="BA5" s="11"/>
      <c r="BB5" s="12">
        <v>110208</v>
      </c>
      <c r="BC5" s="12" t="s">
        <v>46</v>
      </c>
      <c r="BD5" s="12" t="str">
        <f t="shared" ref="BD5" si="12">BD4</f>
        <v xml:space="preserve">CPA Pago Operaciones Locales BCI OP 648 </v>
      </c>
      <c r="BE5" s="13"/>
      <c r="BF5" s="18">
        <f>BE4</f>
        <v>0</v>
      </c>
      <c r="BJ5" s="1">
        <v>45569</v>
      </c>
      <c r="BK5" s="26">
        <f>HLOOKUP(BJ5,Hoja2!$R$2:$AV$9,8,FALSE)</f>
        <v>0</v>
      </c>
      <c r="BN5" s="11"/>
      <c r="BO5" s="12">
        <v>110208</v>
      </c>
      <c r="BP5" s="12" t="s">
        <v>46</v>
      </c>
      <c r="BQ5" s="12" t="str">
        <f t="shared" ref="BQ5" si="13">BQ4</f>
        <v xml:space="preserve">CPA Fondeo BCI OP 648 a BCI ADM 656 </v>
      </c>
      <c r="BR5" s="13"/>
      <c r="BS5" s="18">
        <f t="shared" ref="BS5" si="14">BR4</f>
        <v>0</v>
      </c>
      <c r="BW5" s="1">
        <v>45569</v>
      </c>
      <c r="BX5" s="26">
        <f>HLOOKUP(BW5,Hoja2!$R$2:$AV$86,85,FALSE)</f>
        <v>0</v>
      </c>
      <c r="CA5" s="11"/>
      <c r="CB5" s="12">
        <v>110608</v>
      </c>
      <c r="CC5" s="12" t="s">
        <v>146</v>
      </c>
      <c r="CD5" s="12" t="str">
        <f t="shared" ref="CD5" si="15">CD4</f>
        <v>CPA LIQ CORRESPONSAL GC BCI 648</v>
      </c>
      <c r="CE5" s="13"/>
      <c r="CF5" s="18">
        <f t="shared" ref="CF5" si="16">CE4</f>
        <v>0</v>
      </c>
      <c r="CJ5" s="1">
        <v>45569</v>
      </c>
      <c r="CK5" s="26">
        <f>HLOOKUP(CJ5,Hoja2!$R$2:$AV$87,86,FALSE)</f>
        <v>0</v>
      </c>
      <c r="CN5" s="11"/>
      <c r="CO5" s="12">
        <v>110208</v>
      </c>
      <c r="CP5" s="12" t="s">
        <v>46</v>
      </c>
      <c r="CQ5" s="12" t="str">
        <f t="shared" ref="CQ5" si="17">CQ4</f>
        <v>CPA LIQ CORRESPONSAL GC BCI 648</v>
      </c>
      <c r="CR5" s="13"/>
      <c r="CS5" s="18">
        <f t="shared" ref="CS5" si="18">CR4</f>
        <v>0</v>
      </c>
    </row>
    <row r="6" spans="1:97" x14ac:dyDescent="0.25">
      <c r="A6" s="1">
        <v>45570</v>
      </c>
      <c r="B6" s="26">
        <f>HLOOKUP(A6,Hoja2!$R$2:$AV$3,2,FALSE)</f>
        <v>0</v>
      </c>
      <c r="E6" s="15">
        <v>45446</v>
      </c>
      <c r="F6" s="8">
        <v>110208</v>
      </c>
      <c r="G6" s="8" t="s">
        <v>46</v>
      </c>
      <c r="H6" s="8" t="str">
        <f t="shared" ref="H6" si="19">"CPA Recaudación Clientes BCI OP 648 "</f>
        <v xml:space="preserve">CPA Recaudación Clientes BCI OP 648 </v>
      </c>
      <c r="I6" s="16">
        <f>+B4</f>
        <v>1232710228</v>
      </c>
      <c r="J6" s="17"/>
      <c r="M6" s="1">
        <v>45570</v>
      </c>
      <c r="N6" s="26">
        <f>HLOOKUP(M6,Hoja2!$R$2:$AV$4,3,FALSE)</f>
        <v>0</v>
      </c>
      <c r="Q6" s="15">
        <v>45446</v>
      </c>
      <c r="R6" s="8">
        <v>110208</v>
      </c>
      <c r="S6" s="8" t="s">
        <v>46</v>
      </c>
      <c r="T6" s="8" t="str">
        <f t="shared" ref="T6" si="20">"CPA Abonos operaciones rechazadas BCI OP 648 "</f>
        <v xml:space="preserve">CPA Abonos operaciones rechazadas BCI OP 648 </v>
      </c>
      <c r="U6" s="16">
        <f>+N4</f>
        <v>0</v>
      </c>
      <c r="V6" s="17"/>
      <c r="Y6" s="1">
        <v>45570</v>
      </c>
      <c r="Z6" s="26">
        <f>HLOOKUP(Y6,Hoja2!$R$2:$AV$5,4,FALSE)</f>
        <v>0</v>
      </c>
      <c r="AC6" s="15">
        <v>45446</v>
      </c>
      <c r="AD6" s="8">
        <v>110208</v>
      </c>
      <c r="AE6" s="8" t="s">
        <v>46</v>
      </c>
      <c r="AF6" s="8" t="str">
        <f t="shared" ref="AF6" si="21">"CPA Fondeo BCI ADM 656 a BCI OP 648 "</f>
        <v xml:space="preserve">CPA Fondeo BCI ADM 656 a BCI OP 648 </v>
      </c>
      <c r="AG6" s="16">
        <f>+Z4</f>
        <v>0</v>
      </c>
      <c r="AH6" s="17"/>
      <c r="AK6" s="1">
        <v>45570</v>
      </c>
      <c r="AL6" s="26">
        <f>HLOOKUP(AK6,Hoja2!$R$2:$AV$6,5,FALSE)</f>
        <v>0</v>
      </c>
      <c r="AO6" s="15">
        <v>45446</v>
      </c>
      <c r="AP6" s="8">
        <v>110204</v>
      </c>
      <c r="AQ6" s="8" t="s">
        <v>51</v>
      </c>
      <c r="AR6" s="8" t="str">
        <f t="shared" ref="AR6" si="22">"CPA Traspaso de Fondos Bco. BCI 648 a Bco. BICE "</f>
        <v xml:space="preserve">CPA Traspaso de Fondos Bco. BCI 648 a Bco. BICE </v>
      </c>
      <c r="AS6" s="16">
        <f>+AL4</f>
        <v>0</v>
      </c>
      <c r="AT6" s="17"/>
      <c r="AW6" s="1">
        <v>45570</v>
      </c>
      <c r="AX6" s="26">
        <f>HLOOKUP(AW6,Hoja2!$R$2:$AV$7,6,FALSE)</f>
        <v>0</v>
      </c>
      <c r="BA6" s="15">
        <v>45446</v>
      </c>
      <c r="BB6" s="8">
        <v>211101</v>
      </c>
      <c r="BC6" s="8" t="s">
        <v>18</v>
      </c>
      <c r="BD6" s="8" t="str">
        <f t="shared" ref="BD6" si="23">"CPA Pago Operaciones Locales BCI OP 648 "</f>
        <v xml:space="preserve">CPA Pago Operaciones Locales BCI OP 648 </v>
      </c>
      <c r="BE6" s="16">
        <f>+AX4</f>
        <v>0</v>
      </c>
      <c r="BF6" s="17"/>
      <c r="BJ6" s="1">
        <v>45570</v>
      </c>
      <c r="BK6" s="26">
        <f>HLOOKUP(BJ6,Hoja2!$R$2:$AV$9,8,FALSE)</f>
        <v>0</v>
      </c>
      <c r="BN6" s="15">
        <v>45446</v>
      </c>
      <c r="BO6" s="8">
        <v>110209</v>
      </c>
      <c r="BP6" s="8" t="s">
        <v>55</v>
      </c>
      <c r="BQ6" s="8" t="str">
        <f t="shared" ref="BQ6" si="24">"CPA Fondeo BCI OP 648 a BCI ADM 656 "</f>
        <v xml:space="preserve">CPA Fondeo BCI OP 648 a BCI ADM 656 </v>
      </c>
      <c r="BR6" s="16">
        <f>+BK4</f>
        <v>0</v>
      </c>
      <c r="BS6" s="17"/>
      <c r="BW6" s="1">
        <v>45570</v>
      </c>
      <c r="BX6" s="26">
        <f>HLOOKUP(BW6,Hoja2!$R$2:$AV$86,85,FALSE)</f>
        <v>0</v>
      </c>
      <c r="CA6" s="15">
        <v>45446</v>
      </c>
      <c r="CB6" s="8">
        <v>110208</v>
      </c>
      <c r="CC6" s="8" t="s">
        <v>46</v>
      </c>
      <c r="CD6" s="8" t="str">
        <f t="shared" ref="CD6" si="25">"CPA LIQ CORRESPONSAL GC BCI 648"</f>
        <v>CPA LIQ CORRESPONSAL GC BCI 648</v>
      </c>
      <c r="CE6" s="16">
        <f>+BX4</f>
        <v>0</v>
      </c>
      <c r="CF6" s="17"/>
      <c r="CJ6" s="1">
        <v>45570</v>
      </c>
      <c r="CK6" s="26">
        <f>HLOOKUP(CJ6,Hoja2!$R$2:$AV$87,86,FALSE)</f>
        <v>0</v>
      </c>
      <c r="CN6" s="15">
        <v>45446</v>
      </c>
      <c r="CO6" s="8">
        <v>110608</v>
      </c>
      <c r="CP6" s="8" t="s">
        <v>146</v>
      </c>
      <c r="CQ6" s="8" t="str">
        <f t="shared" ref="CQ6" si="26">"CPA LIQ CORRESPONSAL GC BCI 648"</f>
        <v>CPA LIQ CORRESPONSAL GC BCI 648</v>
      </c>
      <c r="CR6" s="16">
        <f>+CK4</f>
        <v>0</v>
      </c>
      <c r="CS6" s="17"/>
    </row>
    <row r="7" spans="1:97" x14ac:dyDescent="0.25">
      <c r="A7" s="1">
        <v>45571</v>
      </c>
      <c r="B7" s="26">
        <f>HLOOKUP(A7,Hoja2!$R$2:$AV$3,2,FALSE)</f>
        <v>0</v>
      </c>
      <c r="E7" s="11"/>
      <c r="F7" s="12">
        <v>211101</v>
      </c>
      <c r="G7" s="12" t="s">
        <v>18</v>
      </c>
      <c r="H7" s="12" t="str">
        <f t="shared" ref="H7" si="27">H6</f>
        <v xml:space="preserve">CPA Recaudación Clientes BCI OP 648 </v>
      </c>
      <c r="I7" s="13"/>
      <c r="J7" s="18">
        <f>I6</f>
        <v>1232710228</v>
      </c>
      <c r="M7" s="1">
        <v>45571</v>
      </c>
      <c r="N7" s="26">
        <f>HLOOKUP(M7,Hoja2!$R$2:$AV$4,3,FALSE)</f>
        <v>0</v>
      </c>
      <c r="Q7" s="11"/>
      <c r="R7" s="12">
        <v>211101</v>
      </c>
      <c r="S7" s="12" t="s">
        <v>18</v>
      </c>
      <c r="T7" s="12" t="str">
        <f t="shared" ref="T7" si="28">T6</f>
        <v xml:space="preserve">CPA Abonos operaciones rechazadas BCI OP 648 </v>
      </c>
      <c r="U7" s="13"/>
      <c r="V7" s="18">
        <f>U6</f>
        <v>0</v>
      </c>
      <c r="Y7" s="1">
        <v>45571</v>
      </c>
      <c r="Z7" s="26">
        <f>HLOOKUP(Y7,Hoja2!$R$2:$AV$5,4,FALSE)</f>
        <v>0</v>
      </c>
      <c r="AC7" s="11"/>
      <c r="AD7" s="12">
        <v>110209</v>
      </c>
      <c r="AE7" s="12" t="s">
        <v>55</v>
      </c>
      <c r="AF7" s="12" t="str">
        <f t="shared" ref="AF7" si="29">AF6</f>
        <v xml:space="preserve">CPA Fondeo BCI ADM 656 a BCI OP 648 </v>
      </c>
      <c r="AG7" s="13"/>
      <c r="AH7" s="18">
        <f>AG6</f>
        <v>0</v>
      </c>
      <c r="AK7" s="1">
        <v>45571</v>
      </c>
      <c r="AL7" s="26">
        <f>HLOOKUP(AK7,Hoja2!$R$2:$AV$6,5,FALSE)</f>
        <v>0</v>
      </c>
      <c r="AO7" s="11"/>
      <c r="AP7" s="12">
        <v>110208</v>
      </c>
      <c r="AQ7" s="12" t="s">
        <v>46</v>
      </c>
      <c r="AR7" s="12" t="str">
        <f t="shared" ref="AR7" si="30">AR6</f>
        <v xml:space="preserve">CPA Traspaso de Fondos Bco. BCI 648 a Bco. BICE </v>
      </c>
      <c r="AS7" s="13"/>
      <c r="AT7" s="18">
        <f>AS6</f>
        <v>0</v>
      </c>
      <c r="AW7" s="1">
        <v>45571</v>
      </c>
      <c r="AX7" s="26">
        <f>HLOOKUP(AW7,Hoja2!$R$2:$AV$7,6,FALSE)</f>
        <v>0</v>
      </c>
      <c r="BA7" s="11"/>
      <c r="BB7" s="12">
        <v>110208</v>
      </c>
      <c r="BC7" s="12" t="s">
        <v>46</v>
      </c>
      <c r="BD7" s="12" t="str">
        <f t="shared" ref="BD7" si="31">BD6</f>
        <v xml:space="preserve">CPA Pago Operaciones Locales BCI OP 648 </v>
      </c>
      <c r="BE7" s="13"/>
      <c r="BF7" s="18">
        <f>BE6</f>
        <v>0</v>
      </c>
      <c r="BJ7" s="1">
        <v>45571</v>
      </c>
      <c r="BK7" s="26">
        <f>HLOOKUP(BJ7,Hoja2!$R$2:$AV$9,8,FALSE)</f>
        <v>0</v>
      </c>
      <c r="BN7" s="11"/>
      <c r="BO7" s="12">
        <v>110208</v>
      </c>
      <c r="BP7" s="12" t="s">
        <v>46</v>
      </c>
      <c r="BQ7" s="12" t="str">
        <f t="shared" ref="BQ7" si="32">BQ6</f>
        <v xml:space="preserve">CPA Fondeo BCI OP 648 a BCI ADM 656 </v>
      </c>
      <c r="BR7" s="13"/>
      <c r="BS7" s="18">
        <f t="shared" ref="BS7" si="33">BR6</f>
        <v>0</v>
      </c>
      <c r="BW7" s="1">
        <v>45571</v>
      </c>
      <c r="BX7" s="26">
        <f>HLOOKUP(BW7,Hoja2!$R$2:$AV$86,85,FALSE)</f>
        <v>0</v>
      </c>
      <c r="CA7" s="11"/>
      <c r="CB7" s="12">
        <v>110608</v>
      </c>
      <c r="CC7" s="12" t="s">
        <v>146</v>
      </c>
      <c r="CD7" s="12" t="str">
        <f t="shared" ref="CD7" si="34">CD6</f>
        <v>CPA LIQ CORRESPONSAL GC BCI 648</v>
      </c>
      <c r="CE7" s="13"/>
      <c r="CF7" s="18">
        <f t="shared" ref="CF7" si="35">CE6</f>
        <v>0</v>
      </c>
      <c r="CJ7" s="1">
        <v>45571</v>
      </c>
      <c r="CK7" s="26">
        <f>HLOOKUP(CJ7,Hoja2!$R$2:$AV$87,86,FALSE)</f>
        <v>0</v>
      </c>
      <c r="CN7" s="11"/>
      <c r="CO7" s="12">
        <v>110208</v>
      </c>
      <c r="CP7" s="12" t="s">
        <v>46</v>
      </c>
      <c r="CQ7" s="12" t="str">
        <f t="shared" ref="CQ7" si="36">CQ6</f>
        <v>CPA LIQ CORRESPONSAL GC BCI 648</v>
      </c>
      <c r="CR7" s="13"/>
      <c r="CS7" s="18">
        <f t="shared" ref="CS7" si="37">CR6</f>
        <v>0</v>
      </c>
    </row>
    <row r="8" spans="1:97" x14ac:dyDescent="0.25">
      <c r="A8" s="1">
        <v>45572</v>
      </c>
      <c r="B8" s="26">
        <f>HLOOKUP(A8,Hoja2!$R$2:$AV$3,2,FALSE)</f>
        <v>1773798757</v>
      </c>
      <c r="E8" s="15">
        <v>45447</v>
      </c>
      <c r="F8" s="8">
        <v>110208</v>
      </c>
      <c r="G8" s="8" t="s">
        <v>46</v>
      </c>
      <c r="H8" s="8" t="str">
        <f t="shared" ref="H8" si="38">"CPA Recaudación Clientes BCI OP 648 "</f>
        <v xml:space="preserve">CPA Recaudación Clientes BCI OP 648 </v>
      </c>
      <c r="I8" s="16">
        <f>+B5</f>
        <v>1052420022</v>
      </c>
      <c r="J8" s="17"/>
      <c r="M8" s="1">
        <v>45572</v>
      </c>
      <c r="N8" s="26">
        <f>HLOOKUP(M8,Hoja2!$R$2:$AV$4,3,FALSE)</f>
        <v>3024873</v>
      </c>
      <c r="Q8" s="15">
        <v>45447</v>
      </c>
      <c r="R8" s="8">
        <v>110208</v>
      </c>
      <c r="S8" s="8" t="s">
        <v>46</v>
      </c>
      <c r="T8" s="8" t="str">
        <f t="shared" ref="T8" si="39">"CPA Abonos operaciones rechazadas BCI OP 648 "</f>
        <v xml:space="preserve">CPA Abonos operaciones rechazadas BCI OP 648 </v>
      </c>
      <c r="U8" s="16">
        <f>+N5</f>
        <v>18419653</v>
      </c>
      <c r="V8" s="17"/>
      <c r="Y8" s="1">
        <v>45572</v>
      </c>
      <c r="Z8" s="26">
        <f>HLOOKUP(Y8,Hoja2!$R$2:$AV$5,4,FALSE)</f>
        <v>0</v>
      </c>
      <c r="AC8" s="15">
        <v>45447</v>
      </c>
      <c r="AD8" s="8">
        <v>110208</v>
      </c>
      <c r="AE8" s="8" t="s">
        <v>46</v>
      </c>
      <c r="AF8" s="8" t="str">
        <f t="shared" ref="AF8" si="40">"CPA Fondeo BCI ADM 656 a BCI OP 648 "</f>
        <v xml:space="preserve">CPA Fondeo BCI ADM 656 a BCI OP 648 </v>
      </c>
      <c r="AG8" s="16">
        <f>+Z5</f>
        <v>0</v>
      </c>
      <c r="AH8" s="17"/>
      <c r="AK8" s="1">
        <v>45572</v>
      </c>
      <c r="AL8" s="26">
        <f>HLOOKUP(AK8,Hoja2!$R$2:$AV$6,5,FALSE)</f>
        <v>0</v>
      </c>
      <c r="AO8" s="15">
        <v>45447</v>
      </c>
      <c r="AP8" s="8">
        <v>110204</v>
      </c>
      <c r="AQ8" s="8" t="s">
        <v>51</v>
      </c>
      <c r="AR8" s="8" t="str">
        <f t="shared" ref="AR8" si="41">"CPA Traspaso de Fondos Bco. BCI 648 a Bco. BICE "</f>
        <v xml:space="preserve">CPA Traspaso de Fondos Bco. BCI 648 a Bco. BICE </v>
      </c>
      <c r="AS8" s="16">
        <f>+AL5</f>
        <v>45000000</v>
      </c>
      <c r="AT8" s="17"/>
      <c r="AW8" s="1">
        <v>45572</v>
      </c>
      <c r="AX8" s="26">
        <f>HLOOKUP(AW8,Hoja2!$R$2:$AV$7,6,FALSE)</f>
        <v>0</v>
      </c>
      <c r="BA8" s="15">
        <v>45447</v>
      </c>
      <c r="BB8" s="8">
        <v>211101</v>
      </c>
      <c r="BC8" s="8" t="s">
        <v>18</v>
      </c>
      <c r="BD8" s="8" t="str">
        <f t="shared" ref="BD8" si="42">"CPA Pago Operaciones Locales BCI OP 648 "</f>
        <v xml:space="preserve">CPA Pago Operaciones Locales BCI OP 648 </v>
      </c>
      <c r="BE8" s="16">
        <f>+AX5</f>
        <v>0</v>
      </c>
      <c r="BF8" s="17"/>
      <c r="BJ8" s="1">
        <v>45572</v>
      </c>
      <c r="BK8" s="26">
        <f>HLOOKUP(BJ8,Hoja2!$R$2:$AV$9,8,FALSE)</f>
        <v>0</v>
      </c>
      <c r="BN8" s="15">
        <v>45447</v>
      </c>
      <c r="BO8" s="8">
        <v>110209</v>
      </c>
      <c r="BP8" s="8" t="s">
        <v>55</v>
      </c>
      <c r="BQ8" s="8" t="str">
        <f t="shared" ref="BQ8" si="43">"CPA Fondeo BCI OP 648 a BCI ADM 656 "</f>
        <v xml:space="preserve">CPA Fondeo BCI OP 648 a BCI ADM 656 </v>
      </c>
      <c r="BR8" s="16">
        <f>+BK5</f>
        <v>0</v>
      </c>
      <c r="BS8" s="17"/>
      <c r="BW8" s="1">
        <v>45572</v>
      </c>
      <c r="BX8" s="26">
        <f>HLOOKUP(BW8,Hoja2!$R$2:$AV$86,85,FALSE)</f>
        <v>0</v>
      </c>
      <c r="CA8" s="15">
        <v>45447</v>
      </c>
      <c r="CB8" s="8">
        <v>110208</v>
      </c>
      <c r="CC8" s="8" t="s">
        <v>46</v>
      </c>
      <c r="CD8" s="8" t="str">
        <f t="shared" ref="CD8" si="44">"CPA LIQ CORRESPONSAL GC BCI 648"</f>
        <v>CPA LIQ CORRESPONSAL GC BCI 648</v>
      </c>
      <c r="CE8" s="16">
        <f>+BX5</f>
        <v>0</v>
      </c>
      <c r="CF8" s="17"/>
      <c r="CJ8" s="1">
        <v>45572</v>
      </c>
      <c r="CK8" s="26">
        <f>HLOOKUP(CJ8,Hoja2!$R$2:$AV$87,86,FALSE)</f>
        <v>0</v>
      </c>
      <c r="CN8" s="15">
        <v>45447</v>
      </c>
      <c r="CO8" s="8">
        <v>110608</v>
      </c>
      <c r="CP8" s="8" t="s">
        <v>146</v>
      </c>
      <c r="CQ8" s="8" t="str">
        <f t="shared" ref="CQ8" si="45">"CPA LIQ CORRESPONSAL GC BCI 648"</f>
        <v>CPA LIQ CORRESPONSAL GC BCI 648</v>
      </c>
      <c r="CR8" s="16">
        <f>+CK5</f>
        <v>0</v>
      </c>
      <c r="CS8" s="17"/>
    </row>
    <row r="9" spans="1:97" x14ac:dyDescent="0.25">
      <c r="A9" s="1">
        <v>45573</v>
      </c>
      <c r="B9" s="26">
        <f>HLOOKUP(A9,Hoja2!$R$2:$AV$3,2,FALSE)</f>
        <v>1219246975</v>
      </c>
      <c r="E9" s="20"/>
      <c r="F9">
        <v>211101</v>
      </c>
      <c r="G9" t="s">
        <v>18</v>
      </c>
      <c r="H9" t="str">
        <f t="shared" ref="H9" si="46">H8</f>
        <v xml:space="preserve">CPA Recaudación Clientes BCI OP 648 </v>
      </c>
      <c r="J9" s="10">
        <f>I8</f>
        <v>1052420022</v>
      </c>
      <c r="M9" s="1">
        <v>45573</v>
      </c>
      <c r="N9" s="26">
        <f>HLOOKUP(M9,Hoja2!$R$2:$AV$4,3,FALSE)</f>
        <v>173217</v>
      </c>
      <c r="Q9" s="20"/>
      <c r="R9">
        <v>211101</v>
      </c>
      <c r="S9" t="s">
        <v>18</v>
      </c>
      <c r="T9" t="str">
        <f t="shared" ref="T9" si="47">T8</f>
        <v xml:space="preserve">CPA Abonos operaciones rechazadas BCI OP 648 </v>
      </c>
      <c r="V9" s="10">
        <f>U8</f>
        <v>18419653</v>
      </c>
      <c r="Y9" s="1">
        <v>45573</v>
      </c>
      <c r="Z9" s="26">
        <f>HLOOKUP(Y9,Hoja2!$R$2:$AV$5,4,FALSE)</f>
        <v>0</v>
      </c>
      <c r="AC9" s="20"/>
      <c r="AD9">
        <v>110209</v>
      </c>
      <c r="AE9" t="s">
        <v>55</v>
      </c>
      <c r="AF9" t="str">
        <f t="shared" ref="AF9" si="48">AF8</f>
        <v xml:space="preserve">CPA Fondeo BCI ADM 656 a BCI OP 648 </v>
      </c>
      <c r="AH9" s="10">
        <f>AG8</f>
        <v>0</v>
      </c>
      <c r="AK9" s="1">
        <v>45573</v>
      </c>
      <c r="AL9" s="26">
        <f>HLOOKUP(AK9,Hoja2!$R$2:$AV$6,5,FALSE)</f>
        <v>635000000</v>
      </c>
      <c r="AO9" s="20"/>
      <c r="AP9">
        <v>110208</v>
      </c>
      <c r="AQ9" t="s">
        <v>46</v>
      </c>
      <c r="AR9" t="str">
        <f t="shared" ref="AR9" si="49">AR8</f>
        <v xml:space="preserve">CPA Traspaso de Fondos Bco. BCI 648 a Bco. BICE </v>
      </c>
      <c r="AT9" s="10">
        <f>AS8</f>
        <v>45000000</v>
      </c>
      <c r="AW9" s="1">
        <v>45573</v>
      </c>
      <c r="AX9" s="26">
        <f>HLOOKUP(AW9,Hoja2!$R$2:$AV$7,6,FALSE)</f>
        <v>0</v>
      </c>
      <c r="BA9" s="20"/>
      <c r="BB9">
        <v>110208</v>
      </c>
      <c r="BC9" t="s">
        <v>46</v>
      </c>
      <c r="BD9" t="str">
        <f t="shared" ref="BD9" si="50">BD8</f>
        <v xml:space="preserve">CPA Pago Operaciones Locales BCI OP 648 </v>
      </c>
      <c r="BF9" s="10">
        <f>BE8</f>
        <v>0</v>
      </c>
      <c r="BJ9" s="1">
        <v>45573</v>
      </c>
      <c r="BK9" s="26">
        <f>HLOOKUP(BJ9,Hoja2!$R$2:$AV$9,8,FALSE)</f>
        <v>0</v>
      </c>
      <c r="BN9" s="20"/>
      <c r="BO9">
        <v>110208</v>
      </c>
      <c r="BP9" t="s">
        <v>46</v>
      </c>
      <c r="BQ9" t="str">
        <f t="shared" ref="BQ9" si="51">BQ8</f>
        <v xml:space="preserve">CPA Fondeo BCI OP 648 a BCI ADM 656 </v>
      </c>
      <c r="BS9" s="10">
        <f t="shared" ref="BS9" si="52">BR8</f>
        <v>0</v>
      </c>
      <c r="BW9" s="1">
        <v>45573</v>
      </c>
      <c r="BX9" s="26">
        <f>HLOOKUP(BW9,Hoja2!$R$2:$AV$86,85,FALSE)</f>
        <v>0</v>
      </c>
      <c r="CA9" s="20"/>
      <c r="CB9">
        <v>110608</v>
      </c>
      <c r="CC9" t="s">
        <v>146</v>
      </c>
      <c r="CD9" t="str">
        <f t="shared" ref="CD9" si="53">CD8</f>
        <v>CPA LIQ CORRESPONSAL GC BCI 648</v>
      </c>
      <c r="CF9" s="10">
        <f t="shared" ref="CF9" si="54">CE8</f>
        <v>0</v>
      </c>
      <c r="CJ9" s="1">
        <v>45573</v>
      </c>
      <c r="CK9" s="26">
        <f>HLOOKUP(CJ9,Hoja2!$R$2:$AV$87,86,FALSE)</f>
        <v>0</v>
      </c>
      <c r="CN9" s="20"/>
      <c r="CO9">
        <v>110208</v>
      </c>
      <c r="CP9" t="s">
        <v>46</v>
      </c>
      <c r="CQ9" t="str">
        <f t="shared" ref="CQ9" si="55">CQ8</f>
        <v>CPA LIQ CORRESPONSAL GC BCI 648</v>
      </c>
      <c r="CS9" s="10">
        <f t="shared" ref="CS9" si="56">CR8</f>
        <v>0</v>
      </c>
    </row>
    <row r="10" spans="1:97" x14ac:dyDescent="0.25">
      <c r="A10" s="1">
        <v>45574</v>
      </c>
      <c r="B10" s="26">
        <f>HLOOKUP(A10,Hoja2!$R$2:$AV$3,2,FALSE)</f>
        <v>1059012643</v>
      </c>
      <c r="E10" s="15">
        <v>45448</v>
      </c>
      <c r="F10" s="8">
        <v>110208</v>
      </c>
      <c r="G10" s="8" t="s">
        <v>46</v>
      </c>
      <c r="H10" s="8" t="str">
        <f t="shared" ref="H10" si="57">"CPA Recaudación Clientes BCI OP 648 "</f>
        <v xml:space="preserve">CPA Recaudación Clientes BCI OP 648 </v>
      </c>
      <c r="I10" s="16">
        <f>+B6</f>
        <v>0</v>
      </c>
      <c r="J10" s="17"/>
      <c r="M10" s="1">
        <v>45574</v>
      </c>
      <c r="N10" s="26">
        <f>HLOOKUP(M10,Hoja2!$R$2:$AV$4,3,FALSE)</f>
        <v>3115513</v>
      </c>
      <c r="Q10" s="15">
        <v>45448</v>
      </c>
      <c r="R10" s="8">
        <v>110208</v>
      </c>
      <c r="S10" s="8" t="s">
        <v>46</v>
      </c>
      <c r="T10" s="8" t="str">
        <f t="shared" ref="T10" si="58">"CPA Abonos operaciones rechazadas BCI OP 648 "</f>
        <v xml:space="preserve">CPA Abonos operaciones rechazadas BCI OP 648 </v>
      </c>
      <c r="U10" s="16">
        <f>+N6</f>
        <v>0</v>
      </c>
      <c r="V10" s="17"/>
      <c r="Y10" s="1">
        <v>45574</v>
      </c>
      <c r="Z10" s="26">
        <f>HLOOKUP(Y10,Hoja2!$R$2:$AV$5,4,FALSE)</f>
        <v>0</v>
      </c>
      <c r="AC10" s="15">
        <v>45448</v>
      </c>
      <c r="AD10" s="8">
        <v>110208</v>
      </c>
      <c r="AE10" s="8" t="s">
        <v>46</v>
      </c>
      <c r="AF10" s="8" t="str">
        <f t="shared" ref="AF10" si="59">"CPA Fondeo BCI ADM 656 a BCI OP 648 "</f>
        <v xml:space="preserve">CPA Fondeo BCI ADM 656 a BCI OP 648 </v>
      </c>
      <c r="AG10" s="16">
        <f>+Z6</f>
        <v>0</v>
      </c>
      <c r="AH10" s="17"/>
      <c r="AK10" s="1">
        <v>45574</v>
      </c>
      <c r="AL10" s="26">
        <f>HLOOKUP(AK10,Hoja2!$R$2:$AV$6,5,FALSE)</f>
        <v>0</v>
      </c>
      <c r="AO10" s="15">
        <v>45448</v>
      </c>
      <c r="AP10" s="8">
        <v>110204</v>
      </c>
      <c r="AQ10" s="8" t="s">
        <v>51</v>
      </c>
      <c r="AR10" s="8" t="str">
        <f t="shared" ref="AR10" si="60">"CPA Traspaso de Fondos Bco. BCI 648 a Bco. BICE "</f>
        <v xml:space="preserve">CPA Traspaso de Fondos Bco. BCI 648 a Bco. BICE </v>
      </c>
      <c r="AS10" s="16">
        <f>+AL6</f>
        <v>0</v>
      </c>
      <c r="AT10" s="17"/>
      <c r="AW10" s="1">
        <v>45574</v>
      </c>
      <c r="AX10" s="26">
        <f>HLOOKUP(AW10,Hoja2!$R$2:$AV$7,6,FALSE)</f>
        <v>0</v>
      </c>
      <c r="BA10" s="15">
        <v>45448</v>
      </c>
      <c r="BB10" s="8">
        <v>211101</v>
      </c>
      <c r="BC10" s="8" t="s">
        <v>18</v>
      </c>
      <c r="BD10" s="8" t="str">
        <f t="shared" ref="BD10" si="61">"CPA Pago Operaciones Locales BCI OP 648 "</f>
        <v xml:space="preserve">CPA Pago Operaciones Locales BCI OP 648 </v>
      </c>
      <c r="BE10" s="16">
        <f>+AX6</f>
        <v>0</v>
      </c>
      <c r="BF10" s="17"/>
      <c r="BJ10" s="1">
        <v>45574</v>
      </c>
      <c r="BK10" s="26">
        <f>HLOOKUP(BJ10,Hoja2!$R$2:$AV$9,8,FALSE)</f>
        <v>110000000</v>
      </c>
      <c r="BN10" s="15">
        <v>45448</v>
      </c>
      <c r="BO10" s="8">
        <v>110209</v>
      </c>
      <c r="BP10" s="8" t="s">
        <v>55</v>
      </c>
      <c r="BQ10" s="8" t="str">
        <f t="shared" ref="BQ10" si="62">"CPA Fondeo BCI OP 648 a BCI ADM 656 "</f>
        <v xml:space="preserve">CPA Fondeo BCI OP 648 a BCI ADM 656 </v>
      </c>
      <c r="BR10" s="16">
        <f>+BK6</f>
        <v>0</v>
      </c>
      <c r="BS10" s="17"/>
      <c r="BW10" s="1">
        <v>45574</v>
      </c>
      <c r="BX10" s="26">
        <f>HLOOKUP(BW10,Hoja2!$R$2:$AV$86,85,FALSE)</f>
        <v>761500000</v>
      </c>
      <c r="CA10" s="15">
        <v>45448</v>
      </c>
      <c r="CB10" s="8">
        <v>110208</v>
      </c>
      <c r="CC10" s="8" t="s">
        <v>46</v>
      </c>
      <c r="CD10" s="8" t="str">
        <f t="shared" ref="CD10" si="63">"CPA LIQ CORRESPONSAL GC BCI 648"</f>
        <v>CPA LIQ CORRESPONSAL GC BCI 648</v>
      </c>
      <c r="CE10" s="16">
        <f>+BX6</f>
        <v>0</v>
      </c>
      <c r="CF10" s="17"/>
      <c r="CJ10" s="1">
        <v>45574</v>
      </c>
      <c r="CK10" s="26">
        <f>HLOOKUP(CJ10,Hoja2!$R$2:$AV$87,86,FALSE)</f>
        <v>0</v>
      </c>
      <c r="CN10" s="15">
        <v>45448</v>
      </c>
      <c r="CO10" s="8">
        <v>110608</v>
      </c>
      <c r="CP10" s="8" t="s">
        <v>146</v>
      </c>
      <c r="CQ10" s="8" t="str">
        <f t="shared" ref="CQ10" si="64">"CPA LIQ CORRESPONSAL GC BCI 648"</f>
        <v>CPA LIQ CORRESPONSAL GC BCI 648</v>
      </c>
      <c r="CR10" s="16">
        <f>+CK6</f>
        <v>0</v>
      </c>
      <c r="CS10" s="17"/>
    </row>
    <row r="11" spans="1:97" x14ac:dyDescent="0.25">
      <c r="A11" s="1">
        <v>45575</v>
      </c>
      <c r="B11" s="26">
        <f>HLOOKUP(A11,Hoja2!$R$2:$AV$3,2,FALSE)</f>
        <v>1270585217</v>
      </c>
      <c r="E11" s="20"/>
      <c r="F11">
        <v>211101</v>
      </c>
      <c r="G11" t="s">
        <v>18</v>
      </c>
      <c r="H11" t="str">
        <f t="shared" ref="H11" si="65">H10</f>
        <v xml:space="preserve">CPA Recaudación Clientes BCI OP 648 </v>
      </c>
      <c r="J11" s="10">
        <f>I10</f>
        <v>0</v>
      </c>
      <c r="M11" s="1">
        <v>45575</v>
      </c>
      <c r="N11" s="26">
        <f>HLOOKUP(M11,Hoja2!$R$2:$AV$4,3,FALSE)</f>
        <v>602083</v>
      </c>
      <c r="Q11" s="20"/>
      <c r="R11">
        <v>211101</v>
      </c>
      <c r="S11" t="s">
        <v>18</v>
      </c>
      <c r="T11" t="str">
        <f t="shared" ref="T11" si="66">T10</f>
        <v xml:space="preserve">CPA Abonos operaciones rechazadas BCI OP 648 </v>
      </c>
      <c r="V11" s="10">
        <f>U10</f>
        <v>0</v>
      </c>
      <c r="Y11" s="1">
        <v>45575</v>
      </c>
      <c r="Z11" s="26">
        <f>HLOOKUP(Y11,Hoja2!$R$2:$AV$5,4,FALSE)</f>
        <v>0</v>
      </c>
      <c r="AC11" s="20"/>
      <c r="AD11">
        <v>110209</v>
      </c>
      <c r="AE11" t="s">
        <v>55</v>
      </c>
      <c r="AF11" t="str">
        <f t="shared" ref="AF11" si="67">AF10</f>
        <v xml:space="preserve">CPA Fondeo BCI ADM 656 a BCI OP 648 </v>
      </c>
      <c r="AH11" s="10">
        <f>AG10</f>
        <v>0</v>
      </c>
      <c r="AK11" s="1">
        <v>45575</v>
      </c>
      <c r="AL11" s="26">
        <f>HLOOKUP(AK11,Hoja2!$R$2:$AV$6,5,FALSE)</f>
        <v>0</v>
      </c>
      <c r="AO11" s="20"/>
      <c r="AP11">
        <v>110208</v>
      </c>
      <c r="AQ11" t="s">
        <v>46</v>
      </c>
      <c r="AR11" t="str">
        <f t="shared" ref="AR11" si="68">AR10</f>
        <v xml:space="preserve">CPA Traspaso de Fondos Bco. BCI 648 a Bco. BICE </v>
      </c>
      <c r="AT11" s="10">
        <f>AS10</f>
        <v>0</v>
      </c>
      <c r="AW11" s="1">
        <v>45575</v>
      </c>
      <c r="AX11" s="26">
        <f>HLOOKUP(AW11,Hoja2!$R$2:$AV$7,6,FALSE)</f>
        <v>0</v>
      </c>
      <c r="BA11" s="20"/>
      <c r="BB11">
        <v>110208</v>
      </c>
      <c r="BC11" t="s">
        <v>46</v>
      </c>
      <c r="BD11" t="str">
        <f t="shared" ref="BD11" si="69">BD10</f>
        <v xml:space="preserve">CPA Pago Operaciones Locales BCI OP 648 </v>
      </c>
      <c r="BF11" s="10">
        <f>BE10</f>
        <v>0</v>
      </c>
      <c r="BJ11" s="1">
        <v>45575</v>
      </c>
      <c r="BK11" s="26">
        <f>HLOOKUP(BJ11,Hoja2!$R$2:$AV$9,8,FALSE)</f>
        <v>0</v>
      </c>
      <c r="BN11" s="20"/>
      <c r="BO11">
        <v>110208</v>
      </c>
      <c r="BP11" t="s">
        <v>46</v>
      </c>
      <c r="BQ11" t="str">
        <f t="shared" ref="BQ11" si="70">BQ10</f>
        <v xml:space="preserve">CPA Fondeo BCI OP 648 a BCI ADM 656 </v>
      </c>
      <c r="BS11" s="10">
        <f t="shared" ref="BS11" si="71">BR10</f>
        <v>0</v>
      </c>
      <c r="BW11" s="1">
        <v>45575</v>
      </c>
      <c r="BX11" s="26">
        <f>HLOOKUP(BW11,Hoja2!$R$2:$AV$86,85,FALSE)</f>
        <v>418264215</v>
      </c>
      <c r="CA11" s="20"/>
      <c r="CB11">
        <v>110608</v>
      </c>
      <c r="CC11" t="s">
        <v>146</v>
      </c>
      <c r="CD11" t="str">
        <f t="shared" ref="CD11" si="72">CD10</f>
        <v>CPA LIQ CORRESPONSAL GC BCI 648</v>
      </c>
      <c r="CF11" s="10">
        <f t="shared" ref="CF11" si="73">CE10</f>
        <v>0</v>
      </c>
      <c r="CJ11" s="1">
        <v>45575</v>
      </c>
      <c r="CK11" s="26">
        <f>HLOOKUP(CJ11,Hoja2!$R$2:$AV$87,86,FALSE)</f>
        <v>0</v>
      </c>
      <c r="CN11" s="20"/>
      <c r="CO11">
        <v>110208</v>
      </c>
      <c r="CP11" t="s">
        <v>46</v>
      </c>
      <c r="CQ11" t="str">
        <f t="shared" ref="CQ11" si="74">CQ10</f>
        <v>CPA LIQ CORRESPONSAL GC BCI 648</v>
      </c>
      <c r="CS11" s="10">
        <f t="shared" ref="CS11" si="75">CR10</f>
        <v>0</v>
      </c>
    </row>
    <row r="12" spans="1:97" x14ac:dyDescent="0.25">
      <c r="A12" s="1">
        <v>45576</v>
      </c>
      <c r="B12" s="26">
        <f>HLOOKUP(A12,Hoja2!$R$2:$AV$3,2,FALSE)</f>
        <v>1306166827</v>
      </c>
      <c r="D12" s="19"/>
      <c r="E12" s="15">
        <v>45449</v>
      </c>
      <c r="F12" s="8">
        <v>110208</v>
      </c>
      <c r="G12" s="8" t="s">
        <v>46</v>
      </c>
      <c r="H12" s="8" t="str">
        <f t="shared" ref="H12" si="76">"CPA Recaudación Clientes BCI OP 648 "</f>
        <v xml:space="preserve">CPA Recaudación Clientes BCI OP 648 </v>
      </c>
      <c r="I12" s="16">
        <f>+B7</f>
        <v>0</v>
      </c>
      <c r="J12" s="17"/>
      <c r="M12" s="1">
        <v>45576</v>
      </c>
      <c r="N12" s="26">
        <f>HLOOKUP(M12,Hoja2!$R$2:$AV$4,3,FALSE)</f>
        <v>46661</v>
      </c>
      <c r="P12" s="19"/>
      <c r="Q12" s="15">
        <v>45449</v>
      </c>
      <c r="R12" s="8">
        <v>110208</v>
      </c>
      <c r="S12" s="8" t="s">
        <v>46</v>
      </c>
      <c r="T12" s="8" t="str">
        <f t="shared" ref="T12" si="77">"CPA Abonos operaciones rechazadas BCI OP 648 "</f>
        <v xml:space="preserve">CPA Abonos operaciones rechazadas BCI OP 648 </v>
      </c>
      <c r="U12" s="16">
        <f>+N7</f>
        <v>0</v>
      </c>
      <c r="V12" s="17"/>
      <c r="Y12" s="1">
        <v>45576</v>
      </c>
      <c r="Z12" s="26">
        <f>HLOOKUP(Y12,Hoja2!$R$2:$AV$5,4,FALSE)</f>
        <v>0</v>
      </c>
      <c r="AB12" s="19"/>
      <c r="AC12" s="15">
        <v>45449</v>
      </c>
      <c r="AD12" s="8">
        <v>110208</v>
      </c>
      <c r="AE12" s="8" t="s">
        <v>46</v>
      </c>
      <c r="AF12" s="8" t="str">
        <f t="shared" ref="AF12" si="78">"CPA Fondeo BCI ADM 656 a BCI OP 648 "</f>
        <v xml:space="preserve">CPA Fondeo BCI ADM 656 a BCI OP 648 </v>
      </c>
      <c r="AG12" s="16">
        <f>+Z7</f>
        <v>0</v>
      </c>
      <c r="AH12" s="17"/>
      <c r="AK12" s="1">
        <v>45576</v>
      </c>
      <c r="AL12" s="26">
        <f>HLOOKUP(AK12,Hoja2!$R$2:$AV$6,5,FALSE)</f>
        <v>345000000</v>
      </c>
      <c r="AN12" s="19"/>
      <c r="AO12" s="15">
        <v>45449</v>
      </c>
      <c r="AP12" s="8">
        <v>110204</v>
      </c>
      <c r="AQ12" s="8" t="s">
        <v>51</v>
      </c>
      <c r="AR12" s="8" t="str">
        <f t="shared" ref="AR12" si="79">"CPA Traspaso de Fondos Bco. BCI 648 a Bco. BICE "</f>
        <v xml:space="preserve">CPA Traspaso de Fondos Bco. BCI 648 a Bco. BICE </v>
      </c>
      <c r="AS12" s="16">
        <f>+AL7</f>
        <v>0</v>
      </c>
      <c r="AT12" s="17"/>
      <c r="AW12" s="1">
        <v>45576</v>
      </c>
      <c r="AX12" s="26">
        <f>HLOOKUP(AW12,Hoja2!$R$2:$AV$7,6,FALSE)</f>
        <v>0</v>
      </c>
      <c r="AZ12" s="19"/>
      <c r="BA12" s="15">
        <v>45449</v>
      </c>
      <c r="BB12" s="8">
        <v>211101</v>
      </c>
      <c r="BC12" s="8" t="s">
        <v>18</v>
      </c>
      <c r="BD12" s="8" t="str">
        <f t="shared" ref="BD12" si="80">"CPA Pago Operaciones Locales BCI OP 648 "</f>
        <v xml:space="preserve">CPA Pago Operaciones Locales BCI OP 648 </v>
      </c>
      <c r="BE12" s="16">
        <f>+AX7</f>
        <v>0</v>
      </c>
      <c r="BF12" s="17"/>
      <c r="BJ12" s="1">
        <v>45576</v>
      </c>
      <c r="BK12" s="26">
        <f>HLOOKUP(BJ12,Hoja2!$R$2:$AV$9,8,FALSE)</f>
        <v>342000000</v>
      </c>
      <c r="BM12" s="19"/>
      <c r="BN12" s="15">
        <v>45449</v>
      </c>
      <c r="BO12" s="8">
        <v>110209</v>
      </c>
      <c r="BP12" s="8" t="s">
        <v>55</v>
      </c>
      <c r="BQ12" s="8" t="str">
        <f t="shared" ref="BQ12" si="81">"CPA Fondeo BCI OP 648 a BCI ADM 656 "</f>
        <v xml:space="preserve">CPA Fondeo BCI OP 648 a BCI ADM 656 </v>
      </c>
      <c r="BR12" s="16">
        <f>+BK7</f>
        <v>0</v>
      </c>
      <c r="BS12" s="17"/>
      <c r="BW12" s="1">
        <v>45576</v>
      </c>
      <c r="BX12" s="26">
        <f>HLOOKUP(BW12,Hoja2!$R$2:$AV$86,85,FALSE)</f>
        <v>0</v>
      </c>
      <c r="BZ12" s="19"/>
      <c r="CA12" s="15">
        <v>45449</v>
      </c>
      <c r="CB12" s="8">
        <v>110208</v>
      </c>
      <c r="CC12" s="8" t="s">
        <v>46</v>
      </c>
      <c r="CD12" s="8" t="str">
        <f t="shared" ref="CD12" si="82">"CPA LIQ CORRESPONSAL GC BCI 648"</f>
        <v>CPA LIQ CORRESPONSAL GC BCI 648</v>
      </c>
      <c r="CE12" s="16">
        <f>+BX7</f>
        <v>0</v>
      </c>
      <c r="CF12" s="17"/>
      <c r="CJ12" s="1">
        <v>45576</v>
      </c>
      <c r="CK12" s="26">
        <f>HLOOKUP(CJ12,Hoja2!$R$2:$AV$87,86,FALSE)</f>
        <v>0</v>
      </c>
      <c r="CM12" s="19"/>
      <c r="CN12" s="15">
        <v>45449</v>
      </c>
      <c r="CO12" s="8">
        <v>110608</v>
      </c>
      <c r="CP12" s="8" t="s">
        <v>146</v>
      </c>
      <c r="CQ12" s="8" t="str">
        <f t="shared" ref="CQ12" si="83">"CPA LIQ CORRESPONSAL GC BCI 648"</f>
        <v>CPA LIQ CORRESPONSAL GC BCI 648</v>
      </c>
      <c r="CR12" s="16">
        <f>+CK7</f>
        <v>0</v>
      </c>
      <c r="CS12" s="17"/>
    </row>
    <row r="13" spans="1:97" x14ac:dyDescent="0.25">
      <c r="A13" s="1">
        <v>45577</v>
      </c>
      <c r="B13" s="26">
        <f>HLOOKUP(A13,Hoja2!$R$2:$AV$3,2,FALSE)</f>
        <v>0</v>
      </c>
      <c r="D13" s="39"/>
      <c r="E13" s="20"/>
      <c r="F13">
        <v>211101</v>
      </c>
      <c r="G13" t="s">
        <v>18</v>
      </c>
      <c r="H13" t="str">
        <f t="shared" ref="H13" si="84">H12</f>
        <v xml:space="preserve">CPA Recaudación Clientes BCI OP 648 </v>
      </c>
      <c r="I13" s="3"/>
      <c r="J13" s="10">
        <f>I12</f>
        <v>0</v>
      </c>
      <c r="M13" s="1">
        <v>45577</v>
      </c>
      <c r="N13" s="26">
        <f>HLOOKUP(M13,Hoja2!$R$2:$AV$4,3,FALSE)</f>
        <v>0</v>
      </c>
      <c r="P13" s="39"/>
      <c r="Q13" s="20"/>
      <c r="R13">
        <v>211101</v>
      </c>
      <c r="S13" t="s">
        <v>18</v>
      </c>
      <c r="T13" t="str">
        <f t="shared" ref="T13" si="85">T12</f>
        <v xml:space="preserve">CPA Abonos operaciones rechazadas BCI OP 648 </v>
      </c>
      <c r="U13" s="3"/>
      <c r="V13" s="10">
        <f>U12</f>
        <v>0</v>
      </c>
      <c r="Y13" s="1">
        <v>45577</v>
      </c>
      <c r="Z13" s="26">
        <f>HLOOKUP(Y13,Hoja2!$R$2:$AV$5,4,FALSE)</f>
        <v>0</v>
      </c>
      <c r="AB13" s="39"/>
      <c r="AC13" s="20"/>
      <c r="AD13">
        <v>110209</v>
      </c>
      <c r="AE13" t="s">
        <v>55</v>
      </c>
      <c r="AF13" t="str">
        <f t="shared" ref="AF13" si="86">AF12</f>
        <v xml:space="preserve">CPA Fondeo BCI ADM 656 a BCI OP 648 </v>
      </c>
      <c r="AG13" s="3"/>
      <c r="AH13" s="10">
        <f>AG12</f>
        <v>0</v>
      </c>
      <c r="AK13" s="1">
        <v>45577</v>
      </c>
      <c r="AL13" s="26">
        <f>HLOOKUP(AK13,Hoja2!$R$2:$AV$6,5,FALSE)</f>
        <v>0</v>
      </c>
      <c r="AN13" s="39"/>
      <c r="AO13" s="20"/>
      <c r="AP13">
        <v>110208</v>
      </c>
      <c r="AQ13" t="s">
        <v>46</v>
      </c>
      <c r="AR13" t="str">
        <f t="shared" ref="AR13" si="87">AR12</f>
        <v xml:space="preserve">CPA Traspaso de Fondos Bco. BCI 648 a Bco. BICE </v>
      </c>
      <c r="AS13" s="3"/>
      <c r="AT13" s="10">
        <f>AS12</f>
        <v>0</v>
      </c>
      <c r="AW13" s="1">
        <v>45577</v>
      </c>
      <c r="AX13" s="26">
        <f>HLOOKUP(AW13,Hoja2!$R$2:$AV$7,6,FALSE)</f>
        <v>0</v>
      </c>
      <c r="AZ13" s="39"/>
      <c r="BA13" s="20"/>
      <c r="BB13">
        <v>110208</v>
      </c>
      <c r="BC13" t="s">
        <v>46</v>
      </c>
      <c r="BD13" t="str">
        <f t="shared" ref="BD13" si="88">BD12</f>
        <v xml:space="preserve">CPA Pago Operaciones Locales BCI OP 648 </v>
      </c>
      <c r="BE13" s="3"/>
      <c r="BF13" s="10">
        <f>BE12</f>
        <v>0</v>
      </c>
      <c r="BJ13" s="1">
        <v>45577</v>
      </c>
      <c r="BK13" s="26">
        <f>HLOOKUP(BJ13,Hoja2!$R$2:$AV$9,8,FALSE)</f>
        <v>0</v>
      </c>
      <c r="BM13" s="39"/>
      <c r="BN13" s="20"/>
      <c r="BO13">
        <v>110208</v>
      </c>
      <c r="BP13" t="s">
        <v>46</v>
      </c>
      <c r="BQ13" t="str">
        <f t="shared" ref="BQ13" si="89">BQ12</f>
        <v xml:space="preserve">CPA Fondeo BCI OP 648 a BCI ADM 656 </v>
      </c>
      <c r="BR13" s="3"/>
      <c r="BS13" s="10">
        <f t="shared" ref="BS13" si="90">BR12</f>
        <v>0</v>
      </c>
      <c r="BW13" s="1">
        <v>45577</v>
      </c>
      <c r="BX13" s="26">
        <f>HLOOKUP(BW13,Hoja2!$R$2:$AV$86,85,FALSE)</f>
        <v>0</v>
      </c>
      <c r="BZ13" s="39"/>
      <c r="CA13" s="20"/>
      <c r="CB13">
        <v>110608</v>
      </c>
      <c r="CC13" t="s">
        <v>146</v>
      </c>
      <c r="CD13" t="str">
        <f t="shared" ref="CD13" si="91">CD12</f>
        <v>CPA LIQ CORRESPONSAL GC BCI 648</v>
      </c>
      <c r="CE13" s="3"/>
      <c r="CF13" s="10">
        <f t="shared" ref="CF13" si="92">CE12</f>
        <v>0</v>
      </c>
      <c r="CJ13" s="1">
        <v>45577</v>
      </c>
      <c r="CK13" s="26">
        <f>HLOOKUP(CJ13,Hoja2!$R$2:$AV$87,86,FALSE)</f>
        <v>0</v>
      </c>
      <c r="CM13" s="39"/>
      <c r="CN13" s="20"/>
      <c r="CO13">
        <v>110208</v>
      </c>
      <c r="CP13" t="s">
        <v>46</v>
      </c>
      <c r="CQ13" t="str">
        <f t="shared" ref="CQ13" si="93">CQ12</f>
        <v>CPA LIQ CORRESPONSAL GC BCI 648</v>
      </c>
      <c r="CR13" s="3"/>
      <c r="CS13" s="10">
        <f t="shared" ref="CS13" si="94">CR12</f>
        <v>0</v>
      </c>
    </row>
    <row r="14" spans="1:97" x14ac:dyDescent="0.25">
      <c r="A14" s="1">
        <v>45578</v>
      </c>
      <c r="B14" s="26">
        <f>HLOOKUP(A14,Hoja2!$R$2:$AV$3,2,FALSE)</f>
        <v>0</v>
      </c>
      <c r="D14" s="21"/>
      <c r="E14" s="15">
        <v>45450</v>
      </c>
      <c r="F14" s="8">
        <v>110208</v>
      </c>
      <c r="G14" s="8" t="s">
        <v>46</v>
      </c>
      <c r="H14" s="8" t="str">
        <f t="shared" ref="H14" si="95">"CPA Recaudación Clientes BCI OP 648 "</f>
        <v xml:space="preserve">CPA Recaudación Clientes BCI OP 648 </v>
      </c>
      <c r="I14" s="16">
        <f>+B8</f>
        <v>1773798757</v>
      </c>
      <c r="J14" s="17"/>
      <c r="M14" s="1">
        <v>45578</v>
      </c>
      <c r="N14" s="26">
        <f>HLOOKUP(M14,Hoja2!$R$2:$AV$4,3,FALSE)</f>
        <v>0</v>
      </c>
      <c r="P14" s="21"/>
      <c r="Q14" s="15">
        <v>45450</v>
      </c>
      <c r="R14" s="8">
        <v>110208</v>
      </c>
      <c r="S14" s="8" t="s">
        <v>46</v>
      </c>
      <c r="T14" s="8" t="str">
        <f t="shared" ref="T14" si="96">"CPA Abonos operaciones rechazadas BCI OP 648 "</f>
        <v xml:space="preserve">CPA Abonos operaciones rechazadas BCI OP 648 </v>
      </c>
      <c r="U14" s="16">
        <f>+N8</f>
        <v>3024873</v>
      </c>
      <c r="V14" s="17"/>
      <c r="Y14" s="1">
        <v>45578</v>
      </c>
      <c r="Z14" s="26">
        <f>HLOOKUP(Y14,Hoja2!$R$2:$AV$5,4,FALSE)</f>
        <v>0</v>
      </c>
      <c r="AB14" s="21"/>
      <c r="AC14" s="15">
        <v>45450</v>
      </c>
      <c r="AD14" s="8">
        <v>110208</v>
      </c>
      <c r="AE14" s="8" t="s">
        <v>46</v>
      </c>
      <c r="AF14" s="8" t="str">
        <f t="shared" ref="AF14" si="97">"CPA Fondeo BCI ADM 656 a BCI OP 648 "</f>
        <v xml:space="preserve">CPA Fondeo BCI ADM 656 a BCI OP 648 </v>
      </c>
      <c r="AG14" s="16">
        <f>+Z8</f>
        <v>0</v>
      </c>
      <c r="AH14" s="17"/>
      <c r="AK14" s="1">
        <v>45578</v>
      </c>
      <c r="AL14" s="26">
        <f>HLOOKUP(AK14,Hoja2!$R$2:$AV$6,5,FALSE)</f>
        <v>0</v>
      </c>
      <c r="AN14" s="21"/>
      <c r="AO14" s="15">
        <v>45450</v>
      </c>
      <c r="AP14" s="8">
        <v>110204</v>
      </c>
      <c r="AQ14" s="8" t="s">
        <v>51</v>
      </c>
      <c r="AR14" s="8" t="str">
        <f t="shared" ref="AR14" si="98">"CPA Traspaso de Fondos Bco. BCI 648 a Bco. BICE "</f>
        <v xml:space="preserve">CPA Traspaso de Fondos Bco. BCI 648 a Bco. BICE </v>
      </c>
      <c r="AS14" s="16">
        <f>+AL8</f>
        <v>0</v>
      </c>
      <c r="AT14" s="17"/>
      <c r="AW14" s="1">
        <v>45578</v>
      </c>
      <c r="AX14" s="26">
        <f>HLOOKUP(AW14,Hoja2!$R$2:$AV$7,6,FALSE)</f>
        <v>0</v>
      </c>
      <c r="AZ14" s="21"/>
      <c r="BA14" s="15">
        <v>45450</v>
      </c>
      <c r="BB14" s="8">
        <v>211101</v>
      </c>
      <c r="BC14" s="8" t="s">
        <v>18</v>
      </c>
      <c r="BD14" s="8" t="str">
        <f t="shared" ref="BD14" si="99">"CPA Pago Operaciones Locales BCI OP 648 "</f>
        <v xml:space="preserve">CPA Pago Operaciones Locales BCI OP 648 </v>
      </c>
      <c r="BE14" s="16">
        <f>+AX8</f>
        <v>0</v>
      </c>
      <c r="BF14" s="17"/>
      <c r="BJ14" s="1">
        <v>45578</v>
      </c>
      <c r="BK14" s="26">
        <f>HLOOKUP(BJ14,Hoja2!$R$2:$AV$9,8,FALSE)</f>
        <v>0</v>
      </c>
      <c r="BM14" s="21"/>
      <c r="BN14" s="15">
        <v>45450</v>
      </c>
      <c r="BO14" s="8">
        <v>110209</v>
      </c>
      <c r="BP14" s="8" t="s">
        <v>55</v>
      </c>
      <c r="BQ14" s="8" t="str">
        <f t="shared" ref="BQ14" si="100">"CPA Fondeo BCI OP 648 a BCI ADM 656 "</f>
        <v xml:space="preserve">CPA Fondeo BCI OP 648 a BCI ADM 656 </v>
      </c>
      <c r="BR14" s="16">
        <f>+BK8</f>
        <v>0</v>
      </c>
      <c r="BS14" s="17"/>
      <c r="BW14" s="1">
        <v>45578</v>
      </c>
      <c r="BX14" s="26">
        <f>HLOOKUP(BW14,Hoja2!$R$2:$AV$86,85,FALSE)</f>
        <v>0</v>
      </c>
      <c r="BZ14" s="21"/>
      <c r="CA14" s="15">
        <v>45450</v>
      </c>
      <c r="CB14" s="8">
        <v>110208</v>
      </c>
      <c r="CC14" s="8" t="s">
        <v>46</v>
      </c>
      <c r="CD14" s="8" t="str">
        <f t="shared" ref="CD14" si="101">"CPA LIQ CORRESPONSAL GC BCI 648"</f>
        <v>CPA LIQ CORRESPONSAL GC BCI 648</v>
      </c>
      <c r="CE14" s="16">
        <f>+BX8</f>
        <v>0</v>
      </c>
      <c r="CF14" s="17"/>
      <c r="CJ14" s="1">
        <v>45578</v>
      </c>
      <c r="CK14" s="26">
        <f>HLOOKUP(CJ14,Hoja2!$R$2:$AV$87,86,FALSE)</f>
        <v>0</v>
      </c>
      <c r="CM14" s="21"/>
      <c r="CN14" s="15">
        <v>45450</v>
      </c>
      <c r="CO14" s="8">
        <v>110608</v>
      </c>
      <c r="CP14" s="8" t="s">
        <v>146</v>
      </c>
      <c r="CQ14" s="8" t="str">
        <f t="shared" ref="CQ14" si="102">"CPA LIQ CORRESPONSAL GC BCI 648"</f>
        <v>CPA LIQ CORRESPONSAL GC BCI 648</v>
      </c>
      <c r="CR14" s="16">
        <f>+CK8</f>
        <v>0</v>
      </c>
      <c r="CS14" s="17"/>
    </row>
    <row r="15" spans="1:97" x14ac:dyDescent="0.25">
      <c r="A15" s="1">
        <v>45579</v>
      </c>
      <c r="B15" s="26">
        <f>HLOOKUP(A15,Hoja2!$R$2:$AV$3,2,FALSE)</f>
        <v>1255955469</v>
      </c>
      <c r="D15" s="40"/>
      <c r="E15" s="20"/>
      <c r="F15">
        <v>211101</v>
      </c>
      <c r="G15" t="s">
        <v>18</v>
      </c>
      <c r="H15" t="str">
        <f t="shared" ref="H15" si="103">H14</f>
        <v xml:space="preserve">CPA Recaudación Clientes BCI OP 648 </v>
      </c>
      <c r="I15" s="3"/>
      <c r="J15" s="10">
        <f>I14</f>
        <v>1773798757</v>
      </c>
      <c r="M15" s="1">
        <v>45579</v>
      </c>
      <c r="N15" s="26">
        <f>HLOOKUP(M15,Hoja2!$R$2:$AV$4,3,FALSE)</f>
        <v>8737930</v>
      </c>
      <c r="P15" s="40"/>
      <c r="Q15" s="20"/>
      <c r="R15">
        <v>211101</v>
      </c>
      <c r="S15" t="s">
        <v>18</v>
      </c>
      <c r="T15" t="str">
        <f t="shared" ref="T15" si="104">T14</f>
        <v xml:space="preserve">CPA Abonos operaciones rechazadas BCI OP 648 </v>
      </c>
      <c r="U15" s="3"/>
      <c r="V15" s="10">
        <f>U14</f>
        <v>3024873</v>
      </c>
      <c r="Y15" s="1">
        <v>45579</v>
      </c>
      <c r="Z15" s="26">
        <f>HLOOKUP(Y15,Hoja2!$R$2:$AV$5,4,FALSE)</f>
        <v>0</v>
      </c>
      <c r="AB15" s="40"/>
      <c r="AC15" s="20"/>
      <c r="AD15">
        <v>110209</v>
      </c>
      <c r="AE15" t="s">
        <v>55</v>
      </c>
      <c r="AF15" t="str">
        <f t="shared" ref="AF15" si="105">AF14</f>
        <v xml:space="preserve">CPA Fondeo BCI ADM 656 a BCI OP 648 </v>
      </c>
      <c r="AG15" s="3"/>
      <c r="AH15" s="10">
        <f>AG14</f>
        <v>0</v>
      </c>
      <c r="AK15" s="1">
        <v>45579</v>
      </c>
      <c r="AL15" s="26">
        <f>HLOOKUP(AK15,Hoja2!$R$2:$AV$6,5,FALSE)</f>
        <v>334000000</v>
      </c>
      <c r="AN15" s="40"/>
      <c r="AO15" s="20"/>
      <c r="AP15">
        <v>110208</v>
      </c>
      <c r="AQ15" t="s">
        <v>46</v>
      </c>
      <c r="AR15" t="str">
        <f t="shared" ref="AR15" si="106">AR14</f>
        <v xml:space="preserve">CPA Traspaso de Fondos Bco. BCI 648 a Bco. BICE </v>
      </c>
      <c r="AS15" s="3"/>
      <c r="AT15" s="10">
        <f>AS14</f>
        <v>0</v>
      </c>
      <c r="AW15" s="1">
        <v>45579</v>
      </c>
      <c r="AX15" s="26">
        <f>HLOOKUP(AW15,Hoja2!$R$2:$AV$7,6,FALSE)</f>
        <v>0</v>
      </c>
      <c r="AZ15" s="40"/>
      <c r="BA15" s="20"/>
      <c r="BB15">
        <v>110208</v>
      </c>
      <c r="BC15" t="s">
        <v>46</v>
      </c>
      <c r="BD15" t="str">
        <f t="shared" ref="BD15" si="107">BD14</f>
        <v xml:space="preserve">CPA Pago Operaciones Locales BCI OP 648 </v>
      </c>
      <c r="BE15" s="3"/>
      <c r="BF15" s="10">
        <f>BE14</f>
        <v>0</v>
      </c>
      <c r="BJ15" s="1">
        <v>45579</v>
      </c>
      <c r="BK15" s="26">
        <f>HLOOKUP(BJ15,Hoja2!$R$2:$AV$9,8,FALSE)</f>
        <v>0</v>
      </c>
      <c r="BM15" s="40"/>
      <c r="BN15" s="20"/>
      <c r="BO15">
        <v>110208</v>
      </c>
      <c r="BP15" t="s">
        <v>46</v>
      </c>
      <c r="BQ15" t="str">
        <f t="shared" ref="BQ15" si="108">BQ14</f>
        <v xml:space="preserve">CPA Fondeo BCI OP 648 a BCI ADM 656 </v>
      </c>
      <c r="BR15" s="3"/>
      <c r="BS15" s="10">
        <f t="shared" ref="BS15" si="109">BR14</f>
        <v>0</v>
      </c>
      <c r="BW15" s="1">
        <v>45579</v>
      </c>
      <c r="BX15" s="26">
        <f>HLOOKUP(BW15,Hoja2!$R$2:$AV$86,85,FALSE)</f>
        <v>0</v>
      </c>
      <c r="BZ15" s="40"/>
      <c r="CA15" s="20"/>
      <c r="CB15">
        <v>110608</v>
      </c>
      <c r="CC15" t="s">
        <v>146</v>
      </c>
      <c r="CD15" t="str">
        <f t="shared" ref="CD15" si="110">CD14</f>
        <v>CPA LIQ CORRESPONSAL GC BCI 648</v>
      </c>
      <c r="CE15" s="3"/>
      <c r="CF15" s="10">
        <f t="shared" ref="CF15" si="111">CE14</f>
        <v>0</v>
      </c>
      <c r="CJ15" s="1">
        <v>45579</v>
      </c>
      <c r="CK15" s="26">
        <f>HLOOKUP(CJ15,Hoja2!$R$2:$AV$87,86,FALSE)</f>
        <v>0</v>
      </c>
      <c r="CM15" s="40"/>
      <c r="CN15" s="20"/>
      <c r="CO15">
        <v>110208</v>
      </c>
      <c r="CP15" t="s">
        <v>46</v>
      </c>
      <c r="CQ15" t="str">
        <f t="shared" ref="CQ15" si="112">CQ14</f>
        <v>CPA LIQ CORRESPONSAL GC BCI 648</v>
      </c>
      <c r="CR15" s="3"/>
      <c r="CS15" s="10">
        <f t="shared" ref="CS15" si="113">CR14</f>
        <v>0</v>
      </c>
    </row>
    <row r="16" spans="1:97" x14ac:dyDescent="0.25">
      <c r="A16" s="1">
        <v>45580</v>
      </c>
      <c r="B16" s="26">
        <f>HLOOKUP(A16,Hoja2!$R$2:$AV$3,2,FALSE)</f>
        <v>1031664100</v>
      </c>
      <c r="D16" s="21"/>
      <c r="E16" s="15">
        <v>45451</v>
      </c>
      <c r="F16" s="8">
        <v>110208</v>
      </c>
      <c r="G16" s="8" t="s">
        <v>46</v>
      </c>
      <c r="H16" s="8" t="str">
        <f t="shared" ref="H16" si="114">"CPA Recaudación Clientes BCI OP 648 "</f>
        <v xml:space="preserve">CPA Recaudación Clientes BCI OP 648 </v>
      </c>
      <c r="I16" s="16">
        <f>+B9</f>
        <v>1219246975</v>
      </c>
      <c r="J16" s="17"/>
      <c r="M16" s="1">
        <v>45580</v>
      </c>
      <c r="N16" s="26">
        <f>HLOOKUP(M16,Hoja2!$R$2:$AV$4,3,FALSE)</f>
        <v>110187</v>
      </c>
      <c r="P16" s="21"/>
      <c r="Q16" s="15">
        <v>45451</v>
      </c>
      <c r="R16" s="8">
        <v>110208</v>
      </c>
      <c r="S16" s="8" t="s">
        <v>46</v>
      </c>
      <c r="T16" s="8" t="str">
        <f t="shared" ref="T16" si="115">"CPA Abonos operaciones rechazadas BCI OP 648 "</f>
        <v xml:space="preserve">CPA Abonos operaciones rechazadas BCI OP 648 </v>
      </c>
      <c r="U16" s="16">
        <f>+N9</f>
        <v>173217</v>
      </c>
      <c r="V16" s="17"/>
      <c r="Y16" s="1">
        <v>45580</v>
      </c>
      <c r="Z16" s="26">
        <f>HLOOKUP(Y16,Hoja2!$R$2:$AV$5,4,FALSE)</f>
        <v>0</v>
      </c>
      <c r="AB16" s="21"/>
      <c r="AC16" s="15">
        <v>45451</v>
      </c>
      <c r="AD16" s="8">
        <v>110208</v>
      </c>
      <c r="AE16" s="8" t="s">
        <v>46</v>
      </c>
      <c r="AF16" s="8" t="str">
        <f t="shared" ref="AF16" si="116">"CPA Fondeo BCI ADM 656 a BCI OP 648 "</f>
        <v xml:space="preserve">CPA Fondeo BCI ADM 656 a BCI OP 648 </v>
      </c>
      <c r="AG16" s="16">
        <f>+Z9</f>
        <v>0</v>
      </c>
      <c r="AH16" s="17"/>
      <c r="AK16" s="1">
        <v>45580</v>
      </c>
      <c r="AL16" s="26">
        <f>HLOOKUP(AK16,Hoja2!$R$2:$AV$6,5,FALSE)</f>
        <v>0</v>
      </c>
      <c r="AN16" s="21"/>
      <c r="AO16" s="15">
        <v>45451</v>
      </c>
      <c r="AP16" s="8">
        <v>110204</v>
      </c>
      <c r="AQ16" s="8" t="s">
        <v>51</v>
      </c>
      <c r="AR16" s="8" t="str">
        <f t="shared" ref="AR16" si="117">"CPA Traspaso de Fondos Bco. BCI 648 a Bco. BICE "</f>
        <v xml:space="preserve">CPA Traspaso de Fondos Bco. BCI 648 a Bco. BICE </v>
      </c>
      <c r="AS16" s="16">
        <f>+AL9</f>
        <v>635000000</v>
      </c>
      <c r="AT16" s="17"/>
      <c r="AW16" s="1">
        <v>45580</v>
      </c>
      <c r="AX16" s="26">
        <f>HLOOKUP(AW16,Hoja2!$R$2:$AV$7,6,FALSE)</f>
        <v>0</v>
      </c>
      <c r="AZ16" s="21"/>
      <c r="BA16" s="15">
        <v>45451</v>
      </c>
      <c r="BB16" s="8">
        <v>211101</v>
      </c>
      <c r="BC16" s="8" t="s">
        <v>18</v>
      </c>
      <c r="BD16" s="8" t="str">
        <f t="shared" ref="BD16" si="118">"CPA Pago Operaciones Locales BCI OP 648 "</f>
        <v xml:space="preserve">CPA Pago Operaciones Locales BCI OP 648 </v>
      </c>
      <c r="BE16" s="16">
        <f>+AX9</f>
        <v>0</v>
      </c>
      <c r="BF16" s="17"/>
      <c r="BJ16" s="1">
        <v>45580</v>
      </c>
      <c r="BK16" s="26">
        <f>HLOOKUP(BJ16,Hoja2!$R$2:$AV$9,8,FALSE)</f>
        <v>55000000</v>
      </c>
      <c r="BM16" s="21"/>
      <c r="BN16" s="15">
        <v>45451</v>
      </c>
      <c r="BO16" s="8">
        <v>110209</v>
      </c>
      <c r="BP16" s="8" t="s">
        <v>55</v>
      </c>
      <c r="BQ16" s="8" t="str">
        <f t="shared" ref="BQ16" si="119">"CPA Fondeo BCI OP 648 a BCI ADM 656 "</f>
        <v xml:space="preserve">CPA Fondeo BCI OP 648 a BCI ADM 656 </v>
      </c>
      <c r="BR16" s="16">
        <f>+BK9</f>
        <v>0</v>
      </c>
      <c r="BS16" s="17"/>
      <c r="BW16" s="1">
        <v>45580</v>
      </c>
      <c r="BX16" s="26">
        <f>HLOOKUP(BW16,Hoja2!$R$2:$AV$86,85,FALSE)</f>
        <v>981437997</v>
      </c>
      <c r="BZ16" s="21"/>
      <c r="CA16" s="15">
        <v>45451</v>
      </c>
      <c r="CB16" s="8">
        <v>110208</v>
      </c>
      <c r="CC16" s="8" t="s">
        <v>46</v>
      </c>
      <c r="CD16" s="8" t="str">
        <f t="shared" ref="CD16" si="120">"CPA LIQ CORRESPONSAL GC BCI 648"</f>
        <v>CPA LIQ CORRESPONSAL GC BCI 648</v>
      </c>
      <c r="CE16" s="16">
        <f>+BX9</f>
        <v>0</v>
      </c>
      <c r="CF16" s="17"/>
      <c r="CJ16" s="1">
        <v>45580</v>
      </c>
      <c r="CK16" s="26">
        <f>HLOOKUP(CJ16,Hoja2!$R$2:$AV$87,86,FALSE)</f>
        <v>0</v>
      </c>
      <c r="CM16" s="21"/>
      <c r="CN16" s="15">
        <v>45451</v>
      </c>
      <c r="CO16" s="8">
        <v>110608</v>
      </c>
      <c r="CP16" s="8" t="s">
        <v>146</v>
      </c>
      <c r="CQ16" s="8" t="str">
        <f t="shared" ref="CQ16" si="121">"CPA LIQ CORRESPONSAL GC BCI 648"</f>
        <v>CPA LIQ CORRESPONSAL GC BCI 648</v>
      </c>
      <c r="CR16" s="16">
        <f>+CK9</f>
        <v>0</v>
      </c>
      <c r="CS16" s="17"/>
    </row>
    <row r="17" spans="1:97" x14ac:dyDescent="0.25">
      <c r="A17" s="1">
        <v>45581</v>
      </c>
      <c r="B17" s="26">
        <f>HLOOKUP(A17,Hoja2!$R$2:$AV$3,2,FALSE)</f>
        <v>1365116931</v>
      </c>
      <c r="D17" s="21"/>
      <c r="E17" s="11"/>
      <c r="F17" s="12">
        <v>211101</v>
      </c>
      <c r="G17" s="12" t="s">
        <v>18</v>
      </c>
      <c r="H17" s="12" t="str">
        <f t="shared" ref="H17" si="122">H16</f>
        <v xml:space="preserve">CPA Recaudación Clientes BCI OP 648 </v>
      </c>
      <c r="I17" s="13"/>
      <c r="J17" s="18">
        <f>I16</f>
        <v>1219246975</v>
      </c>
      <c r="M17" s="1">
        <v>45581</v>
      </c>
      <c r="N17" s="26">
        <f>HLOOKUP(M17,Hoja2!$R$2:$AV$4,3,FALSE)</f>
        <v>7446080</v>
      </c>
      <c r="P17" s="21"/>
      <c r="Q17" s="11"/>
      <c r="R17" s="12">
        <v>211101</v>
      </c>
      <c r="S17" s="12" t="s">
        <v>18</v>
      </c>
      <c r="T17" s="12" t="str">
        <f t="shared" ref="T17" si="123">T16</f>
        <v xml:space="preserve">CPA Abonos operaciones rechazadas BCI OP 648 </v>
      </c>
      <c r="U17" s="13"/>
      <c r="V17" s="18">
        <f>U16</f>
        <v>173217</v>
      </c>
      <c r="Y17" s="1">
        <v>45581</v>
      </c>
      <c r="Z17" s="26">
        <f>HLOOKUP(Y17,Hoja2!$R$2:$AV$5,4,FALSE)</f>
        <v>0</v>
      </c>
      <c r="AB17" s="21"/>
      <c r="AC17" s="11"/>
      <c r="AD17" s="12">
        <v>110209</v>
      </c>
      <c r="AE17" s="12" t="s">
        <v>55</v>
      </c>
      <c r="AF17" s="12" t="str">
        <f t="shared" ref="AF17" si="124">AF16</f>
        <v xml:space="preserve">CPA Fondeo BCI ADM 656 a BCI OP 648 </v>
      </c>
      <c r="AG17" s="13"/>
      <c r="AH17" s="18">
        <f>AG16</f>
        <v>0</v>
      </c>
      <c r="AK17" s="1">
        <v>45581</v>
      </c>
      <c r="AL17" s="26">
        <f>HLOOKUP(AK17,Hoja2!$R$2:$AV$6,5,FALSE)</f>
        <v>0</v>
      </c>
      <c r="AN17" s="21"/>
      <c r="AO17" s="11"/>
      <c r="AP17" s="12">
        <v>110208</v>
      </c>
      <c r="AQ17" s="12" t="s">
        <v>46</v>
      </c>
      <c r="AR17" s="12" t="str">
        <f t="shared" ref="AR17" si="125">AR16</f>
        <v xml:space="preserve">CPA Traspaso de Fondos Bco. BCI 648 a Bco. BICE </v>
      </c>
      <c r="AS17" s="13"/>
      <c r="AT17" s="18">
        <f>AS16</f>
        <v>635000000</v>
      </c>
      <c r="AW17" s="1">
        <v>45581</v>
      </c>
      <c r="AX17" s="26">
        <f>HLOOKUP(AW17,Hoja2!$R$2:$AV$7,6,FALSE)</f>
        <v>0</v>
      </c>
      <c r="AZ17" s="21"/>
      <c r="BA17" s="11"/>
      <c r="BB17" s="12">
        <v>110208</v>
      </c>
      <c r="BC17" s="12" t="s">
        <v>46</v>
      </c>
      <c r="BD17" s="12" t="str">
        <f t="shared" ref="BD17" si="126">BD16</f>
        <v xml:space="preserve">CPA Pago Operaciones Locales BCI OP 648 </v>
      </c>
      <c r="BE17" s="13"/>
      <c r="BF17" s="18">
        <f>BE16</f>
        <v>0</v>
      </c>
      <c r="BJ17" s="1">
        <v>45581</v>
      </c>
      <c r="BK17" s="26">
        <f>HLOOKUP(BJ17,Hoja2!$R$2:$AV$9,8,FALSE)</f>
        <v>185000000</v>
      </c>
      <c r="BM17" s="21"/>
      <c r="BN17" s="11"/>
      <c r="BO17" s="12">
        <v>110208</v>
      </c>
      <c r="BP17" s="12" t="s">
        <v>46</v>
      </c>
      <c r="BQ17" s="12" t="str">
        <f t="shared" ref="BQ17" si="127">BQ16</f>
        <v xml:space="preserve">CPA Fondeo BCI OP 648 a BCI ADM 656 </v>
      </c>
      <c r="BR17" s="13"/>
      <c r="BS17" s="18">
        <f t="shared" ref="BS17" si="128">BR16</f>
        <v>0</v>
      </c>
      <c r="BW17" s="1">
        <v>45581</v>
      </c>
      <c r="BX17" s="26">
        <f>HLOOKUP(BW17,Hoja2!$R$2:$AV$86,85,FALSE)</f>
        <v>0</v>
      </c>
      <c r="BZ17" s="21"/>
      <c r="CA17" s="11"/>
      <c r="CB17" s="12">
        <v>110608</v>
      </c>
      <c r="CC17" s="12" t="s">
        <v>146</v>
      </c>
      <c r="CD17" s="12" t="str">
        <f t="shared" ref="CD17" si="129">CD16</f>
        <v>CPA LIQ CORRESPONSAL GC BCI 648</v>
      </c>
      <c r="CE17" s="13"/>
      <c r="CF17" s="18">
        <f t="shared" ref="CF17" si="130">CE16</f>
        <v>0</v>
      </c>
      <c r="CJ17" s="1">
        <v>45581</v>
      </c>
      <c r="CK17" s="26">
        <f>HLOOKUP(CJ17,Hoja2!$R$2:$AV$87,86,FALSE)</f>
        <v>0</v>
      </c>
      <c r="CM17" s="21"/>
      <c r="CN17" s="11"/>
      <c r="CO17" s="12">
        <v>110208</v>
      </c>
      <c r="CP17" s="12" t="s">
        <v>46</v>
      </c>
      <c r="CQ17" s="12" t="str">
        <f t="shared" ref="CQ17" si="131">CQ16</f>
        <v>CPA LIQ CORRESPONSAL GC BCI 648</v>
      </c>
      <c r="CR17" s="13"/>
      <c r="CS17" s="18">
        <f t="shared" ref="CS17" si="132">CR16</f>
        <v>0</v>
      </c>
    </row>
    <row r="18" spans="1:97" x14ac:dyDescent="0.25">
      <c r="A18" s="1">
        <v>45582</v>
      </c>
      <c r="B18" s="26">
        <f>HLOOKUP(A18,Hoja2!$R$2:$AV$3,2,FALSE)</f>
        <v>1075044635</v>
      </c>
      <c r="D18" s="21"/>
      <c r="E18" s="15">
        <v>45452</v>
      </c>
      <c r="F18" s="8">
        <v>110208</v>
      </c>
      <c r="G18" s="8" t="s">
        <v>46</v>
      </c>
      <c r="H18" s="8" t="str">
        <f t="shared" ref="H18" si="133">"CPA Recaudación Clientes BCI OP 648 "</f>
        <v xml:space="preserve">CPA Recaudación Clientes BCI OP 648 </v>
      </c>
      <c r="I18" s="16">
        <f>+B10</f>
        <v>1059012643</v>
      </c>
      <c r="J18" s="17"/>
      <c r="M18" s="1">
        <v>45582</v>
      </c>
      <c r="N18" s="26">
        <f>HLOOKUP(M18,Hoja2!$R$2:$AV$4,3,FALSE)</f>
        <v>409843</v>
      </c>
      <c r="P18" s="21"/>
      <c r="Q18" s="15">
        <v>45452</v>
      </c>
      <c r="R18" s="8">
        <v>110208</v>
      </c>
      <c r="S18" s="8" t="s">
        <v>46</v>
      </c>
      <c r="T18" s="8" t="str">
        <f t="shared" ref="T18" si="134">"CPA Abonos operaciones rechazadas BCI OP 648 "</f>
        <v xml:space="preserve">CPA Abonos operaciones rechazadas BCI OP 648 </v>
      </c>
      <c r="U18" s="16">
        <f>+N10</f>
        <v>3115513</v>
      </c>
      <c r="V18" s="17"/>
      <c r="Y18" s="1">
        <v>45582</v>
      </c>
      <c r="Z18" s="26">
        <f>HLOOKUP(Y18,Hoja2!$R$2:$AV$5,4,FALSE)</f>
        <v>0</v>
      </c>
      <c r="AB18" s="21"/>
      <c r="AC18" s="15">
        <v>45452</v>
      </c>
      <c r="AD18" s="8">
        <v>110208</v>
      </c>
      <c r="AE18" s="8" t="s">
        <v>46</v>
      </c>
      <c r="AF18" s="8" t="str">
        <f t="shared" ref="AF18" si="135">"CPA Fondeo BCI ADM 656 a BCI OP 648 "</f>
        <v xml:space="preserve">CPA Fondeo BCI ADM 656 a BCI OP 648 </v>
      </c>
      <c r="AG18" s="16">
        <f>+Z10</f>
        <v>0</v>
      </c>
      <c r="AH18" s="17"/>
      <c r="AK18" s="1">
        <v>45582</v>
      </c>
      <c r="AL18" s="26">
        <f>HLOOKUP(AK18,Hoja2!$R$2:$AV$6,5,FALSE)</f>
        <v>0</v>
      </c>
      <c r="AN18" s="21"/>
      <c r="AO18" s="15">
        <v>45452</v>
      </c>
      <c r="AP18" s="8">
        <v>110204</v>
      </c>
      <c r="AQ18" s="8" t="s">
        <v>51</v>
      </c>
      <c r="AR18" s="8" t="str">
        <f t="shared" ref="AR18" si="136">"CPA Traspaso de Fondos Bco. BCI 648 a Bco. BICE "</f>
        <v xml:space="preserve">CPA Traspaso de Fondos Bco. BCI 648 a Bco. BICE </v>
      </c>
      <c r="AS18" s="16">
        <f>+AL10</f>
        <v>0</v>
      </c>
      <c r="AT18" s="17"/>
      <c r="AW18" s="1">
        <v>45582</v>
      </c>
      <c r="AX18" s="26">
        <f>HLOOKUP(AW18,Hoja2!$R$2:$AV$7,6,FALSE)</f>
        <v>0</v>
      </c>
      <c r="AZ18" s="21"/>
      <c r="BA18" s="15">
        <v>45452</v>
      </c>
      <c r="BB18" s="8">
        <v>211101</v>
      </c>
      <c r="BC18" s="8" t="s">
        <v>18</v>
      </c>
      <c r="BD18" s="8" t="str">
        <f t="shared" ref="BD18" si="137">"CPA Pago Operaciones Locales BCI OP 648 "</f>
        <v xml:space="preserve">CPA Pago Operaciones Locales BCI OP 648 </v>
      </c>
      <c r="BE18" s="16">
        <f>+AX10</f>
        <v>0</v>
      </c>
      <c r="BF18" s="17"/>
      <c r="BJ18" s="1">
        <v>45582</v>
      </c>
      <c r="BK18" s="26">
        <f>HLOOKUP(BJ18,Hoja2!$R$2:$AV$9,8,FALSE)</f>
        <v>0</v>
      </c>
      <c r="BM18" s="21"/>
      <c r="BN18" s="15">
        <v>45452</v>
      </c>
      <c r="BO18" s="8">
        <v>110209</v>
      </c>
      <c r="BP18" s="8" t="s">
        <v>55</v>
      </c>
      <c r="BQ18" s="8" t="str">
        <f t="shared" ref="BQ18" si="138">"CPA Fondeo BCI OP 648 a BCI ADM 656 "</f>
        <v xml:space="preserve">CPA Fondeo BCI OP 648 a BCI ADM 656 </v>
      </c>
      <c r="BR18" s="16">
        <f>+BK10</f>
        <v>110000000</v>
      </c>
      <c r="BS18" s="17"/>
      <c r="BW18" s="1">
        <v>45582</v>
      </c>
      <c r="BX18" s="26">
        <f>HLOOKUP(BW18,Hoja2!$R$2:$AV$86,85,FALSE)</f>
        <v>361620545</v>
      </c>
      <c r="BZ18" s="21"/>
      <c r="CA18" s="15">
        <v>45452</v>
      </c>
      <c r="CB18" s="8">
        <v>110208</v>
      </c>
      <c r="CC18" s="8" t="s">
        <v>46</v>
      </c>
      <c r="CD18" s="8" t="str">
        <f t="shared" ref="CD18" si="139">"CPA LIQ CORRESPONSAL GC BCI 648"</f>
        <v>CPA LIQ CORRESPONSAL GC BCI 648</v>
      </c>
      <c r="CE18" s="16">
        <f>+BX10</f>
        <v>761500000</v>
      </c>
      <c r="CF18" s="17"/>
      <c r="CJ18" s="1">
        <v>45582</v>
      </c>
      <c r="CK18" s="26">
        <f>HLOOKUP(CJ18,Hoja2!$R$2:$AV$87,86,FALSE)</f>
        <v>0</v>
      </c>
      <c r="CM18" s="21"/>
      <c r="CN18" s="15">
        <v>45452</v>
      </c>
      <c r="CO18" s="8">
        <v>110608</v>
      </c>
      <c r="CP18" s="8" t="s">
        <v>146</v>
      </c>
      <c r="CQ18" s="8" t="str">
        <f t="shared" ref="CQ18" si="140">"CPA LIQ CORRESPONSAL GC BCI 648"</f>
        <v>CPA LIQ CORRESPONSAL GC BCI 648</v>
      </c>
      <c r="CR18" s="16">
        <f>+CK10</f>
        <v>0</v>
      </c>
      <c r="CS18" s="17"/>
    </row>
    <row r="19" spans="1:97" x14ac:dyDescent="0.25">
      <c r="A19" s="1">
        <v>45583</v>
      </c>
      <c r="B19" s="26">
        <f>HLOOKUP(A19,Hoja2!$R$2:$AV$3,2,FALSE)</f>
        <v>1146216030</v>
      </c>
      <c r="D19" s="21"/>
      <c r="E19" s="11"/>
      <c r="F19" s="12">
        <v>211101</v>
      </c>
      <c r="G19" s="12" t="s">
        <v>18</v>
      </c>
      <c r="H19" s="12" t="str">
        <f t="shared" ref="H19" si="141">H18</f>
        <v xml:space="preserve">CPA Recaudación Clientes BCI OP 648 </v>
      </c>
      <c r="I19" s="13"/>
      <c r="J19" s="18">
        <f>I18</f>
        <v>1059012643</v>
      </c>
      <c r="M19" s="1">
        <v>45583</v>
      </c>
      <c r="N19" s="26">
        <f>HLOOKUP(M19,Hoja2!$R$2:$AV$4,3,FALSE)</f>
        <v>80000</v>
      </c>
      <c r="P19" s="21"/>
      <c r="Q19" s="11"/>
      <c r="R19" s="12">
        <v>211101</v>
      </c>
      <c r="S19" s="12" t="s">
        <v>18</v>
      </c>
      <c r="T19" s="12" t="str">
        <f t="shared" ref="T19" si="142">T18</f>
        <v xml:space="preserve">CPA Abonos operaciones rechazadas BCI OP 648 </v>
      </c>
      <c r="U19" s="13"/>
      <c r="V19" s="18">
        <f>U18</f>
        <v>3115513</v>
      </c>
      <c r="Y19" s="1">
        <v>45583</v>
      </c>
      <c r="Z19" s="26">
        <f>HLOOKUP(Y19,Hoja2!$R$2:$AV$5,4,FALSE)</f>
        <v>0</v>
      </c>
      <c r="AB19" s="21"/>
      <c r="AC19" s="11"/>
      <c r="AD19" s="12">
        <v>110209</v>
      </c>
      <c r="AE19" s="12" t="s">
        <v>55</v>
      </c>
      <c r="AF19" s="12" t="str">
        <f t="shared" ref="AF19" si="143">AF18</f>
        <v xml:space="preserve">CPA Fondeo BCI ADM 656 a BCI OP 648 </v>
      </c>
      <c r="AG19" s="13"/>
      <c r="AH19" s="18">
        <f>AG18</f>
        <v>0</v>
      </c>
      <c r="AK19" s="1">
        <v>45583</v>
      </c>
      <c r="AL19" s="26">
        <f>HLOOKUP(AK19,Hoja2!$R$2:$AV$6,5,FALSE)</f>
        <v>240000000</v>
      </c>
      <c r="AN19" s="21"/>
      <c r="AO19" s="11"/>
      <c r="AP19" s="12">
        <v>110208</v>
      </c>
      <c r="AQ19" s="12" t="s">
        <v>46</v>
      </c>
      <c r="AR19" s="12" t="str">
        <f t="shared" ref="AR19" si="144">AR18</f>
        <v xml:space="preserve">CPA Traspaso de Fondos Bco. BCI 648 a Bco. BICE </v>
      </c>
      <c r="AS19" s="13"/>
      <c r="AT19" s="18">
        <f>AS18</f>
        <v>0</v>
      </c>
      <c r="AW19" s="1">
        <v>45583</v>
      </c>
      <c r="AX19" s="26">
        <f>HLOOKUP(AW19,Hoja2!$R$2:$AV$7,6,FALSE)</f>
        <v>0</v>
      </c>
      <c r="AZ19" s="21"/>
      <c r="BA19" s="11"/>
      <c r="BB19" s="12">
        <v>110208</v>
      </c>
      <c r="BC19" s="12" t="s">
        <v>46</v>
      </c>
      <c r="BD19" s="12" t="str">
        <f t="shared" ref="BD19" si="145">BD18</f>
        <v xml:space="preserve">CPA Pago Operaciones Locales BCI OP 648 </v>
      </c>
      <c r="BE19" s="13"/>
      <c r="BF19" s="18">
        <f>BE18</f>
        <v>0</v>
      </c>
      <c r="BJ19" s="1">
        <v>45583</v>
      </c>
      <c r="BK19" s="26">
        <f>HLOOKUP(BJ19,Hoja2!$R$2:$AV$9,8,FALSE)</f>
        <v>135000000</v>
      </c>
      <c r="BM19" s="21"/>
      <c r="BN19" s="11"/>
      <c r="BO19" s="12">
        <v>110208</v>
      </c>
      <c r="BP19" s="12" t="s">
        <v>46</v>
      </c>
      <c r="BQ19" s="12" t="str">
        <f t="shared" ref="BQ19" si="146">BQ18</f>
        <v xml:space="preserve">CPA Fondeo BCI OP 648 a BCI ADM 656 </v>
      </c>
      <c r="BR19" s="13"/>
      <c r="BS19" s="18">
        <f t="shared" ref="BS19" si="147">BR18</f>
        <v>110000000</v>
      </c>
      <c r="BW19" s="1">
        <v>45583</v>
      </c>
      <c r="BX19" s="26">
        <f>HLOOKUP(BW19,Hoja2!$R$2:$AV$86,85,FALSE)</f>
        <v>0</v>
      </c>
      <c r="BZ19" s="21"/>
      <c r="CA19" s="11"/>
      <c r="CB19" s="12">
        <v>110608</v>
      </c>
      <c r="CC19" s="12" t="s">
        <v>146</v>
      </c>
      <c r="CD19" s="12" t="str">
        <f t="shared" ref="CD19" si="148">CD18</f>
        <v>CPA LIQ CORRESPONSAL GC BCI 648</v>
      </c>
      <c r="CE19" s="13"/>
      <c r="CF19" s="18">
        <f t="shared" ref="CF19" si="149">CE18</f>
        <v>761500000</v>
      </c>
      <c r="CJ19" s="1">
        <v>45583</v>
      </c>
      <c r="CK19" s="26">
        <f>HLOOKUP(CJ19,Hoja2!$R$2:$AV$87,86,FALSE)</f>
        <v>0</v>
      </c>
      <c r="CM19" s="21"/>
      <c r="CN19" s="11"/>
      <c r="CO19" s="12">
        <v>110208</v>
      </c>
      <c r="CP19" s="12" t="s">
        <v>46</v>
      </c>
      <c r="CQ19" s="12" t="str">
        <f t="shared" ref="CQ19" si="150">CQ18</f>
        <v>CPA LIQ CORRESPONSAL GC BCI 648</v>
      </c>
      <c r="CR19" s="13"/>
      <c r="CS19" s="18">
        <f t="shared" ref="CS19" si="151">CR18</f>
        <v>0</v>
      </c>
    </row>
    <row r="20" spans="1:97" x14ac:dyDescent="0.25">
      <c r="A20" s="1">
        <v>45584</v>
      </c>
      <c r="B20" s="26">
        <f>HLOOKUP(A20,Hoja2!$R$2:$AV$3,2,FALSE)</f>
        <v>0</v>
      </c>
      <c r="D20" s="21"/>
      <c r="E20" s="15">
        <v>45453</v>
      </c>
      <c r="F20" s="8">
        <v>110208</v>
      </c>
      <c r="G20" s="8" t="s">
        <v>46</v>
      </c>
      <c r="H20" s="8" t="str">
        <f t="shared" ref="H20" si="152">"CPA Recaudación Clientes BCI OP 648 "</f>
        <v xml:space="preserve">CPA Recaudación Clientes BCI OP 648 </v>
      </c>
      <c r="I20" s="16">
        <f>+B11</f>
        <v>1270585217</v>
      </c>
      <c r="J20" s="17"/>
      <c r="M20" s="1">
        <v>45584</v>
      </c>
      <c r="N20" s="26">
        <f>HLOOKUP(M20,Hoja2!$R$2:$AV$4,3,FALSE)</f>
        <v>0</v>
      </c>
      <c r="P20" s="21"/>
      <c r="Q20" s="15">
        <v>45453</v>
      </c>
      <c r="R20" s="8">
        <v>110208</v>
      </c>
      <c r="S20" s="8" t="s">
        <v>46</v>
      </c>
      <c r="T20" s="8" t="str">
        <f t="shared" ref="T20" si="153">"CPA Abonos operaciones rechazadas BCI OP 648 "</f>
        <v xml:space="preserve">CPA Abonos operaciones rechazadas BCI OP 648 </v>
      </c>
      <c r="U20" s="16">
        <f>+N11</f>
        <v>602083</v>
      </c>
      <c r="V20" s="17"/>
      <c r="Y20" s="1">
        <v>45584</v>
      </c>
      <c r="Z20" s="26">
        <f>HLOOKUP(Y20,Hoja2!$R$2:$AV$5,4,FALSE)</f>
        <v>0</v>
      </c>
      <c r="AB20" s="21"/>
      <c r="AC20" s="15">
        <v>45453</v>
      </c>
      <c r="AD20" s="8">
        <v>110208</v>
      </c>
      <c r="AE20" s="8" t="s">
        <v>46</v>
      </c>
      <c r="AF20" s="8" t="str">
        <f t="shared" ref="AF20" si="154">"CPA Fondeo BCI ADM 656 a BCI OP 648 "</f>
        <v xml:space="preserve">CPA Fondeo BCI ADM 656 a BCI OP 648 </v>
      </c>
      <c r="AG20" s="16">
        <f>+Z11</f>
        <v>0</v>
      </c>
      <c r="AH20" s="17"/>
      <c r="AK20" s="1">
        <v>45584</v>
      </c>
      <c r="AL20" s="26">
        <f>HLOOKUP(AK20,Hoja2!$R$2:$AV$6,5,FALSE)</f>
        <v>0</v>
      </c>
      <c r="AN20" s="21"/>
      <c r="AO20" s="15">
        <v>45453</v>
      </c>
      <c r="AP20" s="8">
        <v>110204</v>
      </c>
      <c r="AQ20" s="8" t="s">
        <v>51</v>
      </c>
      <c r="AR20" s="8" t="str">
        <f t="shared" ref="AR20" si="155">"CPA Traspaso de Fondos Bco. BCI 648 a Bco. BICE "</f>
        <v xml:space="preserve">CPA Traspaso de Fondos Bco. BCI 648 a Bco. BICE </v>
      </c>
      <c r="AS20" s="16">
        <f>+AL11</f>
        <v>0</v>
      </c>
      <c r="AT20" s="17"/>
      <c r="AW20" s="1">
        <v>45584</v>
      </c>
      <c r="AX20" s="26">
        <f>HLOOKUP(AW20,Hoja2!$R$2:$AV$7,6,FALSE)</f>
        <v>0</v>
      </c>
      <c r="AZ20" s="21"/>
      <c r="BA20" s="15">
        <v>45453</v>
      </c>
      <c r="BB20" s="8">
        <v>211101</v>
      </c>
      <c r="BC20" s="8" t="s">
        <v>18</v>
      </c>
      <c r="BD20" s="8" t="str">
        <f t="shared" ref="BD20" si="156">"CPA Pago Operaciones Locales BCI OP 648 "</f>
        <v xml:space="preserve">CPA Pago Operaciones Locales BCI OP 648 </v>
      </c>
      <c r="BE20" s="16">
        <f>+AX11</f>
        <v>0</v>
      </c>
      <c r="BF20" s="17"/>
      <c r="BJ20" s="1">
        <v>45584</v>
      </c>
      <c r="BK20" s="26">
        <f>HLOOKUP(BJ20,Hoja2!$R$2:$AV$9,8,FALSE)</f>
        <v>0</v>
      </c>
      <c r="BM20" s="21"/>
      <c r="BN20" s="15">
        <v>45453</v>
      </c>
      <c r="BO20" s="8">
        <v>110209</v>
      </c>
      <c r="BP20" s="8" t="s">
        <v>55</v>
      </c>
      <c r="BQ20" s="8" t="str">
        <f t="shared" ref="BQ20" si="157">"CPA Fondeo BCI OP 648 a BCI ADM 656 "</f>
        <v xml:space="preserve">CPA Fondeo BCI OP 648 a BCI ADM 656 </v>
      </c>
      <c r="BR20" s="16">
        <f>+BK11</f>
        <v>0</v>
      </c>
      <c r="BS20" s="17"/>
      <c r="BW20" s="1">
        <v>45584</v>
      </c>
      <c r="BX20" s="26">
        <f>HLOOKUP(BW20,Hoja2!$R$2:$AV$86,85,FALSE)</f>
        <v>0</v>
      </c>
      <c r="BZ20" s="21"/>
      <c r="CA20" s="15">
        <v>45453</v>
      </c>
      <c r="CB20" s="8">
        <v>110208</v>
      </c>
      <c r="CC20" s="8" t="s">
        <v>46</v>
      </c>
      <c r="CD20" s="8" t="str">
        <f t="shared" ref="CD20" si="158">"CPA LIQ CORRESPONSAL GC BCI 648"</f>
        <v>CPA LIQ CORRESPONSAL GC BCI 648</v>
      </c>
      <c r="CE20" s="16">
        <f>+BX11</f>
        <v>418264215</v>
      </c>
      <c r="CF20" s="17"/>
      <c r="CJ20" s="1">
        <v>45584</v>
      </c>
      <c r="CK20" s="26">
        <f>HLOOKUP(CJ20,Hoja2!$R$2:$AV$87,86,FALSE)</f>
        <v>0</v>
      </c>
      <c r="CM20" s="21"/>
      <c r="CN20" s="15">
        <v>45453</v>
      </c>
      <c r="CO20" s="8">
        <v>110608</v>
      </c>
      <c r="CP20" s="8" t="s">
        <v>146</v>
      </c>
      <c r="CQ20" s="8" t="str">
        <f t="shared" ref="CQ20" si="159">"CPA LIQ CORRESPONSAL GC BCI 648"</f>
        <v>CPA LIQ CORRESPONSAL GC BCI 648</v>
      </c>
      <c r="CR20" s="16">
        <f>+CK11</f>
        <v>0</v>
      </c>
      <c r="CS20" s="17"/>
    </row>
    <row r="21" spans="1:97" x14ac:dyDescent="0.25">
      <c r="A21" s="1">
        <v>45585</v>
      </c>
      <c r="B21" s="26">
        <f>HLOOKUP(A21,Hoja2!$R$2:$AV$3,2,FALSE)</f>
        <v>0</v>
      </c>
      <c r="D21" s="21"/>
      <c r="E21" s="9"/>
      <c r="F21">
        <v>211101</v>
      </c>
      <c r="G21" t="s">
        <v>18</v>
      </c>
      <c r="H21" t="str">
        <f t="shared" ref="H21" si="160">H20</f>
        <v xml:space="preserve">CPA Recaudación Clientes BCI OP 648 </v>
      </c>
      <c r="I21" s="3"/>
      <c r="J21" s="10">
        <f>I20</f>
        <v>1270585217</v>
      </c>
      <c r="M21" s="1">
        <v>45585</v>
      </c>
      <c r="N21" s="26">
        <f>HLOOKUP(M21,Hoja2!$R$2:$AV$4,3,FALSE)</f>
        <v>0</v>
      </c>
      <c r="P21" s="21"/>
      <c r="Q21" s="9"/>
      <c r="R21">
        <v>211101</v>
      </c>
      <c r="S21" t="s">
        <v>18</v>
      </c>
      <c r="T21" t="str">
        <f t="shared" ref="T21" si="161">T20</f>
        <v xml:space="preserve">CPA Abonos operaciones rechazadas BCI OP 648 </v>
      </c>
      <c r="U21" s="3"/>
      <c r="V21" s="10">
        <f>U20</f>
        <v>602083</v>
      </c>
      <c r="Y21" s="1">
        <v>45585</v>
      </c>
      <c r="Z21" s="26">
        <f>HLOOKUP(Y21,Hoja2!$R$2:$AV$5,4,FALSE)</f>
        <v>0</v>
      </c>
      <c r="AB21" s="21"/>
      <c r="AC21" s="9"/>
      <c r="AD21">
        <v>110209</v>
      </c>
      <c r="AE21" t="s">
        <v>55</v>
      </c>
      <c r="AF21" t="str">
        <f t="shared" ref="AF21" si="162">AF20</f>
        <v xml:space="preserve">CPA Fondeo BCI ADM 656 a BCI OP 648 </v>
      </c>
      <c r="AG21" s="3"/>
      <c r="AH21" s="10">
        <f>AG20</f>
        <v>0</v>
      </c>
      <c r="AK21" s="1">
        <v>45585</v>
      </c>
      <c r="AL21" s="26">
        <f>HLOOKUP(AK21,Hoja2!$R$2:$AV$6,5,FALSE)</f>
        <v>0</v>
      </c>
      <c r="AN21" s="21"/>
      <c r="AO21" s="9"/>
      <c r="AP21">
        <v>110208</v>
      </c>
      <c r="AQ21" t="s">
        <v>46</v>
      </c>
      <c r="AR21" t="str">
        <f t="shared" ref="AR21" si="163">AR20</f>
        <v xml:space="preserve">CPA Traspaso de Fondos Bco. BCI 648 a Bco. BICE </v>
      </c>
      <c r="AS21" s="3"/>
      <c r="AT21" s="10">
        <f>AS20</f>
        <v>0</v>
      </c>
      <c r="AW21" s="1">
        <v>45585</v>
      </c>
      <c r="AX21" s="26">
        <f>HLOOKUP(AW21,Hoja2!$R$2:$AV$7,6,FALSE)</f>
        <v>0</v>
      </c>
      <c r="AZ21" s="21"/>
      <c r="BA21" s="9"/>
      <c r="BB21">
        <v>110208</v>
      </c>
      <c r="BC21" t="s">
        <v>46</v>
      </c>
      <c r="BD21" t="str">
        <f t="shared" ref="BD21" si="164">BD20</f>
        <v xml:space="preserve">CPA Pago Operaciones Locales BCI OP 648 </v>
      </c>
      <c r="BE21" s="3"/>
      <c r="BF21" s="10">
        <f>BE20</f>
        <v>0</v>
      </c>
      <c r="BJ21" s="1">
        <v>45585</v>
      </c>
      <c r="BK21" s="26">
        <f>HLOOKUP(BJ21,Hoja2!$R$2:$AV$9,8,FALSE)</f>
        <v>0</v>
      </c>
      <c r="BM21" s="21"/>
      <c r="BN21" s="9"/>
      <c r="BO21">
        <v>110208</v>
      </c>
      <c r="BP21" t="s">
        <v>46</v>
      </c>
      <c r="BQ21" t="str">
        <f t="shared" ref="BQ21" si="165">BQ20</f>
        <v xml:space="preserve">CPA Fondeo BCI OP 648 a BCI ADM 656 </v>
      </c>
      <c r="BR21" s="3"/>
      <c r="BS21" s="10">
        <f t="shared" ref="BS21" si="166">BR20</f>
        <v>0</v>
      </c>
      <c r="BW21" s="1">
        <v>45585</v>
      </c>
      <c r="BX21" s="26">
        <f>HLOOKUP(BW21,Hoja2!$R$2:$AV$86,85,FALSE)</f>
        <v>0</v>
      </c>
      <c r="BZ21" s="21"/>
      <c r="CA21" s="9"/>
      <c r="CB21">
        <v>110608</v>
      </c>
      <c r="CC21" t="s">
        <v>146</v>
      </c>
      <c r="CD21" t="str">
        <f t="shared" ref="CD21" si="167">CD20</f>
        <v>CPA LIQ CORRESPONSAL GC BCI 648</v>
      </c>
      <c r="CE21" s="3"/>
      <c r="CF21" s="10">
        <f t="shared" ref="CF21" si="168">CE20</f>
        <v>418264215</v>
      </c>
      <c r="CJ21" s="1">
        <v>45585</v>
      </c>
      <c r="CK21" s="26">
        <f>HLOOKUP(CJ21,Hoja2!$R$2:$AV$87,86,FALSE)</f>
        <v>0</v>
      </c>
      <c r="CM21" s="21"/>
      <c r="CN21" s="9"/>
      <c r="CO21">
        <v>110208</v>
      </c>
      <c r="CP21" t="s">
        <v>46</v>
      </c>
      <c r="CQ21" t="str">
        <f t="shared" ref="CQ21" si="169">CQ20</f>
        <v>CPA LIQ CORRESPONSAL GC BCI 648</v>
      </c>
      <c r="CR21" s="3"/>
      <c r="CS21" s="10">
        <f t="shared" ref="CS21" si="170">CR20</f>
        <v>0</v>
      </c>
    </row>
    <row r="22" spans="1:97" x14ac:dyDescent="0.25">
      <c r="A22" s="1">
        <v>45586</v>
      </c>
      <c r="B22" s="26">
        <f>HLOOKUP(A22,Hoja2!$R$2:$AV$3,2,FALSE)</f>
        <v>1474662341</v>
      </c>
      <c r="D22" s="21"/>
      <c r="E22" s="15">
        <v>45454</v>
      </c>
      <c r="F22" s="8">
        <v>110208</v>
      </c>
      <c r="G22" s="8" t="s">
        <v>46</v>
      </c>
      <c r="H22" s="8" t="str">
        <f t="shared" ref="H22" si="171">"CPA Recaudación Clientes BCI OP 648 "</f>
        <v xml:space="preserve">CPA Recaudación Clientes BCI OP 648 </v>
      </c>
      <c r="I22" s="16">
        <f>+B12</f>
        <v>1306166827</v>
      </c>
      <c r="J22" s="17"/>
      <c r="M22" s="1">
        <v>45586</v>
      </c>
      <c r="N22" s="26">
        <f>HLOOKUP(M22,Hoja2!$R$2:$AV$4,3,FALSE)</f>
        <v>5264223</v>
      </c>
      <c r="P22" s="21"/>
      <c r="Q22" s="15">
        <v>45454</v>
      </c>
      <c r="R22" s="8">
        <v>110208</v>
      </c>
      <c r="S22" s="8" t="s">
        <v>46</v>
      </c>
      <c r="T22" s="8" t="str">
        <f t="shared" ref="T22" si="172">"CPA Abonos operaciones rechazadas BCI OP 648 "</f>
        <v xml:space="preserve">CPA Abonos operaciones rechazadas BCI OP 648 </v>
      </c>
      <c r="U22" s="16">
        <f>+N12</f>
        <v>46661</v>
      </c>
      <c r="V22" s="17"/>
      <c r="Y22" s="1">
        <v>45586</v>
      </c>
      <c r="Z22" s="26">
        <f>HLOOKUP(Y22,Hoja2!$R$2:$AV$5,4,FALSE)</f>
        <v>0</v>
      </c>
      <c r="AB22" s="21"/>
      <c r="AC22" s="15">
        <v>45454</v>
      </c>
      <c r="AD22" s="8">
        <v>110208</v>
      </c>
      <c r="AE22" s="8" t="s">
        <v>46</v>
      </c>
      <c r="AF22" s="8" t="str">
        <f t="shared" ref="AF22" si="173">"CPA Fondeo BCI ADM 656 a BCI OP 648 "</f>
        <v xml:space="preserve">CPA Fondeo BCI ADM 656 a BCI OP 648 </v>
      </c>
      <c r="AG22" s="16">
        <f>+Z12</f>
        <v>0</v>
      </c>
      <c r="AH22" s="17"/>
      <c r="AK22" s="1">
        <v>45586</v>
      </c>
      <c r="AL22" s="26">
        <f>HLOOKUP(AK22,Hoja2!$R$2:$AV$6,5,FALSE)</f>
        <v>0</v>
      </c>
      <c r="AN22" s="21"/>
      <c r="AO22" s="15">
        <v>45454</v>
      </c>
      <c r="AP22" s="8">
        <v>110204</v>
      </c>
      <c r="AQ22" s="8" t="s">
        <v>51</v>
      </c>
      <c r="AR22" s="8" t="str">
        <f t="shared" ref="AR22" si="174">"CPA Traspaso de Fondos Bco. BCI 648 a Bco. BICE "</f>
        <v xml:space="preserve">CPA Traspaso de Fondos Bco. BCI 648 a Bco. BICE </v>
      </c>
      <c r="AS22" s="16">
        <f>+AL12</f>
        <v>345000000</v>
      </c>
      <c r="AT22" s="17"/>
      <c r="AW22" s="1">
        <v>45586</v>
      </c>
      <c r="AX22" s="26">
        <f>HLOOKUP(AW22,Hoja2!$R$2:$AV$7,6,FALSE)</f>
        <v>0</v>
      </c>
      <c r="AZ22" s="21"/>
      <c r="BA22" s="15">
        <v>45454</v>
      </c>
      <c r="BB22" s="8">
        <v>211101</v>
      </c>
      <c r="BC22" s="8" t="s">
        <v>18</v>
      </c>
      <c r="BD22" s="8" t="str">
        <f t="shared" ref="BD22" si="175">"CPA Pago Operaciones Locales BCI OP 648 "</f>
        <v xml:space="preserve">CPA Pago Operaciones Locales BCI OP 648 </v>
      </c>
      <c r="BE22" s="16">
        <f>+AX12</f>
        <v>0</v>
      </c>
      <c r="BF22" s="17"/>
      <c r="BJ22" s="1">
        <v>45586</v>
      </c>
      <c r="BK22" s="26">
        <f>HLOOKUP(BJ22,Hoja2!$R$2:$AV$9,8,FALSE)</f>
        <v>21000000</v>
      </c>
      <c r="BM22" s="21"/>
      <c r="BN22" s="15">
        <v>45454</v>
      </c>
      <c r="BO22" s="8">
        <v>110209</v>
      </c>
      <c r="BP22" s="8" t="s">
        <v>55</v>
      </c>
      <c r="BQ22" s="8" t="str">
        <f t="shared" ref="BQ22" si="176">"CPA Fondeo BCI OP 648 a BCI ADM 656 "</f>
        <v xml:space="preserve">CPA Fondeo BCI OP 648 a BCI ADM 656 </v>
      </c>
      <c r="BR22" s="16">
        <f>+BK12</f>
        <v>342000000</v>
      </c>
      <c r="BS22" s="17"/>
      <c r="BW22" s="1">
        <v>45586</v>
      </c>
      <c r="BX22" s="26">
        <f>HLOOKUP(BW22,Hoja2!$R$2:$AV$86,85,FALSE)</f>
        <v>349574827</v>
      </c>
      <c r="BZ22" s="21"/>
      <c r="CA22" s="15">
        <v>45454</v>
      </c>
      <c r="CB22" s="8">
        <v>110208</v>
      </c>
      <c r="CC22" s="8" t="s">
        <v>46</v>
      </c>
      <c r="CD22" s="8" t="str">
        <f t="shared" ref="CD22" si="177">"CPA LIQ CORRESPONSAL GC BCI 648"</f>
        <v>CPA LIQ CORRESPONSAL GC BCI 648</v>
      </c>
      <c r="CE22" s="16">
        <f>+BX12</f>
        <v>0</v>
      </c>
      <c r="CF22" s="17"/>
      <c r="CJ22" s="1">
        <v>45586</v>
      </c>
      <c r="CK22" s="26">
        <f>HLOOKUP(CJ22,Hoja2!$R$2:$AV$87,86,FALSE)</f>
        <v>300000000</v>
      </c>
      <c r="CM22" s="21"/>
      <c r="CN22" s="15">
        <v>45454</v>
      </c>
      <c r="CO22" s="8">
        <v>110608</v>
      </c>
      <c r="CP22" s="8" t="s">
        <v>146</v>
      </c>
      <c r="CQ22" s="8" t="str">
        <f t="shared" ref="CQ22" si="178">"CPA LIQ CORRESPONSAL GC BCI 648"</f>
        <v>CPA LIQ CORRESPONSAL GC BCI 648</v>
      </c>
      <c r="CR22" s="16">
        <f>+CK12</f>
        <v>0</v>
      </c>
      <c r="CS22" s="17"/>
    </row>
    <row r="23" spans="1:97" x14ac:dyDescent="0.25">
      <c r="A23" s="1">
        <v>45587</v>
      </c>
      <c r="B23" s="26">
        <f>HLOOKUP(A23,Hoja2!$R$2:$AV$3,2,FALSE)</f>
        <v>1065726184</v>
      </c>
      <c r="D23" s="21"/>
      <c r="E23" s="9"/>
      <c r="F23">
        <v>211101</v>
      </c>
      <c r="G23" t="s">
        <v>18</v>
      </c>
      <c r="H23" t="str">
        <f t="shared" ref="H23" si="179">H22</f>
        <v xml:space="preserve">CPA Recaudación Clientes BCI OP 648 </v>
      </c>
      <c r="I23" s="3"/>
      <c r="J23" s="10">
        <f>I22</f>
        <v>1306166827</v>
      </c>
      <c r="M23" s="1">
        <v>45587</v>
      </c>
      <c r="N23" s="26">
        <f>HLOOKUP(M23,Hoja2!$R$2:$AV$4,3,FALSE)</f>
        <v>7731061</v>
      </c>
      <c r="P23" s="21"/>
      <c r="Q23" s="9"/>
      <c r="R23">
        <v>211101</v>
      </c>
      <c r="S23" t="s">
        <v>18</v>
      </c>
      <c r="T23" t="str">
        <f t="shared" ref="T23" si="180">T22</f>
        <v xml:space="preserve">CPA Abonos operaciones rechazadas BCI OP 648 </v>
      </c>
      <c r="U23" s="3"/>
      <c r="V23" s="10">
        <f>U22</f>
        <v>46661</v>
      </c>
      <c r="Y23" s="1">
        <v>45587</v>
      </c>
      <c r="Z23" s="26">
        <f>HLOOKUP(Y23,Hoja2!$R$2:$AV$5,4,FALSE)</f>
        <v>0</v>
      </c>
      <c r="AB23" s="21"/>
      <c r="AC23" s="9"/>
      <c r="AD23">
        <v>110209</v>
      </c>
      <c r="AE23" t="s">
        <v>55</v>
      </c>
      <c r="AF23" t="str">
        <f t="shared" ref="AF23" si="181">AF22</f>
        <v xml:space="preserve">CPA Fondeo BCI ADM 656 a BCI OP 648 </v>
      </c>
      <c r="AG23" s="3"/>
      <c r="AH23" s="10">
        <f>AG22</f>
        <v>0</v>
      </c>
      <c r="AK23" s="1">
        <v>45587</v>
      </c>
      <c r="AL23" s="26">
        <f>HLOOKUP(AK23,Hoja2!$R$2:$AV$6,5,FALSE)</f>
        <v>0</v>
      </c>
      <c r="AN23" s="21"/>
      <c r="AO23" s="9"/>
      <c r="AP23">
        <v>110208</v>
      </c>
      <c r="AQ23" t="s">
        <v>46</v>
      </c>
      <c r="AR23" t="str">
        <f t="shared" ref="AR23" si="182">AR22</f>
        <v xml:space="preserve">CPA Traspaso de Fondos Bco. BCI 648 a Bco. BICE </v>
      </c>
      <c r="AS23" s="3"/>
      <c r="AT23" s="10">
        <f>AS22</f>
        <v>345000000</v>
      </c>
      <c r="AW23" s="1">
        <v>45587</v>
      </c>
      <c r="AX23" s="26">
        <f>HLOOKUP(AW23,Hoja2!$R$2:$AV$7,6,FALSE)</f>
        <v>0</v>
      </c>
      <c r="AZ23" s="21"/>
      <c r="BA23" s="9"/>
      <c r="BB23">
        <v>110208</v>
      </c>
      <c r="BC23" t="s">
        <v>46</v>
      </c>
      <c r="BD23" t="str">
        <f t="shared" ref="BD23" si="183">BD22</f>
        <v xml:space="preserve">CPA Pago Operaciones Locales BCI OP 648 </v>
      </c>
      <c r="BE23" s="3"/>
      <c r="BF23" s="10">
        <f>BE22</f>
        <v>0</v>
      </c>
      <c r="BJ23" s="1">
        <v>45587</v>
      </c>
      <c r="BK23" s="26">
        <f>HLOOKUP(BJ23,Hoja2!$R$2:$AV$9,8,FALSE)</f>
        <v>0</v>
      </c>
      <c r="BM23" s="21"/>
      <c r="BN23" s="9"/>
      <c r="BO23">
        <v>110208</v>
      </c>
      <c r="BP23" t="s">
        <v>46</v>
      </c>
      <c r="BQ23" t="str">
        <f t="shared" ref="BQ23" si="184">BQ22</f>
        <v xml:space="preserve">CPA Fondeo BCI OP 648 a BCI ADM 656 </v>
      </c>
      <c r="BR23" s="3"/>
      <c r="BS23" s="10">
        <f t="shared" ref="BS23" si="185">BR22</f>
        <v>342000000</v>
      </c>
      <c r="BW23" s="1">
        <v>45587</v>
      </c>
      <c r="BX23" s="26">
        <f>HLOOKUP(BW23,Hoja2!$R$2:$AV$86,85,FALSE)</f>
        <v>671754661</v>
      </c>
      <c r="BZ23" s="21"/>
      <c r="CA23" s="9"/>
      <c r="CB23">
        <v>110608</v>
      </c>
      <c r="CC23" t="s">
        <v>146</v>
      </c>
      <c r="CD23" t="str">
        <f t="shared" ref="CD23" si="186">CD22</f>
        <v>CPA LIQ CORRESPONSAL GC BCI 648</v>
      </c>
      <c r="CE23" s="3"/>
      <c r="CF23" s="10">
        <f t="shared" ref="CF23" si="187">CE22</f>
        <v>0</v>
      </c>
      <c r="CJ23" s="1">
        <v>45587</v>
      </c>
      <c r="CK23" s="26">
        <f>HLOOKUP(CJ23,Hoja2!$R$2:$AV$87,86,FALSE)</f>
        <v>0</v>
      </c>
      <c r="CM23" s="21"/>
      <c r="CN23" s="9"/>
      <c r="CO23">
        <v>110208</v>
      </c>
      <c r="CP23" t="s">
        <v>46</v>
      </c>
      <c r="CQ23" t="str">
        <f t="shared" ref="CQ23" si="188">CQ22</f>
        <v>CPA LIQ CORRESPONSAL GC BCI 648</v>
      </c>
      <c r="CR23" s="3"/>
      <c r="CS23" s="10">
        <f t="shared" ref="CS23" si="189">CR22</f>
        <v>0</v>
      </c>
    </row>
    <row r="24" spans="1:97" x14ac:dyDescent="0.25">
      <c r="A24" s="1">
        <v>45588</v>
      </c>
      <c r="B24" s="26">
        <f>HLOOKUP(A24,Hoja2!$R$2:$AV$3,2,FALSE)</f>
        <v>1298997284</v>
      </c>
      <c r="D24" s="21"/>
      <c r="E24" s="15">
        <v>45455</v>
      </c>
      <c r="F24" s="8">
        <v>110208</v>
      </c>
      <c r="G24" s="8" t="s">
        <v>46</v>
      </c>
      <c r="H24" s="8" t="str">
        <f t="shared" ref="H24" si="190">"CPA Recaudación Clientes BCI OP 648 "</f>
        <v xml:space="preserve">CPA Recaudación Clientes BCI OP 648 </v>
      </c>
      <c r="I24" s="16">
        <f>+B13</f>
        <v>0</v>
      </c>
      <c r="J24" s="17"/>
      <c r="M24" s="1">
        <v>45588</v>
      </c>
      <c r="N24" s="26">
        <f>HLOOKUP(M24,Hoja2!$R$2:$AV$4,3,FALSE)</f>
        <v>3235454</v>
      </c>
      <c r="P24" s="21"/>
      <c r="Q24" s="15">
        <v>45455</v>
      </c>
      <c r="R24" s="8">
        <v>110208</v>
      </c>
      <c r="S24" s="8" t="s">
        <v>46</v>
      </c>
      <c r="T24" s="8" t="str">
        <f t="shared" ref="T24" si="191">"CPA Abonos operaciones rechazadas BCI OP 648 "</f>
        <v xml:space="preserve">CPA Abonos operaciones rechazadas BCI OP 648 </v>
      </c>
      <c r="U24" s="16">
        <f>+N13</f>
        <v>0</v>
      </c>
      <c r="V24" s="17"/>
      <c r="Y24" s="1">
        <v>45588</v>
      </c>
      <c r="Z24" s="26">
        <f>HLOOKUP(Y24,Hoja2!$R$2:$AV$5,4,FALSE)</f>
        <v>0</v>
      </c>
      <c r="AB24" s="21"/>
      <c r="AC24" s="15">
        <v>45455</v>
      </c>
      <c r="AD24" s="8">
        <v>110208</v>
      </c>
      <c r="AE24" s="8" t="s">
        <v>46</v>
      </c>
      <c r="AF24" s="8" t="str">
        <f t="shared" ref="AF24" si="192">"CPA Fondeo BCI ADM 656 a BCI OP 648 "</f>
        <v xml:space="preserve">CPA Fondeo BCI ADM 656 a BCI OP 648 </v>
      </c>
      <c r="AG24" s="16">
        <f>+Z13</f>
        <v>0</v>
      </c>
      <c r="AH24" s="17"/>
      <c r="AK24" s="1">
        <v>45588</v>
      </c>
      <c r="AL24" s="26">
        <f>HLOOKUP(AK24,Hoja2!$R$2:$AV$6,5,FALSE)</f>
        <v>0</v>
      </c>
      <c r="AN24" s="21"/>
      <c r="AO24" s="15">
        <v>45455</v>
      </c>
      <c r="AP24" s="8">
        <v>110204</v>
      </c>
      <c r="AQ24" s="8" t="s">
        <v>51</v>
      </c>
      <c r="AR24" s="8" t="str">
        <f t="shared" ref="AR24" si="193">"CPA Traspaso de Fondos Bco. BCI 648 a Bco. BICE "</f>
        <v xml:space="preserve">CPA Traspaso de Fondos Bco. BCI 648 a Bco. BICE </v>
      </c>
      <c r="AS24" s="16">
        <f>+AL13</f>
        <v>0</v>
      </c>
      <c r="AT24" s="17"/>
      <c r="AW24" s="1">
        <v>45588</v>
      </c>
      <c r="AX24" s="26">
        <f>HLOOKUP(AW24,Hoja2!$R$2:$AV$7,6,FALSE)</f>
        <v>0</v>
      </c>
      <c r="AZ24" s="21"/>
      <c r="BA24" s="15">
        <v>45455</v>
      </c>
      <c r="BB24" s="8">
        <v>211101</v>
      </c>
      <c r="BC24" s="8" t="s">
        <v>18</v>
      </c>
      <c r="BD24" s="8" t="str">
        <f t="shared" ref="BD24" si="194">"CPA Pago Operaciones Locales BCI OP 648 "</f>
        <v xml:space="preserve">CPA Pago Operaciones Locales BCI OP 648 </v>
      </c>
      <c r="BE24" s="16">
        <f>+AX13</f>
        <v>0</v>
      </c>
      <c r="BF24" s="17"/>
      <c r="BJ24" s="1">
        <v>45588</v>
      </c>
      <c r="BK24" s="26">
        <f>HLOOKUP(BJ24,Hoja2!$R$2:$AV$9,8,FALSE)</f>
        <v>30000000</v>
      </c>
      <c r="BM24" s="21"/>
      <c r="BN24" s="15">
        <v>45455</v>
      </c>
      <c r="BO24" s="8">
        <v>110209</v>
      </c>
      <c r="BP24" s="8" t="s">
        <v>55</v>
      </c>
      <c r="BQ24" s="8" t="str">
        <f t="shared" ref="BQ24" si="195">"CPA Fondeo BCI OP 648 a BCI ADM 656 "</f>
        <v xml:space="preserve">CPA Fondeo BCI OP 648 a BCI ADM 656 </v>
      </c>
      <c r="BR24" s="16">
        <f>+BK13</f>
        <v>0</v>
      </c>
      <c r="BS24" s="17"/>
      <c r="BW24" s="1">
        <v>45588</v>
      </c>
      <c r="BX24" s="26">
        <f>HLOOKUP(BW24,Hoja2!$R$2:$AV$86,85,FALSE)</f>
        <v>688216556</v>
      </c>
      <c r="BZ24" s="21"/>
      <c r="CA24" s="15">
        <v>45455</v>
      </c>
      <c r="CB24" s="8">
        <v>110208</v>
      </c>
      <c r="CC24" s="8" t="s">
        <v>46</v>
      </c>
      <c r="CD24" s="8" t="str">
        <f t="shared" ref="CD24" si="196">"CPA LIQ CORRESPONSAL GC BCI 648"</f>
        <v>CPA LIQ CORRESPONSAL GC BCI 648</v>
      </c>
      <c r="CE24" s="16">
        <f>+BX13</f>
        <v>0</v>
      </c>
      <c r="CF24" s="17"/>
      <c r="CJ24" s="1">
        <v>45588</v>
      </c>
      <c r="CK24" s="26">
        <f>HLOOKUP(CJ24,Hoja2!$R$2:$AV$87,86,FALSE)</f>
        <v>0</v>
      </c>
      <c r="CM24" s="21"/>
      <c r="CN24" s="15">
        <v>45455</v>
      </c>
      <c r="CO24" s="8">
        <v>110608</v>
      </c>
      <c r="CP24" s="8" t="s">
        <v>146</v>
      </c>
      <c r="CQ24" s="8" t="str">
        <f t="shared" ref="CQ24" si="197">"CPA LIQ CORRESPONSAL GC BCI 648"</f>
        <v>CPA LIQ CORRESPONSAL GC BCI 648</v>
      </c>
      <c r="CR24" s="16">
        <f>+CK13</f>
        <v>0</v>
      </c>
      <c r="CS24" s="17"/>
    </row>
    <row r="25" spans="1:97" x14ac:dyDescent="0.25">
      <c r="A25" s="1">
        <v>45589</v>
      </c>
      <c r="B25" s="26">
        <f>HLOOKUP(A25,Hoja2!$R$2:$AV$3,2,FALSE)</f>
        <v>1162453466</v>
      </c>
      <c r="D25" s="21"/>
      <c r="E25" s="9"/>
      <c r="F25">
        <v>211101</v>
      </c>
      <c r="G25" t="s">
        <v>18</v>
      </c>
      <c r="H25" t="str">
        <f t="shared" ref="H25" si="198">H24</f>
        <v xml:space="preserve">CPA Recaudación Clientes BCI OP 648 </v>
      </c>
      <c r="I25" s="3"/>
      <c r="J25" s="10">
        <f>I24</f>
        <v>0</v>
      </c>
      <c r="M25" s="1">
        <v>45589</v>
      </c>
      <c r="N25" s="26">
        <f>HLOOKUP(M25,Hoja2!$R$2:$AV$4,3,FALSE)</f>
        <v>280010</v>
      </c>
      <c r="P25" s="21"/>
      <c r="Q25" s="9"/>
      <c r="R25">
        <v>211101</v>
      </c>
      <c r="S25" t="s">
        <v>18</v>
      </c>
      <c r="T25" t="str">
        <f t="shared" ref="T25" si="199">T24</f>
        <v xml:space="preserve">CPA Abonos operaciones rechazadas BCI OP 648 </v>
      </c>
      <c r="U25" s="3"/>
      <c r="V25" s="10">
        <f>U24</f>
        <v>0</v>
      </c>
      <c r="Y25" s="1">
        <v>45589</v>
      </c>
      <c r="Z25" s="26">
        <f>HLOOKUP(Y25,Hoja2!$R$2:$AV$5,4,FALSE)</f>
        <v>0</v>
      </c>
      <c r="AB25" s="21"/>
      <c r="AC25" s="9"/>
      <c r="AD25">
        <v>110209</v>
      </c>
      <c r="AE25" t="s">
        <v>55</v>
      </c>
      <c r="AF25" t="str">
        <f t="shared" ref="AF25" si="200">AF24</f>
        <v xml:space="preserve">CPA Fondeo BCI ADM 656 a BCI OP 648 </v>
      </c>
      <c r="AG25" s="3"/>
      <c r="AH25" s="10">
        <f>AG24</f>
        <v>0</v>
      </c>
      <c r="AK25" s="1">
        <v>45589</v>
      </c>
      <c r="AL25" s="26">
        <f>HLOOKUP(AK25,Hoja2!$R$2:$AV$6,5,FALSE)</f>
        <v>0</v>
      </c>
      <c r="AN25" s="21"/>
      <c r="AO25" s="9"/>
      <c r="AP25">
        <v>110208</v>
      </c>
      <c r="AQ25" t="s">
        <v>46</v>
      </c>
      <c r="AR25" t="str">
        <f t="shared" ref="AR25" si="201">AR24</f>
        <v xml:space="preserve">CPA Traspaso de Fondos Bco. BCI 648 a Bco. BICE </v>
      </c>
      <c r="AS25" s="3"/>
      <c r="AT25" s="10">
        <f>AS24</f>
        <v>0</v>
      </c>
      <c r="AW25" s="1">
        <v>45589</v>
      </c>
      <c r="AX25" s="26">
        <f>HLOOKUP(AW25,Hoja2!$R$2:$AV$7,6,FALSE)</f>
        <v>0</v>
      </c>
      <c r="AZ25" s="21"/>
      <c r="BA25" s="9"/>
      <c r="BB25">
        <v>110208</v>
      </c>
      <c r="BC25" t="s">
        <v>46</v>
      </c>
      <c r="BD25" t="str">
        <f t="shared" ref="BD25" si="202">BD24</f>
        <v xml:space="preserve">CPA Pago Operaciones Locales BCI OP 648 </v>
      </c>
      <c r="BE25" s="3"/>
      <c r="BF25" s="10">
        <f>BE24</f>
        <v>0</v>
      </c>
      <c r="BJ25" s="1">
        <v>45589</v>
      </c>
      <c r="BK25" s="26">
        <f>HLOOKUP(BJ25,Hoja2!$R$2:$AV$9,8,FALSE)</f>
        <v>0</v>
      </c>
      <c r="BM25" s="21"/>
      <c r="BN25" s="9"/>
      <c r="BO25">
        <v>110208</v>
      </c>
      <c r="BP25" t="s">
        <v>46</v>
      </c>
      <c r="BQ25" t="str">
        <f t="shared" ref="BQ25" si="203">BQ24</f>
        <v xml:space="preserve">CPA Fondeo BCI OP 648 a BCI ADM 656 </v>
      </c>
      <c r="BR25" s="3"/>
      <c r="BS25" s="10">
        <f t="shared" ref="BS25" si="204">BR24</f>
        <v>0</v>
      </c>
      <c r="BW25" s="1">
        <v>45589</v>
      </c>
      <c r="BX25" s="26">
        <f>HLOOKUP(BW25,Hoja2!$R$2:$AV$86,85,FALSE)</f>
        <v>732261399</v>
      </c>
      <c r="BZ25" s="21"/>
      <c r="CA25" s="9"/>
      <c r="CB25">
        <v>110608</v>
      </c>
      <c r="CC25" t="s">
        <v>146</v>
      </c>
      <c r="CD25" t="str">
        <f t="shared" ref="CD25" si="205">CD24</f>
        <v>CPA LIQ CORRESPONSAL GC BCI 648</v>
      </c>
      <c r="CE25" s="3"/>
      <c r="CF25" s="10">
        <f t="shared" ref="CF25" si="206">CE24</f>
        <v>0</v>
      </c>
      <c r="CJ25" s="1">
        <v>45589</v>
      </c>
      <c r="CK25" s="26">
        <f>HLOOKUP(CJ25,Hoja2!$R$2:$AV$87,86,FALSE)</f>
        <v>0</v>
      </c>
      <c r="CM25" s="21"/>
      <c r="CN25" s="9"/>
      <c r="CO25">
        <v>110208</v>
      </c>
      <c r="CP25" t="s">
        <v>46</v>
      </c>
      <c r="CQ25" t="str">
        <f t="shared" ref="CQ25" si="207">CQ24</f>
        <v>CPA LIQ CORRESPONSAL GC BCI 648</v>
      </c>
      <c r="CR25" s="3"/>
      <c r="CS25" s="10">
        <f t="shared" ref="CS25" si="208">CR24</f>
        <v>0</v>
      </c>
    </row>
    <row r="26" spans="1:97" x14ac:dyDescent="0.25">
      <c r="A26" s="1">
        <v>45590</v>
      </c>
      <c r="B26" s="26">
        <f>HLOOKUP(A26,Hoja2!$R$2:$AV$3,2,FALSE)</f>
        <v>1886077651</v>
      </c>
      <c r="D26" s="21"/>
      <c r="E26" s="15">
        <v>45456</v>
      </c>
      <c r="F26" s="8">
        <v>110208</v>
      </c>
      <c r="G26" s="8" t="s">
        <v>46</v>
      </c>
      <c r="H26" s="8" t="str">
        <f t="shared" ref="H26" si="209">"CPA Recaudación Clientes BCI OP 648 "</f>
        <v xml:space="preserve">CPA Recaudación Clientes BCI OP 648 </v>
      </c>
      <c r="I26" s="16">
        <f>+B14</f>
        <v>0</v>
      </c>
      <c r="J26" s="17"/>
      <c r="M26" s="1">
        <v>45590</v>
      </c>
      <c r="N26" s="26">
        <f>HLOOKUP(M26,Hoja2!$R$2:$AV$4,3,FALSE)</f>
        <v>229066</v>
      </c>
      <c r="P26" s="21"/>
      <c r="Q26" s="15">
        <v>45456</v>
      </c>
      <c r="R26" s="8">
        <v>110208</v>
      </c>
      <c r="S26" s="8" t="s">
        <v>46</v>
      </c>
      <c r="T26" s="8" t="str">
        <f t="shared" ref="T26" si="210">"CPA Abonos operaciones rechazadas BCI OP 648 "</f>
        <v xml:space="preserve">CPA Abonos operaciones rechazadas BCI OP 648 </v>
      </c>
      <c r="U26" s="16">
        <f>+N14</f>
        <v>0</v>
      </c>
      <c r="V26" s="17"/>
      <c r="Y26" s="1">
        <v>45590</v>
      </c>
      <c r="Z26" s="26">
        <f>HLOOKUP(Y26,Hoja2!$R$2:$AV$5,4,FALSE)</f>
        <v>0</v>
      </c>
      <c r="AB26" s="21"/>
      <c r="AC26" s="15">
        <v>45456</v>
      </c>
      <c r="AD26" s="8">
        <v>110208</v>
      </c>
      <c r="AE26" s="8" t="s">
        <v>46</v>
      </c>
      <c r="AF26" s="8" t="str">
        <f t="shared" ref="AF26" si="211">"CPA Fondeo BCI ADM 656 a BCI OP 648 "</f>
        <v xml:space="preserve">CPA Fondeo BCI ADM 656 a BCI OP 648 </v>
      </c>
      <c r="AG26" s="16">
        <f>+Z14</f>
        <v>0</v>
      </c>
      <c r="AH26" s="17"/>
      <c r="AK26" s="1">
        <v>45590</v>
      </c>
      <c r="AL26" s="26">
        <f>HLOOKUP(AK26,Hoja2!$R$2:$AV$6,5,FALSE)</f>
        <v>190000000</v>
      </c>
      <c r="AN26" s="21"/>
      <c r="AO26" s="15">
        <v>45456</v>
      </c>
      <c r="AP26" s="8">
        <v>110204</v>
      </c>
      <c r="AQ26" s="8" t="s">
        <v>51</v>
      </c>
      <c r="AR26" s="8" t="str">
        <f t="shared" ref="AR26" si="212">"CPA Traspaso de Fondos Bco. BCI 648 a Bco. BICE "</f>
        <v xml:space="preserve">CPA Traspaso de Fondos Bco. BCI 648 a Bco. BICE </v>
      </c>
      <c r="AS26" s="16">
        <f>+AL14</f>
        <v>0</v>
      </c>
      <c r="AT26" s="17"/>
      <c r="AW26" s="1">
        <v>45590</v>
      </c>
      <c r="AX26" s="26">
        <f>HLOOKUP(AW26,Hoja2!$R$2:$AV$7,6,FALSE)</f>
        <v>0</v>
      </c>
      <c r="AZ26" s="21"/>
      <c r="BA26" s="15">
        <v>45456</v>
      </c>
      <c r="BB26" s="8">
        <v>211101</v>
      </c>
      <c r="BC26" s="8" t="s">
        <v>18</v>
      </c>
      <c r="BD26" s="8" t="str">
        <f t="shared" ref="BD26" si="213">"CPA Pago Operaciones Locales BCI OP 648 "</f>
        <v xml:space="preserve">CPA Pago Operaciones Locales BCI OP 648 </v>
      </c>
      <c r="BE26" s="16">
        <f>+AX14</f>
        <v>0</v>
      </c>
      <c r="BF26" s="17"/>
      <c r="BJ26" s="1">
        <v>45590</v>
      </c>
      <c r="BK26" s="26">
        <f>HLOOKUP(BJ26,Hoja2!$R$2:$AV$9,8,FALSE)</f>
        <v>0</v>
      </c>
      <c r="BM26" s="21"/>
      <c r="BN26" s="15">
        <v>45456</v>
      </c>
      <c r="BO26" s="8">
        <v>110209</v>
      </c>
      <c r="BP26" s="8" t="s">
        <v>55</v>
      </c>
      <c r="BQ26" s="8" t="str">
        <f t="shared" ref="BQ26" si="214">"CPA Fondeo BCI OP 648 a BCI ADM 656 "</f>
        <v xml:space="preserve">CPA Fondeo BCI OP 648 a BCI ADM 656 </v>
      </c>
      <c r="BR26" s="16">
        <f>+BK14</f>
        <v>0</v>
      </c>
      <c r="BS26" s="17"/>
      <c r="BW26" s="1">
        <v>45590</v>
      </c>
      <c r="BX26" s="26">
        <f>HLOOKUP(BW26,Hoja2!$R$2:$AV$86,85,FALSE)</f>
        <v>0</v>
      </c>
      <c r="BZ26" s="21"/>
      <c r="CA26" s="15">
        <v>45456</v>
      </c>
      <c r="CB26" s="8">
        <v>110208</v>
      </c>
      <c r="CC26" s="8" t="s">
        <v>46</v>
      </c>
      <c r="CD26" s="8" t="str">
        <f t="shared" ref="CD26" si="215">"CPA LIQ CORRESPONSAL GC BCI 648"</f>
        <v>CPA LIQ CORRESPONSAL GC BCI 648</v>
      </c>
      <c r="CE26" s="16">
        <f>+BX14</f>
        <v>0</v>
      </c>
      <c r="CF26" s="17"/>
      <c r="CJ26" s="1">
        <v>45590</v>
      </c>
      <c r="CK26" s="26">
        <f>HLOOKUP(CJ26,Hoja2!$R$2:$AV$87,86,FALSE)</f>
        <v>0</v>
      </c>
      <c r="CM26" s="21"/>
      <c r="CN26" s="15">
        <v>45456</v>
      </c>
      <c r="CO26" s="8">
        <v>110608</v>
      </c>
      <c r="CP26" s="8" t="s">
        <v>146</v>
      </c>
      <c r="CQ26" s="8" t="str">
        <f t="shared" ref="CQ26" si="216">"CPA LIQ CORRESPONSAL GC BCI 648"</f>
        <v>CPA LIQ CORRESPONSAL GC BCI 648</v>
      </c>
      <c r="CR26" s="16">
        <f>+CK14</f>
        <v>0</v>
      </c>
      <c r="CS26" s="17"/>
    </row>
    <row r="27" spans="1:97" x14ac:dyDescent="0.25">
      <c r="A27" s="1">
        <v>45591</v>
      </c>
      <c r="B27" s="26">
        <f>HLOOKUP(A27,Hoja2!$R$2:$AV$3,2,FALSE)</f>
        <v>0</v>
      </c>
      <c r="D27" s="21"/>
      <c r="E27" s="9"/>
      <c r="F27">
        <v>211101</v>
      </c>
      <c r="G27" t="s">
        <v>18</v>
      </c>
      <c r="H27" t="str">
        <f t="shared" ref="H27" si="217">H26</f>
        <v xml:space="preserve">CPA Recaudación Clientes BCI OP 648 </v>
      </c>
      <c r="I27" s="3"/>
      <c r="J27" s="10">
        <f>I26</f>
        <v>0</v>
      </c>
      <c r="M27" s="1">
        <v>45591</v>
      </c>
      <c r="N27" s="26">
        <f>HLOOKUP(M27,Hoja2!$R$2:$AV$4,3,FALSE)</f>
        <v>0</v>
      </c>
      <c r="P27" s="21"/>
      <c r="Q27" s="9"/>
      <c r="R27">
        <v>211101</v>
      </c>
      <c r="S27" t="s">
        <v>18</v>
      </c>
      <c r="T27" t="str">
        <f t="shared" ref="T27" si="218">T26</f>
        <v xml:space="preserve">CPA Abonos operaciones rechazadas BCI OP 648 </v>
      </c>
      <c r="U27" s="3"/>
      <c r="V27" s="10">
        <f>U26</f>
        <v>0</v>
      </c>
      <c r="Y27" s="1">
        <v>45591</v>
      </c>
      <c r="Z27" s="26">
        <f>HLOOKUP(Y27,Hoja2!$R$2:$AV$5,4,FALSE)</f>
        <v>0</v>
      </c>
      <c r="AB27" s="21"/>
      <c r="AC27" s="9"/>
      <c r="AD27">
        <v>110209</v>
      </c>
      <c r="AE27" t="s">
        <v>55</v>
      </c>
      <c r="AF27" t="str">
        <f t="shared" ref="AF27" si="219">AF26</f>
        <v xml:space="preserve">CPA Fondeo BCI ADM 656 a BCI OP 648 </v>
      </c>
      <c r="AG27" s="3"/>
      <c r="AH27" s="10">
        <f>AG26</f>
        <v>0</v>
      </c>
      <c r="AK27" s="1">
        <v>45591</v>
      </c>
      <c r="AL27" s="26">
        <f>HLOOKUP(AK27,Hoja2!$R$2:$AV$6,5,FALSE)</f>
        <v>0</v>
      </c>
      <c r="AN27" s="21"/>
      <c r="AO27" s="9"/>
      <c r="AP27">
        <v>110208</v>
      </c>
      <c r="AQ27" t="s">
        <v>46</v>
      </c>
      <c r="AR27" t="str">
        <f t="shared" ref="AR27" si="220">AR26</f>
        <v xml:space="preserve">CPA Traspaso de Fondos Bco. BCI 648 a Bco. BICE </v>
      </c>
      <c r="AS27" s="3"/>
      <c r="AT27" s="10">
        <f>AS26</f>
        <v>0</v>
      </c>
      <c r="AW27" s="1">
        <v>45591</v>
      </c>
      <c r="AX27" s="26">
        <f>HLOOKUP(AW27,Hoja2!$R$2:$AV$7,6,FALSE)</f>
        <v>0</v>
      </c>
      <c r="AZ27" s="21"/>
      <c r="BA27" s="9"/>
      <c r="BB27">
        <v>110208</v>
      </c>
      <c r="BC27" t="s">
        <v>46</v>
      </c>
      <c r="BD27" t="str">
        <f t="shared" ref="BD27" si="221">BD26</f>
        <v xml:space="preserve">CPA Pago Operaciones Locales BCI OP 648 </v>
      </c>
      <c r="BE27" s="3"/>
      <c r="BF27" s="10">
        <f>BE26</f>
        <v>0</v>
      </c>
      <c r="BJ27" s="1">
        <v>45591</v>
      </c>
      <c r="BK27" s="26">
        <f>HLOOKUP(BJ27,Hoja2!$R$2:$AV$9,8,FALSE)</f>
        <v>0</v>
      </c>
      <c r="BM27" s="21"/>
      <c r="BN27" s="9"/>
      <c r="BO27">
        <v>110208</v>
      </c>
      <c r="BP27" t="s">
        <v>46</v>
      </c>
      <c r="BQ27" t="str">
        <f t="shared" ref="BQ27" si="222">BQ26</f>
        <v xml:space="preserve">CPA Fondeo BCI OP 648 a BCI ADM 656 </v>
      </c>
      <c r="BR27" s="3"/>
      <c r="BS27" s="10">
        <f t="shared" ref="BS27" si="223">BR26</f>
        <v>0</v>
      </c>
      <c r="BW27" s="1">
        <v>45591</v>
      </c>
      <c r="BX27" s="26">
        <f>HLOOKUP(BW27,Hoja2!$R$2:$AV$86,85,FALSE)</f>
        <v>0</v>
      </c>
      <c r="BZ27" s="21"/>
      <c r="CA27" s="9"/>
      <c r="CB27">
        <v>110608</v>
      </c>
      <c r="CC27" t="s">
        <v>146</v>
      </c>
      <c r="CD27" t="str">
        <f t="shared" ref="CD27" si="224">CD26</f>
        <v>CPA LIQ CORRESPONSAL GC BCI 648</v>
      </c>
      <c r="CE27" s="3"/>
      <c r="CF27" s="10">
        <f t="shared" ref="CF27" si="225">CE26</f>
        <v>0</v>
      </c>
      <c r="CJ27" s="1">
        <v>45591</v>
      </c>
      <c r="CK27" s="26">
        <f>HLOOKUP(CJ27,Hoja2!$R$2:$AV$87,86,FALSE)</f>
        <v>0</v>
      </c>
      <c r="CM27" s="21"/>
      <c r="CN27" s="9"/>
      <c r="CO27">
        <v>110208</v>
      </c>
      <c r="CP27" t="s">
        <v>46</v>
      </c>
      <c r="CQ27" t="str">
        <f t="shared" ref="CQ27" si="226">CQ26</f>
        <v>CPA LIQ CORRESPONSAL GC BCI 648</v>
      </c>
      <c r="CR27" s="3"/>
      <c r="CS27" s="10">
        <f t="shared" ref="CS27" si="227">CR26</f>
        <v>0</v>
      </c>
    </row>
    <row r="28" spans="1:97" x14ac:dyDescent="0.25">
      <c r="A28" s="1">
        <v>45592</v>
      </c>
      <c r="B28" s="26">
        <f>HLOOKUP(A28,Hoja2!$R$2:$AV$3,2,FALSE)</f>
        <v>0</v>
      </c>
      <c r="E28" s="15">
        <v>45457</v>
      </c>
      <c r="F28" s="8">
        <v>110208</v>
      </c>
      <c r="G28" s="8" t="s">
        <v>46</v>
      </c>
      <c r="H28" s="8" t="str">
        <f t="shared" ref="H28" si="228">"CPA Recaudación Clientes BCI OP 648 "</f>
        <v xml:space="preserve">CPA Recaudación Clientes BCI OP 648 </v>
      </c>
      <c r="I28" s="16">
        <f>+B15</f>
        <v>1255955469</v>
      </c>
      <c r="J28" s="17"/>
      <c r="M28" s="1">
        <v>45592</v>
      </c>
      <c r="N28" s="26">
        <f>HLOOKUP(M28,Hoja2!$R$2:$AV$4,3,FALSE)</f>
        <v>0</v>
      </c>
      <c r="Q28" s="15">
        <v>45457</v>
      </c>
      <c r="R28" s="8">
        <v>110208</v>
      </c>
      <c r="S28" s="8" t="s">
        <v>46</v>
      </c>
      <c r="T28" s="8" t="str">
        <f t="shared" ref="T28" si="229">"CPA Abonos operaciones rechazadas BCI OP 648 "</f>
        <v xml:space="preserve">CPA Abonos operaciones rechazadas BCI OP 648 </v>
      </c>
      <c r="U28" s="16">
        <f>+N15</f>
        <v>8737930</v>
      </c>
      <c r="V28" s="17"/>
      <c r="Y28" s="1">
        <v>45592</v>
      </c>
      <c r="Z28" s="26">
        <f>HLOOKUP(Y28,Hoja2!$R$2:$AV$5,4,FALSE)</f>
        <v>0</v>
      </c>
      <c r="AC28" s="15">
        <v>45457</v>
      </c>
      <c r="AD28" s="8">
        <v>110208</v>
      </c>
      <c r="AE28" s="8" t="s">
        <v>46</v>
      </c>
      <c r="AF28" s="8" t="str">
        <f t="shared" ref="AF28" si="230">"CPA Fondeo BCI ADM 656 a BCI OP 648 "</f>
        <v xml:space="preserve">CPA Fondeo BCI ADM 656 a BCI OP 648 </v>
      </c>
      <c r="AG28" s="16">
        <f>+Z15</f>
        <v>0</v>
      </c>
      <c r="AH28" s="17"/>
      <c r="AK28" s="1">
        <v>45592</v>
      </c>
      <c r="AL28" s="26">
        <f>HLOOKUP(AK28,Hoja2!$R$2:$AV$6,5,FALSE)</f>
        <v>0</v>
      </c>
      <c r="AO28" s="15">
        <v>45457</v>
      </c>
      <c r="AP28" s="8">
        <v>110204</v>
      </c>
      <c r="AQ28" s="8" t="s">
        <v>51</v>
      </c>
      <c r="AR28" s="8" t="str">
        <f t="shared" ref="AR28" si="231">"CPA Traspaso de Fondos Bco. BCI 648 a Bco. BICE "</f>
        <v xml:space="preserve">CPA Traspaso de Fondos Bco. BCI 648 a Bco. BICE </v>
      </c>
      <c r="AS28" s="16">
        <f>+AL15</f>
        <v>334000000</v>
      </c>
      <c r="AT28" s="17"/>
      <c r="AW28" s="1">
        <v>45592</v>
      </c>
      <c r="AX28" s="26">
        <f>HLOOKUP(AW28,Hoja2!$R$2:$AV$7,6,FALSE)</f>
        <v>0</v>
      </c>
      <c r="BA28" s="15">
        <v>45457</v>
      </c>
      <c r="BB28" s="8">
        <v>211101</v>
      </c>
      <c r="BC28" s="8" t="s">
        <v>18</v>
      </c>
      <c r="BD28" s="8" t="str">
        <f t="shared" ref="BD28" si="232">"CPA Pago Operaciones Locales BCI OP 648 "</f>
        <v xml:space="preserve">CPA Pago Operaciones Locales BCI OP 648 </v>
      </c>
      <c r="BE28" s="16">
        <f>+AX15</f>
        <v>0</v>
      </c>
      <c r="BF28" s="17"/>
      <c r="BJ28" s="1">
        <v>45592</v>
      </c>
      <c r="BK28" s="26">
        <f>HLOOKUP(BJ28,Hoja2!$R$2:$AV$9,8,FALSE)</f>
        <v>0</v>
      </c>
      <c r="BN28" s="15">
        <v>45457</v>
      </c>
      <c r="BO28" s="8">
        <v>110209</v>
      </c>
      <c r="BP28" s="8" t="s">
        <v>55</v>
      </c>
      <c r="BQ28" s="8" t="str">
        <f t="shared" ref="BQ28" si="233">"CPA Fondeo BCI OP 648 a BCI ADM 656 "</f>
        <v xml:space="preserve">CPA Fondeo BCI OP 648 a BCI ADM 656 </v>
      </c>
      <c r="BR28" s="16">
        <f>+BK15</f>
        <v>0</v>
      </c>
      <c r="BS28" s="17"/>
      <c r="BW28" s="1">
        <v>45592</v>
      </c>
      <c r="BX28" s="26">
        <f>HLOOKUP(BW28,Hoja2!$R$2:$AV$86,85,FALSE)</f>
        <v>0</v>
      </c>
      <c r="CA28" s="15">
        <v>45457</v>
      </c>
      <c r="CB28" s="8">
        <v>110208</v>
      </c>
      <c r="CC28" s="8" t="s">
        <v>46</v>
      </c>
      <c r="CD28" s="8" t="str">
        <f t="shared" ref="CD28" si="234">"CPA LIQ CORRESPONSAL GC BCI 648"</f>
        <v>CPA LIQ CORRESPONSAL GC BCI 648</v>
      </c>
      <c r="CE28" s="16">
        <f>+BX15</f>
        <v>0</v>
      </c>
      <c r="CF28" s="17"/>
      <c r="CJ28" s="1">
        <v>45592</v>
      </c>
      <c r="CK28" s="26">
        <f>HLOOKUP(CJ28,Hoja2!$R$2:$AV$87,86,FALSE)</f>
        <v>0</v>
      </c>
      <c r="CN28" s="15">
        <v>45457</v>
      </c>
      <c r="CO28" s="8">
        <v>110608</v>
      </c>
      <c r="CP28" s="8" t="s">
        <v>146</v>
      </c>
      <c r="CQ28" s="8" t="str">
        <f t="shared" ref="CQ28" si="235">"CPA LIQ CORRESPONSAL GC BCI 648"</f>
        <v>CPA LIQ CORRESPONSAL GC BCI 648</v>
      </c>
      <c r="CR28" s="16">
        <f>+CK15</f>
        <v>0</v>
      </c>
      <c r="CS28" s="17"/>
    </row>
    <row r="29" spans="1:97" x14ac:dyDescent="0.25">
      <c r="A29" s="1">
        <v>45593</v>
      </c>
      <c r="B29" s="26">
        <f>HLOOKUP(A29,Hoja2!$R$2:$AV$3,2,FALSE)</f>
        <v>1967011186</v>
      </c>
      <c r="D29" s="39"/>
      <c r="E29" s="9"/>
      <c r="F29">
        <v>211101</v>
      </c>
      <c r="G29" t="s">
        <v>18</v>
      </c>
      <c r="H29" t="str">
        <f t="shared" ref="H29" si="236">H28</f>
        <v xml:space="preserve">CPA Recaudación Clientes BCI OP 648 </v>
      </c>
      <c r="I29" s="3"/>
      <c r="J29" s="10">
        <f>I28</f>
        <v>1255955469</v>
      </c>
      <c r="M29" s="1">
        <v>45593</v>
      </c>
      <c r="N29" s="26">
        <f>HLOOKUP(M29,Hoja2!$R$2:$AV$4,3,FALSE)</f>
        <v>2704091</v>
      </c>
      <c r="P29" s="39"/>
      <c r="Q29" s="9"/>
      <c r="R29">
        <v>211101</v>
      </c>
      <c r="S29" t="s">
        <v>18</v>
      </c>
      <c r="T29" t="str">
        <f t="shared" ref="T29" si="237">T28</f>
        <v xml:space="preserve">CPA Abonos operaciones rechazadas BCI OP 648 </v>
      </c>
      <c r="U29" s="3"/>
      <c r="V29" s="10">
        <f>U28</f>
        <v>8737930</v>
      </c>
      <c r="Y29" s="1">
        <v>45593</v>
      </c>
      <c r="Z29" s="26">
        <f>HLOOKUP(Y29,Hoja2!$R$2:$AV$5,4,FALSE)</f>
        <v>0</v>
      </c>
      <c r="AB29" s="39"/>
      <c r="AC29" s="9"/>
      <c r="AD29">
        <v>110209</v>
      </c>
      <c r="AE29" t="s">
        <v>55</v>
      </c>
      <c r="AF29" t="str">
        <f t="shared" ref="AF29" si="238">AF28</f>
        <v xml:space="preserve">CPA Fondeo BCI ADM 656 a BCI OP 648 </v>
      </c>
      <c r="AG29" s="3"/>
      <c r="AH29" s="10">
        <f>AG28</f>
        <v>0</v>
      </c>
      <c r="AK29" s="1">
        <v>45593</v>
      </c>
      <c r="AL29" s="26">
        <f>HLOOKUP(AK29,Hoja2!$R$2:$AV$6,5,FALSE)</f>
        <v>0</v>
      </c>
      <c r="AN29" s="39"/>
      <c r="AO29" s="9"/>
      <c r="AP29">
        <v>110208</v>
      </c>
      <c r="AQ29" t="s">
        <v>46</v>
      </c>
      <c r="AR29" t="str">
        <f t="shared" ref="AR29" si="239">AR28</f>
        <v xml:space="preserve">CPA Traspaso de Fondos Bco. BCI 648 a Bco. BICE </v>
      </c>
      <c r="AS29" s="3"/>
      <c r="AT29" s="10">
        <f>AS28</f>
        <v>334000000</v>
      </c>
      <c r="AW29" s="1">
        <v>45593</v>
      </c>
      <c r="AX29" s="26">
        <f>HLOOKUP(AW29,Hoja2!$R$2:$AV$7,6,FALSE)</f>
        <v>0</v>
      </c>
      <c r="AZ29" s="39"/>
      <c r="BA29" s="9"/>
      <c r="BB29">
        <v>110208</v>
      </c>
      <c r="BC29" t="s">
        <v>46</v>
      </c>
      <c r="BD29" t="str">
        <f t="shared" ref="BD29" si="240">BD28</f>
        <v xml:space="preserve">CPA Pago Operaciones Locales BCI OP 648 </v>
      </c>
      <c r="BE29" s="3"/>
      <c r="BF29" s="10">
        <f>BE28</f>
        <v>0</v>
      </c>
      <c r="BJ29" s="1">
        <v>45593</v>
      </c>
      <c r="BK29" s="26">
        <f>HLOOKUP(BJ29,Hoja2!$R$2:$AV$9,8,FALSE)</f>
        <v>0</v>
      </c>
      <c r="BM29" s="39"/>
      <c r="BN29" s="9"/>
      <c r="BO29">
        <v>110208</v>
      </c>
      <c r="BP29" t="s">
        <v>46</v>
      </c>
      <c r="BQ29" t="str">
        <f t="shared" ref="BQ29" si="241">BQ28</f>
        <v xml:space="preserve">CPA Fondeo BCI OP 648 a BCI ADM 656 </v>
      </c>
      <c r="BR29" s="3"/>
      <c r="BS29" s="10">
        <f t="shared" ref="BS29" si="242">BR28</f>
        <v>0</v>
      </c>
      <c r="BW29" s="1">
        <v>45593</v>
      </c>
      <c r="BX29" s="26">
        <f>HLOOKUP(BW29,Hoja2!$R$2:$AV$86,85,FALSE)</f>
        <v>0</v>
      </c>
      <c r="BZ29" s="39"/>
      <c r="CA29" s="9"/>
      <c r="CB29">
        <v>110608</v>
      </c>
      <c r="CC29" t="s">
        <v>146</v>
      </c>
      <c r="CD29" t="str">
        <f t="shared" ref="CD29" si="243">CD28</f>
        <v>CPA LIQ CORRESPONSAL GC BCI 648</v>
      </c>
      <c r="CE29" s="3"/>
      <c r="CF29" s="10">
        <f t="shared" ref="CF29" si="244">CE28</f>
        <v>0</v>
      </c>
      <c r="CJ29" s="1">
        <v>45593</v>
      </c>
      <c r="CK29" s="26">
        <f>HLOOKUP(CJ29,Hoja2!$R$2:$AV$87,86,FALSE)</f>
        <v>0</v>
      </c>
      <c r="CM29" s="39"/>
      <c r="CN29" s="9"/>
      <c r="CO29">
        <v>110208</v>
      </c>
      <c r="CP29" t="s">
        <v>46</v>
      </c>
      <c r="CQ29" t="str">
        <f t="shared" ref="CQ29" si="245">CQ28</f>
        <v>CPA LIQ CORRESPONSAL GC BCI 648</v>
      </c>
      <c r="CR29" s="3"/>
      <c r="CS29" s="10">
        <f t="shared" ref="CS29" si="246">CR28</f>
        <v>0</v>
      </c>
    </row>
    <row r="30" spans="1:97" x14ac:dyDescent="0.25">
      <c r="A30" s="1">
        <v>45594</v>
      </c>
      <c r="B30" s="26">
        <f>HLOOKUP(A30,Hoja2!$R$2:$AV$3,2,FALSE)</f>
        <v>1259351874</v>
      </c>
      <c r="E30" s="15">
        <v>45458</v>
      </c>
      <c r="F30" s="8">
        <v>110208</v>
      </c>
      <c r="G30" s="8" t="s">
        <v>46</v>
      </c>
      <c r="H30" s="8" t="str">
        <f t="shared" ref="H30" si="247">"CPA Recaudación Clientes BCI OP 648 "</f>
        <v xml:space="preserve">CPA Recaudación Clientes BCI OP 648 </v>
      </c>
      <c r="I30" s="16">
        <f>+B16</f>
        <v>1031664100</v>
      </c>
      <c r="J30" s="17"/>
      <c r="M30" s="1">
        <v>45594</v>
      </c>
      <c r="N30" s="26">
        <f>HLOOKUP(M30,Hoja2!$R$2:$AV$4,3,FALSE)</f>
        <v>495007</v>
      </c>
      <c r="Q30" s="15">
        <v>45458</v>
      </c>
      <c r="R30" s="8">
        <v>110208</v>
      </c>
      <c r="S30" s="8" t="s">
        <v>46</v>
      </c>
      <c r="T30" s="8" t="str">
        <f t="shared" ref="T30" si="248">"CPA Abonos operaciones rechazadas BCI OP 648 "</f>
        <v xml:space="preserve">CPA Abonos operaciones rechazadas BCI OP 648 </v>
      </c>
      <c r="U30" s="16">
        <f>+N16</f>
        <v>110187</v>
      </c>
      <c r="V30" s="17"/>
      <c r="Y30" s="1">
        <v>45594</v>
      </c>
      <c r="Z30" s="26">
        <f>HLOOKUP(Y30,Hoja2!$R$2:$AV$5,4,FALSE)</f>
        <v>0</v>
      </c>
      <c r="AC30" s="15">
        <v>45458</v>
      </c>
      <c r="AD30" s="8">
        <v>110208</v>
      </c>
      <c r="AE30" s="8" t="s">
        <v>46</v>
      </c>
      <c r="AF30" s="8" t="str">
        <f t="shared" ref="AF30" si="249">"CPA Fondeo BCI ADM 656 a BCI OP 648 "</f>
        <v xml:space="preserve">CPA Fondeo BCI ADM 656 a BCI OP 648 </v>
      </c>
      <c r="AG30" s="16">
        <f>+Z16</f>
        <v>0</v>
      </c>
      <c r="AH30" s="17"/>
      <c r="AK30" s="1">
        <v>45594</v>
      </c>
      <c r="AL30" s="26">
        <f>HLOOKUP(AK30,Hoja2!$R$2:$AV$6,5,FALSE)</f>
        <v>0</v>
      </c>
      <c r="AO30" s="15">
        <v>45458</v>
      </c>
      <c r="AP30" s="8">
        <v>110204</v>
      </c>
      <c r="AQ30" s="8" t="s">
        <v>51</v>
      </c>
      <c r="AR30" s="8" t="str">
        <f t="shared" ref="AR30" si="250">"CPA Traspaso de Fondos Bco. BCI 648 a Bco. BICE "</f>
        <v xml:space="preserve">CPA Traspaso de Fondos Bco. BCI 648 a Bco. BICE </v>
      </c>
      <c r="AS30" s="16">
        <f>+AL16</f>
        <v>0</v>
      </c>
      <c r="AT30" s="17"/>
      <c r="AW30" s="1">
        <v>45594</v>
      </c>
      <c r="AX30" s="26">
        <f>HLOOKUP(AW30,Hoja2!$R$2:$AV$7,6,FALSE)</f>
        <v>0</v>
      </c>
      <c r="BA30" s="15">
        <v>45458</v>
      </c>
      <c r="BB30" s="8">
        <v>211101</v>
      </c>
      <c r="BC30" s="8" t="s">
        <v>18</v>
      </c>
      <c r="BD30" s="8" t="str">
        <f t="shared" ref="BD30" si="251">"CPA Pago Operaciones Locales BCI OP 648 "</f>
        <v xml:space="preserve">CPA Pago Operaciones Locales BCI OP 648 </v>
      </c>
      <c r="BE30" s="16">
        <f>+AX16</f>
        <v>0</v>
      </c>
      <c r="BF30" s="17"/>
      <c r="BJ30" s="1">
        <v>45594</v>
      </c>
      <c r="BK30" s="26">
        <f>HLOOKUP(BJ30,Hoja2!$R$2:$AV$9,8,FALSE)</f>
        <v>42000000</v>
      </c>
      <c r="BN30" s="15">
        <v>45458</v>
      </c>
      <c r="BO30" s="8">
        <v>110209</v>
      </c>
      <c r="BP30" s="8" t="s">
        <v>55</v>
      </c>
      <c r="BQ30" s="8" t="str">
        <f t="shared" ref="BQ30" si="252">"CPA Fondeo BCI OP 648 a BCI ADM 656 "</f>
        <v xml:space="preserve">CPA Fondeo BCI OP 648 a BCI ADM 656 </v>
      </c>
      <c r="BR30" s="16">
        <f>+BK16</f>
        <v>55000000</v>
      </c>
      <c r="BS30" s="17"/>
      <c r="BW30" s="1">
        <v>45594</v>
      </c>
      <c r="BX30" s="26">
        <f>HLOOKUP(BW30,Hoja2!$R$2:$AV$86,85,FALSE)</f>
        <v>444657859</v>
      </c>
      <c r="CA30" s="15">
        <v>45458</v>
      </c>
      <c r="CB30" s="8">
        <v>110208</v>
      </c>
      <c r="CC30" s="8" t="s">
        <v>46</v>
      </c>
      <c r="CD30" s="8" t="str">
        <f t="shared" ref="CD30" si="253">"CPA LIQ CORRESPONSAL GC BCI 648"</f>
        <v>CPA LIQ CORRESPONSAL GC BCI 648</v>
      </c>
      <c r="CE30" s="16">
        <f>+BX16</f>
        <v>981437997</v>
      </c>
      <c r="CF30" s="17"/>
      <c r="CJ30" s="1">
        <v>45594</v>
      </c>
      <c r="CK30" s="26">
        <f>HLOOKUP(CJ30,Hoja2!$R$2:$AV$87,86,FALSE)</f>
        <v>0</v>
      </c>
      <c r="CN30" s="15">
        <v>45458</v>
      </c>
      <c r="CO30" s="8">
        <v>110608</v>
      </c>
      <c r="CP30" s="8" t="s">
        <v>146</v>
      </c>
      <c r="CQ30" s="8" t="str">
        <f t="shared" ref="CQ30" si="254">"CPA LIQ CORRESPONSAL GC BCI 648"</f>
        <v>CPA LIQ CORRESPONSAL GC BCI 648</v>
      </c>
      <c r="CR30" s="16">
        <f>+CK16</f>
        <v>0</v>
      </c>
      <c r="CS30" s="17"/>
    </row>
    <row r="31" spans="1:97" x14ac:dyDescent="0.25">
      <c r="A31" s="1">
        <v>45595</v>
      </c>
      <c r="B31" s="26">
        <f>HLOOKUP(A31,Hoja2!$R$2:$AV$3,2,FALSE)</f>
        <v>1711223547</v>
      </c>
      <c r="E31" s="11"/>
      <c r="F31" s="12">
        <v>211101</v>
      </c>
      <c r="G31" s="12" t="s">
        <v>18</v>
      </c>
      <c r="H31" s="12" t="str">
        <f t="shared" ref="H31" si="255">H30</f>
        <v xml:space="preserve">CPA Recaudación Clientes BCI OP 648 </v>
      </c>
      <c r="I31" s="13"/>
      <c r="J31" s="18">
        <f>I30</f>
        <v>1031664100</v>
      </c>
      <c r="M31" s="1">
        <v>45595</v>
      </c>
      <c r="N31" s="26">
        <f>HLOOKUP(M31,Hoja2!$R$2:$AV$4,3,FALSE)</f>
        <v>9618216</v>
      </c>
      <c r="Q31" s="11"/>
      <c r="R31" s="12">
        <v>211101</v>
      </c>
      <c r="S31" s="12" t="s">
        <v>18</v>
      </c>
      <c r="T31" s="12" t="str">
        <f t="shared" ref="T31" si="256">T30</f>
        <v xml:space="preserve">CPA Abonos operaciones rechazadas BCI OP 648 </v>
      </c>
      <c r="U31" s="13"/>
      <c r="V31" s="18">
        <f>U30</f>
        <v>110187</v>
      </c>
      <c r="Y31" s="1">
        <v>45595</v>
      </c>
      <c r="Z31" s="26">
        <f>HLOOKUP(Y31,Hoja2!$R$2:$AV$5,4,FALSE)</f>
        <v>0</v>
      </c>
      <c r="AC31" s="11"/>
      <c r="AD31" s="12">
        <v>110209</v>
      </c>
      <c r="AE31" s="12" t="s">
        <v>55</v>
      </c>
      <c r="AF31" s="12" t="str">
        <f t="shared" ref="AF31" si="257">AF30</f>
        <v xml:space="preserve">CPA Fondeo BCI ADM 656 a BCI OP 648 </v>
      </c>
      <c r="AG31" s="13"/>
      <c r="AH31" s="18">
        <f>AG30</f>
        <v>0</v>
      </c>
      <c r="AK31" s="1">
        <v>45595</v>
      </c>
      <c r="AL31" s="26">
        <f>HLOOKUP(AK31,Hoja2!$R$2:$AV$6,5,FALSE)</f>
        <v>0</v>
      </c>
      <c r="AO31" s="11"/>
      <c r="AP31" s="12">
        <v>110208</v>
      </c>
      <c r="AQ31" s="12" t="s">
        <v>46</v>
      </c>
      <c r="AR31" s="12" t="str">
        <f t="shared" ref="AR31" si="258">AR30</f>
        <v xml:space="preserve">CPA Traspaso de Fondos Bco. BCI 648 a Bco. BICE </v>
      </c>
      <c r="AS31" s="13"/>
      <c r="AT31" s="18">
        <f>AS30</f>
        <v>0</v>
      </c>
      <c r="AW31" s="1">
        <v>45595</v>
      </c>
      <c r="AX31" s="26">
        <f>HLOOKUP(AW31,Hoja2!$R$2:$AV$7,6,FALSE)</f>
        <v>0</v>
      </c>
      <c r="BA31" s="11"/>
      <c r="BB31" s="12">
        <v>110208</v>
      </c>
      <c r="BC31" s="12" t="s">
        <v>46</v>
      </c>
      <c r="BD31" s="12" t="str">
        <f t="shared" ref="BD31" si="259">BD30</f>
        <v xml:space="preserve">CPA Pago Operaciones Locales BCI OP 648 </v>
      </c>
      <c r="BE31" s="13"/>
      <c r="BF31" s="18">
        <f>BE30</f>
        <v>0</v>
      </c>
      <c r="BJ31" s="1">
        <v>45595</v>
      </c>
      <c r="BK31" s="26">
        <f>HLOOKUP(BJ31,Hoja2!$R$2:$AV$9,8,FALSE)</f>
        <v>78000000</v>
      </c>
      <c r="BN31" s="11"/>
      <c r="BO31" s="12">
        <v>110208</v>
      </c>
      <c r="BP31" s="12" t="s">
        <v>46</v>
      </c>
      <c r="BQ31" s="12" t="str">
        <f t="shared" ref="BQ31" si="260">BQ30</f>
        <v xml:space="preserve">CPA Fondeo BCI OP 648 a BCI ADM 656 </v>
      </c>
      <c r="BR31" s="13"/>
      <c r="BS31" s="18">
        <f t="shared" ref="BS31" si="261">BR30</f>
        <v>55000000</v>
      </c>
      <c r="BW31" s="1">
        <v>45595</v>
      </c>
      <c r="BX31" s="26">
        <f>HLOOKUP(BW31,Hoja2!$R$2:$AV$86,85,FALSE)</f>
        <v>252684489</v>
      </c>
      <c r="CA31" s="11"/>
      <c r="CB31" s="12">
        <v>110608</v>
      </c>
      <c r="CC31" s="12" t="s">
        <v>146</v>
      </c>
      <c r="CD31" s="12" t="str">
        <f t="shared" ref="CD31" si="262">CD30</f>
        <v>CPA LIQ CORRESPONSAL GC BCI 648</v>
      </c>
      <c r="CE31" s="13"/>
      <c r="CF31" s="18">
        <f t="shared" ref="CF31" si="263">CE30</f>
        <v>981437997</v>
      </c>
      <c r="CJ31" s="1">
        <v>45595</v>
      </c>
      <c r="CK31" s="26">
        <f>HLOOKUP(CJ31,Hoja2!$R$2:$AV$87,86,FALSE)</f>
        <v>0</v>
      </c>
      <c r="CN31" s="11"/>
      <c r="CO31" s="12">
        <v>110208</v>
      </c>
      <c r="CP31" s="12" t="s">
        <v>46</v>
      </c>
      <c r="CQ31" s="12" t="str">
        <f t="shared" ref="CQ31" si="264">CQ30</f>
        <v>CPA LIQ CORRESPONSAL GC BCI 648</v>
      </c>
      <c r="CR31" s="13"/>
      <c r="CS31" s="18">
        <f t="shared" ref="CS31" si="265">CR30</f>
        <v>0</v>
      </c>
    </row>
    <row r="32" spans="1:97" x14ac:dyDescent="0.25">
      <c r="A32" s="1">
        <v>45596</v>
      </c>
      <c r="B32" s="26">
        <f>HLOOKUP(A32,Hoja2!$R$2:$AV$3,2,FALSE)</f>
        <v>0</v>
      </c>
      <c r="E32" s="15">
        <v>45459</v>
      </c>
      <c r="F32" s="8">
        <v>110208</v>
      </c>
      <c r="G32" s="8" t="s">
        <v>46</v>
      </c>
      <c r="H32" s="8" t="str">
        <f t="shared" ref="H32" si="266">"CPA Recaudación Clientes BCI OP 648 "</f>
        <v xml:space="preserve">CPA Recaudación Clientes BCI OP 648 </v>
      </c>
      <c r="I32" s="16">
        <f>+B17</f>
        <v>1365116931</v>
      </c>
      <c r="J32" s="17"/>
      <c r="M32" s="1">
        <v>45596</v>
      </c>
      <c r="N32" s="26">
        <f>HLOOKUP(M32,Hoja2!$R$2:$AV$4,3,FALSE)</f>
        <v>0</v>
      </c>
      <c r="Q32" s="15">
        <v>45459</v>
      </c>
      <c r="R32" s="8">
        <v>110208</v>
      </c>
      <c r="S32" s="8" t="s">
        <v>46</v>
      </c>
      <c r="T32" s="8" t="str">
        <f t="shared" ref="T32" si="267">"CPA Abonos operaciones rechazadas BCI OP 648 "</f>
        <v xml:space="preserve">CPA Abonos operaciones rechazadas BCI OP 648 </v>
      </c>
      <c r="U32" s="16">
        <f>+N17</f>
        <v>7446080</v>
      </c>
      <c r="V32" s="17"/>
      <c r="Y32" s="1">
        <v>45596</v>
      </c>
      <c r="Z32" s="26">
        <f>HLOOKUP(Y32,Hoja2!$R$2:$AV$5,4,FALSE)</f>
        <v>0</v>
      </c>
      <c r="AC32" s="15">
        <v>45459</v>
      </c>
      <c r="AD32" s="8">
        <v>110208</v>
      </c>
      <c r="AE32" s="8" t="s">
        <v>46</v>
      </c>
      <c r="AF32" s="8" t="str">
        <f t="shared" ref="AF32" si="268">"CPA Fondeo BCI ADM 656 a BCI OP 648 "</f>
        <v xml:space="preserve">CPA Fondeo BCI ADM 656 a BCI OP 648 </v>
      </c>
      <c r="AG32" s="16">
        <f>+Z17</f>
        <v>0</v>
      </c>
      <c r="AH32" s="17"/>
      <c r="AK32" s="1">
        <v>45596</v>
      </c>
      <c r="AL32" s="26">
        <f>HLOOKUP(AK32,Hoja2!$R$2:$AV$6,5,FALSE)</f>
        <v>0</v>
      </c>
      <c r="AO32" s="15">
        <v>45459</v>
      </c>
      <c r="AP32" s="8">
        <v>110204</v>
      </c>
      <c r="AQ32" s="8" t="s">
        <v>51</v>
      </c>
      <c r="AR32" s="8" t="str">
        <f t="shared" ref="AR32" si="269">"CPA Traspaso de Fondos Bco. BCI 648 a Bco. BICE "</f>
        <v xml:space="preserve">CPA Traspaso de Fondos Bco. BCI 648 a Bco. BICE </v>
      </c>
      <c r="AS32" s="16">
        <f>+AL17</f>
        <v>0</v>
      </c>
      <c r="AT32" s="17"/>
      <c r="AW32" s="1">
        <v>45596</v>
      </c>
      <c r="AX32" s="26">
        <f>HLOOKUP(AW32,Hoja2!$R$2:$AV$7,6,FALSE)</f>
        <v>0</v>
      </c>
      <c r="BA32" s="15">
        <v>45459</v>
      </c>
      <c r="BB32" s="8">
        <v>211101</v>
      </c>
      <c r="BC32" s="8" t="s">
        <v>18</v>
      </c>
      <c r="BD32" s="8" t="str">
        <f t="shared" ref="BD32" si="270">"CPA Pago Operaciones Locales BCI OP 648 "</f>
        <v xml:space="preserve">CPA Pago Operaciones Locales BCI OP 648 </v>
      </c>
      <c r="BE32" s="16">
        <f>+AX17</f>
        <v>0</v>
      </c>
      <c r="BF32" s="17"/>
      <c r="BJ32" s="1">
        <v>45596</v>
      </c>
      <c r="BK32" s="26">
        <f>HLOOKUP(BJ32,Hoja2!$R$2:$AV$9,8,FALSE)</f>
        <v>0</v>
      </c>
      <c r="BN32" s="15">
        <v>45459</v>
      </c>
      <c r="BO32" s="8">
        <v>110209</v>
      </c>
      <c r="BP32" s="8" t="s">
        <v>55</v>
      </c>
      <c r="BQ32" s="8" t="str">
        <f t="shared" ref="BQ32" si="271">"CPA Fondeo BCI OP 648 a BCI ADM 656 "</f>
        <v xml:space="preserve">CPA Fondeo BCI OP 648 a BCI ADM 656 </v>
      </c>
      <c r="BR32" s="16">
        <f>+BK17</f>
        <v>185000000</v>
      </c>
      <c r="BS32" s="17"/>
      <c r="BW32" s="1">
        <v>45596</v>
      </c>
      <c r="BX32" s="26">
        <f>HLOOKUP(BW32,Hoja2!$R$2:$AV$86,85,FALSE)</f>
        <v>0</v>
      </c>
      <c r="CA32" s="15">
        <v>45459</v>
      </c>
      <c r="CB32" s="8">
        <v>110208</v>
      </c>
      <c r="CC32" s="8" t="s">
        <v>46</v>
      </c>
      <c r="CD32" s="8" t="str">
        <f t="shared" ref="CD32" si="272">"CPA LIQ CORRESPONSAL GC BCI 648"</f>
        <v>CPA LIQ CORRESPONSAL GC BCI 648</v>
      </c>
      <c r="CE32" s="16">
        <f>+BX17</f>
        <v>0</v>
      </c>
      <c r="CF32" s="17"/>
      <c r="CJ32" s="1">
        <v>45596</v>
      </c>
      <c r="CK32" s="26">
        <f>HLOOKUP(CJ32,Hoja2!$R$2:$AV$87,86,FALSE)</f>
        <v>0</v>
      </c>
      <c r="CN32" s="15">
        <v>45459</v>
      </c>
      <c r="CO32" s="8">
        <v>110608</v>
      </c>
      <c r="CP32" s="8" t="s">
        <v>146</v>
      </c>
      <c r="CQ32" s="8" t="str">
        <f t="shared" ref="CQ32" si="273">"CPA LIQ CORRESPONSAL GC BCI 648"</f>
        <v>CPA LIQ CORRESPONSAL GC BCI 648</v>
      </c>
      <c r="CR32" s="16">
        <f>+CK17</f>
        <v>0</v>
      </c>
      <c r="CS32" s="17"/>
    </row>
    <row r="33" spans="2:97" x14ac:dyDescent="0.25">
      <c r="B33" s="3">
        <f>SUM(B2:B32)</f>
        <v>30061760814</v>
      </c>
      <c r="E33" s="11"/>
      <c r="F33" s="12">
        <v>211101</v>
      </c>
      <c r="G33" s="12" t="s">
        <v>18</v>
      </c>
      <c r="H33" s="12" t="str">
        <f t="shared" ref="H33" si="274">H32</f>
        <v xml:space="preserve">CPA Recaudación Clientes BCI OP 648 </v>
      </c>
      <c r="I33" s="13"/>
      <c r="J33" s="18">
        <f>I32</f>
        <v>1365116931</v>
      </c>
      <c r="N33" s="26">
        <f>SUM(N2:N32)</f>
        <v>73630571</v>
      </c>
      <c r="Q33" s="11"/>
      <c r="R33" s="12">
        <v>211101</v>
      </c>
      <c r="S33" s="12" t="s">
        <v>18</v>
      </c>
      <c r="T33" s="12" t="str">
        <f t="shared" ref="T33" si="275">T32</f>
        <v xml:space="preserve">CPA Abonos operaciones rechazadas BCI OP 648 </v>
      </c>
      <c r="U33" s="13"/>
      <c r="V33" s="18">
        <f>U32</f>
        <v>7446080</v>
      </c>
      <c r="Z33" s="26"/>
      <c r="AC33" s="11"/>
      <c r="AD33" s="12">
        <v>110209</v>
      </c>
      <c r="AE33" s="12" t="s">
        <v>55</v>
      </c>
      <c r="AF33" s="12" t="str">
        <f t="shared" ref="AF33" si="276">AF32</f>
        <v xml:space="preserve">CPA Fondeo BCI ADM 656 a BCI OP 648 </v>
      </c>
      <c r="AG33" s="13"/>
      <c r="AH33" s="18">
        <f>AG32</f>
        <v>0</v>
      </c>
      <c r="AL33" s="26">
        <f>SUM(AL2:AL32)</f>
        <v>1789000000</v>
      </c>
      <c r="AO33" s="11"/>
      <c r="AP33" s="12">
        <v>110208</v>
      </c>
      <c r="AQ33" s="12" t="s">
        <v>46</v>
      </c>
      <c r="AR33" s="12" t="str">
        <f t="shared" ref="AR33" si="277">AR32</f>
        <v xml:space="preserve">CPA Traspaso de Fondos Bco. BCI 648 a Bco. BICE </v>
      </c>
      <c r="AS33" s="13"/>
      <c r="AT33" s="18">
        <f>AS32</f>
        <v>0</v>
      </c>
      <c r="AX33" s="26">
        <f>SUM(AX2:AX32)</f>
        <v>0</v>
      </c>
      <c r="BA33" s="11"/>
      <c r="BB33" s="12">
        <v>110208</v>
      </c>
      <c r="BC33" s="12" t="s">
        <v>46</v>
      </c>
      <c r="BD33" s="12" t="str">
        <f t="shared" ref="BD33" si="278">BD32</f>
        <v xml:space="preserve">CPA Pago Operaciones Locales BCI OP 648 </v>
      </c>
      <c r="BE33" s="13"/>
      <c r="BF33" s="18">
        <f>BE32</f>
        <v>0</v>
      </c>
      <c r="BK33" s="26"/>
      <c r="BN33" s="11"/>
      <c r="BO33" s="12">
        <v>110208</v>
      </c>
      <c r="BP33" s="12" t="s">
        <v>46</v>
      </c>
      <c r="BQ33" s="12" t="str">
        <f t="shared" ref="BQ33" si="279">BQ32</f>
        <v xml:space="preserve">CPA Fondeo BCI OP 648 a BCI ADM 656 </v>
      </c>
      <c r="BR33" s="13"/>
      <c r="BS33" s="18">
        <f t="shared" ref="BS33" si="280">BR32</f>
        <v>185000000</v>
      </c>
      <c r="BX33" s="26"/>
      <c r="CA33" s="11"/>
      <c r="CB33" s="12">
        <v>110608</v>
      </c>
      <c r="CC33" s="12" t="s">
        <v>146</v>
      </c>
      <c r="CD33" s="12" t="str">
        <f t="shared" ref="CD33" si="281">CD32</f>
        <v>CPA LIQ CORRESPONSAL GC BCI 648</v>
      </c>
      <c r="CE33" s="13"/>
      <c r="CF33" s="18">
        <f t="shared" ref="CF33" si="282">CE32</f>
        <v>0</v>
      </c>
      <c r="CK33" s="26"/>
      <c r="CN33" s="11"/>
      <c r="CO33" s="12">
        <v>110208</v>
      </c>
      <c r="CP33" s="12" t="s">
        <v>46</v>
      </c>
      <c r="CQ33" s="12" t="str">
        <f t="shared" ref="CQ33" si="283">CQ32</f>
        <v>CPA LIQ CORRESPONSAL GC BCI 648</v>
      </c>
      <c r="CR33" s="13"/>
      <c r="CS33" s="18">
        <f t="shared" ref="CS33" si="284">CR32</f>
        <v>0</v>
      </c>
    </row>
    <row r="34" spans="2:97" x14ac:dyDescent="0.25">
      <c r="E34" s="15">
        <v>45460</v>
      </c>
      <c r="F34" s="8">
        <v>110208</v>
      </c>
      <c r="G34" s="8" t="s">
        <v>46</v>
      </c>
      <c r="H34" s="8" t="str">
        <f t="shared" ref="H34" si="285">"CPA Recaudación Clientes BCI OP 648 "</f>
        <v xml:space="preserve">CPA Recaudación Clientes BCI OP 648 </v>
      </c>
      <c r="I34" s="16">
        <f>+B18</f>
        <v>1075044635</v>
      </c>
      <c r="J34" s="17"/>
      <c r="N34" s="26"/>
      <c r="Q34" s="15">
        <v>45460</v>
      </c>
      <c r="R34" s="8">
        <v>110208</v>
      </c>
      <c r="S34" s="8" t="s">
        <v>46</v>
      </c>
      <c r="T34" s="8" t="str">
        <f t="shared" ref="T34" si="286">"CPA Abonos operaciones rechazadas BCI OP 648 "</f>
        <v xml:space="preserve">CPA Abonos operaciones rechazadas BCI OP 648 </v>
      </c>
      <c r="U34" s="16">
        <f>+N18</f>
        <v>409843</v>
      </c>
      <c r="V34" s="17"/>
      <c r="Z34" s="26"/>
      <c r="AC34" s="15">
        <v>45460</v>
      </c>
      <c r="AD34" s="8">
        <v>110208</v>
      </c>
      <c r="AE34" s="8" t="s">
        <v>46</v>
      </c>
      <c r="AF34" s="8" t="str">
        <f t="shared" ref="AF34" si="287">"CPA Fondeo BCI ADM 656 a BCI OP 648 "</f>
        <v xml:space="preserve">CPA Fondeo BCI ADM 656 a BCI OP 648 </v>
      </c>
      <c r="AG34" s="16">
        <f>+Z18</f>
        <v>0</v>
      </c>
      <c r="AH34" s="17"/>
      <c r="AL34" s="26"/>
      <c r="AO34" s="15">
        <v>45460</v>
      </c>
      <c r="AP34" s="8">
        <v>110204</v>
      </c>
      <c r="AQ34" s="8" t="s">
        <v>51</v>
      </c>
      <c r="AR34" s="8" t="str">
        <f t="shared" ref="AR34" si="288">"CPA Traspaso de Fondos Bco. BCI 648 a Bco. BICE "</f>
        <v xml:space="preserve">CPA Traspaso de Fondos Bco. BCI 648 a Bco. BICE </v>
      </c>
      <c r="AS34" s="16">
        <f>+AL18</f>
        <v>0</v>
      </c>
      <c r="AT34" s="17"/>
      <c r="AX34" s="26"/>
      <c r="BA34" s="15">
        <v>45460</v>
      </c>
      <c r="BB34" s="8">
        <v>211101</v>
      </c>
      <c r="BC34" s="8" t="s">
        <v>18</v>
      </c>
      <c r="BD34" s="8" t="str">
        <f t="shared" ref="BD34" si="289">"CPA Pago Operaciones Locales BCI OP 648 "</f>
        <v xml:space="preserve">CPA Pago Operaciones Locales BCI OP 648 </v>
      </c>
      <c r="BE34" s="16">
        <f>+AX18</f>
        <v>0</v>
      </c>
      <c r="BF34" s="17"/>
      <c r="BK34" s="26"/>
      <c r="BN34" s="15">
        <v>45460</v>
      </c>
      <c r="BO34" s="8">
        <v>110209</v>
      </c>
      <c r="BP34" s="8" t="s">
        <v>55</v>
      </c>
      <c r="BQ34" s="8" t="str">
        <f t="shared" ref="BQ34" si="290">"CPA Fondeo BCI OP 648 a BCI ADM 656 "</f>
        <v xml:space="preserve">CPA Fondeo BCI OP 648 a BCI ADM 656 </v>
      </c>
      <c r="BR34" s="16">
        <f>+BK18</f>
        <v>0</v>
      </c>
      <c r="BS34" s="17"/>
      <c r="BX34" s="26"/>
      <c r="CA34" s="15">
        <v>45460</v>
      </c>
      <c r="CB34" s="8">
        <v>110208</v>
      </c>
      <c r="CC34" s="8" t="s">
        <v>46</v>
      </c>
      <c r="CD34" s="8" t="str">
        <f t="shared" ref="CD34" si="291">"CPA LIQ CORRESPONSAL GC BCI 648"</f>
        <v>CPA LIQ CORRESPONSAL GC BCI 648</v>
      </c>
      <c r="CE34" s="16">
        <f>+BX18</f>
        <v>361620545</v>
      </c>
      <c r="CF34" s="17"/>
      <c r="CK34" s="26"/>
      <c r="CN34" s="15">
        <v>45460</v>
      </c>
      <c r="CO34" s="8">
        <v>110608</v>
      </c>
      <c r="CP34" s="8" t="s">
        <v>146</v>
      </c>
      <c r="CQ34" s="8" t="str">
        <f t="shared" ref="CQ34" si="292">"CPA LIQ CORRESPONSAL GC BCI 648"</f>
        <v>CPA LIQ CORRESPONSAL GC BCI 648</v>
      </c>
      <c r="CR34" s="16">
        <f>+CK18</f>
        <v>0</v>
      </c>
      <c r="CS34" s="17"/>
    </row>
    <row r="35" spans="2:97" x14ac:dyDescent="0.25">
      <c r="E35" s="11"/>
      <c r="F35" s="12">
        <v>211101</v>
      </c>
      <c r="G35" s="12" t="s">
        <v>18</v>
      </c>
      <c r="H35" s="12" t="str">
        <f t="shared" ref="H35" si="293">H34</f>
        <v xml:space="preserve">CPA Recaudación Clientes BCI OP 648 </v>
      </c>
      <c r="I35" s="13"/>
      <c r="J35" s="18">
        <f>I34</f>
        <v>1075044635</v>
      </c>
      <c r="N35" s="26"/>
      <c r="Q35" s="11"/>
      <c r="R35" s="12">
        <v>211101</v>
      </c>
      <c r="S35" s="12" t="s">
        <v>18</v>
      </c>
      <c r="T35" s="12" t="str">
        <f t="shared" ref="T35" si="294">T34</f>
        <v xml:space="preserve">CPA Abonos operaciones rechazadas BCI OP 648 </v>
      </c>
      <c r="U35" s="13"/>
      <c r="V35" s="18">
        <f>U34</f>
        <v>409843</v>
      </c>
      <c r="Z35" s="26"/>
      <c r="AC35" s="11"/>
      <c r="AD35" s="12">
        <v>110209</v>
      </c>
      <c r="AE35" s="12" t="s">
        <v>55</v>
      </c>
      <c r="AF35" s="12" t="str">
        <f t="shared" ref="AF35" si="295">AF34</f>
        <v xml:space="preserve">CPA Fondeo BCI ADM 656 a BCI OP 648 </v>
      </c>
      <c r="AG35" s="13"/>
      <c r="AH35" s="18">
        <f>AG34</f>
        <v>0</v>
      </c>
      <c r="AL35" s="26"/>
      <c r="AO35" s="11"/>
      <c r="AP35" s="12">
        <v>110208</v>
      </c>
      <c r="AQ35" s="12" t="s">
        <v>46</v>
      </c>
      <c r="AR35" s="12" t="str">
        <f t="shared" ref="AR35" si="296">AR34</f>
        <v xml:space="preserve">CPA Traspaso de Fondos Bco. BCI 648 a Bco. BICE </v>
      </c>
      <c r="AS35" s="13"/>
      <c r="AT35" s="18">
        <f>AS34</f>
        <v>0</v>
      </c>
      <c r="AX35" s="26"/>
      <c r="BA35" s="11"/>
      <c r="BB35" s="12">
        <v>110208</v>
      </c>
      <c r="BC35" s="12" t="s">
        <v>46</v>
      </c>
      <c r="BD35" s="12" t="str">
        <f t="shared" ref="BD35" si="297">BD34</f>
        <v xml:space="preserve">CPA Pago Operaciones Locales BCI OP 648 </v>
      </c>
      <c r="BE35" s="13"/>
      <c r="BF35" s="18">
        <f>BE34</f>
        <v>0</v>
      </c>
      <c r="BK35" s="26"/>
      <c r="BN35" s="11"/>
      <c r="BO35" s="12">
        <v>110208</v>
      </c>
      <c r="BP35" s="12" t="s">
        <v>46</v>
      </c>
      <c r="BQ35" s="12" t="str">
        <f t="shared" ref="BQ35" si="298">BQ34</f>
        <v xml:space="preserve">CPA Fondeo BCI OP 648 a BCI ADM 656 </v>
      </c>
      <c r="BR35" s="13"/>
      <c r="BS35" s="18">
        <f t="shared" ref="BS35" si="299">BR34</f>
        <v>0</v>
      </c>
      <c r="BX35" s="26"/>
      <c r="CA35" s="11"/>
      <c r="CB35" s="12">
        <v>110608</v>
      </c>
      <c r="CC35" s="12" t="s">
        <v>146</v>
      </c>
      <c r="CD35" s="12" t="str">
        <f t="shared" ref="CD35" si="300">CD34</f>
        <v>CPA LIQ CORRESPONSAL GC BCI 648</v>
      </c>
      <c r="CE35" s="13"/>
      <c r="CF35" s="18">
        <f t="shared" ref="CF35" si="301">CE34</f>
        <v>361620545</v>
      </c>
      <c r="CK35" s="26"/>
      <c r="CN35" s="11"/>
      <c r="CO35" s="12">
        <v>110208</v>
      </c>
      <c r="CP35" s="12" t="s">
        <v>46</v>
      </c>
      <c r="CQ35" s="12" t="str">
        <f t="shared" ref="CQ35" si="302">CQ34</f>
        <v>CPA LIQ CORRESPONSAL GC BCI 648</v>
      </c>
      <c r="CR35" s="13"/>
      <c r="CS35" s="18">
        <f t="shared" ref="CS35" si="303">CR34</f>
        <v>0</v>
      </c>
    </row>
    <row r="36" spans="2:97" x14ac:dyDescent="0.25">
      <c r="E36" s="15">
        <v>45461</v>
      </c>
      <c r="F36" s="8">
        <v>110208</v>
      </c>
      <c r="G36" s="8" t="s">
        <v>46</v>
      </c>
      <c r="H36" s="8" t="str">
        <f t="shared" ref="H36" si="304">"CPA Recaudación Clientes BCI OP 648 "</f>
        <v xml:space="preserve">CPA Recaudación Clientes BCI OP 648 </v>
      </c>
      <c r="I36" s="16">
        <f>+B19</f>
        <v>1146216030</v>
      </c>
      <c r="J36" s="17"/>
      <c r="Q36" s="15">
        <v>45461</v>
      </c>
      <c r="R36" s="8">
        <v>110208</v>
      </c>
      <c r="S36" s="8" t="s">
        <v>46</v>
      </c>
      <c r="T36" s="8" t="str">
        <f t="shared" ref="T36" si="305">"CPA Abonos operaciones rechazadas BCI OP 648 "</f>
        <v xml:space="preserve">CPA Abonos operaciones rechazadas BCI OP 648 </v>
      </c>
      <c r="U36" s="16">
        <f>+N19</f>
        <v>80000</v>
      </c>
      <c r="V36" s="17"/>
      <c r="AC36" s="15">
        <v>45461</v>
      </c>
      <c r="AD36" s="8">
        <v>110208</v>
      </c>
      <c r="AE36" s="8" t="s">
        <v>46</v>
      </c>
      <c r="AF36" s="8" t="str">
        <f t="shared" ref="AF36" si="306">"CPA Fondeo BCI ADM 656 a BCI OP 648 "</f>
        <v xml:space="preserve">CPA Fondeo BCI ADM 656 a BCI OP 648 </v>
      </c>
      <c r="AG36" s="16">
        <f>+Z19</f>
        <v>0</v>
      </c>
      <c r="AH36" s="17"/>
      <c r="AO36" s="15">
        <v>45461</v>
      </c>
      <c r="AP36" s="8">
        <v>110204</v>
      </c>
      <c r="AQ36" s="8" t="s">
        <v>51</v>
      </c>
      <c r="AR36" s="8" t="str">
        <f t="shared" ref="AR36" si="307">"CPA Traspaso de Fondos Bco. BCI 648 a Bco. BICE "</f>
        <v xml:space="preserve">CPA Traspaso de Fondos Bco. BCI 648 a Bco. BICE </v>
      </c>
      <c r="AS36" s="16">
        <f>+AL19</f>
        <v>240000000</v>
      </c>
      <c r="AT36" s="17"/>
      <c r="BA36" s="15">
        <v>45461</v>
      </c>
      <c r="BB36" s="8">
        <v>211101</v>
      </c>
      <c r="BC36" s="8" t="s">
        <v>18</v>
      </c>
      <c r="BD36" s="8" t="str">
        <f t="shared" ref="BD36" si="308">"CPA Pago Operaciones Locales BCI OP 648 "</f>
        <v xml:space="preserve">CPA Pago Operaciones Locales BCI OP 648 </v>
      </c>
      <c r="BE36" s="16">
        <f>+AX19</f>
        <v>0</v>
      </c>
      <c r="BF36" s="17"/>
      <c r="BN36" s="15">
        <v>45461</v>
      </c>
      <c r="BO36" s="8">
        <v>110209</v>
      </c>
      <c r="BP36" s="8" t="s">
        <v>55</v>
      </c>
      <c r="BQ36" s="8" t="str">
        <f t="shared" ref="BQ36" si="309">"CPA Fondeo BCI OP 648 a BCI ADM 656 "</f>
        <v xml:space="preserve">CPA Fondeo BCI OP 648 a BCI ADM 656 </v>
      </c>
      <c r="BR36" s="16">
        <f>+BK19</f>
        <v>135000000</v>
      </c>
      <c r="BS36" s="17"/>
      <c r="CA36" s="15">
        <v>45461</v>
      </c>
      <c r="CB36" s="8">
        <v>110208</v>
      </c>
      <c r="CC36" s="8" t="s">
        <v>46</v>
      </c>
      <c r="CD36" s="8" t="str">
        <f t="shared" ref="CD36" si="310">"CPA LIQ CORRESPONSAL GC BCI 648"</f>
        <v>CPA LIQ CORRESPONSAL GC BCI 648</v>
      </c>
      <c r="CE36" s="16">
        <f>+BX19</f>
        <v>0</v>
      </c>
      <c r="CF36" s="17"/>
      <c r="CN36" s="15">
        <v>45461</v>
      </c>
      <c r="CO36" s="8">
        <v>110608</v>
      </c>
      <c r="CP36" s="8" t="s">
        <v>146</v>
      </c>
      <c r="CQ36" s="8" t="str">
        <f t="shared" ref="CQ36" si="311">"CPA LIQ CORRESPONSAL GC BCI 648"</f>
        <v>CPA LIQ CORRESPONSAL GC BCI 648</v>
      </c>
      <c r="CR36" s="16">
        <f>+CK19</f>
        <v>0</v>
      </c>
      <c r="CS36" s="17"/>
    </row>
    <row r="37" spans="2:97" x14ac:dyDescent="0.25">
      <c r="E37" s="11"/>
      <c r="F37" s="12">
        <v>211101</v>
      </c>
      <c r="G37" s="12" t="s">
        <v>18</v>
      </c>
      <c r="H37" s="12" t="str">
        <f t="shared" ref="H37" si="312">H36</f>
        <v xml:space="preserve">CPA Recaudación Clientes BCI OP 648 </v>
      </c>
      <c r="I37" s="13"/>
      <c r="J37" s="18">
        <f>I36</f>
        <v>1146216030</v>
      </c>
      <c r="Q37" s="11"/>
      <c r="R37" s="12">
        <v>211101</v>
      </c>
      <c r="S37" s="12" t="s">
        <v>18</v>
      </c>
      <c r="T37" s="12" t="str">
        <f t="shared" ref="T37" si="313">T36</f>
        <v xml:space="preserve">CPA Abonos operaciones rechazadas BCI OP 648 </v>
      </c>
      <c r="U37" s="13"/>
      <c r="V37" s="18">
        <f>U36</f>
        <v>80000</v>
      </c>
      <c r="AC37" s="11"/>
      <c r="AD37" s="12">
        <v>110209</v>
      </c>
      <c r="AE37" s="12" t="s">
        <v>55</v>
      </c>
      <c r="AF37" s="12" t="str">
        <f t="shared" ref="AF37" si="314">AF36</f>
        <v xml:space="preserve">CPA Fondeo BCI ADM 656 a BCI OP 648 </v>
      </c>
      <c r="AG37" s="13"/>
      <c r="AH37" s="18">
        <f>AG36</f>
        <v>0</v>
      </c>
      <c r="AO37" s="11"/>
      <c r="AP37" s="12">
        <v>110208</v>
      </c>
      <c r="AQ37" s="12" t="s">
        <v>46</v>
      </c>
      <c r="AR37" s="12" t="str">
        <f t="shared" ref="AR37" si="315">AR36</f>
        <v xml:space="preserve">CPA Traspaso de Fondos Bco. BCI 648 a Bco. BICE </v>
      </c>
      <c r="AS37" s="13"/>
      <c r="AT37" s="18">
        <f>AS36</f>
        <v>240000000</v>
      </c>
      <c r="BA37" s="11"/>
      <c r="BB37" s="12">
        <v>110208</v>
      </c>
      <c r="BC37" s="12" t="s">
        <v>46</v>
      </c>
      <c r="BD37" s="12" t="str">
        <f t="shared" ref="BD37" si="316">BD36</f>
        <v xml:space="preserve">CPA Pago Operaciones Locales BCI OP 648 </v>
      </c>
      <c r="BE37" s="13"/>
      <c r="BF37" s="18">
        <f>BE36</f>
        <v>0</v>
      </c>
      <c r="BN37" s="11"/>
      <c r="BO37" s="12">
        <v>110208</v>
      </c>
      <c r="BP37" s="12" t="s">
        <v>46</v>
      </c>
      <c r="BQ37" s="12" t="str">
        <f t="shared" ref="BQ37" si="317">BQ36</f>
        <v xml:space="preserve">CPA Fondeo BCI OP 648 a BCI ADM 656 </v>
      </c>
      <c r="BR37" s="13"/>
      <c r="BS37" s="18">
        <f t="shared" ref="BS37" si="318">BR36</f>
        <v>135000000</v>
      </c>
      <c r="CA37" s="11"/>
      <c r="CB37" s="12">
        <v>110608</v>
      </c>
      <c r="CC37" s="12" t="s">
        <v>146</v>
      </c>
      <c r="CD37" s="12" t="str">
        <f t="shared" ref="CD37" si="319">CD36</f>
        <v>CPA LIQ CORRESPONSAL GC BCI 648</v>
      </c>
      <c r="CE37" s="13"/>
      <c r="CF37" s="18">
        <f t="shared" ref="CF37" si="320">CE36</f>
        <v>0</v>
      </c>
      <c r="CN37" s="11"/>
      <c r="CO37" s="12">
        <v>110208</v>
      </c>
      <c r="CP37" s="12" t="s">
        <v>46</v>
      </c>
      <c r="CQ37" s="12" t="str">
        <f t="shared" ref="CQ37" si="321">CQ36</f>
        <v>CPA LIQ CORRESPONSAL GC BCI 648</v>
      </c>
      <c r="CR37" s="13"/>
      <c r="CS37" s="18">
        <f t="shared" ref="CS37" si="322">CR36</f>
        <v>0</v>
      </c>
    </row>
    <row r="38" spans="2:97" x14ac:dyDescent="0.25">
      <c r="E38" s="15">
        <v>45462</v>
      </c>
      <c r="F38" s="8">
        <v>110208</v>
      </c>
      <c r="G38" s="8" t="s">
        <v>46</v>
      </c>
      <c r="H38" s="8" t="str">
        <f t="shared" ref="H38" si="323">"CPA Recaudación Clientes BCI OP 648 "</f>
        <v xml:space="preserve">CPA Recaudación Clientes BCI OP 648 </v>
      </c>
      <c r="I38" s="16">
        <f>+B20</f>
        <v>0</v>
      </c>
      <c r="J38" s="17"/>
      <c r="Q38" s="15">
        <v>45462</v>
      </c>
      <c r="R38" s="8">
        <v>110208</v>
      </c>
      <c r="S38" s="8" t="s">
        <v>46</v>
      </c>
      <c r="T38" s="8" t="str">
        <f t="shared" ref="T38" si="324">"CPA Abonos operaciones rechazadas BCI OP 648 "</f>
        <v xml:space="preserve">CPA Abonos operaciones rechazadas BCI OP 648 </v>
      </c>
      <c r="U38" s="16">
        <f>+N20</f>
        <v>0</v>
      </c>
      <c r="V38" s="17"/>
      <c r="AC38" s="15">
        <v>45462</v>
      </c>
      <c r="AD38" s="8">
        <v>110208</v>
      </c>
      <c r="AE38" s="8" t="s">
        <v>46</v>
      </c>
      <c r="AF38" s="8" t="str">
        <f t="shared" ref="AF38" si="325">"CPA Fondeo BCI ADM 656 a BCI OP 648 "</f>
        <v xml:space="preserve">CPA Fondeo BCI ADM 656 a BCI OP 648 </v>
      </c>
      <c r="AG38" s="16">
        <f>+Z20</f>
        <v>0</v>
      </c>
      <c r="AH38" s="17"/>
      <c r="AO38" s="15">
        <v>45462</v>
      </c>
      <c r="AP38" s="8">
        <v>110204</v>
      </c>
      <c r="AQ38" s="8" t="s">
        <v>51</v>
      </c>
      <c r="AR38" s="8" t="str">
        <f t="shared" ref="AR38" si="326">"CPA Traspaso de Fondos Bco. BCI 648 a Bco. BICE "</f>
        <v xml:space="preserve">CPA Traspaso de Fondos Bco. BCI 648 a Bco. BICE </v>
      </c>
      <c r="AS38" s="16">
        <f>+AL20</f>
        <v>0</v>
      </c>
      <c r="AT38" s="17"/>
      <c r="BA38" s="15">
        <v>45462</v>
      </c>
      <c r="BB38" s="8">
        <v>211101</v>
      </c>
      <c r="BC38" s="8" t="s">
        <v>18</v>
      </c>
      <c r="BD38" s="8" t="str">
        <f t="shared" ref="BD38" si="327">"CPA Pago Operaciones Locales BCI OP 648 "</f>
        <v xml:space="preserve">CPA Pago Operaciones Locales BCI OP 648 </v>
      </c>
      <c r="BE38" s="16">
        <f>+AX20</f>
        <v>0</v>
      </c>
      <c r="BF38" s="17"/>
      <c r="BN38" s="15">
        <v>45462</v>
      </c>
      <c r="BO38" s="8">
        <v>110209</v>
      </c>
      <c r="BP38" s="8" t="s">
        <v>55</v>
      </c>
      <c r="BQ38" s="8" t="str">
        <f t="shared" ref="BQ38" si="328">"CPA Fondeo BCI OP 648 a BCI ADM 656 "</f>
        <v xml:space="preserve">CPA Fondeo BCI OP 648 a BCI ADM 656 </v>
      </c>
      <c r="BR38" s="16">
        <f>+BK20</f>
        <v>0</v>
      </c>
      <c r="BS38" s="17"/>
      <c r="CA38" s="15">
        <v>45462</v>
      </c>
      <c r="CB38" s="8">
        <v>110208</v>
      </c>
      <c r="CC38" s="8" t="s">
        <v>46</v>
      </c>
      <c r="CD38" s="8" t="str">
        <f t="shared" ref="CD38" si="329">"CPA LIQ CORRESPONSAL GC BCI 648"</f>
        <v>CPA LIQ CORRESPONSAL GC BCI 648</v>
      </c>
      <c r="CE38" s="16">
        <f>+BX20</f>
        <v>0</v>
      </c>
      <c r="CF38" s="17"/>
      <c r="CN38" s="15">
        <v>45462</v>
      </c>
      <c r="CO38" s="8">
        <v>110608</v>
      </c>
      <c r="CP38" s="8" t="s">
        <v>146</v>
      </c>
      <c r="CQ38" s="8" t="str">
        <f t="shared" ref="CQ38" si="330">"CPA LIQ CORRESPONSAL GC BCI 648"</f>
        <v>CPA LIQ CORRESPONSAL GC BCI 648</v>
      </c>
      <c r="CR38" s="16">
        <f>+CK20</f>
        <v>0</v>
      </c>
      <c r="CS38" s="17"/>
    </row>
    <row r="39" spans="2:97" x14ac:dyDescent="0.25">
      <c r="E39" s="11"/>
      <c r="F39" s="12">
        <v>211101</v>
      </c>
      <c r="G39" s="12" t="s">
        <v>18</v>
      </c>
      <c r="H39" s="12" t="str">
        <f t="shared" ref="H39" si="331">H38</f>
        <v xml:space="preserve">CPA Recaudación Clientes BCI OP 648 </v>
      </c>
      <c r="I39" s="13"/>
      <c r="J39" s="18">
        <f>I38</f>
        <v>0</v>
      </c>
      <c r="Q39" s="11"/>
      <c r="R39" s="12">
        <v>211101</v>
      </c>
      <c r="S39" s="12" t="s">
        <v>18</v>
      </c>
      <c r="T39" s="12" t="str">
        <f t="shared" ref="T39" si="332">T38</f>
        <v xml:space="preserve">CPA Abonos operaciones rechazadas BCI OP 648 </v>
      </c>
      <c r="U39" s="13"/>
      <c r="V39" s="18">
        <f>U38</f>
        <v>0</v>
      </c>
      <c r="AC39" s="11"/>
      <c r="AD39" s="12">
        <v>110209</v>
      </c>
      <c r="AE39" s="12" t="s">
        <v>55</v>
      </c>
      <c r="AF39" s="12" t="str">
        <f t="shared" ref="AF39" si="333">AF38</f>
        <v xml:space="preserve">CPA Fondeo BCI ADM 656 a BCI OP 648 </v>
      </c>
      <c r="AG39" s="13"/>
      <c r="AH39" s="18">
        <f>AG38</f>
        <v>0</v>
      </c>
      <c r="AO39" s="11"/>
      <c r="AP39" s="12">
        <v>110208</v>
      </c>
      <c r="AQ39" s="12" t="s">
        <v>46</v>
      </c>
      <c r="AR39" s="12" t="str">
        <f t="shared" ref="AR39" si="334">AR38</f>
        <v xml:space="preserve">CPA Traspaso de Fondos Bco. BCI 648 a Bco. BICE </v>
      </c>
      <c r="AS39" s="13"/>
      <c r="AT39" s="18">
        <f>AS38</f>
        <v>0</v>
      </c>
      <c r="BA39" s="11"/>
      <c r="BB39" s="12">
        <v>110208</v>
      </c>
      <c r="BC39" s="12" t="s">
        <v>46</v>
      </c>
      <c r="BD39" s="12" t="str">
        <f t="shared" ref="BD39" si="335">BD38</f>
        <v xml:space="preserve">CPA Pago Operaciones Locales BCI OP 648 </v>
      </c>
      <c r="BE39" s="13"/>
      <c r="BF39" s="18">
        <f>BE38</f>
        <v>0</v>
      </c>
      <c r="BN39" s="11"/>
      <c r="BO39" s="12">
        <v>110208</v>
      </c>
      <c r="BP39" s="12" t="s">
        <v>46</v>
      </c>
      <c r="BQ39" s="12" t="str">
        <f t="shared" ref="BQ39" si="336">BQ38</f>
        <v xml:space="preserve">CPA Fondeo BCI OP 648 a BCI ADM 656 </v>
      </c>
      <c r="BR39" s="13"/>
      <c r="BS39" s="18">
        <f t="shared" ref="BS39" si="337">BR38</f>
        <v>0</v>
      </c>
      <c r="CA39" s="11"/>
      <c r="CB39" s="12">
        <v>110608</v>
      </c>
      <c r="CC39" s="12" t="s">
        <v>146</v>
      </c>
      <c r="CD39" s="12" t="str">
        <f t="shared" ref="CD39" si="338">CD38</f>
        <v>CPA LIQ CORRESPONSAL GC BCI 648</v>
      </c>
      <c r="CE39" s="13"/>
      <c r="CF39" s="18">
        <f t="shared" ref="CF39" si="339">CE38</f>
        <v>0</v>
      </c>
      <c r="CN39" s="11"/>
      <c r="CO39" s="12">
        <v>110208</v>
      </c>
      <c r="CP39" s="12" t="s">
        <v>46</v>
      </c>
      <c r="CQ39" s="12" t="str">
        <f t="shared" ref="CQ39" si="340">CQ38</f>
        <v>CPA LIQ CORRESPONSAL GC BCI 648</v>
      </c>
      <c r="CR39" s="13"/>
      <c r="CS39" s="18">
        <f t="shared" ref="CS39" si="341">CR38</f>
        <v>0</v>
      </c>
    </row>
    <row r="40" spans="2:97" x14ac:dyDescent="0.25">
      <c r="E40" s="15">
        <v>45463</v>
      </c>
      <c r="F40" s="8">
        <v>110208</v>
      </c>
      <c r="G40" s="8" t="s">
        <v>46</v>
      </c>
      <c r="H40" s="8" t="str">
        <f t="shared" ref="H40" si="342">"CPA Recaudación Clientes BCI OP 648 "</f>
        <v xml:space="preserve">CPA Recaudación Clientes BCI OP 648 </v>
      </c>
      <c r="I40" s="16">
        <f>+B21</f>
        <v>0</v>
      </c>
      <c r="J40" s="17"/>
      <c r="Q40" s="15">
        <v>45463</v>
      </c>
      <c r="R40" s="8">
        <v>110208</v>
      </c>
      <c r="S40" s="8" t="s">
        <v>46</v>
      </c>
      <c r="T40" s="8" t="str">
        <f t="shared" ref="T40" si="343">"CPA Abonos operaciones rechazadas BCI OP 648 "</f>
        <v xml:space="preserve">CPA Abonos operaciones rechazadas BCI OP 648 </v>
      </c>
      <c r="U40" s="16">
        <f>+N21</f>
        <v>0</v>
      </c>
      <c r="V40" s="17"/>
      <c r="AC40" s="15">
        <v>45463</v>
      </c>
      <c r="AD40" s="8">
        <v>110208</v>
      </c>
      <c r="AE40" s="8" t="s">
        <v>46</v>
      </c>
      <c r="AF40" s="8" t="str">
        <f t="shared" ref="AF40" si="344">"CPA Fondeo BCI ADM 656 a BCI OP 648 "</f>
        <v xml:space="preserve">CPA Fondeo BCI ADM 656 a BCI OP 648 </v>
      </c>
      <c r="AG40" s="16">
        <f>+Z21</f>
        <v>0</v>
      </c>
      <c r="AH40" s="17"/>
      <c r="AO40" s="15">
        <v>45463</v>
      </c>
      <c r="AP40" s="8">
        <v>110204</v>
      </c>
      <c r="AQ40" s="8" t="s">
        <v>51</v>
      </c>
      <c r="AR40" s="8" t="str">
        <f t="shared" ref="AR40" si="345">"CPA Traspaso de Fondos Bco. BCI 648 a Bco. BICE "</f>
        <v xml:space="preserve">CPA Traspaso de Fondos Bco. BCI 648 a Bco. BICE </v>
      </c>
      <c r="AS40" s="16">
        <f>+AL21</f>
        <v>0</v>
      </c>
      <c r="AT40" s="17"/>
      <c r="BA40" s="15">
        <v>45463</v>
      </c>
      <c r="BB40" s="8">
        <v>211101</v>
      </c>
      <c r="BC40" s="8" t="s">
        <v>18</v>
      </c>
      <c r="BD40" s="8" t="str">
        <f t="shared" ref="BD40" si="346">"CPA Pago Operaciones Locales BCI OP 648 "</f>
        <v xml:space="preserve">CPA Pago Operaciones Locales BCI OP 648 </v>
      </c>
      <c r="BE40" s="16">
        <f>+AX21</f>
        <v>0</v>
      </c>
      <c r="BF40" s="17"/>
      <c r="BN40" s="15">
        <v>45463</v>
      </c>
      <c r="BO40" s="8">
        <v>110209</v>
      </c>
      <c r="BP40" s="8" t="s">
        <v>55</v>
      </c>
      <c r="BQ40" s="8" t="str">
        <f t="shared" ref="BQ40" si="347">"CPA Fondeo BCI OP 648 a BCI ADM 656 "</f>
        <v xml:space="preserve">CPA Fondeo BCI OP 648 a BCI ADM 656 </v>
      </c>
      <c r="BR40" s="16">
        <f>+BK21</f>
        <v>0</v>
      </c>
      <c r="BS40" s="17"/>
      <c r="CA40" s="15">
        <v>45463</v>
      </c>
      <c r="CB40" s="8">
        <v>110208</v>
      </c>
      <c r="CC40" s="8" t="s">
        <v>46</v>
      </c>
      <c r="CD40" s="8" t="str">
        <f t="shared" ref="CD40" si="348">"CPA LIQ CORRESPONSAL GC BCI 648"</f>
        <v>CPA LIQ CORRESPONSAL GC BCI 648</v>
      </c>
      <c r="CE40" s="16">
        <f>+BX21</f>
        <v>0</v>
      </c>
      <c r="CF40" s="17"/>
      <c r="CN40" s="15">
        <v>45463</v>
      </c>
      <c r="CO40" s="8">
        <v>110608</v>
      </c>
      <c r="CP40" s="8" t="s">
        <v>146</v>
      </c>
      <c r="CQ40" s="8" t="str">
        <f t="shared" ref="CQ40" si="349">"CPA LIQ CORRESPONSAL GC BCI 648"</f>
        <v>CPA LIQ CORRESPONSAL GC BCI 648</v>
      </c>
      <c r="CR40" s="16">
        <f>+CK21</f>
        <v>0</v>
      </c>
      <c r="CS40" s="17"/>
    </row>
    <row r="41" spans="2:97" x14ac:dyDescent="0.25">
      <c r="E41" s="11"/>
      <c r="F41" s="12">
        <v>211101</v>
      </c>
      <c r="G41" s="12" t="s">
        <v>18</v>
      </c>
      <c r="H41" s="12" t="str">
        <f t="shared" ref="H41" si="350">H40</f>
        <v xml:space="preserve">CPA Recaudación Clientes BCI OP 648 </v>
      </c>
      <c r="I41" s="13"/>
      <c r="J41" s="18">
        <f>I40</f>
        <v>0</v>
      </c>
      <c r="Q41" s="11"/>
      <c r="R41" s="12">
        <v>211101</v>
      </c>
      <c r="S41" s="12" t="s">
        <v>18</v>
      </c>
      <c r="T41" s="12" t="str">
        <f t="shared" ref="T41" si="351">T40</f>
        <v xml:space="preserve">CPA Abonos operaciones rechazadas BCI OP 648 </v>
      </c>
      <c r="U41" s="13"/>
      <c r="V41" s="18">
        <f>U40</f>
        <v>0</v>
      </c>
      <c r="AC41" s="11"/>
      <c r="AD41" s="12">
        <v>110209</v>
      </c>
      <c r="AE41" s="12" t="s">
        <v>55</v>
      </c>
      <c r="AF41" s="12" t="str">
        <f t="shared" ref="AF41" si="352">AF40</f>
        <v xml:space="preserve">CPA Fondeo BCI ADM 656 a BCI OP 648 </v>
      </c>
      <c r="AG41" s="13"/>
      <c r="AH41" s="18">
        <f>AG40</f>
        <v>0</v>
      </c>
      <c r="AO41" s="11"/>
      <c r="AP41" s="12">
        <v>110208</v>
      </c>
      <c r="AQ41" s="12" t="s">
        <v>46</v>
      </c>
      <c r="AR41" s="12" t="str">
        <f t="shared" ref="AR41" si="353">AR40</f>
        <v xml:space="preserve">CPA Traspaso de Fondos Bco. BCI 648 a Bco. BICE </v>
      </c>
      <c r="AS41" s="13"/>
      <c r="AT41" s="18">
        <f>AS40</f>
        <v>0</v>
      </c>
      <c r="BA41" s="11"/>
      <c r="BB41" s="12">
        <v>110208</v>
      </c>
      <c r="BC41" s="12" t="s">
        <v>46</v>
      </c>
      <c r="BD41" s="12" t="str">
        <f t="shared" ref="BD41" si="354">BD40</f>
        <v xml:space="preserve">CPA Pago Operaciones Locales BCI OP 648 </v>
      </c>
      <c r="BE41" s="13"/>
      <c r="BF41" s="18">
        <f>BE40</f>
        <v>0</v>
      </c>
      <c r="BN41" s="11"/>
      <c r="BO41" s="12">
        <v>110208</v>
      </c>
      <c r="BP41" s="12" t="s">
        <v>46</v>
      </c>
      <c r="BQ41" s="12" t="str">
        <f t="shared" ref="BQ41" si="355">BQ40</f>
        <v xml:space="preserve">CPA Fondeo BCI OP 648 a BCI ADM 656 </v>
      </c>
      <c r="BR41" s="13"/>
      <c r="BS41" s="18">
        <f t="shared" ref="BS41" si="356">BR40</f>
        <v>0</v>
      </c>
      <c r="CA41" s="11"/>
      <c r="CB41" s="12">
        <v>110608</v>
      </c>
      <c r="CC41" s="12" t="s">
        <v>146</v>
      </c>
      <c r="CD41" s="12" t="str">
        <f t="shared" ref="CD41" si="357">CD40</f>
        <v>CPA LIQ CORRESPONSAL GC BCI 648</v>
      </c>
      <c r="CE41" s="13"/>
      <c r="CF41" s="18">
        <f t="shared" ref="CF41" si="358">CE40</f>
        <v>0</v>
      </c>
      <c r="CN41" s="11"/>
      <c r="CO41" s="12">
        <v>110208</v>
      </c>
      <c r="CP41" s="12" t="s">
        <v>46</v>
      </c>
      <c r="CQ41" s="12" t="str">
        <f t="shared" ref="CQ41" si="359">CQ40</f>
        <v>CPA LIQ CORRESPONSAL GC BCI 648</v>
      </c>
      <c r="CR41" s="13"/>
      <c r="CS41" s="18">
        <f t="shared" ref="CS41" si="360">CR40</f>
        <v>0</v>
      </c>
    </row>
    <row r="42" spans="2:97" x14ac:dyDescent="0.25">
      <c r="E42" s="15">
        <v>45464</v>
      </c>
      <c r="F42" s="8">
        <v>110208</v>
      </c>
      <c r="G42" s="8" t="s">
        <v>46</v>
      </c>
      <c r="H42" s="8" t="str">
        <f t="shared" ref="H42" si="361">"CPA Recaudación Clientes BCI OP 648 "</f>
        <v xml:space="preserve">CPA Recaudación Clientes BCI OP 648 </v>
      </c>
      <c r="I42" s="16">
        <f>+B22</f>
        <v>1474662341</v>
      </c>
      <c r="J42" s="17"/>
      <c r="Q42" s="15">
        <v>45464</v>
      </c>
      <c r="R42" s="8">
        <v>110208</v>
      </c>
      <c r="S42" s="8" t="s">
        <v>46</v>
      </c>
      <c r="T42" s="8" t="str">
        <f t="shared" ref="T42" si="362">"CPA Abonos operaciones rechazadas BCI OP 648 "</f>
        <v xml:space="preserve">CPA Abonos operaciones rechazadas BCI OP 648 </v>
      </c>
      <c r="U42" s="16">
        <f>+N22</f>
        <v>5264223</v>
      </c>
      <c r="V42" s="17"/>
      <c r="AC42" s="15">
        <v>45464</v>
      </c>
      <c r="AD42" s="8">
        <v>110208</v>
      </c>
      <c r="AE42" s="8" t="s">
        <v>46</v>
      </c>
      <c r="AF42" s="8" t="str">
        <f t="shared" ref="AF42" si="363">"CPA Fondeo BCI ADM 656 a BCI OP 648 "</f>
        <v xml:space="preserve">CPA Fondeo BCI ADM 656 a BCI OP 648 </v>
      </c>
      <c r="AG42" s="16">
        <f>+Z22</f>
        <v>0</v>
      </c>
      <c r="AH42" s="17"/>
      <c r="AO42" s="15">
        <v>45464</v>
      </c>
      <c r="AP42" s="8">
        <v>110204</v>
      </c>
      <c r="AQ42" s="8" t="s">
        <v>51</v>
      </c>
      <c r="AR42" s="8" t="str">
        <f t="shared" ref="AR42" si="364">"CPA Traspaso de Fondos Bco. BCI 648 a Bco. BICE "</f>
        <v xml:space="preserve">CPA Traspaso de Fondos Bco. BCI 648 a Bco. BICE </v>
      </c>
      <c r="AS42" s="16">
        <f>+AL22</f>
        <v>0</v>
      </c>
      <c r="AT42" s="17"/>
      <c r="BA42" s="15">
        <v>45464</v>
      </c>
      <c r="BB42" s="8">
        <v>211101</v>
      </c>
      <c r="BC42" s="8" t="s">
        <v>18</v>
      </c>
      <c r="BD42" s="8" t="str">
        <f t="shared" ref="BD42" si="365">"CPA Pago Operaciones Locales BCI OP 648 "</f>
        <v xml:space="preserve">CPA Pago Operaciones Locales BCI OP 648 </v>
      </c>
      <c r="BE42" s="16">
        <f>+AX22</f>
        <v>0</v>
      </c>
      <c r="BF42" s="17"/>
      <c r="BN42" s="15">
        <v>45464</v>
      </c>
      <c r="BO42" s="8">
        <v>110209</v>
      </c>
      <c r="BP42" s="8" t="s">
        <v>55</v>
      </c>
      <c r="BQ42" s="8" t="str">
        <f t="shared" ref="BQ42" si="366">"CPA Fondeo BCI OP 648 a BCI ADM 656 "</f>
        <v xml:space="preserve">CPA Fondeo BCI OP 648 a BCI ADM 656 </v>
      </c>
      <c r="BR42" s="16">
        <f>+BK22</f>
        <v>21000000</v>
      </c>
      <c r="BS42" s="17"/>
      <c r="CA42" s="15">
        <v>45464</v>
      </c>
      <c r="CB42" s="8">
        <v>110208</v>
      </c>
      <c r="CC42" s="8" t="s">
        <v>46</v>
      </c>
      <c r="CD42" s="8" t="str">
        <f t="shared" ref="CD42" si="367">"CPA LIQ CORRESPONSAL GC BCI 648"</f>
        <v>CPA LIQ CORRESPONSAL GC BCI 648</v>
      </c>
      <c r="CE42" s="16">
        <f>+BX22</f>
        <v>349574827</v>
      </c>
      <c r="CF42" s="17"/>
      <c r="CN42" s="15">
        <v>45464</v>
      </c>
      <c r="CO42" s="8">
        <v>110608</v>
      </c>
      <c r="CP42" s="8" t="s">
        <v>146</v>
      </c>
      <c r="CQ42" s="8" t="str">
        <f t="shared" ref="CQ42" si="368">"CPA LIQ CORRESPONSAL GC BCI 648"</f>
        <v>CPA LIQ CORRESPONSAL GC BCI 648</v>
      </c>
      <c r="CR42" s="16">
        <f>+CK22</f>
        <v>300000000</v>
      </c>
      <c r="CS42" s="17"/>
    </row>
    <row r="43" spans="2:97" x14ac:dyDescent="0.25">
      <c r="E43" s="11"/>
      <c r="F43" s="12">
        <v>211101</v>
      </c>
      <c r="G43" s="12" t="s">
        <v>18</v>
      </c>
      <c r="H43" s="12" t="str">
        <f t="shared" ref="H43" si="369">H42</f>
        <v xml:space="preserve">CPA Recaudación Clientes BCI OP 648 </v>
      </c>
      <c r="I43" s="13"/>
      <c r="J43" s="18">
        <f>I42</f>
        <v>1474662341</v>
      </c>
      <c r="Q43" s="11"/>
      <c r="R43" s="12">
        <v>211101</v>
      </c>
      <c r="S43" s="12" t="s">
        <v>18</v>
      </c>
      <c r="T43" s="12" t="str">
        <f t="shared" ref="T43" si="370">T42</f>
        <v xml:space="preserve">CPA Abonos operaciones rechazadas BCI OP 648 </v>
      </c>
      <c r="U43" s="13"/>
      <c r="V43" s="18">
        <f>U42</f>
        <v>5264223</v>
      </c>
      <c r="AC43" s="11"/>
      <c r="AD43" s="12">
        <v>110209</v>
      </c>
      <c r="AE43" s="12" t="s">
        <v>55</v>
      </c>
      <c r="AF43" s="12" t="str">
        <f t="shared" ref="AF43" si="371">AF42</f>
        <v xml:space="preserve">CPA Fondeo BCI ADM 656 a BCI OP 648 </v>
      </c>
      <c r="AG43" s="13"/>
      <c r="AH43" s="18">
        <f>AG42</f>
        <v>0</v>
      </c>
      <c r="AO43" s="11"/>
      <c r="AP43" s="12">
        <v>110208</v>
      </c>
      <c r="AQ43" s="12" t="s">
        <v>46</v>
      </c>
      <c r="AR43" s="12" t="str">
        <f t="shared" ref="AR43" si="372">AR42</f>
        <v xml:space="preserve">CPA Traspaso de Fondos Bco. BCI 648 a Bco. BICE </v>
      </c>
      <c r="AS43" s="13"/>
      <c r="AT43" s="18">
        <f>AS42</f>
        <v>0</v>
      </c>
      <c r="BA43" s="11"/>
      <c r="BB43" s="12">
        <v>110208</v>
      </c>
      <c r="BC43" s="12" t="s">
        <v>46</v>
      </c>
      <c r="BD43" s="12" t="str">
        <f t="shared" ref="BD43" si="373">BD42</f>
        <v xml:space="preserve">CPA Pago Operaciones Locales BCI OP 648 </v>
      </c>
      <c r="BE43" s="13"/>
      <c r="BF43" s="18">
        <f>BE42</f>
        <v>0</v>
      </c>
      <c r="BN43" s="11"/>
      <c r="BO43" s="12">
        <v>110208</v>
      </c>
      <c r="BP43" s="12" t="s">
        <v>46</v>
      </c>
      <c r="BQ43" s="12" t="str">
        <f t="shared" ref="BQ43" si="374">BQ42</f>
        <v xml:space="preserve">CPA Fondeo BCI OP 648 a BCI ADM 656 </v>
      </c>
      <c r="BR43" s="13"/>
      <c r="BS43" s="18">
        <f t="shared" ref="BS43" si="375">BR42</f>
        <v>21000000</v>
      </c>
      <c r="CA43" s="11"/>
      <c r="CB43" s="12">
        <v>110608</v>
      </c>
      <c r="CC43" s="12" t="s">
        <v>146</v>
      </c>
      <c r="CD43" s="12" t="str">
        <f t="shared" ref="CD43" si="376">CD42</f>
        <v>CPA LIQ CORRESPONSAL GC BCI 648</v>
      </c>
      <c r="CE43" s="13"/>
      <c r="CF43" s="18">
        <f t="shared" ref="CF43" si="377">CE42</f>
        <v>349574827</v>
      </c>
      <c r="CN43" s="11"/>
      <c r="CO43" s="12">
        <v>110208</v>
      </c>
      <c r="CP43" s="12" t="s">
        <v>46</v>
      </c>
      <c r="CQ43" s="12" t="str">
        <f t="shared" ref="CQ43" si="378">CQ42</f>
        <v>CPA LIQ CORRESPONSAL GC BCI 648</v>
      </c>
      <c r="CR43" s="13"/>
      <c r="CS43" s="18">
        <f t="shared" ref="CS43" si="379">CR42</f>
        <v>300000000</v>
      </c>
    </row>
    <row r="44" spans="2:97" x14ac:dyDescent="0.25">
      <c r="E44" s="15">
        <v>45465</v>
      </c>
      <c r="F44" s="8">
        <v>110208</v>
      </c>
      <c r="G44" s="8" t="s">
        <v>46</v>
      </c>
      <c r="H44" s="8" t="str">
        <f t="shared" ref="H44" si="380">"CPA Recaudación Clientes BCI OP 648 "</f>
        <v xml:space="preserve">CPA Recaudación Clientes BCI OP 648 </v>
      </c>
      <c r="I44" s="16">
        <f>+B23</f>
        <v>1065726184</v>
      </c>
      <c r="J44" s="17"/>
      <c r="Q44" s="15">
        <v>45465</v>
      </c>
      <c r="R44" s="8">
        <v>110208</v>
      </c>
      <c r="S44" s="8" t="s">
        <v>46</v>
      </c>
      <c r="T44" s="8" t="str">
        <f t="shared" ref="T44" si="381">"CPA Abonos operaciones rechazadas BCI OP 648 "</f>
        <v xml:space="preserve">CPA Abonos operaciones rechazadas BCI OP 648 </v>
      </c>
      <c r="U44" s="16">
        <f>+N23</f>
        <v>7731061</v>
      </c>
      <c r="V44" s="17"/>
      <c r="AC44" s="15">
        <v>45465</v>
      </c>
      <c r="AD44" s="8">
        <v>110208</v>
      </c>
      <c r="AE44" s="8" t="s">
        <v>46</v>
      </c>
      <c r="AF44" s="8" t="str">
        <f t="shared" ref="AF44" si="382">"CPA Fondeo BCI ADM 656 a BCI OP 648 "</f>
        <v xml:space="preserve">CPA Fondeo BCI ADM 656 a BCI OP 648 </v>
      </c>
      <c r="AG44" s="16">
        <f>+Z23</f>
        <v>0</v>
      </c>
      <c r="AH44" s="17"/>
      <c r="AO44" s="15">
        <v>45465</v>
      </c>
      <c r="AP44" s="8">
        <v>110204</v>
      </c>
      <c r="AQ44" s="8" t="s">
        <v>51</v>
      </c>
      <c r="AR44" s="8" t="str">
        <f t="shared" ref="AR44" si="383">"CPA Traspaso de Fondos Bco. BCI 648 a Bco. BICE "</f>
        <v xml:space="preserve">CPA Traspaso de Fondos Bco. BCI 648 a Bco. BICE </v>
      </c>
      <c r="AS44" s="16">
        <f>+AL23</f>
        <v>0</v>
      </c>
      <c r="AT44" s="17"/>
      <c r="BA44" s="15">
        <v>45465</v>
      </c>
      <c r="BB44" s="8">
        <v>211101</v>
      </c>
      <c r="BC44" s="8" t="s">
        <v>18</v>
      </c>
      <c r="BD44" s="8" t="str">
        <f t="shared" ref="BD44" si="384">"CPA Pago Operaciones Locales BCI OP 648 "</f>
        <v xml:space="preserve">CPA Pago Operaciones Locales BCI OP 648 </v>
      </c>
      <c r="BE44" s="16">
        <f>+AX23</f>
        <v>0</v>
      </c>
      <c r="BF44" s="17"/>
      <c r="BN44" s="15">
        <v>45465</v>
      </c>
      <c r="BO44" s="8">
        <v>110209</v>
      </c>
      <c r="BP44" s="8" t="s">
        <v>55</v>
      </c>
      <c r="BQ44" s="8" t="str">
        <f t="shared" ref="BQ44" si="385">"CPA Fondeo BCI OP 648 a BCI ADM 656 "</f>
        <v xml:space="preserve">CPA Fondeo BCI OP 648 a BCI ADM 656 </v>
      </c>
      <c r="BR44" s="16">
        <f>+BK23</f>
        <v>0</v>
      </c>
      <c r="BS44" s="17"/>
      <c r="CA44" s="15">
        <v>45465</v>
      </c>
      <c r="CB44" s="8">
        <v>110208</v>
      </c>
      <c r="CC44" s="8" t="s">
        <v>46</v>
      </c>
      <c r="CD44" s="8" t="str">
        <f t="shared" ref="CD44" si="386">"CPA LIQ CORRESPONSAL GC BCI 648"</f>
        <v>CPA LIQ CORRESPONSAL GC BCI 648</v>
      </c>
      <c r="CE44" s="16">
        <f>+BX23</f>
        <v>671754661</v>
      </c>
      <c r="CF44" s="17"/>
      <c r="CN44" s="15">
        <v>45465</v>
      </c>
      <c r="CO44" s="8">
        <v>110608</v>
      </c>
      <c r="CP44" s="8" t="s">
        <v>146</v>
      </c>
      <c r="CQ44" s="8" t="str">
        <f t="shared" ref="CQ44" si="387">"CPA LIQ CORRESPONSAL GC BCI 648"</f>
        <v>CPA LIQ CORRESPONSAL GC BCI 648</v>
      </c>
      <c r="CR44" s="16">
        <f>+CK23</f>
        <v>0</v>
      </c>
      <c r="CS44" s="17"/>
    </row>
    <row r="45" spans="2:97" x14ac:dyDescent="0.25">
      <c r="E45" s="11"/>
      <c r="F45" s="12">
        <v>211101</v>
      </c>
      <c r="G45" s="12" t="s">
        <v>18</v>
      </c>
      <c r="H45" s="12" t="str">
        <f t="shared" ref="H45" si="388">H44</f>
        <v xml:space="preserve">CPA Recaudación Clientes BCI OP 648 </v>
      </c>
      <c r="I45" s="13"/>
      <c r="J45" s="18">
        <f>I44</f>
        <v>1065726184</v>
      </c>
      <c r="Q45" s="11"/>
      <c r="R45" s="12">
        <v>211101</v>
      </c>
      <c r="S45" s="12" t="s">
        <v>18</v>
      </c>
      <c r="T45" s="12" t="str">
        <f t="shared" ref="T45" si="389">T44</f>
        <v xml:space="preserve">CPA Abonos operaciones rechazadas BCI OP 648 </v>
      </c>
      <c r="U45" s="13"/>
      <c r="V45" s="18">
        <f>U44</f>
        <v>7731061</v>
      </c>
      <c r="AC45" s="11"/>
      <c r="AD45" s="12">
        <v>110209</v>
      </c>
      <c r="AE45" s="12" t="s">
        <v>55</v>
      </c>
      <c r="AF45" s="12" t="str">
        <f t="shared" ref="AF45" si="390">AF44</f>
        <v xml:space="preserve">CPA Fondeo BCI ADM 656 a BCI OP 648 </v>
      </c>
      <c r="AG45" s="13"/>
      <c r="AH45" s="18">
        <f>AG44</f>
        <v>0</v>
      </c>
      <c r="AO45" s="11"/>
      <c r="AP45" s="12">
        <v>110208</v>
      </c>
      <c r="AQ45" s="12" t="s">
        <v>46</v>
      </c>
      <c r="AR45" s="12" t="str">
        <f t="shared" ref="AR45" si="391">AR44</f>
        <v xml:space="preserve">CPA Traspaso de Fondos Bco. BCI 648 a Bco. BICE </v>
      </c>
      <c r="AS45" s="13"/>
      <c r="AT45" s="18">
        <f>AS44</f>
        <v>0</v>
      </c>
      <c r="BA45" s="11"/>
      <c r="BB45" s="12">
        <v>110208</v>
      </c>
      <c r="BC45" s="12" t="s">
        <v>46</v>
      </c>
      <c r="BD45" s="12" t="str">
        <f t="shared" ref="BD45" si="392">BD44</f>
        <v xml:space="preserve">CPA Pago Operaciones Locales BCI OP 648 </v>
      </c>
      <c r="BE45" s="13"/>
      <c r="BF45" s="18">
        <f>BE44</f>
        <v>0</v>
      </c>
      <c r="BN45" s="11"/>
      <c r="BO45" s="12">
        <v>110208</v>
      </c>
      <c r="BP45" s="12" t="s">
        <v>46</v>
      </c>
      <c r="BQ45" s="12" t="str">
        <f t="shared" ref="BQ45" si="393">BQ44</f>
        <v xml:space="preserve">CPA Fondeo BCI OP 648 a BCI ADM 656 </v>
      </c>
      <c r="BR45" s="13"/>
      <c r="BS45" s="18">
        <f t="shared" ref="BS45" si="394">BR44</f>
        <v>0</v>
      </c>
      <c r="CA45" s="11"/>
      <c r="CB45" s="12">
        <v>110608</v>
      </c>
      <c r="CC45" s="12" t="s">
        <v>146</v>
      </c>
      <c r="CD45" s="12" t="str">
        <f t="shared" ref="CD45" si="395">CD44</f>
        <v>CPA LIQ CORRESPONSAL GC BCI 648</v>
      </c>
      <c r="CE45" s="13"/>
      <c r="CF45" s="18">
        <f t="shared" ref="CF45" si="396">CE44</f>
        <v>671754661</v>
      </c>
      <c r="CN45" s="11"/>
      <c r="CO45" s="12">
        <v>110208</v>
      </c>
      <c r="CP45" s="12" t="s">
        <v>46</v>
      </c>
      <c r="CQ45" s="12" t="str">
        <f t="shared" ref="CQ45" si="397">CQ44</f>
        <v>CPA LIQ CORRESPONSAL GC BCI 648</v>
      </c>
      <c r="CR45" s="13"/>
      <c r="CS45" s="18">
        <f t="shared" ref="CS45" si="398">CR44</f>
        <v>0</v>
      </c>
    </row>
    <row r="46" spans="2:97" x14ac:dyDescent="0.25">
      <c r="E46" s="15">
        <v>45466</v>
      </c>
      <c r="F46" s="8">
        <v>110208</v>
      </c>
      <c r="G46" s="8" t="s">
        <v>46</v>
      </c>
      <c r="H46" s="8" t="str">
        <f t="shared" ref="H46" si="399">"CPA Recaudación Clientes BCI OP 648 "</f>
        <v xml:space="preserve">CPA Recaudación Clientes BCI OP 648 </v>
      </c>
      <c r="I46" s="16">
        <f>+B24</f>
        <v>1298997284</v>
      </c>
      <c r="J46" s="17"/>
      <c r="Q46" s="15">
        <v>45466</v>
      </c>
      <c r="R46" s="8">
        <v>110208</v>
      </c>
      <c r="S46" s="8" t="s">
        <v>46</v>
      </c>
      <c r="T46" s="8" t="str">
        <f t="shared" ref="T46" si="400">"CPA Abonos operaciones rechazadas BCI OP 648 "</f>
        <v xml:space="preserve">CPA Abonos operaciones rechazadas BCI OP 648 </v>
      </c>
      <c r="U46" s="16">
        <f>+N24</f>
        <v>3235454</v>
      </c>
      <c r="V46" s="17"/>
      <c r="AC46" s="15">
        <v>45466</v>
      </c>
      <c r="AD46" s="8">
        <v>110208</v>
      </c>
      <c r="AE46" s="8" t="s">
        <v>46</v>
      </c>
      <c r="AF46" s="8" t="str">
        <f t="shared" ref="AF46" si="401">"CPA Fondeo BCI ADM 656 a BCI OP 648 "</f>
        <v xml:space="preserve">CPA Fondeo BCI ADM 656 a BCI OP 648 </v>
      </c>
      <c r="AG46" s="16">
        <f>+Z24</f>
        <v>0</v>
      </c>
      <c r="AH46" s="17"/>
      <c r="AO46" s="15">
        <v>45466</v>
      </c>
      <c r="AP46" s="8">
        <v>110204</v>
      </c>
      <c r="AQ46" s="8" t="s">
        <v>51</v>
      </c>
      <c r="AR46" s="8" t="str">
        <f t="shared" ref="AR46" si="402">"CPA Traspaso de Fondos Bco. BCI 648 a Bco. BICE "</f>
        <v xml:space="preserve">CPA Traspaso de Fondos Bco. BCI 648 a Bco. BICE </v>
      </c>
      <c r="AS46" s="16">
        <f>+AL24</f>
        <v>0</v>
      </c>
      <c r="AT46" s="17"/>
      <c r="BA46" s="15">
        <v>45466</v>
      </c>
      <c r="BB46" s="8">
        <v>211101</v>
      </c>
      <c r="BC46" s="8" t="s">
        <v>18</v>
      </c>
      <c r="BD46" s="8" t="str">
        <f t="shared" ref="BD46" si="403">"CPA Pago Operaciones Locales BCI OP 648 "</f>
        <v xml:space="preserve">CPA Pago Operaciones Locales BCI OP 648 </v>
      </c>
      <c r="BE46" s="16">
        <f>+AX24</f>
        <v>0</v>
      </c>
      <c r="BF46" s="17"/>
      <c r="BN46" s="15">
        <v>45466</v>
      </c>
      <c r="BO46" s="8">
        <v>110209</v>
      </c>
      <c r="BP46" s="8" t="s">
        <v>55</v>
      </c>
      <c r="BQ46" s="8" t="str">
        <f t="shared" ref="BQ46" si="404">"CPA Fondeo BCI OP 648 a BCI ADM 656 "</f>
        <v xml:space="preserve">CPA Fondeo BCI OP 648 a BCI ADM 656 </v>
      </c>
      <c r="BR46" s="16">
        <f>+BK24</f>
        <v>30000000</v>
      </c>
      <c r="BS46" s="17"/>
      <c r="CA46" s="15">
        <v>45466</v>
      </c>
      <c r="CB46" s="8">
        <v>110208</v>
      </c>
      <c r="CC46" s="8" t="s">
        <v>46</v>
      </c>
      <c r="CD46" s="8" t="str">
        <f t="shared" ref="CD46" si="405">"CPA LIQ CORRESPONSAL GC BCI 648"</f>
        <v>CPA LIQ CORRESPONSAL GC BCI 648</v>
      </c>
      <c r="CE46" s="16">
        <f>+BX24</f>
        <v>688216556</v>
      </c>
      <c r="CF46" s="17"/>
      <c r="CN46" s="15">
        <v>45466</v>
      </c>
      <c r="CO46" s="8">
        <v>110608</v>
      </c>
      <c r="CP46" s="8" t="s">
        <v>146</v>
      </c>
      <c r="CQ46" s="8" t="str">
        <f t="shared" ref="CQ46" si="406">"CPA LIQ CORRESPONSAL GC BCI 648"</f>
        <v>CPA LIQ CORRESPONSAL GC BCI 648</v>
      </c>
      <c r="CR46" s="16">
        <f>+CK24</f>
        <v>0</v>
      </c>
      <c r="CS46" s="17"/>
    </row>
    <row r="47" spans="2:97" x14ac:dyDescent="0.25">
      <c r="E47" s="11"/>
      <c r="F47" s="12">
        <v>211101</v>
      </c>
      <c r="G47" s="12" t="s">
        <v>18</v>
      </c>
      <c r="H47" s="12" t="str">
        <f t="shared" ref="H47" si="407">H46</f>
        <v xml:space="preserve">CPA Recaudación Clientes BCI OP 648 </v>
      </c>
      <c r="I47" s="13"/>
      <c r="J47" s="18">
        <f>I46</f>
        <v>1298997284</v>
      </c>
      <c r="Q47" s="11"/>
      <c r="R47" s="12">
        <v>211101</v>
      </c>
      <c r="S47" s="12" t="s">
        <v>18</v>
      </c>
      <c r="T47" s="12" t="str">
        <f t="shared" ref="T47" si="408">T46</f>
        <v xml:space="preserve">CPA Abonos operaciones rechazadas BCI OP 648 </v>
      </c>
      <c r="U47" s="13"/>
      <c r="V47" s="18">
        <f>U46</f>
        <v>3235454</v>
      </c>
      <c r="AC47" s="11"/>
      <c r="AD47" s="12">
        <v>110209</v>
      </c>
      <c r="AE47" s="12" t="s">
        <v>55</v>
      </c>
      <c r="AF47" s="12" t="str">
        <f t="shared" ref="AF47" si="409">AF46</f>
        <v xml:space="preserve">CPA Fondeo BCI ADM 656 a BCI OP 648 </v>
      </c>
      <c r="AG47" s="13"/>
      <c r="AH47" s="18">
        <f>AG46</f>
        <v>0</v>
      </c>
      <c r="AO47" s="11"/>
      <c r="AP47" s="12">
        <v>110208</v>
      </c>
      <c r="AQ47" s="12" t="s">
        <v>46</v>
      </c>
      <c r="AR47" s="12" t="str">
        <f t="shared" ref="AR47" si="410">AR46</f>
        <v xml:space="preserve">CPA Traspaso de Fondos Bco. BCI 648 a Bco. BICE </v>
      </c>
      <c r="AS47" s="13"/>
      <c r="AT47" s="18">
        <f>AS46</f>
        <v>0</v>
      </c>
      <c r="BA47" s="11"/>
      <c r="BB47" s="12">
        <v>110208</v>
      </c>
      <c r="BC47" s="12" t="s">
        <v>46</v>
      </c>
      <c r="BD47" s="12" t="str">
        <f t="shared" ref="BD47" si="411">BD46</f>
        <v xml:space="preserve">CPA Pago Operaciones Locales BCI OP 648 </v>
      </c>
      <c r="BE47" s="13"/>
      <c r="BF47" s="18">
        <f>BE46</f>
        <v>0</v>
      </c>
      <c r="BN47" s="11"/>
      <c r="BO47" s="12">
        <v>110208</v>
      </c>
      <c r="BP47" s="12" t="s">
        <v>46</v>
      </c>
      <c r="BQ47" s="12" t="str">
        <f t="shared" ref="BQ47" si="412">BQ46</f>
        <v xml:space="preserve">CPA Fondeo BCI OP 648 a BCI ADM 656 </v>
      </c>
      <c r="BR47" s="13"/>
      <c r="BS47" s="18">
        <f t="shared" ref="BS47" si="413">BR46</f>
        <v>30000000</v>
      </c>
      <c r="CA47" s="11"/>
      <c r="CB47" s="12">
        <v>110608</v>
      </c>
      <c r="CC47" s="12" t="s">
        <v>146</v>
      </c>
      <c r="CD47" s="12" t="str">
        <f t="shared" ref="CD47" si="414">CD46</f>
        <v>CPA LIQ CORRESPONSAL GC BCI 648</v>
      </c>
      <c r="CE47" s="13"/>
      <c r="CF47" s="18">
        <f t="shared" ref="CF47" si="415">CE46</f>
        <v>688216556</v>
      </c>
      <c r="CN47" s="11"/>
      <c r="CO47" s="12">
        <v>110208</v>
      </c>
      <c r="CP47" s="12" t="s">
        <v>46</v>
      </c>
      <c r="CQ47" s="12" t="str">
        <f t="shared" ref="CQ47" si="416">CQ46</f>
        <v>CPA LIQ CORRESPONSAL GC BCI 648</v>
      </c>
      <c r="CR47" s="13"/>
      <c r="CS47" s="18">
        <f t="shared" ref="CS47" si="417">CR46</f>
        <v>0</v>
      </c>
    </row>
    <row r="48" spans="2:97" x14ac:dyDescent="0.25">
      <c r="E48" s="15">
        <v>45467</v>
      </c>
      <c r="F48" s="8">
        <v>110208</v>
      </c>
      <c r="G48" s="8" t="s">
        <v>46</v>
      </c>
      <c r="H48" s="8" t="str">
        <f t="shared" ref="H48" si="418">"CPA Recaudación Clientes BCI OP 648 "</f>
        <v xml:space="preserve">CPA Recaudación Clientes BCI OP 648 </v>
      </c>
      <c r="I48" s="16">
        <f>+B25</f>
        <v>1162453466</v>
      </c>
      <c r="J48" s="17"/>
      <c r="Q48" s="15">
        <v>45467</v>
      </c>
      <c r="R48" s="8">
        <v>110208</v>
      </c>
      <c r="S48" s="8" t="s">
        <v>46</v>
      </c>
      <c r="T48" s="8" t="str">
        <f t="shared" ref="T48" si="419">"CPA Abonos operaciones rechazadas BCI OP 648 "</f>
        <v xml:space="preserve">CPA Abonos operaciones rechazadas BCI OP 648 </v>
      </c>
      <c r="U48" s="16">
        <f>+N25</f>
        <v>280010</v>
      </c>
      <c r="V48" s="17"/>
      <c r="AC48" s="15">
        <v>45467</v>
      </c>
      <c r="AD48" s="8">
        <v>110208</v>
      </c>
      <c r="AE48" s="8" t="s">
        <v>46</v>
      </c>
      <c r="AF48" s="8" t="str">
        <f t="shared" ref="AF48" si="420">"CPA Fondeo BCI ADM 656 a BCI OP 648 "</f>
        <v xml:space="preserve">CPA Fondeo BCI ADM 656 a BCI OP 648 </v>
      </c>
      <c r="AG48" s="16">
        <f>+Z25</f>
        <v>0</v>
      </c>
      <c r="AH48" s="17"/>
      <c r="AO48" s="15">
        <v>45467</v>
      </c>
      <c r="AP48" s="8">
        <v>110204</v>
      </c>
      <c r="AQ48" s="8" t="s">
        <v>51</v>
      </c>
      <c r="AR48" s="8" t="str">
        <f t="shared" ref="AR48" si="421">"CPA Traspaso de Fondos Bco. BCI 648 a Bco. BICE "</f>
        <v xml:space="preserve">CPA Traspaso de Fondos Bco. BCI 648 a Bco. BICE </v>
      </c>
      <c r="AS48" s="16">
        <f>+AL25</f>
        <v>0</v>
      </c>
      <c r="AT48" s="17"/>
      <c r="BA48" s="15">
        <v>45467</v>
      </c>
      <c r="BB48" s="8">
        <v>211101</v>
      </c>
      <c r="BC48" s="8" t="s">
        <v>18</v>
      </c>
      <c r="BD48" s="8" t="str">
        <f t="shared" ref="BD48" si="422">"CPA Pago Operaciones Locales BCI OP 648 "</f>
        <v xml:space="preserve">CPA Pago Operaciones Locales BCI OP 648 </v>
      </c>
      <c r="BE48" s="16">
        <f>+AX25</f>
        <v>0</v>
      </c>
      <c r="BF48" s="17"/>
      <c r="BN48" s="15">
        <v>45467</v>
      </c>
      <c r="BO48" s="8">
        <v>110209</v>
      </c>
      <c r="BP48" s="8" t="s">
        <v>55</v>
      </c>
      <c r="BQ48" s="8" t="str">
        <f t="shared" ref="BQ48" si="423">"CPA Fondeo BCI OP 648 a BCI ADM 656 "</f>
        <v xml:space="preserve">CPA Fondeo BCI OP 648 a BCI ADM 656 </v>
      </c>
      <c r="BR48" s="16">
        <f>+BK25</f>
        <v>0</v>
      </c>
      <c r="BS48" s="17"/>
      <c r="CA48" s="15">
        <v>45467</v>
      </c>
      <c r="CB48" s="8">
        <v>110208</v>
      </c>
      <c r="CC48" s="8" t="s">
        <v>46</v>
      </c>
      <c r="CD48" s="8" t="str">
        <f t="shared" ref="CD48" si="424">"CPA LIQ CORRESPONSAL GC BCI 648"</f>
        <v>CPA LIQ CORRESPONSAL GC BCI 648</v>
      </c>
      <c r="CE48" s="16">
        <f>+BX25</f>
        <v>732261399</v>
      </c>
      <c r="CF48" s="17"/>
      <c r="CN48" s="15">
        <v>45467</v>
      </c>
      <c r="CO48" s="8">
        <v>110608</v>
      </c>
      <c r="CP48" s="8" t="s">
        <v>146</v>
      </c>
      <c r="CQ48" s="8" t="str">
        <f t="shared" ref="CQ48" si="425">"CPA LIQ CORRESPONSAL GC BCI 648"</f>
        <v>CPA LIQ CORRESPONSAL GC BCI 648</v>
      </c>
      <c r="CR48" s="16">
        <f>+CK25</f>
        <v>0</v>
      </c>
      <c r="CS48" s="17"/>
    </row>
    <row r="49" spans="5:97" x14ac:dyDescent="0.25">
      <c r="E49" s="11"/>
      <c r="F49" s="12">
        <v>211101</v>
      </c>
      <c r="G49" s="12" t="s">
        <v>18</v>
      </c>
      <c r="H49" s="12" t="str">
        <f t="shared" ref="H49" si="426">H48</f>
        <v xml:space="preserve">CPA Recaudación Clientes BCI OP 648 </v>
      </c>
      <c r="I49" s="13"/>
      <c r="J49" s="18">
        <f>I48</f>
        <v>1162453466</v>
      </c>
      <c r="Q49" s="11"/>
      <c r="R49" s="12">
        <v>211101</v>
      </c>
      <c r="S49" s="12" t="s">
        <v>18</v>
      </c>
      <c r="T49" s="12" t="str">
        <f t="shared" ref="T49" si="427">T48</f>
        <v xml:space="preserve">CPA Abonos operaciones rechazadas BCI OP 648 </v>
      </c>
      <c r="U49" s="13"/>
      <c r="V49" s="18">
        <f>U48</f>
        <v>280010</v>
      </c>
      <c r="AC49" s="11"/>
      <c r="AD49" s="12">
        <v>110209</v>
      </c>
      <c r="AE49" s="12" t="s">
        <v>55</v>
      </c>
      <c r="AF49" s="12" t="str">
        <f t="shared" ref="AF49" si="428">AF48</f>
        <v xml:space="preserve">CPA Fondeo BCI ADM 656 a BCI OP 648 </v>
      </c>
      <c r="AG49" s="13"/>
      <c r="AH49" s="18">
        <f>AG48</f>
        <v>0</v>
      </c>
      <c r="AO49" s="11"/>
      <c r="AP49" s="12">
        <v>110208</v>
      </c>
      <c r="AQ49" s="12" t="s">
        <v>46</v>
      </c>
      <c r="AR49" s="12" t="str">
        <f t="shared" ref="AR49" si="429">AR48</f>
        <v xml:space="preserve">CPA Traspaso de Fondos Bco. BCI 648 a Bco. BICE </v>
      </c>
      <c r="AS49" s="13"/>
      <c r="AT49" s="18">
        <f>AS48</f>
        <v>0</v>
      </c>
      <c r="BA49" s="11"/>
      <c r="BB49" s="12">
        <v>110208</v>
      </c>
      <c r="BC49" s="12" t="s">
        <v>46</v>
      </c>
      <c r="BD49" s="12" t="str">
        <f t="shared" ref="BD49" si="430">BD48</f>
        <v xml:space="preserve">CPA Pago Operaciones Locales BCI OP 648 </v>
      </c>
      <c r="BE49" s="13"/>
      <c r="BF49" s="18">
        <f>BE48</f>
        <v>0</v>
      </c>
      <c r="BN49" s="11"/>
      <c r="BO49" s="12">
        <v>110208</v>
      </c>
      <c r="BP49" s="12" t="s">
        <v>46</v>
      </c>
      <c r="BQ49" s="12" t="str">
        <f t="shared" ref="BQ49" si="431">BQ48</f>
        <v xml:space="preserve">CPA Fondeo BCI OP 648 a BCI ADM 656 </v>
      </c>
      <c r="BR49" s="13"/>
      <c r="BS49" s="18">
        <f t="shared" ref="BS49" si="432">BR48</f>
        <v>0</v>
      </c>
      <c r="CA49" s="11"/>
      <c r="CB49" s="12">
        <v>110608</v>
      </c>
      <c r="CC49" s="12" t="s">
        <v>146</v>
      </c>
      <c r="CD49" s="12" t="str">
        <f t="shared" ref="CD49" si="433">CD48</f>
        <v>CPA LIQ CORRESPONSAL GC BCI 648</v>
      </c>
      <c r="CE49" s="13"/>
      <c r="CF49" s="18">
        <f t="shared" ref="CF49" si="434">CE48</f>
        <v>732261399</v>
      </c>
      <c r="CN49" s="11"/>
      <c r="CO49" s="12">
        <v>110208</v>
      </c>
      <c r="CP49" s="12" t="s">
        <v>46</v>
      </c>
      <c r="CQ49" s="12" t="str">
        <f t="shared" ref="CQ49" si="435">CQ48</f>
        <v>CPA LIQ CORRESPONSAL GC BCI 648</v>
      </c>
      <c r="CR49" s="13"/>
      <c r="CS49" s="18">
        <f t="shared" ref="CS49" si="436">CR48</f>
        <v>0</v>
      </c>
    </row>
    <row r="50" spans="5:97" x14ac:dyDescent="0.25">
      <c r="E50" s="15">
        <v>45468</v>
      </c>
      <c r="F50" s="8">
        <v>110208</v>
      </c>
      <c r="G50" s="8" t="s">
        <v>46</v>
      </c>
      <c r="H50" s="8" t="str">
        <f t="shared" ref="H50" si="437">"CPA Recaudación Clientes BCI OP 648 "</f>
        <v xml:space="preserve">CPA Recaudación Clientes BCI OP 648 </v>
      </c>
      <c r="I50" s="16">
        <f>+B26</f>
        <v>1886077651</v>
      </c>
      <c r="J50" s="17"/>
      <c r="Q50" s="15">
        <v>45468</v>
      </c>
      <c r="R50" s="8">
        <v>110208</v>
      </c>
      <c r="S50" s="8" t="s">
        <v>46</v>
      </c>
      <c r="T50" s="8" t="str">
        <f t="shared" ref="T50" si="438">"CPA Abonos operaciones rechazadas BCI OP 648 "</f>
        <v xml:space="preserve">CPA Abonos operaciones rechazadas BCI OP 648 </v>
      </c>
      <c r="U50" s="16">
        <f>+N26</f>
        <v>229066</v>
      </c>
      <c r="V50" s="17"/>
      <c r="AC50" s="15">
        <v>45468</v>
      </c>
      <c r="AD50" s="8">
        <v>110208</v>
      </c>
      <c r="AE50" s="8" t="s">
        <v>46</v>
      </c>
      <c r="AF50" s="8" t="str">
        <f t="shared" ref="AF50" si="439">"CPA Fondeo BCI ADM 656 a BCI OP 648 "</f>
        <v xml:space="preserve">CPA Fondeo BCI ADM 656 a BCI OP 648 </v>
      </c>
      <c r="AG50" s="16">
        <f>+Z26</f>
        <v>0</v>
      </c>
      <c r="AH50" s="17"/>
      <c r="AO50" s="15">
        <v>45468</v>
      </c>
      <c r="AP50" s="8">
        <v>110204</v>
      </c>
      <c r="AQ50" s="8" t="s">
        <v>51</v>
      </c>
      <c r="AR50" s="8" t="str">
        <f t="shared" ref="AR50" si="440">"CPA Traspaso de Fondos Bco. BCI 648 a Bco. BICE "</f>
        <v xml:space="preserve">CPA Traspaso de Fondos Bco. BCI 648 a Bco. BICE </v>
      </c>
      <c r="AS50" s="16">
        <f>+AL26</f>
        <v>190000000</v>
      </c>
      <c r="AT50" s="17"/>
      <c r="BA50" s="15">
        <v>45468</v>
      </c>
      <c r="BB50" s="8">
        <v>211101</v>
      </c>
      <c r="BC50" s="8" t="s">
        <v>18</v>
      </c>
      <c r="BD50" s="8" t="str">
        <f t="shared" ref="BD50" si="441">"CPA Pago Operaciones Locales BCI OP 648 "</f>
        <v xml:space="preserve">CPA Pago Operaciones Locales BCI OP 648 </v>
      </c>
      <c r="BE50" s="16">
        <f>+AX26</f>
        <v>0</v>
      </c>
      <c r="BF50" s="17"/>
      <c r="BN50" s="15">
        <v>45468</v>
      </c>
      <c r="BO50" s="8">
        <v>110209</v>
      </c>
      <c r="BP50" s="8" t="s">
        <v>55</v>
      </c>
      <c r="BQ50" s="8" t="str">
        <f t="shared" ref="BQ50" si="442">"CPA Fondeo BCI OP 648 a BCI ADM 656 "</f>
        <v xml:space="preserve">CPA Fondeo BCI OP 648 a BCI ADM 656 </v>
      </c>
      <c r="BR50" s="16">
        <f>+BK26</f>
        <v>0</v>
      </c>
      <c r="BS50" s="17"/>
      <c r="CA50" s="15">
        <v>45468</v>
      </c>
      <c r="CB50" s="8">
        <v>110208</v>
      </c>
      <c r="CC50" s="8" t="s">
        <v>46</v>
      </c>
      <c r="CD50" s="8" t="str">
        <f t="shared" ref="CD50" si="443">"CPA LIQ CORRESPONSAL GC BCI 648"</f>
        <v>CPA LIQ CORRESPONSAL GC BCI 648</v>
      </c>
      <c r="CE50" s="16">
        <f>+BX26</f>
        <v>0</v>
      </c>
      <c r="CF50" s="17"/>
      <c r="CN50" s="15">
        <v>45468</v>
      </c>
      <c r="CO50" s="8">
        <v>110608</v>
      </c>
      <c r="CP50" s="8" t="s">
        <v>146</v>
      </c>
      <c r="CQ50" s="8" t="str">
        <f t="shared" ref="CQ50" si="444">"CPA LIQ CORRESPONSAL GC BCI 648"</f>
        <v>CPA LIQ CORRESPONSAL GC BCI 648</v>
      </c>
      <c r="CR50" s="16">
        <f>+CK26</f>
        <v>0</v>
      </c>
      <c r="CS50" s="17"/>
    </row>
    <row r="51" spans="5:97" x14ac:dyDescent="0.25">
      <c r="E51" s="11"/>
      <c r="F51" s="12">
        <v>211101</v>
      </c>
      <c r="G51" s="12" t="s">
        <v>18</v>
      </c>
      <c r="H51" s="12" t="str">
        <f t="shared" ref="H51" si="445">H50</f>
        <v xml:space="preserve">CPA Recaudación Clientes BCI OP 648 </v>
      </c>
      <c r="I51" s="13"/>
      <c r="J51" s="18">
        <f>I50</f>
        <v>1886077651</v>
      </c>
      <c r="Q51" s="11"/>
      <c r="R51" s="12">
        <v>211101</v>
      </c>
      <c r="S51" s="12" t="s">
        <v>18</v>
      </c>
      <c r="T51" s="12" t="str">
        <f t="shared" ref="T51" si="446">T50</f>
        <v xml:space="preserve">CPA Abonos operaciones rechazadas BCI OP 648 </v>
      </c>
      <c r="U51" s="13"/>
      <c r="V51" s="18">
        <f>U50</f>
        <v>229066</v>
      </c>
      <c r="AC51" s="11"/>
      <c r="AD51" s="12">
        <v>110209</v>
      </c>
      <c r="AE51" s="12" t="s">
        <v>55</v>
      </c>
      <c r="AF51" s="12" t="str">
        <f t="shared" ref="AF51" si="447">AF50</f>
        <v xml:space="preserve">CPA Fondeo BCI ADM 656 a BCI OP 648 </v>
      </c>
      <c r="AG51" s="13"/>
      <c r="AH51" s="18">
        <f>AG50</f>
        <v>0</v>
      </c>
      <c r="AO51" s="11"/>
      <c r="AP51" s="12">
        <v>110208</v>
      </c>
      <c r="AQ51" s="12" t="s">
        <v>46</v>
      </c>
      <c r="AR51" s="12" t="str">
        <f t="shared" ref="AR51" si="448">AR50</f>
        <v xml:space="preserve">CPA Traspaso de Fondos Bco. BCI 648 a Bco. BICE </v>
      </c>
      <c r="AS51" s="13"/>
      <c r="AT51" s="18">
        <f>AS50</f>
        <v>190000000</v>
      </c>
      <c r="BA51" s="11"/>
      <c r="BB51" s="12">
        <v>110208</v>
      </c>
      <c r="BC51" s="12" t="s">
        <v>46</v>
      </c>
      <c r="BD51" s="12" t="str">
        <f t="shared" ref="BD51" si="449">BD50</f>
        <v xml:space="preserve">CPA Pago Operaciones Locales BCI OP 648 </v>
      </c>
      <c r="BE51" s="13"/>
      <c r="BF51" s="18">
        <f>BE50</f>
        <v>0</v>
      </c>
      <c r="BN51" s="11"/>
      <c r="BO51" s="12">
        <v>110208</v>
      </c>
      <c r="BP51" s="12" t="s">
        <v>46</v>
      </c>
      <c r="BQ51" s="12" t="str">
        <f t="shared" ref="BQ51" si="450">BQ50</f>
        <v xml:space="preserve">CPA Fondeo BCI OP 648 a BCI ADM 656 </v>
      </c>
      <c r="BR51" s="13"/>
      <c r="BS51" s="18">
        <f t="shared" ref="BS51" si="451">BR50</f>
        <v>0</v>
      </c>
      <c r="CA51" s="11"/>
      <c r="CB51" s="12">
        <v>110608</v>
      </c>
      <c r="CC51" s="12" t="s">
        <v>146</v>
      </c>
      <c r="CD51" s="12" t="str">
        <f t="shared" ref="CD51" si="452">CD50</f>
        <v>CPA LIQ CORRESPONSAL GC BCI 648</v>
      </c>
      <c r="CE51" s="13"/>
      <c r="CF51" s="18">
        <f t="shared" ref="CF51" si="453">CE50</f>
        <v>0</v>
      </c>
      <c r="CN51" s="11"/>
      <c r="CO51" s="12">
        <v>110208</v>
      </c>
      <c r="CP51" s="12" t="s">
        <v>46</v>
      </c>
      <c r="CQ51" s="12" t="str">
        <f t="shared" ref="CQ51" si="454">CQ50</f>
        <v>CPA LIQ CORRESPONSAL GC BCI 648</v>
      </c>
      <c r="CR51" s="13"/>
      <c r="CS51" s="18">
        <f t="shared" ref="CS51" si="455">CR50</f>
        <v>0</v>
      </c>
    </row>
    <row r="52" spans="5:97" x14ac:dyDescent="0.25">
      <c r="E52" s="15">
        <v>45469</v>
      </c>
      <c r="F52" s="8">
        <v>110208</v>
      </c>
      <c r="G52" s="8" t="s">
        <v>46</v>
      </c>
      <c r="H52" s="8" t="str">
        <f t="shared" ref="H52" si="456">"CPA Recaudación Clientes BCI OP 648 "</f>
        <v xml:space="preserve">CPA Recaudación Clientes BCI OP 648 </v>
      </c>
      <c r="I52" s="16">
        <f>+B27</f>
        <v>0</v>
      </c>
      <c r="J52" s="17"/>
      <c r="Q52" s="15">
        <v>45469</v>
      </c>
      <c r="R52" s="8">
        <v>110208</v>
      </c>
      <c r="S52" s="8" t="s">
        <v>46</v>
      </c>
      <c r="T52" s="8" t="str">
        <f t="shared" ref="T52" si="457">"CPA Abonos operaciones rechazadas BCI OP 648 "</f>
        <v xml:space="preserve">CPA Abonos operaciones rechazadas BCI OP 648 </v>
      </c>
      <c r="U52" s="16">
        <f>+N27</f>
        <v>0</v>
      </c>
      <c r="V52" s="17"/>
      <c r="AC52" s="15">
        <v>45469</v>
      </c>
      <c r="AD52" s="8">
        <v>110208</v>
      </c>
      <c r="AE52" s="8" t="s">
        <v>46</v>
      </c>
      <c r="AF52" s="8" t="str">
        <f t="shared" ref="AF52" si="458">"CPA Fondeo BCI ADM 656 a BCI OP 648 "</f>
        <v xml:space="preserve">CPA Fondeo BCI ADM 656 a BCI OP 648 </v>
      </c>
      <c r="AG52" s="16">
        <f>+Z27</f>
        <v>0</v>
      </c>
      <c r="AH52" s="17"/>
      <c r="AO52" s="15">
        <v>45469</v>
      </c>
      <c r="AP52" s="8">
        <v>110204</v>
      </c>
      <c r="AQ52" s="8" t="s">
        <v>51</v>
      </c>
      <c r="AR52" s="8" t="str">
        <f t="shared" ref="AR52" si="459">"CPA Traspaso de Fondos Bco. BCI 648 a Bco. BICE "</f>
        <v xml:space="preserve">CPA Traspaso de Fondos Bco. BCI 648 a Bco. BICE </v>
      </c>
      <c r="AS52" s="16">
        <f>+AL27</f>
        <v>0</v>
      </c>
      <c r="AT52" s="17"/>
      <c r="BA52" s="15">
        <v>45469</v>
      </c>
      <c r="BB52" s="8">
        <v>211101</v>
      </c>
      <c r="BC52" s="8" t="s">
        <v>18</v>
      </c>
      <c r="BD52" s="8" t="str">
        <f t="shared" ref="BD52" si="460">"CPA Pago Operaciones Locales BCI OP 648 "</f>
        <v xml:space="preserve">CPA Pago Operaciones Locales BCI OP 648 </v>
      </c>
      <c r="BE52" s="16">
        <f>+AX27</f>
        <v>0</v>
      </c>
      <c r="BF52" s="17"/>
      <c r="BN52" s="15">
        <v>45469</v>
      </c>
      <c r="BO52" s="8">
        <v>110209</v>
      </c>
      <c r="BP52" s="8" t="s">
        <v>55</v>
      </c>
      <c r="BQ52" s="8" t="str">
        <f t="shared" ref="BQ52" si="461">"CPA Fondeo BCI OP 648 a BCI ADM 656 "</f>
        <v xml:space="preserve">CPA Fondeo BCI OP 648 a BCI ADM 656 </v>
      </c>
      <c r="BR52" s="16">
        <f>+BK27</f>
        <v>0</v>
      </c>
      <c r="BS52" s="17"/>
      <c r="CA52" s="15">
        <v>45469</v>
      </c>
      <c r="CB52" s="8">
        <v>110208</v>
      </c>
      <c r="CC52" s="8" t="s">
        <v>46</v>
      </c>
      <c r="CD52" s="8" t="str">
        <f t="shared" ref="CD52" si="462">"CPA LIQ CORRESPONSAL GC BCI 648"</f>
        <v>CPA LIQ CORRESPONSAL GC BCI 648</v>
      </c>
      <c r="CE52" s="16">
        <f>+BX27</f>
        <v>0</v>
      </c>
      <c r="CF52" s="17"/>
      <c r="CN52" s="15">
        <v>45469</v>
      </c>
      <c r="CO52" s="8">
        <v>110608</v>
      </c>
      <c r="CP52" s="8" t="s">
        <v>146</v>
      </c>
      <c r="CQ52" s="8" t="str">
        <f t="shared" ref="CQ52" si="463">"CPA LIQ CORRESPONSAL GC BCI 648"</f>
        <v>CPA LIQ CORRESPONSAL GC BCI 648</v>
      </c>
      <c r="CR52" s="16">
        <f>+CK27</f>
        <v>0</v>
      </c>
      <c r="CS52" s="17"/>
    </row>
    <row r="53" spans="5:97" x14ac:dyDescent="0.25">
      <c r="E53" s="11"/>
      <c r="F53" s="12">
        <v>211101</v>
      </c>
      <c r="G53" s="12" t="s">
        <v>18</v>
      </c>
      <c r="H53" s="12" t="str">
        <f t="shared" ref="H53" si="464">H52</f>
        <v xml:space="preserve">CPA Recaudación Clientes BCI OP 648 </v>
      </c>
      <c r="I53" s="13"/>
      <c r="J53" s="18">
        <f>I52</f>
        <v>0</v>
      </c>
      <c r="Q53" s="11"/>
      <c r="R53" s="12">
        <v>211101</v>
      </c>
      <c r="S53" s="12" t="s">
        <v>18</v>
      </c>
      <c r="T53" s="12" t="str">
        <f t="shared" ref="T53" si="465">T52</f>
        <v xml:space="preserve">CPA Abonos operaciones rechazadas BCI OP 648 </v>
      </c>
      <c r="U53" s="13"/>
      <c r="V53" s="18">
        <f>U52</f>
        <v>0</v>
      </c>
      <c r="AC53" s="11"/>
      <c r="AD53" s="12">
        <v>110209</v>
      </c>
      <c r="AE53" s="12" t="s">
        <v>55</v>
      </c>
      <c r="AF53" s="12" t="str">
        <f t="shared" ref="AF53" si="466">AF52</f>
        <v xml:space="preserve">CPA Fondeo BCI ADM 656 a BCI OP 648 </v>
      </c>
      <c r="AG53" s="13"/>
      <c r="AH53" s="18">
        <f>AG52</f>
        <v>0</v>
      </c>
      <c r="AO53" s="11"/>
      <c r="AP53" s="12">
        <v>110208</v>
      </c>
      <c r="AQ53" s="12" t="s">
        <v>46</v>
      </c>
      <c r="AR53" s="12" t="str">
        <f t="shared" ref="AR53" si="467">AR52</f>
        <v xml:space="preserve">CPA Traspaso de Fondos Bco. BCI 648 a Bco. BICE </v>
      </c>
      <c r="AS53" s="13"/>
      <c r="AT53" s="18">
        <f>AS52</f>
        <v>0</v>
      </c>
      <c r="BA53" s="11"/>
      <c r="BB53" s="12">
        <v>110208</v>
      </c>
      <c r="BC53" s="12" t="s">
        <v>46</v>
      </c>
      <c r="BD53" s="12" t="str">
        <f t="shared" ref="BD53" si="468">BD52</f>
        <v xml:space="preserve">CPA Pago Operaciones Locales BCI OP 648 </v>
      </c>
      <c r="BE53" s="13"/>
      <c r="BF53" s="18">
        <f>BE52</f>
        <v>0</v>
      </c>
      <c r="BN53" s="11"/>
      <c r="BO53" s="12">
        <v>110208</v>
      </c>
      <c r="BP53" s="12" t="s">
        <v>46</v>
      </c>
      <c r="BQ53" s="12" t="str">
        <f t="shared" ref="BQ53" si="469">BQ52</f>
        <v xml:space="preserve">CPA Fondeo BCI OP 648 a BCI ADM 656 </v>
      </c>
      <c r="BR53" s="13"/>
      <c r="BS53" s="18">
        <f t="shared" ref="BS53" si="470">BR52</f>
        <v>0</v>
      </c>
      <c r="CA53" s="11"/>
      <c r="CB53" s="12">
        <v>110608</v>
      </c>
      <c r="CC53" s="12" t="s">
        <v>146</v>
      </c>
      <c r="CD53" s="12" t="str">
        <f t="shared" ref="CD53" si="471">CD52</f>
        <v>CPA LIQ CORRESPONSAL GC BCI 648</v>
      </c>
      <c r="CE53" s="13"/>
      <c r="CF53" s="18">
        <f t="shared" ref="CF53" si="472">CE52</f>
        <v>0</v>
      </c>
      <c r="CN53" s="11"/>
      <c r="CO53" s="12">
        <v>110208</v>
      </c>
      <c r="CP53" s="12" t="s">
        <v>46</v>
      </c>
      <c r="CQ53" s="12" t="str">
        <f t="shared" ref="CQ53" si="473">CQ52</f>
        <v>CPA LIQ CORRESPONSAL GC BCI 648</v>
      </c>
      <c r="CR53" s="13"/>
      <c r="CS53" s="18">
        <f t="shared" ref="CS53" si="474">CR52</f>
        <v>0</v>
      </c>
    </row>
    <row r="54" spans="5:97" x14ac:dyDescent="0.25">
      <c r="E54" s="15">
        <v>45470</v>
      </c>
      <c r="F54" s="8">
        <v>110208</v>
      </c>
      <c r="G54" s="8" t="s">
        <v>46</v>
      </c>
      <c r="H54" s="8" t="str">
        <f t="shared" ref="H54" si="475">"CPA Recaudación Clientes BCI OP 648 "</f>
        <v xml:space="preserve">CPA Recaudación Clientes BCI OP 648 </v>
      </c>
      <c r="I54" s="16">
        <f>+B28</f>
        <v>0</v>
      </c>
      <c r="J54" s="17"/>
      <c r="Q54" s="15">
        <v>45470</v>
      </c>
      <c r="R54" s="8">
        <v>110208</v>
      </c>
      <c r="S54" s="8" t="s">
        <v>46</v>
      </c>
      <c r="T54" s="8" t="str">
        <f t="shared" ref="T54" si="476">"CPA Abonos operaciones rechazadas BCI OP 648 "</f>
        <v xml:space="preserve">CPA Abonos operaciones rechazadas BCI OP 648 </v>
      </c>
      <c r="U54" s="16">
        <f>+N28</f>
        <v>0</v>
      </c>
      <c r="V54" s="17"/>
      <c r="AC54" s="15">
        <v>45470</v>
      </c>
      <c r="AD54" s="8">
        <v>110208</v>
      </c>
      <c r="AE54" s="8" t="s">
        <v>46</v>
      </c>
      <c r="AF54" s="8" t="str">
        <f t="shared" ref="AF54" si="477">"CPA Fondeo BCI ADM 656 a BCI OP 648 "</f>
        <v xml:space="preserve">CPA Fondeo BCI ADM 656 a BCI OP 648 </v>
      </c>
      <c r="AG54" s="16">
        <f>+Z28</f>
        <v>0</v>
      </c>
      <c r="AH54" s="17"/>
      <c r="AO54" s="15">
        <v>45470</v>
      </c>
      <c r="AP54" s="8">
        <v>110204</v>
      </c>
      <c r="AQ54" s="8" t="s">
        <v>51</v>
      </c>
      <c r="AR54" s="8" t="str">
        <f t="shared" ref="AR54" si="478">"CPA Traspaso de Fondos Bco. BCI 648 a Bco. BICE "</f>
        <v xml:space="preserve">CPA Traspaso de Fondos Bco. BCI 648 a Bco. BICE </v>
      </c>
      <c r="AS54" s="16">
        <f>+AL28</f>
        <v>0</v>
      </c>
      <c r="AT54" s="17"/>
      <c r="BA54" s="15">
        <v>45470</v>
      </c>
      <c r="BB54" s="8">
        <v>211101</v>
      </c>
      <c r="BC54" s="8" t="s">
        <v>18</v>
      </c>
      <c r="BD54" s="8" t="str">
        <f t="shared" ref="BD54" si="479">"CPA Pago Operaciones Locales BCI OP 648 "</f>
        <v xml:space="preserve">CPA Pago Operaciones Locales BCI OP 648 </v>
      </c>
      <c r="BE54" s="16">
        <f>+AX28</f>
        <v>0</v>
      </c>
      <c r="BF54" s="17"/>
      <c r="BN54" s="15">
        <v>45470</v>
      </c>
      <c r="BO54" s="8">
        <v>110209</v>
      </c>
      <c r="BP54" s="8" t="s">
        <v>55</v>
      </c>
      <c r="BQ54" s="8" t="str">
        <f t="shared" ref="BQ54" si="480">"CPA Fondeo BCI OP 648 a BCI ADM 656 "</f>
        <v xml:space="preserve">CPA Fondeo BCI OP 648 a BCI ADM 656 </v>
      </c>
      <c r="BR54" s="16">
        <f>+BK28</f>
        <v>0</v>
      </c>
      <c r="BS54" s="17"/>
      <c r="CA54" s="15">
        <v>45470</v>
      </c>
      <c r="CB54" s="8">
        <v>110208</v>
      </c>
      <c r="CC54" s="8" t="s">
        <v>46</v>
      </c>
      <c r="CD54" s="8" t="str">
        <f t="shared" ref="CD54" si="481">"CPA LIQ CORRESPONSAL GC BCI 648"</f>
        <v>CPA LIQ CORRESPONSAL GC BCI 648</v>
      </c>
      <c r="CE54" s="16">
        <f>+BX28</f>
        <v>0</v>
      </c>
      <c r="CF54" s="17"/>
      <c r="CN54" s="15">
        <v>45470</v>
      </c>
      <c r="CO54" s="8">
        <v>110608</v>
      </c>
      <c r="CP54" s="8" t="s">
        <v>146</v>
      </c>
      <c r="CQ54" s="8" t="str">
        <f t="shared" ref="CQ54" si="482">"CPA LIQ CORRESPONSAL GC BCI 648"</f>
        <v>CPA LIQ CORRESPONSAL GC BCI 648</v>
      </c>
      <c r="CR54" s="16">
        <f>+CK28</f>
        <v>0</v>
      </c>
      <c r="CS54" s="17"/>
    </row>
    <row r="55" spans="5:97" x14ac:dyDescent="0.25">
      <c r="E55" s="11"/>
      <c r="F55" s="12">
        <v>211101</v>
      </c>
      <c r="G55" s="12" t="s">
        <v>18</v>
      </c>
      <c r="H55" s="12" t="str">
        <f t="shared" ref="H55" si="483">H54</f>
        <v xml:space="preserve">CPA Recaudación Clientes BCI OP 648 </v>
      </c>
      <c r="I55" s="13"/>
      <c r="J55" s="18">
        <f>I54</f>
        <v>0</v>
      </c>
      <c r="Q55" s="11"/>
      <c r="R55" s="12">
        <v>211101</v>
      </c>
      <c r="S55" s="12" t="s">
        <v>18</v>
      </c>
      <c r="T55" s="12" t="str">
        <f t="shared" ref="T55" si="484">T54</f>
        <v xml:space="preserve">CPA Abonos operaciones rechazadas BCI OP 648 </v>
      </c>
      <c r="U55" s="13"/>
      <c r="V55" s="18">
        <f>U54</f>
        <v>0</v>
      </c>
      <c r="AC55" s="11"/>
      <c r="AD55" s="12">
        <v>110209</v>
      </c>
      <c r="AE55" s="12" t="s">
        <v>55</v>
      </c>
      <c r="AF55" s="12" t="str">
        <f t="shared" ref="AF55" si="485">AF54</f>
        <v xml:space="preserve">CPA Fondeo BCI ADM 656 a BCI OP 648 </v>
      </c>
      <c r="AG55" s="13"/>
      <c r="AH55" s="18">
        <f>AG54</f>
        <v>0</v>
      </c>
      <c r="AO55" s="11"/>
      <c r="AP55" s="12">
        <v>110208</v>
      </c>
      <c r="AQ55" s="12" t="s">
        <v>46</v>
      </c>
      <c r="AR55" s="12" t="str">
        <f t="shared" ref="AR55" si="486">AR54</f>
        <v xml:space="preserve">CPA Traspaso de Fondos Bco. BCI 648 a Bco. BICE </v>
      </c>
      <c r="AS55" s="13"/>
      <c r="AT55" s="18">
        <f>AS54</f>
        <v>0</v>
      </c>
      <c r="BA55" s="11"/>
      <c r="BB55" s="12">
        <v>110208</v>
      </c>
      <c r="BC55" s="12" t="s">
        <v>46</v>
      </c>
      <c r="BD55" s="12" t="str">
        <f t="shared" ref="BD55" si="487">BD54</f>
        <v xml:space="preserve">CPA Pago Operaciones Locales BCI OP 648 </v>
      </c>
      <c r="BE55" s="13"/>
      <c r="BF55" s="18">
        <f>BE54</f>
        <v>0</v>
      </c>
      <c r="BN55" s="11"/>
      <c r="BO55" s="12">
        <v>110208</v>
      </c>
      <c r="BP55" s="12" t="s">
        <v>46</v>
      </c>
      <c r="BQ55" s="12" t="str">
        <f t="shared" ref="BQ55" si="488">BQ54</f>
        <v xml:space="preserve">CPA Fondeo BCI OP 648 a BCI ADM 656 </v>
      </c>
      <c r="BR55" s="13"/>
      <c r="BS55" s="18">
        <f t="shared" ref="BS55" si="489">BR54</f>
        <v>0</v>
      </c>
      <c r="CA55" s="11"/>
      <c r="CB55" s="12">
        <v>110608</v>
      </c>
      <c r="CC55" s="12" t="s">
        <v>146</v>
      </c>
      <c r="CD55" s="12" t="str">
        <f t="shared" ref="CD55" si="490">CD54</f>
        <v>CPA LIQ CORRESPONSAL GC BCI 648</v>
      </c>
      <c r="CE55" s="13"/>
      <c r="CF55" s="18">
        <f t="shared" ref="CF55" si="491">CE54</f>
        <v>0</v>
      </c>
      <c r="CN55" s="11"/>
      <c r="CO55" s="12">
        <v>110208</v>
      </c>
      <c r="CP55" s="12" t="s">
        <v>46</v>
      </c>
      <c r="CQ55" s="12" t="str">
        <f t="shared" ref="CQ55" si="492">CQ54</f>
        <v>CPA LIQ CORRESPONSAL GC BCI 648</v>
      </c>
      <c r="CR55" s="13"/>
      <c r="CS55" s="18">
        <f t="shared" ref="CS55" si="493">CR54</f>
        <v>0</v>
      </c>
    </row>
    <row r="56" spans="5:97" x14ac:dyDescent="0.25">
      <c r="E56" s="15">
        <v>45471</v>
      </c>
      <c r="F56" s="8">
        <v>110208</v>
      </c>
      <c r="G56" s="8" t="s">
        <v>46</v>
      </c>
      <c r="H56" s="8" t="str">
        <f t="shared" ref="H56" si="494">"CPA Recaudación Clientes BCI OP 648 "</f>
        <v xml:space="preserve">CPA Recaudación Clientes BCI OP 648 </v>
      </c>
      <c r="I56" s="16">
        <f>+B29</f>
        <v>1967011186</v>
      </c>
      <c r="J56" s="17"/>
      <c r="Q56" s="15">
        <v>45471</v>
      </c>
      <c r="R56" s="8">
        <v>110208</v>
      </c>
      <c r="S56" s="8" t="s">
        <v>46</v>
      </c>
      <c r="T56" s="8" t="str">
        <f t="shared" ref="T56" si="495">"CPA Abonos operaciones rechazadas BCI OP 648 "</f>
        <v xml:space="preserve">CPA Abonos operaciones rechazadas BCI OP 648 </v>
      </c>
      <c r="U56" s="16">
        <f>+N29</f>
        <v>2704091</v>
      </c>
      <c r="V56" s="17"/>
      <c r="AC56" s="15">
        <v>45471</v>
      </c>
      <c r="AD56" s="8">
        <v>110208</v>
      </c>
      <c r="AE56" s="8" t="s">
        <v>46</v>
      </c>
      <c r="AF56" s="8" t="str">
        <f t="shared" ref="AF56" si="496">"CPA Fondeo BCI ADM 656 a BCI OP 648 "</f>
        <v xml:space="preserve">CPA Fondeo BCI ADM 656 a BCI OP 648 </v>
      </c>
      <c r="AG56" s="16">
        <f>+Z29</f>
        <v>0</v>
      </c>
      <c r="AH56" s="17"/>
      <c r="AO56" s="15">
        <v>45471</v>
      </c>
      <c r="AP56" s="8">
        <v>110204</v>
      </c>
      <c r="AQ56" s="8" t="s">
        <v>51</v>
      </c>
      <c r="AR56" s="8" t="str">
        <f t="shared" ref="AR56" si="497">"CPA Traspaso de Fondos Bco. BCI 648 a Bco. BICE "</f>
        <v xml:space="preserve">CPA Traspaso de Fondos Bco. BCI 648 a Bco. BICE </v>
      </c>
      <c r="AS56" s="16">
        <f>+AL29</f>
        <v>0</v>
      </c>
      <c r="AT56" s="17"/>
      <c r="BA56" s="15">
        <v>45471</v>
      </c>
      <c r="BB56" s="8">
        <v>211101</v>
      </c>
      <c r="BC56" s="8" t="s">
        <v>18</v>
      </c>
      <c r="BD56" s="8" t="str">
        <f t="shared" ref="BD56" si="498">"CPA Pago Operaciones Locales BCI OP 648 "</f>
        <v xml:space="preserve">CPA Pago Operaciones Locales BCI OP 648 </v>
      </c>
      <c r="BE56" s="16">
        <f>+AX29</f>
        <v>0</v>
      </c>
      <c r="BF56" s="17"/>
      <c r="BN56" s="15">
        <v>45471</v>
      </c>
      <c r="BO56" s="8">
        <v>110209</v>
      </c>
      <c r="BP56" s="8" t="s">
        <v>55</v>
      </c>
      <c r="BQ56" s="8" t="str">
        <f t="shared" ref="BQ56" si="499">"CPA Fondeo BCI OP 648 a BCI ADM 656 "</f>
        <v xml:space="preserve">CPA Fondeo BCI OP 648 a BCI ADM 656 </v>
      </c>
      <c r="BR56" s="16">
        <f>+BK29</f>
        <v>0</v>
      </c>
      <c r="BS56" s="17"/>
      <c r="CA56" s="15">
        <v>45471</v>
      </c>
      <c r="CB56" s="8">
        <v>110208</v>
      </c>
      <c r="CC56" s="8" t="s">
        <v>46</v>
      </c>
      <c r="CD56" s="8" t="str">
        <f t="shared" ref="CD56" si="500">"CPA LIQ CORRESPONSAL GC BCI 648"</f>
        <v>CPA LIQ CORRESPONSAL GC BCI 648</v>
      </c>
      <c r="CE56" s="16">
        <f>+BX29</f>
        <v>0</v>
      </c>
      <c r="CF56" s="17"/>
      <c r="CN56" s="15">
        <v>45471</v>
      </c>
      <c r="CO56" s="8">
        <v>110608</v>
      </c>
      <c r="CP56" s="8" t="s">
        <v>146</v>
      </c>
      <c r="CQ56" s="8" t="str">
        <f t="shared" ref="CQ56" si="501">"CPA LIQ CORRESPONSAL GC BCI 648"</f>
        <v>CPA LIQ CORRESPONSAL GC BCI 648</v>
      </c>
      <c r="CR56" s="16">
        <f>+CK29</f>
        <v>0</v>
      </c>
      <c r="CS56" s="17"/>
    </row>
    <row r="57" spans="5:97" x14ac:dyDescent="0.25">
      <c r="E57" s="11"/>
      <c r="F57" s="12">
        <v>211101</v>
      </c>
      <c r="G57" s="12" t="s">
        <v>18</v>
      </c>
      <c r="H57" s="12" t="str">
        <f t="shared" ref="H57" si="502">H56</f>
        <v xml:space="preserve">CPA Recaudación Clientes BCI OP 648 </v>
      </c>
      <c r="I57" s="13"/>
      <c r="J57" s="18">
        <f>I56</f>
        <v>1967011186</v>
      </c>
      <c r="Q57" s="11"/>
      <c r="R57" s="12">
        <v>211101</v>
      </c>
      <c r="S57" s="12" t="s">
        <v>18</v>
      </c>
      <c r="T57" s="12" t="str">
        <f t="shared" ref="T57" si="503">T56</f>
        <v xml:space="preserve">CPA Abonos operaciones rechazadas BCI OP 648 </v>
      </c>
      <c r="U57" s="13"/>
      <c r="V57" s="18">
        <f>U56</f>
        <v>2704091</v>
      </c>
      <c r="AC57" s="11"/>
      <c r="AD57" s="12">
        <v>110209</v>
      </c>
      <c r="AE57" s="12" t="s">
        <v>55</v>
      </c>
      <c r="AF57" s="12" t="str">
        <f t="shared" ref="AF57" si="504">AF56</f>
        <v xml:space="preserve">CPA Fondeo BCI ADM 656 a BCI OP 648 </v>
      </c>
      <c r="AG57" s="13"/>
      <c r="AH57" s="18">
        <f>AG56</f>
        <v>0</v>
      </c>
      <c r="AO57" s="11"/>
      <c r="AP57" s="12">
        <v>110208</v>
      </c>
      <c r="AQ57" s="12" t="s">
        <v>46</v>
      </c>
      <c r="AR57" s="12" t="str">
        <f t="shared" ref="AR57" si="505">AR56</f>
        <v xml:space="preserve">CPA Traspaso de Fondos Bco. BCI 648 a Bco. BICE </v>
      </c>
      <c r="AS57" s="13"/>
      <c r="AT57" s="18">
        <f>AS56</f>
        <v>0</v>
      </c>
      <c r="BA57" s="11"/>
      <c r="BB57" s="12">
        <v>110208</v>
      </c>
      <c r="BC57" s="12" t="s">
        <v>46</v>
      </c>
      <c r="BD57" s="12" t="str">
        <f t="shared" ref="BD57" si="506">BD56</f>
        <v xml:space="preserve">CPA Pago Operaciones Locales BCI OP 648 </v>
      </c>
      <c r="BE57" s="13"/>
      <c r="BF57" s="18">
        <f>BE56</f>
        <v>0</v>
      </c>
      <c r="BN57" s="11"/>
      <c r="BO57" s="12">
        <v>110208</v>
      </c>
      <c r="BP57" s="12" t="s">
        <v>46</v>
      </c>
      <c r="BQ57" s="12" t="str">
        <f t="shared" ref="BQ57" si="507">BQ56</f>
        <v xml:space="preserve">CPA Fondeo BCI OP 648 a BCI ADM 656 </v>
      </c>
      <c r="BR57" s="13"/>
      <c r="BS57" s="18">
        <f t="shared" ref="BS57" si="508">BR56</f>
        <v>0</v>
      </c>
      <c r="CA57" s="11"/>
      <c r="CB57" s="12">
        <v>110608</v>
      </c>
      <c r="CC57" s="12" t="s">
        <v>146</v>
      </c>
      <c r="CD57" s="12" t="str">
        <f t="shared" ref="CD57" si="509">CD56</f>
        <v>CPA LIQ CORRESPONSAL GC BCI 648</v>
      </c>
      <c r="CE57" s="13"/>
      <c r="CF57" s="18">
        <f t="shared" ref="CF57" si="510">CE56</f>
        <v>0</v>
      </c>
      <c r="CN57" s="11"/>
      <c r="CO57" s="12">
        <v>110208</v>
      </c>
      <c r="CP57" s="12" t="s">
        <v>46</v>
      </c>
      <c r="CQ57" s="12" t="str">
        <f t="shared" ref="CQ57" si="511">CQ56</f>
        <v>CPA LIQ CORRESPONSAL GC BCI 648</v>
      </c>
      <c r="CR57" s="13"/>
      <c r="CS57" s="18">
        <f t="shared" ref="CS57" si="512">CR56</f>
        <v>0</v>
      </c>
    </row>
    <row r="58" spans="5:97" x14ac:dyDescent="0.25">
      <c r="E58" s="15">
        <v>45472</v>
      </c>
      <c r="F58" s="8">
        <v>110208</v>
      </c>
      <c r="G58" s="8" t="s">
        <v>46</v>
      </c>
      <c r="H58" s="8" t="str">
        <f t="shared" ref="H58" si="513">"CPA Recaudación Clientes BCI OP 648 "</f>
        <v xml:space="preserve">CPA Recaudación Clientes BCI OP 648 </v>
      </c>
      <c r="I58" s="16">
        <f>+B30</f>
        <v>1259351874</v>
      </c>
      <c r="J58" s="17"/>
      <c r="Q58" s="15">
        <v>45472</v>
      </c>
      <c r="R58" s="8">
        <v>110208</v>
      </c>
      <c r="S58" s="8" t="s">
        <v>46</v>
      </c>
      <c r="T58" s="8" t="str">
        <f t="shared" ref="T58" si="514">"CPA Abonos operaciones rechazadas BCI OP 648 "</f>
        <v xml:space="preserve">CPA Abonos operaciones rechazadas BCI OP 648 </v>
      </c>
      <c r="U58" s="16">
        <f>+N30</f>
        <v>495007</v>
      </c>
      <c r="V58" s="17"/>
      <c r="AC58" s="15">
        <v>45472</v>
      </c>
      <c r="AD58" s="8">
        <v>110208</v>
      </c>
      <c r="AE58" s="8" t="s">
        <v>46</v>
      </c>
      <c r="AF58" s="8" t="str">
        <f t="shared" ref="AF58" si="515">"CPA Fondeo BCI ADM 656 a BCI OP 648 "</f>
        <v xml:space="preserve">CPA Fondeo BCI ADM 656 a BCI OP 648 </v>
      </c>
      <c r="AG58" s="16">
        <f>+Z30</f>
        <v>0</v>
      </c>
      <c r="AH58" s="17"/>
      <c r="AO58" s="15">
        <v>45472</v>
      </c>
      <c r="AP58" s="8">
        <v>110204</v>
      </c>
      <c r="AQ58" s="8" t="s">
        <v>51</v>
      </c>
      <c r="AR58" s="8" t="str">
        <f t="shared" ref="AR58" si="516">"CPA Traspaso de Fondos Bco. BCI 648 a Bco. BICE "</f>
        <v xml:space="preserve">CPA Traspaso de Fondos Bco. BCI 648 a Bco. BICE </v>
      </c>
      <c r="AS58" s="16">
        <f>+AL30</f>
        <v>0</v>
      </c>
      <c r="AT58" s="17"/>
      <c r="BA58" s="15">
        <v>45472</v>
      </c>
      <c r="BB58" s="8">
        <v>211101</v>
      </c>
      <c r="BC58" s="8" t="s">
        <v>18</v>
      </c>
      <c r="BD58" s="8" t="str">
        <f t="shared" ref="BD58" si="517">"CPA Pago Operaciones Locales BCI OP 648 "</f>
        <v xml:space="preserve">CPA Pago Operaciones Locales BCI OP 648 </v>
      </c>
      <c r="BE58" s="16">
        <f>+AX30</f>
        <v>0</v>
      </c>
      <c r="BF58" s="17"/>
      <c r="BN58" s="15">
        <v>45472</v>
      </c>
      <c r="BO58" s="8">
        <v>110209</v>
      </c>
      <c r="BP58" s="8" t="s">
        <v>55</v>
      </c>
      <c r="BQ58" s="8" t="str">
        <f t="shared" ref="BQ58" si="518">"CPA Fondeo BCI OP 648 a BCI ADM 656 "</f>
        <v xml:space="preserve">CPA Fondeo BCI OP 648 a BCI ADM 656 </v>
      </c>
      <c r="BR58" s="16">
        <f>+BK30</f>
        <v>42000000</v>
      </c>
      <c r="BS58" s="17"/>
      <c r="CA58" s="15">
        <v>45472</v>
      </c>
      <c r="CB58" s="8">
        <v>110208</v>
      </c>
      <c r="CC58" s="8" t="s">
        <v>46</v>
      </c>
      <c r="CD58" s="8" t="str">
        <f t="shared" ref="CD58" si="519">"CPA LIQ CORRESPONSAL GC BCI 648"</f>
        <v>CPA LIQ CORRESPONSAL GC BCI 648</v>
      </c>
      <c r="CE58" s="16">
        <f>+BX30</f>
        <v>444657859</v>
      </c>
      <c r="CF58" s="17"/>
      <c r="CN58" s="15">
        <v>45472</v>
      </c>
      <c r="CO58" s="8">
        <v>110608</v>
      </c>
      <c r="CP58" s="8" t="s">
        <v>146</v>
      </c>
      <c r="CQ58" s="8" t="str">
        <f t="shared" ref="CQ58" si="520">"CPA LIQ CORRESPONSAL GC BCI 648"</f>
        <v>CPA LIQ CORRESPONSAL GC BCI 648</v>
      </c>
      <c r="CR58" s="16">
        <f>+CK30</f>
        <v>0</v>
      </c>
      <c r="CS58" s="17"/>
    </row>
    <row r="59" spans="5:97" x14ac:dyDescent="0.25">
      <c r="E59" s="11"/>
      <c r="F59" s="12">
        <v>211101</v>
      </c>
      <c r="G59" s="12" t="s">
        <v>18</v>
      </c>
      <c r="H59" s="12" t="str">
        <f t="shared" ref="H59" si="521">H58</f>
        <v xml:space="preserve">CPA Recaudación Clientes BCI OP 648 </v>
      </c>
      <c r="I59" s="13"/>
      <c r="J59" s="18">
        <f>I58</f>
        <v>1259351874</v>
      </c>
      <c r="Q59" s="11"/>
      <c r="R59" s="12">
        <v>211101</v>
      </c>
      <c r="S59" s="12" t="s">
        <v>18</v>
      </c>
      <c r="T59" s="12" t="str">
        <f t="shared" ref="T59" si="522">T58</f>
        <v xml:space="preserve">CPA Abonos operaciones rechazadas BCI OP 648 </v>
      </c>
      <c r="U59" s="13"/>
      <c r="V59" s="18">
        <f>U58</f>
        <v>495007</v>
      </c>
      <c r="AC59" s="11"/>
      <c r="AD59" s="12">
        <v>110209</v>
      </c>
      <c r="AE59" s="12" t="s">
        <v>55</v>
      </c>
      <c r="AF59" s="12" t="str">
        <f t="shared" ref="AF59" si="523">AF58</f>
        <v xml:space="preserve">CPA Fondeo BCI ADM 656 a BCI OP 648 </v>
      </c>
      <c r="AG59" s="13"/>
      <c r="AH59" s="18">
        <f>AG58</f>
        <v>0</v>
      </c>
      <c r="AO59" s="11"/>
      <c r="AP59" s="12">
        <v>110208</v>
      </c>
      <c r="AQ59" s="12" t="s">
        <v>46</v>
      </c>
      <c r="AR59" s="12" t="str">
        <f t="shared" ref="AR59" si="524">AR58</f>
        <v xml:space="preserve">CPA Traspaso de Fondos Bco. BCI 648 a Bco. BICE </v>
      </c>
      <c r="AS59" s="13"/>
      <c r="AT59" s="18">
        <f>AS58</f>
        <v>0</v>
      </c>
      <c r="BA59" s="11"/>
      <c r="BB59" s="12">
        <v>110208</v>
      </c>
      <c r="BC59" s="12" t="s">
        <v>46</v>
      </c>
      <c r="BD59" s="12" t="str">
        <f t="shared" ref="BD59" si="525">BD58</f>
        <v xml:space="preserve">CPA Pago Operaciones Locales BCI OP 648 </v>
      </c>
      <c r="BE59" s="13"/>
      <c r="BF59" s="18">
        <f>BE58</f>
        <v>0</v>
      </c>
      <c r="BN59" s="11"/>
      <c r="BO59" s="12">
        <v>110208</v>
      </c>
      <c r="BP59" s="12" t="s">
        <v>46</v>
      </c>
      <c r="BQ59" s="12" t="str">
        <f t="shared" ref="BQ59" si="526">BQ58</f>
        <v xml:space="preserve">CPA Fondeo BCI OP 648 a BCI ADM 656 </v>
      </c>
      <c r="BR59" s="13"/>
      <c r="BS59" s="18">
        <f t="shared" ref="BS59" si="527">BR58</f>
        <v>42000000</v>
      </c>
      <c r="CA59" s="11"/>
      <c r="CB59" s="12">
        <v>110608</v>
      </c>
      <c r="CC59" s="12" t="s">
        <v>146</v>
      </c>
      <c r="CD59" s="12" t="str">
        <f t="shared" ref="CD59" si="528">CD58</f>
        <v>CPA LIQ CORRESPONSAL GC BCI 648</v>
      </c>
      <c r="CE59" s="13"/>
      <c r="CF59" s="18">
        <f t="shared" ref="CF59" si="529">CE58</f>
        <v>444657859</v>
      </c>
      <c r="CN59" s="11"/>
      <c r="CO59" s="12">
        <v>110208</v>
      </c>
      <c r="CP59" s="12" t="s">
        <v>46</v>
      </c>
      <c r="CQ59" s="12" t="str">
        <f t="shared" ref="CQ59" si="530">CQ58</f>
        <v>CPA LIQ CORRESPONSAL GC BCI 648</v>
      </c>
      <c r="CR59" s="13"/>
      <c r="CS59" s="18">
        <f t="shared" ref="CS59" si="531">CR58</f>
        <v>0</v>
      </c>
    </row>
    <row r="60" spans="5:97" x14ac:dyDescent="0.25">
      <c r="E60" s="15">
        <v>45473</v>
      </c>
      <c r="F60" s="8">
        <v>110208</v>
      </c>
      <c r="G60" s="8" t="s">
        <v>46</v>
      </c>
      <c r="H60" s="8" t="str">
        <f t="shared" ref="H60" si="532">"CPA Recaudación Clientes BCI OP 648 "</f>
        <v xml:space="preserve">CPA Recaudación Clientes BCI OP 648 </v>
      </c>
      <c r="I60" s="16">
        <f>+B31</f>
        <v>1711223547</v>
      </c>
      <c r="J60" s="17"/>
      <c r="Q60" s="15">
        <v>45473</v>
      </c>
      <c r="R60" s="8">
        <v>110208</v>
      </c>
      <c r="S60" s="8" t="s">
        <v>46</v>
      </c>
      <c r="T60" s="8" t="str">
        <f t="shared" ref="T60" si="533">"CPA Abonos operaciones rechazadas BCI OP 648 "</f>
        <v xml:space="preserve">CPA Abonos operaciones rechazadas BCI OP 648 </v>
      </c>
      <c r="U60" s="16">
        <f>+N31</f>
        <v>9618216</v>
      </c>
      <c r="V60" s="17"/>
      <c r="AC60" s="15">
        <v>45473</v>
      </c>
      <c r="AD60" s="8">
        <v>110208</v>
      </c>
      <c r="AE60" s="8" t="s">
        <v>46</v>
      </c>
      <c r="AF60" s="8" t="str">
        <f t="shared" ref="AF60" si="534">"CPA Fondeo BCI ADM 656 a BCI OP 648 "</f>
        <v xml:space="preserve">CPA Fondeo BCI ADM 656 a BCI OP 648 </v>
      </c>
      <c r="AG60" s="16">
        <f>+Z31</f>
        <v>0</v>
      </c>
      <c r="AH60" s="17"/>
      <c r="AO60" s="15">
        <v>45473</v>
      </c>
      <c r="AP60" s="8">
        <v>110204</v>
      </c>
      <c r="AQ60" s="8" t="s">
        <v>51</v>
      </c>
      <c r="AR60" s="8" t="str">
        <f t="shared" ref="AR60" si="535">"CPA Traspaso de Fondos Bco. BCI 648 a Bco. BICE "</f>
        <v xml:space="preserve">CPA Traspaso de Fondos Bco. BCI 648 a Bco. BICE </v>
      </c>
      <c r="AS60" s="16">
        <f>+AL31</f>
        <v>0</v>
      </c>
      <c r="AT60" s="17"/>
      <c r="BA60" s="15">
        <v>45473</v>
      </c>
      <c r="BB60" s="8">
        <v>211101</v>
      </c>
      <c r="BC60" s="8" t="s">
        <v>18</v>
      </c>
      <c r="BD60" s="8" t="str">
        <f t="shared" ref="BD60" si="536">"CPA Pago Operaciones Locales BCI OP 648 "</f>
        <v xml:space="preserve">CPA Pago Operaciones Locales BCI OP 648 </v>
      </c>
      <c r="BE60" s="16">
        <f>+AX31</f>
        <v>0</v>
      </c>
      <c r="BF60" s="17"/>
      <c r="BN60" s="15">
        <v>45473</v>
      </c>
      <c r="BO60" s="8">
        <v>110209</v>
      </c>
      <c r="BP60" s="8" t="s">
        <v>55</v>
      </c>
      <c r="BQ60" s="8" t="str">
        <f t="shared" ref="BQ60" si="537">"CPA Fondeo BCI OP 648 a BCI ADM 656 "</f>
        <v xml:space="preserve">CPA Fondeo BCI OP 648 a BCI ADM 656 </v>
      </c>
      <c r="BR60" s="16">
        <f>+BK31</f>
        <v>78000000</v>
      </c>
      <c r="BS60" s="17"/>
      <c r="CA60" s="15">
        <v>45473</v>
      </c>
      <c r="CB60" s="8">
        <v>110208</v>
      </c>
      <c r="CC60" s="8" t="s">
        <v>46</v>
      </c>
      <c r="CD60" s="8" t="str">
        <f t="shared" ref="CD60" si="538">"CPA LIQ CORRESPONSAL GC BCI 648"</f>
        <v>CPA LIQ CORRESPONSAL GC BCI 648</v>
      </c>
      <c r="CE60" s="16">
        <f>+BX31</f>
        <v>252684489</v>
      </c>
      <c r="CF60" s="17"/>
      <c r="CN60" s="15">
        <v>45473</v>
      </c>
      <c r="CO60" s="8">
        <v>110608</v>
      </c>
      <c r="CP60" s="8" t="s">
        <v>146</v>
      </c>
      <c r="CQ60" s="8" t="str">
        <f t="shared" ref="CQ60" si="539">"CPA LIQ CORRESPONSAL GC BCI 648"</f>
        <v>CPA LIQ CORRESPONSAL GC BCI 648</v>
      </c>
      <c r="CR60" s="16">
        <f>+CK31</f>
        <v>0</v>
      </c>
      <c r="CS60" s="17"/>
    </row>
    <row r="61" spans="5:97" x14ac:dyDescent="0.25">
      <c r="E61" s="11"/>
      <c r="F61" s="12">
        <v>211101</v>
      </c>
      <c r="G61" s="12" t="s">
        <v>18</v>
      </c>
      <c r="H61" s="12" t="str">
        <f t="shared" ref="H61" si="540">H60</f>
        <v xml:space="preserve">CPA Recaudación Clientes BCI OP 648 </v>
      </c>
      <c r="I61" s="13"/>
      <c r="J61" s="18">
        <f>I60</f>
        <v>1711223547</v>
      </c>
      <c r="Q61" s="11"/>
      <c r="R61" s="12">
        <v>211101</v>
      </c>
      <c r="S61" s="12" t="s">
        <v>18</v>
      </c>
      <c r="T61" s="12" t="str">
        <f t="shared" ref="T61" si="541">T60</f>
        <v xml:space="preserve">CPA Abonos operaciones rechazadas BCI OP 648 </v>
      </c>
      <c r="U61" s="13"/>
      <c r="V61" s="18">
        <f>U60</f>
        <v>9618216</v>
      </c>
      <c r="AC61" s="11"/>
      <c r="AD61" s="12">
        <v>110209</v>
      </c>
      <c r="AE61" s="12" t="s">
        <v>55</v>
      </c>
      <c r="AF61" s="12" t="str">
        <f t="shared" ref="AF61" si="542">AF60</f>
        <v xml:space="preserve">CPA Fondeo BCI ADM 656 a BCI OP 648 </v>
      </c>
      <c r="AG61" s="13"/>
      <c r="AH61" s="18">
        <f>AG60</f>
        <v>0</v>
      </c>
      <c r="AO61" s="11"/>
      <c r="AP61" s="12">
        <v>110208</v>
      </c>
      <c r="AQ61" s="12" t="s">
        <v>46</v>
      </c>
      <c r="AR61" s="12" t="str">
        <f t="shared" ref="AR61" si="543">AR60</f>
        <v xml:space="preserve">CPA Traspaso de Fondos Bco. BCI 648 a Bco. BICE </v>
      </c>
      <c r="AS61" s="13"/>
      <c r="AT61" s="18">
        <f>AS60</f>
        <v>0</v>
      </c>
      <c r="BA61" s="11"/>
      <c r="BB61" s="12">
        <v>110208</v>
      </c>
      <c r="BC61" s="12" t="s">
        <v>46</v>
      </c>
      <c r="BD61" s="12" t="str">
        <f t="shared" ref="BD61" si="544">BD60</f>
        <v xml:space="preserve">CPA Pago Operaciones Locales BCI OP 648 </v>
      </c>
      <c r="BE61" s="13"/>
      <c r="BF61" s="18">
        <f>BE60</f>
        <v>0</v>
      </c>
      <c r="BN61" s="11"/>
      <c r="BO61" s="12">
        <v>110208</v>
      </c>
      <c r="BP61" s="12" t="s">
        <v>46</v>
      </c>
      <c r="BQ61" s="12" t="str">
        <f t="shared" ref="BQ61" si="545">BQ60</f>
        <v xml:space="preserve">CPA Fondeo BCI OP 648 a BCI ADM 656 </v>
      </c>
      <c r="BR61" s="13"/>
      <c r="BS61" s="18">
        <f t="shared" ref="BS61" si="546">BR60</f>
        <v>78000000</v>
      </c>
      <c r="CA61" s="11"/>
      <c r="CB61" s="12">
        <v>110608</v>
      </c>
      <c r="CC61" s="12" t="s">
        <v>146</v>
      </c>
      <c r="CD61" s="12" t="str">
        <f t="shared" ref="CD61" si="547">CD60</f>
        <v>CPA LIQ CORRESPONSAL GC BCI 648</v>
      </c>
      <c r="CE61" s="13"/>
      <c r="CF61" s="18">
        <f t="shared" ref="CF61" si="548">CE60</f>
        <v>252684489</v>
      </c>
      <c r="CN61" s="11"/>
      <c r="CO61" s="12">
        <v>110208</v>
      </c>
      <c r="CP61" s="12" t="s">
        <v>46</v>
      </c>
      <c r="CQ61" s="12" t="str">
        <f t="shared" ref="CQ61" si="549">CQ60</f>
        <v>CPA LIQ CORRESPONSAL GC BCI 648</v>
      </c>
      <c r="CR61" s="13"/>
      <c r="CS61" s="18">
        <f t="shared" ref="CS61" si="550">CR60</f>
        <v>0</v>
      </c>
    </row>
    <row r="62" spans="5:97" x14ac:dyDescent="0.25">
      <c r="E62" s="15" t="s">
        <v>143</v>
      </c>
      <c r="F62" s="8">
        <v>110208</v>
      </c>
      <c r="G62" s="8" t="s">
        <v>46</v>
      </c>
      <c r="H62" s="8" t="str">
        <f t="shared" ref="H62" si="551">"CPA Recaudación Clientes BCI OP 648 "</f>
        <v xml:space="preserve">CPA Recaudación Clientes BCI OP 648 </v>
      </c>
      <c r="I62" s="16">
        <f>+B32</f>
        <v>0</v>
      </c>
      <c r="J62" s="17"/>
      <c r="Q62" s="15" t="s">
        <v>143</v>
      </c>
      <c r="R62" s="8">
        <v>110208</v>
      </c>
      <c r="S62" s="8" t="s">
        <v>46</v>
      </c>
      <c r="T62" s="8" t="str">
        <f t="shared" ref="T62" si="552">"CPA Abonos operaciones rechazadas BCI OP 648 "</f>
        <v xml:space="preserve">CPA Abonos operaciones rechazadas BCI OP 648 </v>
      </c>
      <c r="U62" s="16">
        <f>+N32</f>
        <v>0</v>
      </c>
      <c r="V62" s="17"/>
      <c r="AC62" s="15" t="s">
        <v>143</v>
      </c>
      <c r="AD62" s="8">
        <v>110208</v>
      </c>
      <c r="AE62" s="8" t="s">
        <v>46</v>
      </c>
      <c r="AF62" s="8" t="str">
        <f t="shared" ref="AF62" si="553">"CPA Fondeo BCI ADM 656 a BCI OP 648 "</f>
        <v xml:space="preserve">CPA Fondeo BCI ADM 656 a BCI OP 648 </v>
      </c>
      <c r="AG62" s="16">
        <f>+Z32</f>
        <v>0</v>
      </c>
      <c r="AH62" s="17"/>
      <c r="AO62" s="15" t="s">
        <v>143</v>
      </c>
      <c r="AP62" s="8">
        <v>110204</v>
      </c>
      <c r="AQ62" s="8" t="s">
        <v>51</v>
      </c>
      <c r="AR62" s="8" t="str">
        <f t="shared" ref="AR62" si="554">"CPA Traspaso de Fondos Bco. BCI 648 a Bco. BICE "</f>
        <v xml:space="preserve">CPA Traspaso de Fondos Bco. BCI 648 a Bco. BICE </v>
      </c>
      <c r="AS62" s="16">
        <f>+AL32</f>
        <v>0</v>
      </c>
      <c r="AT62" s="17"/>
      <c r="BA62" s="15" t="s">
        <v>143</v>
      </c>
      <c r="BB62" s="8">
        <v>211101</v>
      </c>
      <c r="BC62" s="8" t="s">
        <v>18</v>
      </c>
      <c r="BD62" s="8" t="str">
        <f t="shared" ref="BD62" si="555">"CPA Pago Operaciones Locales BCI OP 648 "</f>
        <v xml:space="preserve">CPA Pago Operaciones Locales BCI OP 648 </v>
      </c>
      <c r="BE62" s="16">
        <f>+AX32</f>
        <v>0</v>
      </c>
      <c r="BF62" s="17"/>
      <c r="BN62" s="15" t="s">
        <v>143</v>
      </c>
      <c r="BO62" s="8">
        <v>110209</v>
      </c>
      <c r="BP62" s="8" t="s">
        <v>55</v>
      </c>
      <c r="BQ62" s="8" t="str">
        <f t="shared" ref="BQ62" si="556">"CPA Fondeo BCI OP 648 a BCI ADM 656 "</f>
        <v xml:space="preserve">CPA Fondeo BCI OP 648 a BCI ADM 656 </v>
      </c>
      <c r="BR62" s="16">
        <f>+BK32</f>
        <v>0</v>
      </c>
      <c r="BS62" s="17"/>
      <c r="CA62" s="15" t="s">
        <v>143</v>
      </c>
      <c r="CB62" s="8">
        <v>110208</v>
      </c>
      <c r="CC62" s="8" t="s">
        <v>46</v>
      </c>
      <c r="CD62" s="8" t="str">
        <f t="shared" ref="CD62" si="557">"CPA LIQ CORRESPONSAL GC BCI 648"</f>
        <v>CPA LIQ CORRESPONSAL GC BCI 648</v>
      </c>
      <c r="CE62" s="16">
        <f>+BX32</f>
        <v>0</v>
      </c>
      <c r="CF62" s="17"/>
      <c r="CN62" s="15" t="s">
        <v>143</v>
      </c>
      <c r="CO62" s="8">
        <v>110608</v>
      </c>
      <c r="CP62" s="8" t="s">
        <v>146</v>
      </c>
      <c r="CQ62" s="8" t="str">
        <f t="shared" ref="CQ62" si="558">"CPA LIQ CORRESPONSAL GC BCI 648"</f>
        <v>CPA LIQ CORRESPONSAL GC BCI 648</v>
      </c>
      <c r="CR62" s="16">
        <f>+CK32</f>
        <v>0</v>
      </c>
      <c r="CS62" s="17"/>
    </row>
    <row r="63" spans="5:97" x14ac:dyDescent="0.25">
      <c r="E63" s="11"/>
      <c r="F63" s="12">
        <v>211101</v>
      </c>
      <c r="G63" s="12" t="s">
        <v>18</v>
      </c>
      <c r="H63" s="12" t="str">
        <f t="shared" ref="H63" si="559">H62</f>
        <v xml:space="preserve">CPA Recaudación Clientes BCI OP 648 </v>
      </c>
      <c r="I63" s="13"/>
      <c r="J63" s="18">
        <f>I62</f>
        <v>0</v>
      </c>
      <c r="Q63" s="11"/>
      <c r="R63" s="12">
        <v>211101</v>
      </c>
      <c r="S63" s="12" t="s">
        <v>18</v>
      </c>
      <c r="T63" s="12" t="str">
        <f t="shared" ref="T63" si="560">T62</f>
        <v xml:space="preserve">CPA Abonos operaciones rechazadas BCI OP 648 </v>
      </c>
      <c r="U63" s="13"/>
      <c r="V63" s="18">
        <f>U62</f>
        <v>0</v>
      </c>
      <c r="AC63" s="11"/>
      <c r="AD63" s="12">
        <v>110209</v>
      </c>
      <c r="AE63" s="12" t="s">
        <v>55</v>
      </c>
      <c r="AF63" s="12" t="str">
        <f t="shared" ref="AF63" si="561">AF62</f>
        <v xml:space="preserve">CPA Fondeo BCI ADM 656 a BCI OP 648 </v>
      </c>
      <c r="AG63" s="13"/>
      <c r="AH63" s="18">
        <f>AG62</f>
        <v>0</v>
      </c>
      <c r="AO63" s="11"/>
      <c r="AP63" s="12">
        <v>110208</v>
      </c>
      <c r="AQ63" s="12" t="s">
        <v>46</v>
      </c>
      <c r="AR63" s="12" t="str">
        <f t="shared" ref="AR63" si="562">AR62</f>
        <v xml:space="preserve">CPA Traspaso de Fondos Bco. BCI 648 a Bco. BICE </v>
      </c>
      <c r="AS63" s="13"/>
      <c r="AT63" s="18">
        <f>AS62</f>
        <v>0</v>
      </c>
      <c r="BA63" s="11"/>
      <c r="BB63" s="12">
        <v>110208</v>
      </c>
      <c r="BC63" s="12" t="s">
        <v>46</v>
      </c>
      <c r="BD63" s="12" t="str">
        <f t="shared" ref="BD63" si="563">BD62</f>
        <v xml:space="preserve">CPA Pago Operaciones Locales BCI OP 648 </v>
      </c>
      <c r="BE63" s="13"/>
      <c r="BF63" s="18">
        <f>BE62</f>
        <v>0</v>
      </c>
      <c r="BN63" s="11"/>
      <c r="BO63" s="12">
        <v>110208</v>
      </c>
      <c r="BP63" s="12" t="s">
        <v>46</v>
      </c>
      <c r="BQ63" s="12" t="str">
        <f t="shared" ref="BQ63" si="564">BQ62</f>
        <v xml:space="preserve">CPA Fondeo BCI OP 648 a BCI ADM 656 </v>
      </c>
      <c r="BR63" s="13"/>
      <c r="BS63" s="18">
        <f t="shared" ref="BS63" si="565">BR62</f>
        <v>0</v>
      </c>
      <c r="CA63" s="11"/>
      <c r="CB63" s="12">
        <v>110608</v>
      </c>
      <c r="CC63" s="12" t="s">
        <v>146</v>
      </c>
      <c r="CD63" s="12" t="str">
        <f t="shared" ref="CD63" si="566">CD62</f>
        <v>CPA LIQ CORRESPONSAL GC BCI 648</v>
      </c>
      <c r="CE63" s="13"/>
      <c r="CF63" s="18">
        <f t="shared" ref="CF63" si="567">CE62</f>
        <v>0</v>
      </c>
      <c r="CN63" s="11"/>
      <c r="CO63" s="12">
        <v>110208</v>
      </c>
      <c r="CP63" s="12" t="s">
        <v>46</v>
      </c>
      <c r="CQ63" s="12" t="str">
        <f t="shared" ref="CQ63" si="568">CQ62</f>
        <v>CPA LIQ CORRESPONSAL GC BCI 648</v>
      </c>
      <c r="CR63" s="13"/>
      <c r="CS63" s="18">
        <f t="shared" ref="CS63" si="569">CR62</f>
        <v>0</v>
      </c>
    </row>
  </sheetData>
  <autoFilter ref="CA1:CF63" xr:uid="{5C31DCE1-E603-43AE-8CE6-8987B2944766}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428F1-8873-419C-88A7-D5EEC0FD9004}">
  <dimension ref="A1:BG140"/>
  <sheetViews>
    <sheetView showGridLines="0" topLeftCell="U1" zoomScale="98" zoomScaleNormal="98" workbookViewId="0">
      <selection activeCell="Z2" sqref="Z2:Z32"/>
    </sheetView>
  </sheetViews>
  <sheetFormatPr baseColWidth="10" defaultRowHeight="15" outlineLevelCol="1" x14ac:dyDescent="0.25"/>
  <cols>
    <col min="1" max="1" width="11.5703125" customWidth="1" outlineLevel="1"/>
    <col min="2" max="2" width="13.5703125" customWidth="1" outlineLevel="1"/>
    <col min="3" max="3" width="13.85546875" customWidth="1" outlineLevel="1"/>
    <col min="4" max="6" width="11.42578125" customWidth="1" outlineLevel="1"/>
    <col min="7" max="7" width="23.140625" customWidth="1" outlineLevel="1"/>
    <col min="8" max="9" width="29.85546875" bestFit="1" customWidth="1" outlineLevel="1"/>
    <col min="10" max="11" width="13.5703125" customWidth="1" outlineLevel="1"/>
    <col min="12" max="12" width="12" bestFit="1" customWidth="1"/>
    <col min="14" max="14" width="11.5703125" customWidth="1" outlineLevel="1"/>
    <col min="15" max="15" width="13.5703125" customWidth="1" outlineLevel="1"/>
    <col min="16" max="16" width="12" customWidth="1" outlineLevel="1"/>
    <col min="17" max="19" width="11.42578125" customWidth="1" outlineLevel="1"/>
    <col min="20" max="20" width="23.140625" customWidth="1" outlineLevel="1"/>
    <col min="21" max="21" width="55" customWidth="1" outlineLevel="1"/>
    <col min="22" max="23" width="13.5703125" customWidth="1" outlineLevel="1"/>
    <col min="26" max="26" width="11.5703125" customWidth="1" outlineLevel="1"/>
    <col min="27" max="27" width="13.5703125" customWidth="1" outlineLevel="1"/>
    <col min="28" max="28" width="12" customWidth="1" outlineLevel="1"/>
    <col min="29" max="31" width="11.42578125" customWidth="1" outlineLevel="1"/>
    <col min="32" max="32" width="23.140625" customWidth="1" outlineLevel="1"/>
    <col min="33" max="33" width="33.28515625" bestFit="1" customWidth="1" outlineLevel="1"/>
    <col min="34" max="35" width="13.5703125" customWidth="1" outlineLevel="1"/>
    <col min="38" max="38" width="11.5703125" customWidth="1" outlineLevel="1"/>
    <col min="39" max="39" width="13.5703125" customWidth="1" outlineLevel="1"/>
    <col min="40" max="40" width="12" customWidth="1" outlineLevel="1"/>
    <col min="41" max="43" width="11.42578125" customWidth="1" outlineLevel="1"/>
    <col min="44" max="44" width="23.140625" customWidth="1" outlineLevel="1"/>
    <col min="45" max="45" width="37.140625" customWidth="1" outlineLevel="1"/>
    <col min="46" max="47" width="13.5703125" customWidth="1" outlineLevel="1"/>
    <col min="50" max="50" width="11.5703125" customWidth="1" outlineLevel="1"/>
    <col min="51" max="51" width="13.5703125" customWidth="1" outlineLevel="1"/>
    <col min="52" max="52" width="12" customWidth="1" outlineLevel="1"/>
    <col min="53" max="55" width="11.42578125" customWidth="1" outlineLevel="1"/>
    <col min="56" max="56" width="23.140625" customWidth="1" outlineLevel="1"/>
    <col min="57" max="57" width="47.85546875" customWidth="1" outlineLevel="1"/>
    <col min="58" max="59" width="13.5703125" customWidth="1" outlineLevel="1"/>
  </cols>
  <sheetData>
    <row r="1" spans="1:59" x14ac:dyDescent="0.25">
      <c r="A1" s="4" t="s">
        <v>0</v>
      </c>
      <c r="B1" s="4" t="s">
        <v>53</v>
      </c>
      <c r="C1" t="s">
        <v>54</v>
      </c>
      <c r="E1" s="22" t="s">
        <v>0</v>
      </c>
      <c r="F1" s="23"/>
      <c r="G1" s="23"/>
      <c r="H1" s="23" t="s">
        <v>56</v>
      </c>
      <c r="I1" s="23"/>
      <c r="J1" s="23" t="s">
        <v>5</v>
      </c>
      <c r="K1" s="24" t="s">
        <v>6</v>
      </c>
      <c r="N1" s="4" t="s">
        <v>0</v>
      </c>
      <c r="O1" s="4" t="s">
        <v>27</v>
      </c>
      <c r="P1" s="75"/>
      <c r="R1" s="22" t="s">
        <v>0</v>
      </c>
      <c r="S1" s="23"/>
      <c r="T1" s="23"/>
      <c r="U1" s="23"/>
      <c r="V1" s="23" t="s">
        <v>5</v>
      </c>
      <c r="W1" s="24" t="s">
        <v>6</v>
      </c>
      <c r="Z1" s="4" t="s">
        <v>0</v>
      </c>
      <c r="AA1" s="4" t="s">
        <v>27</v>
      </c>
      <c r="AB1" s="75" t="s">
        <v>109</v>
      </c>
      <c r="AD1" s="22" t="s">
        <v>0</v>
      </c>
      <c r="AE1" s="23"/>
      <c r="AF1" s="23"/>
      <c r="AG1" s="23"/>
      <c r="AH1" s="23" t="s">
        <v>5</v>
      </c>
      <c r="AI1" s="24" t="s">
        <v>6</v>
      </c>
      <c r="AL1" s="4" t="s">
        <v>0</v>
      </c>
      <c r="AM1" s="4" t="s">
        <v>27</v>
      </c>
      <c r="AN1" s="75" t="s">
        <v>50</v>
      </c>
      <c r="AP1" s="22" t="s">
        <v>0</v>
      </c>
      <c r="AQ1" s="23"/>
      <c r="AR1" s="23"/>
      <c r="AS1" s="23"/>
      <c r="AT1" s="23" t="s">
        <v>5</v>
      </c>
      <c r="AU1" s="24" t="s">
        <v>6</v>
      </c>
      <c r="AX1" s="4" t="s">
        <v>0</v>
      </c>
      <c r="AY1" s="4" t="s">
        <v>27</v>
      </c>
      <c r="AZ1" s="75" t="s">
        <v>52</v>
      </c>
      <c r="BB1" s="22" t="s">
        <v>0</v>
      </c>
      <c r="BC1" s="23"/>
      <c r="BD1" s="23"/>
      <c r="BE1" s="23"/>
      <c r="BF1" s="23" t="s">
        <v>5</v>
      </c>
      <c r="BG1" s="24" t="s">
        <v>6</v>
      </c>
    </row>
    <row r="2" spans="1:59" x14ac:dyDescent="0.25">
      <c r="A2" s="1">
        <v>45566</v>
      </c>
      <c r="B2" s="26">
        <f>HLOOKUP(A2,Hoja2!$R$2:$AV$12,11,FALSE)</f>
        <v>0</v>
      </c>
      <c r="C2" s="26">
        <v>0</v>
      </c>
      <c r="E2" s="15">
        <v>45444</v>
      </c>
      <c r="F2" s="8">
        <v>110209</v>
      </c>
      <c r="G2" s="8" t="s">
        <v>127</v>
      </c>
      <c r="H2" s="8" t="str">
        <f>"CPA Recaudación por Transbank "</f>
        <v xml:space="preserve">CPA Recaudación por Transbank </v>
      </c>
      <c r="I2" s="8" t="str">
        <f>"CPA Recaudación por Transbank "</f>
        <v xml:space="preserve">CPA Recaudación por Transbank </v>
      </c>
      <c r="J2" s="16">
        <f>+B2</f>
        <v>0</v>
      </c>
      <c r="K2" s="17"/>
      <c r="L2" s="3"/>
      <c r="N2" s="1">
        <v>45566</v>
      </c>
      <c r="O2" s="26"/>
      <c r="P2" s="3"/>
      <c r="R2" s="15">
        <v>45444</v>
      </c>
      <c r="S2" s="8">
        <v>110608</v>
      </c>
      <c r="T2" s="8" t="s">
        <v>62</v>
      </c>
      <c r="U2" t="str">
        <f>"CPA LIQ CORRESPONSAL "&amp;TEXT(R2,"dd-mm-aaa")</f>
        <v>CPA LIQ CORRESPONSAL 01-06-2024</v>
      </c>
      <c r="V2" s="3">
        <f>+O2</f>
        <v>0</v>
      </c>
      <c r="W2" s="10"/>
      <c r="Z2" s="1">
        <v>45566</v>
      </c>
      <c r="AA2" s="26">
        <f>HLOOKUP(Z2,Hoja2!$R$2:$AV$44,43,FALSE)</f>
        <v>113000000</v>
      </c>
      <c r="AB2" s="3"/>
      <c r="AD2" s="15">
        <v>45444</v>
      </c>
      <c r="AE2" s="8">
        <v>110213</v>
      </c>
      <c r="AF2" s="8" t="s">
        <v>110</v>
      </c>
      <c r="AG2" t="str">
        <f>"CPA Fondeo WALLET CLP "</f>
        <v xml:space="preserve">CPA Fondeo WALLET CLP </v>
      </c>
      <c r="AH2" s="3">
        <f>+AA2</f>
        <v>113000000</v>
      </c>
      <c r="AI2" s="10"/>
      <c r="AL2" s="1">
        <v>45566</v>
      </c>
      <c r="AM2" s="26"/>
      <c r="AN2" s="3"/>
      <c r="AP2" s="15">
        <v>45444</v>
      </c>
      <c r="AQ2">
        <v>110204</v>
      </c>
      <c r="AR2" t="s">
        <v>51</v>
      </c>
      <c r="AS2" t="str">
        <f>"CPA Traspaso de Fondos BICE "&amp;TEXT(AP2,"dd-mm-aaa")</f>
        <v>CPA Traspaso de Fondos BICE 01-06-2024</v>
      </c>
      <c r="AT2" s="3">
        <f>+AM2</f>
        <v>0</v>
      </c>
      <c r="AU2" s="10"/>
      <c r="AX2" s="1">
        <v>45566</v>
      </c>
      <c r="AY2" s="26"/>
      <c r="AZ2" s="3"/>
      <c r="BB2" s="15">
        <v>45444</v>
      </c>
      <c r="BC2" s="8">
        <v>211102</v>
      </c>
      <c r="BD2" s="8" t="s">
        <v>18</v>
      </c>
      <c r="BE2" t="str">
        <f>"CPA Pago Operaciones Locales BCI OP 648 "&amp;TEXT(BB2,"dd-mm-yyy")</f>
        <v>CPA Pago Operaciones Locales BCI OP 648 01-06-yyy</v>
      </c>
      <c r="BF2" s="3">
        <f>+AY2</f>
        <v>0</v>
      </c>
      <c r="BG2" s="10"/>
    </row>
    <row r="3" spans="1:59" x14ac:dyDescent="0.25">
      <c r="A3" s="1">
        <v>45567</v>
      </c>
      <c r="B3" s="26">
        <f>HLOOKUP(A3,Hoja2!$R$2:$AV$12,11,FALSE)</f>
        <v>0</v>
      </c>
      <c r="C3" s="26">
        <v>0</v>
      </c>
      <c r="E3" s="11"/>
      <c r="F3" s="12">
        <v>110260</v>
      </c>
      <c r="G3" s="12" t="s">
        <v>26</v>
      </c>
      <c r="H3" s="12" t="str">
        <f>"CPA Recaudación por Transbank "</f>
        <v xml:space="preserve">CPA Recaudación por Transbank </v>
      </c>
      <c r="I3" s="12" t="str">
        <f>+I2</f>
        <v xml:space="preserve">CPA Recaudación por Transbank </v>
      </c>
      <c r="J3" s="13"/>
      <c r="K3" s="18">
        <f>J2</f>
        <v>0</v>
      </c>
      <c r="N3" s="1">
        <v>45567</v>
      </c>
      <c r="O3" s="26"/>
      <c r="R3" s="11"/>
      <c r="S3" s="12">
        <v>110209</v>
      </c>
      <c r="T3" s="12" t="s">
        <v>127</v>
      </c>
      <c r="U3" s="12" t="str">
        <f>U2</f>
        <v>CPA LIQ CORRESPONSAL 01-06-2024</v>
      </c>
      <c r="V3" s="13"/>
      <c r="W3" s="18">
        <f>V2</f>
        <v>0</v>
      </c>
      <c r="Z3" s="1">
        <v>45567</v>
      </c>
      <c r="AA3" s="26">
        <f>HLOOKUP(Z3,Hoja2!$R$2:$AV$44,43,FALSE)</f>
        <v>0</v>
      </c>
      <c r="AD3" s="11"/>
      <c r="AE3" s="12">
        <v>110209</v>
      </c>
      <c r="AF3" s="12" t="s">
        <v>127</v>
      </c>
      <c r="AG3" s="12" t="str">
        <f>AG2</f>
        <v xml:space="preserve">CPA Fondeo WALLET CLP </v>
      </c>
      <c r="AH3" s="13"/>
      <c r="AI3" s="18">
        <f>AH2</f>
        <v>113000000</v>
      </c>
      <c r="AL3" s="1">
        <v>45567</v>
      </c>
      <c r="AM3" s="26"/>
      <c r="AP3" s="11"/>
      <c r="AQ3" s="12">
        <v>110208</v>
      </c>
      <c r="AR3" s="12" t="s">
        <v>128</v>
      </c>
      <c r="AS3" s="12" t="str">
        <f>AS2</f>
        <v>CPA Traspaso de Fondos BICE 01-06-2024</v>
      </c>
      <c r="AT3" s="13"/>
      <c r="AU3" s="18">
        <f>AT2</f>
        <v>0</v>
      </c>
      <c r="AX3" s="1">
        <v>45567</v>
      </c>
      <c r="AY3" s="26"/>
      <c r="BB3" s="11"/>
      <c r="BC3" s="12">
        <v>110208</v>
      </c>
      <c r="BD3" s="12" t="s">
        <v>128</v>
      </c>
      <c r="BE3" s="12" t="str">
        <f>BE2</f>
        <v>CPA Pago Operaciones Locales BCI OP 648 01-06-yyy</v>
      </c>
      <c r="BF3" s="13"/>
      <c r="BG3" s="18">
        <f>BF2</f>
        <v>0</v>
      </c>
    </row>
    <row r="4" spans="1:59" x14ac:dyDescent="0.25">
      <c r="A4" s="1">
        <v>45568</v>
      </c>
      <c r="B4" s="26">
        <f>HLOOKUP(A4,Hoja2!$R$2:$AV$12,11,FALSE)</f>
        <v>0</v>
      </c>
      <c r="C4" s="26">
        <f>HLOOKUP(A4,Hoja2!$R$2:$AV$13,12,FALSE)</f>
        <v>0</v>
      </c>
      <c r="E4" s="15">
        <v>45445</v>
      </c>
      <c r="F4" s="8">
        <v>110209</v>
      </c>
      <c r="G4" s="8" t="s">
        <v>127</v>
      </c>
      <c r="H4" s="8" t="str">
        <f t="shared" ref="H4:I63" si="0">"CPA Recaudación por Transbank "</f>
        <v xml:space="preserve">CPA Recaudación por Transbank </v>
      </c>
      <c r="I4" s="8" t="str">
        <f t="shared" si="0"/>
        <v xml:space="preserve">CPA Recaudación por Transbank </v>
      </c>
      <c r="J4" s="16">
        <f>+B3</f>
        <v>0</v>
      </c>
      <c r="K4" s="17"/>
      <c r="N4" s="1">
        <v>45568</v>
      </c>
      <c r="O4" s="26"/>
      <c r="R4" s="15">
        <v>45445</v>
      </c>
      <c r="S4" s="8">
        <v>110608</v>
      </c>
      <c r="T4" s="8" t="s">
        <v>62</v>
      </c>
      <c r="U4" s="8" t="str">
        <f>"CPA LIQ CORRESPONSAL "&amp;TEXT(R4,"dd-mm-aaa")</f>
        <v>CPA LIQ CORRESPONSAL 02-06-2024</v>
      </c>
      <c r="V4" s="16">
        <f>+O3</f>
        <v>0</v>
      </c>
      <c r="W4" s="17"/>
      <c r="Z4" s="1">
        <v>45568</v>
      </c>
      <c r="AA4" s="26">
        <f>HLOOKUP(Z4,Hoja2!$R$2:$AV$44,43,FALSE)</f>
        <v>0</v>
      </c>
      <c r="AD4" s="15">
        <v>45445</v>
      </c>
      <c r="AE4" s="8">
        <v>110213</v>
      </c>
      <c r="AF4" s="8" t="s">
        <v>110</v>
      </c>
      <c r="AG4" t="str">
        <f>"CPA Fondeo WALLET CLP "</f>
        <v xml:space="preserve">CPA Fondeo WALLET CLP </v>
      </c>
      <c r="AH4" s="16">
        <f>+AA3</f>
        <v>0</v>
      </c>
      <c r="AI4" s="17"/>
      <c r="AL4" s="1">
        <v>45568</v>
      </c>
      <c r="AM4" s="26"/>
      <c r="AP4" s="15">
        <v>45445</v>
      </c>
      <c r="AQ4" s="8">
        <v>110204</v>
      </c>
      <c r="AR4" s="8" t="s">
        <v>51</v>
      </c>
      <c r="AS4" s="8" t="str">
        <f>"CPA Traspaso de Fondos BICE "&amp;TEXT(AP4,"dd-mm-aaa")</f>
        <v>CPA Traspaso de Fondos BICE 02-06-2024</v>
      </c>
      <c r="AT4" s="16">
        <f>+AM3</f>
        <v>0</v>
      </c>
      <c r="AU4" s="17"/>
      <c r="AX4" s="1">
        <v>45568</v>
      </c>
      <c r="AY4" s="26"/>
      <c r="BB4" s="15">
        <v>45445</v>
      </c>
      <c r="BC4" s="8">
        <v>211102</v>
      </c>
      <c r="BD4" s="8" t="s">
        <v>18</v>
      </c>
      <c r="BE4" s="8" t="str">
        <f>"CPA Pago Operaciones Locales BCI OP 648 "&amp;TEXT(BB4,"dd-mm-yyy")</f>
        <v>CPA Pago Operaciones Locales BCI OP 648 02-06-yyy</v>
      </c>
      <c r="BF4" s="16">
        <f>+AY3</f>
        <v>0</v>
      </c>
      <c r="BG4" s="17"/>
    </row>
    <row r="5" spans="1:59" x14ac:dyDescent="0.25">
      <c r="A5" s="1">
        <v>45569</v>
      </c>
      <c r="B5" s="26">
        <f>HLOOKUP(A5,Hoja2!$R$2:$AV$12,11,FALSE)</f>
        <v>0</v>
      </c>
      <c r="C5" s="26">
        <f>HLOOKUP(A5,Hoja2!$R$2:$AV$13,12,FALSE)</f>
        <v>0</v>
      </c>
      <c r="E5" s="11"/>
      <c r="F5" s="12">
        <v>110260</v>
      </c>
      <c r="G5" s="12" t="s">
        <v>26</v>
      </c>
      <c r="H5" s="12" t="str">
        <f t="shared" si="0"/>
        <v xml:space="preserve">CPA Recaudación por Transbank </v>
      </c>
      <c r="I5" s="12" t="str">
        <f t="shared" ref="I5" si="1">+I4</f>
        <v xml:space="preserve">CPA Recaudación por Transbank </v>
      </c>
      <c r="J5" s="13"/>
      <c r="K5" s="18">
        <f>J4</f>
        <v>0</v>
      </c>
      <c r="N5" s="1">
        <v>45569</v>
      </c>
      <c r="O5" s="26"/>
      <c r="R5" s="11"/>
      <c r="S5" s="12">
        <v>110209</v>
      </c>
      <c r="T5" s="12" t="s">
        <v>127</v>
      </c>
      <c r="U5" s="12" t="str">
        <f>U4</f>
        <v>CPA LIQ CORRESPONSAL 02-06-2024</v>
      </c>
      <c r="V5" s="13"/>
      <c r="W5" s="18">
        <f t="shared" ref="W5" si="2">V4</f>
        <v>0</v>
      </c>
      <c r="Z5" s="1">
        <v>45569</v>
      </c>
      <c r="AA5" s="26">
        <f>HLOOKUP(Z5,Hoja2!$R$2:$AV$44,43,FALSE)</f>
        <v>0</v>
      </c>
      <c r="AD5" s="11"/>
      <c r="AE5" s="12">
        <v>110209</v>
      </c>
      <c r="AF5" s="12" t="s">
        <v>127</v>
      </c>
      <c r="AG5" s="12" t="str">
        <f t="shared" ref="AG5" si="3">AG4</f>
        <v xml:space="preserve">CPA Fondeo WALLET CLP </v>
      </c>
      <c r="AH5" s="13"/>
      <c r="AI5" s="18">
        <f t="shared" ref="AI5" si="4">AH4</f>
        <v>0</v>
      </c>
      <c r="AL5" s="1">
        <v>45569</v>
      </c>
      <c r="AM5" s="26"/>
      <c r="AP5" s="11"/>
      <c r="AQ5" s="12">
        <v>110208</v>
      </c>
      <c r="AR5" s="12" t="s">
        <v>128</v>
      </c>
      <c r="AS5" s="12" t="str">
        <f>AS4</f>
        <v>CPA Traspaso de Fondos BICE 02-06-2024</v>
      </c>
      <c r="AT5" s="13"/>
      <c r="AU5" s="18">
        <f t="shared" ref="AU5" si="5">AT4</f>
        <v>0</v>
      </c>
      <c r="AX5" s="1">
        <v>45569</v>
      </c>
      <c r="AY5" s="26"/>
      <c r="BB5" s="11"/>
      <c r="BC5" s="12">
        <v>110208</v>
      </c>
      <c r="BD5" s="12" t="s">
        <v>128</v>
      </c>
      <c r="BE5" s="12" t="str">
        <f>BE4</f>
        <v>CPA Pago Operaciones Locales BCI OP 648 02-06-yyy</v>
      </c>
      <c r="BF5" s="13"/>
      <c r="BG5" s="18">
        <f t="shared" ref="BG5" si="6">BF4</f>
        <v>0</v>
      </c>
    </row>
    <row r="6" spans="1:59" x14ac:dyDescent="0.25">
      <c r="A6" s="1">
        <v>45570</v>
      </c>
      <c r="B6" s="26">
        <f>HLOOKUP(A6,Hoja2!$R$2:$AV$12,11,FALSE)</f>
        <v>0</v>
      </c>
      <c r="C6" s="26">
        <f>HLOOKUP(A6,Hoja2!$R$2:$AV$13,12,FALSE)</f>
        <v>0</v>
      </c>
      <c r="E6" s="15">
        <v>45446</v>
      </c>
      <c r="F6" s="8">
        <v>110209</v>
      </c>
      <c r="G6" s="8" t="s">
        <v>127</v>
      </c>
      <c r="H6" s="8" t="str">
        <f t="shared" si="0"/>
        <v xml:space="preserve">CPA Recaudación por Transbank </v>
      </c>
      <c r="I6" s="8" t="str">
        <f t="shared" si="0"/>
        <v xml:space="preserve">CPA Recaudación por Transbank </v>
      </c>
      <c r="J6" s="16">
        <f>+B4</f>
        <v>0</v>
      </c>
      <c r="K6" s="17"/>
      <c r="L6" s="3"/>
      <c r="N6" s="1">
        <v>45570</v>
      </c>
      <c r="O6" s="26"/>
      <c r="R6" s="15">
        <v>45446</v>
      </c>
      <c r="S6" s="8">
        <v>110608</v>
      </c>
      <c r="T6" s="8" t="s">
        <v>62</v>
      </c>
      <c r="U6" s="8" t="str">
        <f>"CPA LIQ CORRESPONSAL "&amp;TEXT(R6,"dd-mm-aaa")</f>
        <v>CPA LIQ CORRESPONSAL 03-06-2024</v>
      </c>
      <c r="V6" s="16">
        <f>+O4</f>
        <v>0</v>
      </c>
      <c r="W6" s="17"/>
      <c r="Z6" s="1">
        <v>45570</v>
      </c>
      <c r="AA6" s="26">
        <f>HLOOKUP(Z6,Hoja2!$R$2:$AV$44,43,FALSE)</f>
        <v>0</v>
      </c>
      <c r="AD6" s="15">
        <v>45446</v>
      </c>
      <c r="AE6" s="8">
        <v>110213</v>
      </c>
      <c r="AF6" s="8" t="s">
        <v>110</v>
      </c>
      <c r="AG6" t="str">
        <f>"CPA Fondeo WALLET CLP "</f>
        <v xml:space="preserve">CPA Fondeo WALLET CLP </v>
      </c>
      <c r="AH6" s="16">
        <f>+AA4</f>
        <v>0</v>
      </c>
      <c r="AI6" s="17"/>
      <c r="AL6" s="1">
        <v>45570</v>
      </c>
      <c r="AM6" s="26"/>
      <c r="AP6" s="15">
        <v>45446</v>
      </c>
      <c r="AQ6" s="8">
        <v>110204</v>
      </c>
      <c r="AR6" s="8" t="s">
        <v>51</v>
      </c>
      <c r="AS6" s="8" t="str">
        <f>"CPA Traspaso de Fondos BICE "&amp;TEXT(AP6,"dd-mm-aaa")</f>
        <v>CPA Traspaso de Fondos BICE 03-06-2024</v>
      </c>
      <c r="AT6" s="16">
        <f>+AM4</f>
        <v>0</v>
      </c>
      <c r="AU6" s="17"/>
      <c r="AX6" s="1">
        <v>45570</v>
      </c>
      <c r="AY6" s="26"/>
      <c r="BB6" s="15">
        <v>45446</v>
      </c>
      <c r="BC6" s="8">
        <v>211102</v>
      </c>
      <c r="BD6" s="8" t="s">
        <v>18</v>
      </c>
      <c r="BE6" s="8" t="str">
        <f>"CPA Pago Operaciones Locales BCI OP 648 "&amp;TEXT(BB6,"dd-mm-yyy")</f>
        <v>CPA Pago Operaciones Locales BCI OP 648 03-06-yyy</v>
      </c>
      <c r="BF6" s="16">
        <f>+AY4</f>
        <v>0</v>
      </c>
      <c r="BG6" s="17"/>
    </row>
    <row r="7" spans="1:59" x14ac:dyDescent="0.25">
      <c r="A7" s="1">
        <v>45571</v>
      </c>
      <c r="B7" s="26">
        <f>HLOOKUP(A7,Hoja2!$R$2:$AV$12,11,FALSE)</f>
        <v>0</v>
      </c>
      <c r="C7" s="26">
        <f>HLOOKUP(A7,Hoja2!$R$2:$AV$13,12,FALSE)</f>
        <v>0</v>
      </c>
      <c r="E7" s="11"/>
      <c r="F7" s="12">
        <v>110260</v>
      </c>
      <c r="G7" s="12" t="s">
        <v>26</v>
      </c>
      <c r="H7" s="12" t="str">
        <f t="shared" si="0"/>
        <v xml:space="preserve">CPA Recaudación por Transbank </v>
      </c>
      <c r="I7" s="12" t="str">
        <f t="shared" ref="I7" si="7">+I6</f>
        <v xml:space="preserve">CPA Recaudación por Transbank </v>
      </c>
      <c r="J7" s="13"/>
      <c r="K7" s="18">
        <f>J6</f>
        <v>0</v>
      </c>
      <c r="N7" s="1">
        <v>45571</v>
      </c>
      <c r="O7" s="26"/>
      <c r="R7" s="11"/>
      <c r="S7" s="12">
        <v>110209</v>
      </c>
      <c r="T7" s="12" t="s">
        <v>127</v>
      </c>
      <c r="U7" s="12" t="str">
        <f>U6</f>
        <v>CPA LIQ CORRESPONSAL 03-06-2024</v>
      </c>
      <c r="V7" s="13"/>
      <c r="W7" s="18">
        <f>V6</f>
        <v>0</v>
      </c>
      <c r="Z7" s="1">
        <v>45571</v>
      </c>
      <c r="AA7" s="26">
        <f>HLOOKUP(Z7,Hoja2!$R$2:$AV$44,43,FALSE)</f>
        <v>0</v>
      </c>
      <c r="AD7" s="11"/>
      <c r="AE7" s="12">
        <v>110209</v>
      </c>
      <c r="AF7" s="12" t="s">
        <v>127</v>
      </c>
      <c r="AG7" s="12" t="str">
        <f t="shared" ref="AG7" si="8">AG6</f>
        <v xml:space="preserve">CPA Fondeo WALLET CLP </v>
      </c>
      <c r="AH7" s="13"/>
      <c r="AI7" s="18">
        <f>AH6</f>
        <v>0</v>
      </c>
      <c r="AL7" s="1">
        <v>45571</v>
      </c>
      <c r="AM7" s="26"/>
      <c r="AP7" s="11"/>
      <c r="AQ7" s="12">
        <v>110208</v>
      </c>
      <c r="AR7" s="12" t="s">
        <v>128</v>
      </c>
      <c r="AS7" s="12" t="str">
        <f>AS6</f>
        <v>CPA Traspaso de Fondos BICE 03-06-2024</v>
      </c>
      <c r="AT7" s="13"/>
      <c r="AU7" s="18">
        <f>AT6</f>
        <v>0</v>
      </c>
      <c r="AX7" s="1">
        <v>45571</v>
      </c>
      <c r="AY7" s="26"/>
      <c r="BB7" s="11"/>
      <c r="BC7" s="12">
        <v>110208</v>
      </c>
      <c r="BD7" s="12" t="s">
        <v>128</v>
      </c>
      <c r="BE7" s="12" t="str">
        <f>BE6</f>
        <v>CPA Pago Operaciones Locales BCI OP 648 03-06-yyy</v>
      </c>
      <c r="BF7" s="13"/>
      <c r="BG7" s="18">
        <f>BF6</f>
        <v>0</v>
      </c>
    </row>
    <row r="8" spans="1:59" x14ac:dyDescent="0.25">
      <c r="A8" s="1">
        <v>45572</v>
      </c>
      <c r="B8" s="26">
        <f>HLOOKUP(A8,Hoja2!$R$2:$AV$12,11,FALSE)</f>
        <v>0</v>
      </c>
      <c r="C8" s="26">
        <f>HLOOKUP(A8,Hoja2!$R$2:$AV$13,12,FALSE)</f>
        <v>0</v>
      </c>
      <c r="E8" s="15">
        <v>45447</v>
      </c>
      <c r="F8" s="8">
        <v>110209</v>
      </c>
      <c r="G8" s="8" t="s">
        <v>127</v>
      </c>
      <c r="H8" s="8" t="str">
        <f t="shared" si="0"/>
        <v xml:space="preserve">CPA Recaudación por Transbank </v>
      </c>
      <c r="I8" s="8" t="str">
        <f t="shared" si="0"/>
        <v xml:space="preserve">CPA Recaudación por Transbank </v>
      </c>
      <c r="J8" s="16">
        <f>+B5</f>
        <v>0</v>
      </c>
      <c r="K8" s="17"/>
      <c r="L8" s="3"/>
      <c r="N8" s="1">
        <v>45572</v>
      </c>
      <c r="O8" s="26"/>
      <c r="R8" s="15">
        <v>45447</v>
      </c>
      <c r="S8" s="8">
        <v>110608</v>
      </c>
      <c r="T8" s="8" t="s">
        <v>62</v>
      </c>
      <c r="U8" s="8" t="str">
        <f>"CPA LIQ CORRESPONSAL "&amp;TEXT(R8,"dd-mm-aaa")</f>
        <v>CPA LIQ CORRESPONSAL 04-06-2024</v>
      </c>
      <c r="V8" s="16">
        <f>+O5</f>
        <v>0</v>
      </c>
      <c r="W8" s="17"/>
      <c r="Z8" s="1">
        <v>45572</v>
      </c>
      <c r="AA8" s="26">
        <f>HLOOKUP(Z8,Hoja2!$R$2:$AV$44,43,FALSE)</f>
        <v>0</v>
      </c>
      <c r="AD8" s="15">
        <v>45447</v>
      </c>
      <c r="AE8" s="8">
        <v>110213</v>
      </c>
      <c r="AF8" s="8" t="s">
        <v>110</v>
      </c>
      <c r="AG8" t="str">
        <f>"CPA Fondeo WALLET CLP "</f>
        <v xml:space="preserve">CPA Fondeo WALLET CLP </v>
      </c>
      <c r="AH8" s="16">
        <f>+AA5</f>
        <v>0</v>
      </c>
      <c r="AI8" s="17"/>
      <c r="AL8" s="1">
        <v>45572</v>
      </c>
      <c r="AM8" s="26"/>
      <c r="AP8" s="15">
        <v>45447</v>
      </c>
      <c r="AQ8" s="8">
        <v>110204</v>
      </c>
      <c r="AR8" s="8" t="s">
        <v>51</v>
      </c>
      <c r="AS8" s="8" t="str">
        <f>"CPA Traspaso de Fondos BICE "&amp;TEXT(AP8,"dd-mm-aaa")</f>
        <v>CPA Traspaso de Fondos BICE 04-06-2024</v>
      </c>
      <c r="AT8" s="16">
        <f>+AM5</f>
        <v>0</v>
      </c>
      <c r="AU8" s="17"/>
      <c r="AX8" s="1">
        <v>45572</v>
      </c>
      <c r="AY8" s="26"/>
      <c r="BB8" s="15">
        <v>45447</v>
      </c>
      <c r="BC8" s="8">
        <v>211102</v>
      </c>
      <c r="BD8" s="8" t="s">
        <v>18</v>
      </c>
      <c r="BE8" s="8" t="str">
        <f>"CPA Pago Operaciones Locales BCI OP 648 "&amp;TEXT(BB8,"dd-mm-yyy")</f>
        <v>CPA Pago Operaciones Locales BCI OP 648 04-06-yyy</v>
      </c>
      <c r="BF8" s="16">
        <f>+AY5</f>
        <v>0</v>
      </c>
      <c r="BG8" s="17"/>
    </row>
    <row r="9" spans="1:59" x14ac:dyDescent="0.25">
      <c r="A9" s="1">
        <v>45573</v>
      </c>
      <c r="B9" s="26">
        <f>HLOOKUP(A9,Hoja2!$R$2:$AV$12,11,FALSE)</f>
        <v>0</v>
      </c>
      <c r="C9" s="26">
        <v>0</v>
      </c>
      <c r="E9" s="11"/>
      <c r="F9" s="12">
        <v>110260</v>
      </c>
      <c r="G9" s="12" t="s">
        <v>26</v>
      </c>
      <c r="H9" s="12" t="str">
        <f t="shared" si="0"/>
        <v xml:space="preserve">CPA Recaudación por Transbank </v>
      </c>
      <c r="I9" s="12" t="str">
        <f t="shared" ref="I9" si="9">+I8</f>
        <v xml:space="preserve">CPA Recaudación por Transbank </v>
      </c>
      <c r="J9" s="13"/>
      <c r="K9" s="18">
        <f>J8</f>
        <v>0</v>
      </c>
      <c r="N9" s="1">
        <v>45573</v>
      </c>
      <c r="O9" s="26"/>
      <c r="R9" s="11"/>
      <c r="S9" s="12">
        <v>110209</v>
      </c>
      <c r="T9" s="12" t="s">
        <v>127</v>
      </c>
      <c r="U9" t="str">
        <f t="shared" ref="U9" si="10">U8</f>
        <v>CPA LIQ CORRESPONSAL 04-06-2024</v>
      </c>
      <c r="W9" s="10">
        <f t="shared" ref="W9" si="11">V8</f>
        <v>0</v>
      </c>
      <c r="Z9" s="1">
        <v>45573</v>
      </c>
      <c r="AA9" s="26">
        <f>HLOOKUP(Z9,Hoja2!$R$2:$AV$44,43,FALSE)</f>
        <v>0</v>
      </c>
      <c r="AD9" s="11"/>
      <c r="AE9" s="12">
        <v>110209</v>
      </c>
      <c r="AF9" s="12" t="s">
        <v>127</v>
      </c>
      <c r="AG9" s="12" t="str">
        <f t="shared" ref="AG9" si="12">AG8</f>
        <v xml:space="preserve">CPA Fondeo WALLET CLP </v>
      </c>
      <c r="AI9" s="10">
        <f t="shared" ref="AI9" si="13">AH8</f>
        <v>0</v>
      </c>
      <c r="AL9" s="1">
        <v>45573</v>
      </c>
      <c r="AM9" s="26"/>
      <c r="AP9" s="11"/>
      <c r="AQ9">
        <v>110208</v>
      </c>
      <c r="AR9" t="s">
        <v>128</v>
      </c>
      <c r="AS9" t="str">
        <f t="shared" ref="AS9" si="14">AS8</f>
        <v>CPA Traspaso de Fondos BICE 04-06-2024</v>
      </c>
      <c r="AU9" s="10">
        <f t="shared" ref="AU9" si="15">AT8</f>
        <v>0</v>
      </c>
      <c r="AX9" s="1">
        <v>45573</v>
      </c>
      <c r="AY9" s="26"/>
      <c r="BB9" s="11"/>
      <c r="BC9">
        <v>110208</v>
      </c>
      <c r="BD9" t="s">
        <v>128</v>
      </c>
      <c r="BE9" t="str">
        <f t="shared" ref="BE9" si="16">BE8</f>
        <v>CPA Pago Operaciones Locales BCI OP 648 04-06-yyy</v>
      </c>
      <c r="BG9" s="10">
        <f t="shared" ref="BG9" si="17">BF8</f>
        <v>0</v>
      </c>
    </row>
    <row r="10" spans="1:59" x14ac:dyDescent="0.25">
      <c r="A10" s="1">
        <v>45574</v>
      </c>
      <c r="B10" s="26">
        <f>HLOOKUP(A10,Hoja2!$R$2:$AV$12,11,FALSE)</f>
        <v>0</v>
      </c>
      <c r="C10" s="26">
        <v>0</v>
      </c>
      <c r="E10" s="15">
        <v>45448</v>
      </c>
      <c r="F10" s="8">
        <v>110209</v>
      </c>
      <c r="G10" s="8" t="s">
        <v>127</v>
      </c>
      <c r="H10" s="8" t="str">
        <f t="shared" si="0"/>
        <v xml:space="preserve">CPA Recaudación por Transbank </v>
      </c>
      <c r="I10" s="8" t="str">
        <f t="shared" si="0"/>
        <v xml:space="preserve">CPA Recaudación por Transbank </v>
      </c>
      <c r="J10" s="16">
        <f>+B6</f>
        <v>0</v>
      </c>
      <c r="K10" s="17"/>
      <c r="L10" s="3"/>
      <c r="N10" s="1">
        <v>45574</v>
      </c>
      <c r="O10" s="26"/>
      <c r="R10" s="15">
        <v>45448</v>
      </c>
      <c r="S10" s="8">
        <v>110608</v>
      </c>
      <c r="T10" s="8" t="s">
        <v>62</v>
      </c>
      <c r="U10" s="8" t="str">
        <f>"CPA LIQ CORRESPONSAL "&amp;TEXT(R10,"dd-mm-aaa")</f>
        <v>CPA LIQ CORRESPONSAL 05-06-2024</v>
      </c>
      <c r="V10" s="16">
        <f>+O6</f>
        <v>0</v>
      </c>
      <c r="W10" s="17"/>
      <c r="Z10" s="1">
        <v>45574</v>
      </c>
      <c r="AA10" s="26">
        <f>HLOOKUP(Z10,Hoja2!$R$2:$AV$44,43,FALSE)</f>
        <v>0</v>
      </c>
      <c r="AD10" s="15">
        <v>45448</v>
      </c>
      <c r="AE10" s="8">
        <v>110213</v>
      </c>
      <c r="AF10" s="8" t="s">
        <v>110</v>
      </c>
      <c r="AG10" t="str">
        <f>"CPA Fondeo WALLET CLP "</f>
        <v xml:space="preserve">CPA Fondeo WALLET CLP </v>
      </c>
      <c r="AH10" s="16">
        <f>+AA6</f>
        <v>0</v>
      </c>
      <c r="AI10" s="17"/>
      <c r="AL10" s="1">
        <v>45574</v>
      </c>
      <c r="AM10" s="26"/>
      <c r="AP10" s="15">
        <v>45448</v>
      </c>
      <c r="AQ10" s="8">
        <v>110204</v>
      </c>
      <c r="AR10" s="8" t="s">
        <v>51</v>
      </c>
      <c r="AS10" s="8" t="str">
        <f>"CPA Traspaso de Fondos BICE "&amp;TEXT(AP10,"dd-mm-aaa")</f>
        <v>CPA Traspaso de Fondos BICE 05-06-2024</v>
      </c>
      <c r="AT10" s="16">
        <f>+AM6</f>
        <v>0</v>
      </c>
      <c r="AU10" s="17"/>
      <c r="AX10" s="1">
        <v>45574</v>
      </c>
      <c r="AY10" s="26"/>
      <c r="BB10" s="15">
        <v>45448</v>
      </c>
      <c r="BC10" s="8">
        <v>211102</v>
      </c>
      <c r="BD10" s="8" t="s">
        <v>18</v>
      </c>
      <c r="BE10" s="8" t="str">
        <f>"CPA Pago Operaciones Locales BCI OP 648 "&amp;TEXT(BB10,"dd-mm-yyy")</f>
        <v>CPA Pago Operaciones Locales BCI OP 648 05-06-yyy</v>
      </c>
      <c r="BF10" s="16">
        <f>+AY6</f>
        <v>0</v>
      </c>
      <c r="BG10" s="17"/>
    </row>
    <row r="11" spans="1:59" x14ac:dyDescent="0.25">
      <c r="A11" s="1">
        <v>45575</v>
      </c>
      <c r="B11" s="26">
        <f>HLOOKUP(A11,Hoja2!$R$2:$AV$12,11,FALSE)</f>
        <v>0</v>
      </c>
      <c r="C11" s="26">
        <f>HLOOKUP(A11,Hoja2!$R$2:$AV$13,12,FALSE)</f>
        <v>0</v>
      </c>
      <c r="E11" s="11"/>
      <c r="F11" s="12">
        <v>110260</v>
      </c>
      <c r="G11" s="12" t="s">
        <v>26</v>
      </c>
      <c r="H11" s="12" t="str">
        <f t="shared" si="0"/>
        <v xml:space="preserve">CPA Recaudación por Transbank </v>
      </c>
      <c r="I11" s="12" t="str">
        <f t="shared" ref="I11" si="18">+I10</f>
        <v xml:space="preserve">CPA Recaudación por Transbank </v>
      </c>
      <c r="J11" s="13"/>
      <c r="K11" s="18">
        <f>J10</f>
        <v>0</v>
      </c>
      <c r="N11" s="1">
        <v>45575</v>
      </c>
      <c r="O11" s="26"/>
      <c r="R11" s="11"/>
      <c r="S11" s="12">
        <v>110209</v>
      </c>
      <c r="T11" s="12" t="s">
        <v>127</v>
      </c>
      <c r="U11" t="str">
        <f t="shared" ref="U11" si="19">U10</f>
        <v>CPA LIQ CORRESPONSAL 05-06-2024</v>
      </c>
      <c r="W11" s="10">
        <f t="shared" ref="W11" si="20">V10</f>
        <v>0</v>
      </c>
      <c r="Z11" s="1">
        <v>45575</v>
      </c>
      <c r="AA11" s="26">
        <f>HLOOKUP(Z11,Hoja2!$R$2:$AV$44,43,FALSE)</f>
        <v>0</v>
      </c>
      <c r="AD11" s="11"/>
      <c r="AE11" s="12">
        <v>110209</v>
      </c>
      <c r="AF11" s="12" t="s">
        <v>127</v>
      </c>
      <c r="AG11" s="12" t="str">
        <f t="shared" ref="AG11" si="21">AG10</f>
        <v xml:space="preserve">CPA Fondeo WALLET CLP </v>
      </c>
      <c r="AI11" s="10">
        <f t="shared" ref="AI11" si="22">AH10</f>
        <v>0</v>
      </c>
      <c r="AL11" s="1">
        <v>45575</v>
      </c>
      <c r="AM11" s="26"/>
      <c r="AP11" s="11"/>
      <c r="AQ11">
        <v>110208</v>
      </c>
      <c r="AR11" t="s">
        <v>128</v>
      </c>
      <c r="AS11" t="str">
        <f t="shared" ref="AS11" si="23">AS10</f>
        <v>CPA Traspaso de Fondos BICE 05-06-2024</v>
      </c>
      <c r="AU11" s="10">
        <f t="shared" ref="AU11" si="24">AT10</f>
        <v>0</v>
      </c>
      <c r="AX11" s="1">
        <v>45575</v>
      </c>
      <c r="AY11" s="26"/>
      <c r="BB11" s="11"/>
      <c r="BC11">
        <v>110208</v>
      </c>
      <c r="BD11" t="s">
        <v>128</v>
      </c>
      <c r="BE11" t="str">
        <f t="shared" ref="BE11" si="25">BE10</f>
        <v>CPA Pago Operaciones Locales BCI OP 648 05-06-yyy</v>
      </c>
      <c r="BG11" s="10">
        <f t="shared" ref="BG11" si="26">BF10</f>
        <v>0</v>
      </c>
    </row>
    <row r="12" spans="1:59" x14ac:dyDescent="0.25">
      <c r="A12" s="1">
        <v>45576</v>
      </c>
      <c r="B12" s="26">
        <f>HLOOKUP(A12,Hoja2!$R$2:$AV$12,11,FALSE)</f>
        <v>0</v>
      </c>
      <c r="C12" s="26">
        <v>0</v>
      </c>
      <c r="E12" s="15">
        <v>45449</v>
      </c>
      <c r="F12" s="8">
        <v>110209</v>
      </c>
      <c r="G12" s="8" t="s">
        <v>127</v>
      </c>
      <c r="H12" s="8" t="str">
        <f t="shared" si="0"/>
        <v xml:space="preserve">CPA Recaudación por Transbank </v>
      </c>
      <c r="I12" s="8" t="str">
        <f t="shared" si="0"/>
        <v xml:space="preserve">CPA Recaudación por Transbank </v>
      </c>
      <c r="J12" s="16">
        <f>+B7</f>
        <v>0</v>
      </c>
      <c r="K12" s="17"/>
      <c r="N12" s="1">
        <v>45576</v>
      </c>
      <c r="O12" s="26"/>
      <c r="Q12" s="19"/>
      <c r="R12" s="15">
        <v>45449</v>
      </c>
      <c r="S12" s="8">
        <v>110608</v>
      </c>
      <c r="T12" s="8" t="s">
        <v>62</v>
      </c>
      <c r="U12" s="8" t="str">
        <f>"CPA LIQ CORRESPONSAL "&amp;TEXT(R12,"dd-mm-aaa")</f>
        <v>CPA LIQ CORRESPONSAL 06-06-2024</v>
      </c>
      <c r="V12" s="16">
        <f>+O7</f>
        <v>0</v>
      </c>
      <c r="W12" s="17"/>
      <c r="Z12" s="1">
        <v>45576</v>
      </c>
      <c r="AA12" s="26">
        <f>HLOOKUP(Z12,Hoja2!$R$2:$AV$44,43,FALSE)</f>
        <v>101000000</v>
      </c>
      <c r="AC12" s="19"/>
      <c r="AD12" s="15">
        <v>45449</v>
      </c>
      <c r="AE12" s="8">
        <v>110213</v>
      </c>
      <c r="AF12" s="8" t="s">
        <v>110</v>
      </c>
      <c r="AG12" t="str">
        <f>"CPA Fondeo WALLET CLP "</f>
        <v xml:space="preserve">CPA Fondeo WALLET CLP </v>
      </c>
      <c r="AH12" s="16">
        <f>+AA7</f>
        <v>0</v>
      </c>
      <c r="AI12" s="17"/>
      <c r="AL12" s="1">
        <v>45576</v>
      </c>
      <c r="AM12" s="26"/>
      <c r="AO12" s="19"/>
      <c r="AP12" s="15">
        <v>45449</v>
      </c>
      <c r="AQ12" s="8">
        <v>110204</v>
      </c>
      <c r="AR12" s="8" t="s">
        <v>51</v>
      </c>
      <c r="AS12" s="8" t="str">
        <f>"CPA Traspaso de Fondos BICE "&amp;TEXT(AP12,"dd-mm-aaa")</f>
        <v>CPA Traspaso de Fondos BICE 06-06-2024</v>
      </c>
      <c r="AT12" s="16">
        <f>+AM7</f>
        <v>0</v>
      </c>
      <c r="AU12" s="17"/>
      <c r="AX12" s="1">
        <v>45576</v>
      </c>
      <c r="AY12" s="26"/>
      <c r="BA12" s="19"/>
      <c r="BB12" s="15">
        <v>45449</v>
      </c>
      <c r="BC12" s="8">
        <v>211102</v>
      </c>
      <c r="BD12" s="8" t="s">
        <v>18</v>
      </c>
      <c r="BE12" s="8" t="str">
        <f>"CPA Pago Operaciones Locales BCI OP 648 "&amp;TEXT(BB12,"dd-mm-yyy")</f>
        <v>CPA Pago Operaciones Locales BCI OP 648 06-06-yyy</v>
      </c>
      <c r="BF12" s="16">
        <f>+AY7</f>
        <v>0</v>
      </c>
      <c r="BG12" s="17"/>
    </row>
    <row r="13" spans="1:59" x14ac:dyDescent="0.25">
      <c r="A13" s="1">
        <v>45577</v>
      </c>
      <c r="B13" s="26">
        <f>HLOOKUP(A13,Hoja2!$R$2:$AV$12,11,FALSE)</f>
        <v>0</v>
      </c>
      <c r="C13" s="26">
        <v>0</v>
      </c>
      <c r="D13" s="39"/>
      <c r="E13" s="11"/>
      <c r="F13" s="12">
        <v>110260</v>
      </c>
      <c r="G13" s="12" t="s">
        <v>26</v>
      </c>
      <c r="H13" s="12" t="str">
        <f t="shared" si="0"/>
        <v xml:space="preserve">CPA Recaudación por Transbank </v>
      </c>
      <c r="I13" s="12" t="str">
        <f t="shared" ref="I13" si="27">+I12</f>
        <v xml:space="preserve">CPA Recaudación por Transbank </v>
      </c>
      <c r="J13" s="13"/>
      <c r="K13" s="18">
        <f>J12</f>
        <v>0</v>
      </c>
      <c r="N13" s="1">
        <v>45577</v>
      </c>
      <c r="O13" s="26"/>
      <c r="Q13" s="39"/>
      <c r="R13" s="11"/>
      <c r="S13" s="12">
        <v>110209</v>
      </c>
      <c r="T13" s="12" t="s">
        <v>127</v>
      </c>
      <c r="U13" t="str">
        <f>U12</f>
        <v>CPA LIQ CORRESPONSAL 06-06-2024</v>
      </c>
      <c r="V13" s="3"/>
      <c r="W13" s="10">
        <f>V12</f>
        <v>0</v>
      </c>
      <c r="Z13" s="1">
        <v>45577</v>
      </c>
      <c r="AA13" s="26">
        <f>HLOOKUP(Z13,Hoja2!$R$2:$AV$44,43,FALSE)</f>
        <v>0</v>
      </c>
      <c r="AC13" s="39"/>
      <c r="AD13" s="11"/>
      <c r="AE13" s="12">
        <v>110209</v>
      </c>
      <c r="AF13" s="12" t="s">
        <v>127</v>
      </c>
      <c r="AG13" s="12" t="str">
        <f t="shared" ref="AG13" si="28">AG12</f>
        <v xml:space="preserve">CPA Fondeo WALLET CLP </v>
      </c>
      <c r="AH13" s="3"/>
      <c r="AI13" s="10">
        <f>AH12</f>
        <v>0</v>
      </c>
      <c r="AL13" s="1">
        <v>45577</v>
      </c>
      <c r="AM13" s="26"/>
      <c r="AO13" s="39"/>
      <c r="AP13" s="11"/>
      <c r="AQ13">
        <v>110208</v>
      </c>
      <c r="AR13" t="s">
        <v>128</v>
      </c>
      <c r="AS13" t="str">
        <f>AS12</f>
        <v>CPA Traspaso de Fondos BICE 06-06-2024</v>
      </c>
      <c r="AT13" s="3"/>
      <c r="AU13" s="10">
        <f>AT12</f>
        <v>0</v>
      </c>
      <c r="AX13" s="1">
        <v>45577</v>
      </c>
      <c r="AY13" s="26"/>
      <c r="BA13" s="39"/>
      <c r="BB13" s="11"/>
      <c r="BC13">
        <v>110208</v>
      </c>
      <c r="BD13" t="s">
        <v>128</v>
      </c>
      <c r="BE13" t="str">
        <f>BE12</f>
        <v>CPA Pago Operaciones Locales BCI OP 648 06-06-yyy</v>
      </c>
      <c r="BF13" s="3"/>
      <c r="BG13" s="10">
        <f>BF12</f>
        <v>0</v>
      </c>
    </row>
    <row r="14" spans="1:59" x14ac:dyDescent="0.25">
      <c r="A14" s="1">
        <v>45578</v>
      </c>
      <c r="B14" s="26">
        <f>HLOOKUP(A14,Hoja2!$R$2:$AV$12,11,FALSE)</f>
        <v>0</v>
      </c>
      <c r="C14" s="26">
        <v>0</v>
      </c>
      <c r="D14" s="21"/>
      <c r="E14" s="15">
        <v>45450</v>
      </c>
      <c r="F14" s="8">
        <v>110209</v>
      </c>
      <c r="G14" s="8" t="s">
        <v>127</v>
      </c>
      <c r="H14" s="8" t="str">
        <f t="shared" si="0"/>
        <v xml:space="preserve">CPA Recaudación por Transbank </v>
      </c>
      <c r="I14" s="8" t="str">
        <f t="shared" si="0"/>
        <v xml:space="preserve">CPA Recaudación por Transbank </v>
      </c>
      <c r="J14" s="16">
        <f>+B8</f>
        <v>0</v>
      </c>
      <c r="K14" s="17"/>
      <c r="L14" s="3"/>
      <c r="N14" s="1">
        <v>45578</v>
      </c>
      <c r="O14" s="26"/>
      <c r="Q14" s="21"/>
      <c r="R14" s="15">
        <v>45450</v>
      </c>
      <c r="S14" s="8">
        <v>110608</v>
      </c>
      <c r="T14" s="8" t="s">
        <v>62</v>
      </c>
      <c r="U14" s="8" t="str">
        <f>"CPA LIQ CORRESPONSAL "&amp;TEXT(R14,"dd-mm-aaa")</f>
        <v>CPA LIQ CORRESPONSAL 07-06-2024</v>
      </c>
      <c r="V14" s="16">
        <f>+O8</f>
        <v>0</v>
      </c>
      <c r="W14" s="17"/>
      <c r="Z14" s="1">
        <v>45578</v>
      </c>
      <c r="AA14" s="26">
        <f>HLOOKUP(Z14,Hoja2!$R$2:$AV$44,43,FALSE)</f>
        <v>0</v>
      </c>
      <c r="AC14" s="21"/>
      <c r="AD14" s="15">
        <v>45450</v>
      </c>
      <c r="AE14" s="8">
        <v>110213</v>
      </c>
      <c r="AF14" s="8" t="s">
        <v>110</v>
      </c>
      <c r="AG14" t="str">
        <f>"CPA Fondeo WALLET CLP "</f>
        <v xml:space="preserve">CPA Fondeo WALLET CLP </v>
      </c>
      <c r="AH14" s="16">
        <f>+AA8</f>
        <v>0</v>
      </c>
      <c r="AI14" s="17"/>
      <c r="AL14" s="1">
        <v>45578</v>
      </c>
      <c r="AM14" s="26"/>
      <c r="AO14" s="21"/>
      <c r="AP14" s="15">
        <v>45450</v>
      </c>
      <c r="AQ14" s="8">
        <v>110204</v>
      </c>
      <c r="AR14" s="8" t="s">
        <v>51</v>
      </c>
      <c r="AS14" s="8" t="str">
        <f>"CPA Traspaso de Fondos BICE "&amp;TEXT(AP14,"dd-mm-aaa")</f>
        <v>CPA Traspaso de Fondos BICE 07-06-2024</v>
      </c>
      <c r="AT14" s="16">
        <f>+AM8</f>
        <v>0</v>
      </c>
      <c r="AU14" s="17"/>
      <c r="AX14" s="1">
        <v>45578</v>
      </c>
      <c r="AY14" s="26"/>
      <c r="BA14" s="21"/>
      <c r="BB14" s="15">
        <v>45450</v>
      </c>
      <c r="BC14" s="8">
        <v>211102</v>
      </c>
      <c r="BD14" s="8" t="s">
        <v>18</v>
      </c>
      <c r="BE14" s="8" t="str">
        <f>"CPA Pago Operaciones Locales BCI OP 648 "&amp;TEXT(BB14,"dd-mm-yyy")</f>
        <v>CPA Pago Operaciones Locales BCI OP 648 07-06-yyy</v>
      </c>
      <c r="BF14" s="16">
        <f>+AY8</f>
        <v>0</v>
      </c>
      <c r="BG14" s="17"/>
    </row>
    <row r="15" spans="1:59" x14ac:dyDescent="0.25">
      <c r="A15" s="1">
        <v>45579</v>
      </c>
      <c r="B15" s="26">
        <f>HLOOKUP(A15,Hoja2!$R$2:$AV$12,11,FALSE)</f>
        <v>0</v>
      </c>
      <c r="C15" s="26">
        <v>0</v>
      </c>
      <c r="D15" s="40"/>
      <c r="E15" s="11"/>
      <c r="F15" s="12">
        <v>110260</v>
      </c>
      <c r="G15" s="12" t="s">
        <v>26</v>
      </c>
      <c r="H15" s="12" t="str">
        <f t="shared" si="0"/>
        <v xml:space="preserve">CPA Recaudación por Transbank </v>
      </c>
      <c r="I15" s="12" t="str">
        <f t="shared" ref="I15" si="29">+I14</f>
        <v xml:space="preserve">CPA Recaudación por Transbank </v>
      </c>
      <c r="J15" s="13"/>
      <c r="K15" s="18">
        <f>J14</f>
        <v>0</v>
      </c>
      <c r="N15" s="1">
        <v>45579</v>
      </c>
      <c r="O15" s="26"/>
      <c r="Q15" s="40"/>
      <c r="R15" s="11"/>
      <c r="S15" s="12">
        <v>110209</v>
      </c>
      <c r="T15" s="12" t="s">
        <v>127</v>
      </c>
      <c r="U15" t="str">
        <f t="shared" ref="U15" si="30">U14</f>
        <v>CPA LIQ CORRESPONSAL 07-06-2024</v>
      </c>
      <c r="V15" s="3"/>
      <c r="W15" s="10">
        <f t="shared" ref="W15" si="31">V14</f>
        <v>0</v>
      </c>
      <c r="Z15" s="1">
        <v>45579</v>
      </c>
      <c r="AA15" s="26">
        <f>HLOOKUP(Z15,Hoja2!$R$2:$AV$44,43,FALSE)</f>
        <v>0</v>
      </c>
      <c r="AC15" s="40"/>
      <c r="AD15" s="11"/>
      <c r="AE15" s="12">
        <v>110209</v>
      </c>
      <c r="AF15" s="12" t="s">
        <v>127</v>
      </c>
      <c r="AG15" s="12" t="str">
        <f t="shared" ref="AG15" si="32">AG14</f>
        <v xml:space="preserve">CPA Fondeo WALLET CLP </v>
      </c>
      <c r="AH15" s="3"/>
      <c r="AI15" s="10">
        <f t="shared" ref="AI15" si="33">AH14</f>
        <v>0</v>
      </c>
      <c r="AL15" s="1">
        <v>45579</v>
      </c>
      <c r="AM15" s="26"/>
      <c r="AO15" s="40"/>
      <c r="AP15" s="11"/>
      <c r="AQ15">
        <v>110208</v>
      </c>
      <c r="AR15" t="s">
        <v>128</v>
      </c>
      <c r="AS15" t="str">
        <f t="shared" ref="AS15" si="34">AS14</f>
        <v>CPA Traspaso de Fondos BICE 07-06-2024</v>
      </c>
      <c r="AT15" s="3"/>
      <c r="AU15" s="10">
        <f t="shared" ref="AU15" si="35">AT14</f>
        <v>0</v>
      </c>
      <c r="AX15" s="1">
        <v>45579</v>
      </c>
      <c r="AY15" s="26"/>
      <c r="BA15" s="40"/>
      <c r="BB15" s="11"/>
      <c r="BC15">
        <v>110208</v>
      </c>
      <c r="BD15" t="s">
        <v>128</v>
      </c>
      <c r="BE15" t="str">
        <f t="shared" ref="BE15" si="36">BE14</f>
        <v>CPA Pago Operaciones Locales BCI OP 648 07-06-yyy</v>
      </c>
      <c r="BF15" s="3"/>
      <c r="BG15" s="10">
        <f t="shared" ref="BG15" si="37">BF14</f>
        <v>0</v>
      </c>
    </row>
    <row r="16" spans="1:59" x14ac:dyDescent="0.25">
      <c r="A16" s="1">
        <v>45580</v>
      </c>
      <c r="B16" s="26">
        <f>HLOOKUP(A16,Hoja2!$R$2:$AV$12,11,FALSE)</f>
        <v>0</v>
      </c>
      <c r="C16" s="26">
        <v>0</v>
      </c>
      <c r="D16" s="21"/>
      <c r="E16" s="15">
        <v>45451</v>
      </c>
      <c r="F16" s="8">
        <v>110209</v>
      </c>
      <c r="G16" s="8" t="s">
        <v>127</v>
      </c>
      <c r="H16" s="8" t="str">
        <f t="shared" si="0"/>
        <v xml:space="preserve">CPA Recaudación por Transbank </v>
      </c>
      <c r="I16" s="8" t="str">
        <f t="shared" si="0"/>
        <v xml:space="preserve">CPA Recaudación por Transbank </v>
      </c>
      <c r="J16" s="16">
        <f>+B9</f>
        <v>0</v>
      </c>
      <c r="K16" s="17"/>
      <c r="N16" s="1">
        <v>45580</v>
      </c>
      <c r="O16" s="26"/>
      <c r="Q16" s="21"/>
      <c r="R16" s="15">
        <v>45451</v>
      </c>
      <c r="S16" s="8">
        <v>110608</v>
      </c>
      <c r="T16" s="8" t="s">
        <v>62</v>
      </c>
      <c r="U16" s="8" t="str">
        <f>"CPA LIQ CORRESPONSAL "&amp;TEXT(R16,"dd-mm-aaa")</f>
        <v>CPA LIQ CORRESPONSAL 08-06-2024</v>
      </c>
      <c r="V16" s="16">
        <f>+O9</f>
        <v>0</v>
      </c>
      <c r="W16" s="17"/>
      <c r="Z16" s="1">
        <v>45580</v>
      </c>
      <c r="AA16" s="26">
        <f>HLOOKUP(Z16,Hoja2!$R$2:$AV$44,43,FALSE)</f>
        <v>0</v>
      </c>
      <c r="AC16" s="21"/>
      <c r="AD16" s="15">
        <v>45451</v>
      </c>
      <c r="AE16" s="8">
        <v>110213</v>
      </c>
      <c r="AF16" s="8" t="s">
        <v>110</v>
      </c>
      <c r="AG16" t="str">
        <f>"CPA Fondeo WALLET CLP "</f>
        <v xml:space="preserve">CPA Fondeo WALLET CLP </v>
      </c>
      <c r="AH16" s="16">
        <f>+AA9</f>
        <v>0</v>
      </c>
      <c r="AI16" s="17"/>
      <c r="AL16" s="1">
        <v>45580</v>
      </c>
      <c r="AM16" s="26"/>
      <c r="AO16" s="21"/>
      <c r="AP16" s="15">
        <v>45451</v>
      </c>
      <c r="AQ16" s="8">
        <v>110204</v>
      </c>
      <c r="AR16" s="8" t="s">
        <v>51</v>
      </c>
      <c r="AS16" s="8" t="str">
        <f>"CPA Traspaso de Fondos BICE "&amp;TEXT(AP16,"dd-mm-aaa")</f>
        <v>CPA Traspaso de Fondos BICE 08-06-2024</v>
      </c>
      <c r="AT16" s="16">
        <f>+AM9</f>
        <v>0</v>
      </c>
      <c r="AU16" s="17"/>
      <c r="AX16" s="1">
        <v>45580</v>
      </c>
      <c r="AY16" s="26"/>
      <c r="BA16" s="21"/>
      <c r="BB16" s="15">
        <v>45451</v>
      </c>
      <c r="BC16" s="8">
        <v>211102</v>
      </c>
      <c r="BD16" s="8" t="s">
        <v>18</v>
      </c>
      <c r="BE16" s="8" t="str">
        <f>"CPA Pago Operaciones Locales BCI OP 648 "&amp;TEXT(BB16,"dd-mm-yyy")</f>
        <v>CPA Pago Operaciones Locales BCI OP 648 08-06-yyy</v>
      </c>
      <c r="BF16" s="16">
        <f>+AY9</f>
        <v>0</v>
      </c>
      <c r="BG16" s="17"/>
    </row>
    <row r="17" spans="1:59" x14ac:dyDescent="0.25">
      <c r="A17" s="1">
        <v>45581</v>
      </c>
      <c r="B17" s="26">
        <f>HLOOKUP(A17,Hoja2!$R$2:$AV$12,11,FALSE)</f>
        <v>0</v>
      </c>
      <c r="C17" s="26">
        <v>0</v>
      </c>
      <c r="D17" s="21"/>
      <c r="E17" s="11"/>
      <c r="F17" s="12">
        <v>110260</v>
      </c>
      <c r="G17" s="12" t="s">
        <v>26</v>
      </c>
      <c r="H17" s="12" t="str">
        <f t="shared" si="0"/>
        <v xml:space="preserve">CPA Recaudación por Transbank </v>
      </c>
      <c r="I17" s="12" t="str">
        <f t="shared" ref="I17" si="38">+I16</f>
        <v xml:space="preserve">CPA Recaudación por Transbank </v>
      </c>
      <c r="J17" s="13"/>
      <c r="K17" s="18">
        <f>J16</f>
        <v>0</v>
      </c>
      <c r="N17" s="1">
        <v>45581</v>
      </c>
      <c r="O17" s="26"/>
      <c r="Q17" s="21"/>
      <c r="R17" s="11"/>
      <c r="S17" s="12">
        <v>110209</v>
      </c>
      <c r="T17" s="12" t="s">
        <v>127</v>
      </c>
      <c r="U17" s="12" t="str">
        <f t="shared" ref="U17" si="39">U16</f>
        <v>CPA LIQ CORRESPONSAL 08-06-2024</v>
      </c>
      <c r="V17" s="13"/>
      <c r="W17" s="18">
        <f t="shared" ref="W17" si="40">V16</f>
        <v>0</v>
      </c>
      <c r="Z17" s="1">
        <v>45581</v>
      </c>
      <c r="AA17" s="26">
        <f>HLOOKUP(Z17,Hoja2!$R$2:$AV$44,43,FALSE)</f>
        <v>250000000</v>
      </c>
      <c r="AC17" s="21"/>
      <c r="AD17" s="11"/>
      <c r="AE17" s="12">
        <v>110209</v>
      </c>
      <c r="AF17" s="12" t="s">
        <v>127</v>
      </c>
      <c r="AG17" s="12" t="str">
        <f t="shared" ref="AG17" si="41">AG16</f>
        <v xml:space="preserve">CPA Fondeo WALLET CLP </v>
      </c>
      <c r="AH17" s="13"/>
      <c r="AI17" s="18">
        <f t="shared" ref="AI17" si="42">AH16</f>
        <v>0</v>
      </c>
      <c r="AL17" s="1">
        <v>45581</v>
      </c>
      <c r="AM17" s="26"/>
      <c r="AO17" s="21"/>
      <c r="AP17" s="11"/>
      <c r="AQ17" s="12">
        <v>110208</v>
      </c>
      <c r="AR17" s="12" t="s">
        <v>128</v>
      </c>
      <c r="AS17" s="12" t="str">
        <f t="shared" ref="AS17" si="43">AS16</f>
        <v>CPA Traspaso de Fondos BICE 08-06-2024</v>
      </c>
      <c r="AT17" s="13"/>
      <c r="AU17" s="18">
        <f t="shared" ref="AU17" si="44">AT16</f>
        <v>0</v>
      </c>
      <c r="AX17" s="1">
        <v>45581</v>
      </c>
      <c r="AY17" s="26"/>
      <c r="BA17" s="21"/>
      <c r="BB17" s="11"/>
      <c r="BC17" s="12">
        <v>110208</v>
      </c>
      <c r="BD17" s="12" t="s">
        <v>128</v>
      </c>
      <c r="BE17" s="12" t="str">
        <f t="shared" ref="BE17" si="45">BE16</f>
        <v>CPA Pago Operaciones Locales BCI OP 648 08-06-yyy</v>
      </c>
      <c r="BF17" s="13"/>
      <c r="BG17" s="18">
        <f t="shared" ref="BG17" si="46">BF16</f>
        <v>0</v>
      </c>
    </row>
    <row r="18" spans="1:59" x14ac:dyDescent="0.25">
      <c r="A18" s="1">
        <v>45582</v>
      </c>
      <c r="B18" s="26">
        <f>HLOOKUP(A18,Hoja2!$R$2:$AV$12,11,FALSE)</f>
        <v>0</v>
      </c>
      <c r="C18" s="26">
        <v>0</v>
      </c>
      <c r="D18" s="21"/>
      <c r="E18" s="15">
        <v>45452</v>
      </c>
      <c r="F18" s="8">
        <v>110209</v>
      </c>
      <c r="G18" s="8" t="s">
        <v>127</v>
      </c>
      <c r="H18" s="8" t="str">
        <f t="shared" si="0"/>
        <v xml:space="preserve">CPA Recaudación por Transbank </v>
      </c>
      <c r="I18" s="8" t="str">
        <f t="shared" si="0"/>
        <v xml:space="preserve">CPA Recaudación por Transbank </v>
      </c>
      <c r="J18" s="16">
        <f>+B10</f>
        <v>0</v>
      </c>
      <c r="K18" s="17"/>
      <c r="L18" s="3"/>
      <c r="N18" s="1">
        <v>45582</v>
      </c>
      <c r="O18" s="26"/>
      <c r="Q18" s="21"/>
      <c r="R18" s="15">
        <v>45452</v>
      </c>
      <c r="S18" s="8">
        <v>110608</v>
      </c>
      <c r="T18" s="8" t="s">
        <v>62</v>
      </c>
      <c r="U18" s="8" t="str">
        <f>"CPA LIQ CORRESPONSAL "&amp;TEXT(R18,"dd-mm-aaa")</f>
        <v>CPA LIQ CORRESPONSAL 09-06-2024</v>
      </c>
      <c r="V18" s="16">
        <f>+O10</f>
        <v>0</v>
      </c>
      <c r="W18" s="17"/>
      <c r="Z18" s="1">
        <v>45582</v>
      </c>
      <c r="AA18" s="26">
        <f>HLOOKUP(Z18,Hoja2!$R$2:$AV$44,43,FALSE)</f>
        <v>0</v>
      </c>
      <c r="AC18" s="21"/>
      <c r="AD18" s="15">
        <v>45452</v>
      </c>
      <c r="AE18" s="8">
        <v>110213</v>
      </c>
      <c r="AF18" s="8" t="s">
        <v>110</v>
      </c>
      <c r="AG18" t="str">
        <f>"CPA Fondeo WALLET CLP "</f>
        <v xml:space="preserve">CPA Fondeo WALLET CLP </v>
      </c>
      <c r="AH18" s="16">
        <f>+AA10</f>
        <v>0</v>
      </c>
      <c r="AI18" s="17"/>
      <c r="AL18" s="1">
        <v>45582</v>
      </c>
      <c r="AM18" s="26"/>
      <c r="AO18" s="21"/>
      <c r="AP18" s="15">
        <v>45452</v>
      </c>
      <c r="AQ18" s="8">
        <v>110204</v>
      </c>
      <c r="AR18" s="8" t="s">
        <v>51</v>
      </c>
      <c r="AS18" s="8" t="str">
        <f>"CPA Traspaso de Fondos BICE "&amp;TEXT(AP18,"dd-mm-aaa")</f>
        <v>CPA Traspaso de Fondos BICE 09-06-2024</v>
      </c>
      <c r="AT18" s="16">
        <f>+AM10</f>
        <v>0</v>
      </c>
      <c r="AU18" s="17"/>
      <c r="AX18" s="1">
        <v>45582</v>
      </c>
      <c r="AY18" s="26"/>
      <c r="BA18" s="21"/>
      <c r="BB18" s="15">
        <v>45452</v>
      </c>
      <c r="BC18" s="8">
        <v>211102</v>
      </c>
      <c r="BD18" s="8" t="s">
        <v>18</v>
      </c>
      <c r="BE18" s="8" t="str">
        <f>"CPA Pago Operaciones Locales BCI OP 648 "&amp;TEXT(BB18,"dd-mm-yyy")</f>
        <v>CPA Pago Operaciones Locales BCI OP 648 09-06-yyy</v>
      </c>
      <c r="BF18" s="16">
        <f>+AY10</f>
        <v>0</v>
      </c>
      <c r="BG18" s="17"/>
    </row>
    <row r="19" spans="1:59" x14ac:dyDescent="0.25">
      <c r="A19" s="1">
        <v>45583</v>
      </c>
      <c r="B19" s="26">
        <f>HLOOKUP(A19,Hoja2!$R$2:$AV$12,11,FALSE)</f>
        <v>0</v>
      </c>
      <c r="C19" s="26">
        <v>0</v>
      </c>
      <c r="D19" s="21"/>
      <c r="E19" s="11"/>
      <c r="F19" s="12">
        <v>110260</v>
      </c>
      <c r="G19" s="12" t="s">
        <v>26</v>
      </c>
      <c r="H19" s="12" t="str">
        <f t="shared" si="0"/>
        <v xml:space="preserve">CPA Recaudación por Transbank </v>
      </c>
      <c r="I19" s="12" t="str">
        <f t="shared" ref="I19" si="47">+I18</f>
        <v xml:space="preserve">CPA Recaudación por Transbank </v>
      </c>
      <c r="J19" s="13"/>
      <c r="K19" s="18">
        <f>J18</f>
        <v>0</v>
      </c>
      <c r="N19" s="1">
        <v>45583</v>
      </c>
      <c r="O19" s="26"/>
      <c r="Q19" s="21"/>
      <c r="R19" s="11"/>
      <c r="S19" s="12">
        <v>110209</v>
      </c>
      <c r="T19" s="12" t="s">
        <v>127</v>
      </c>
      <c r="U19" s="12" t="str">
        <f>U18</f>
        <v>CPA LIQ CORRESPONSAL 09-06-2024</v>
      </c>
      <c r="V19" s="13"/>
      <c r="W19" s="18">
        <f>V18</f>
        <v>0</v>
      </c>
      <c r="Z19" s="1">
        <v>45583</v>
      </c>
      <c r="AA19" s="26">
        <f>HLOOKUP(Z19,Hoja2!$R$2:$AV$44,43,FALSE)</f>
        <v>0</v>
      </c>
      <c r="AC19" s="21"/>
      <c r="AD19" s="11"/>
      <c r="AE19" s="12">
        <v>110209</v>
      </c>
      <c r="AF19" s="12" t="s">
        <v>127</v>
      </c>
      <c r="AG19" s="12" t="str">
        <f t="shared" ref="AG19" si="48">AG18</f>
        <v xml:space="preserve">CPA Fondeo WALLET CLP </v>
      </c>
      <c r="AH19" s="13"/>
      <c r="AI19" s="18">
        <f>AH18</f>
        <v>0</v>
      </c>
      <c r="AL19" s="1">
        <v>45583</v>
      </c>
      <c r="AM19" s="26"/>
      <c r="AO19" s="21"/>
      <c r="AP19" s="11"/>
      <c r="AQ19" s="12">
        <v>110208</v>
      </c>
      <c r="AR19" s="12" t="s">
        <v>128</v>
      </c>
      <c r="AS19" s="12" t="str">
        <f>AS18</f>
        <v>CPA Traspaso de Fondos BICE 09-06-2024</v>
      </c>
      <c r="AT19" s="13"/>
      <c r="AU19" s="18">
        <f>AT18</f>
        <v>0</v>
      </c>
      <c r="AX19" s="1">
        <v>45583</v>
      </c>
      <c r="AY19" s="26"/>
      <c r="BA19" s="21"/>
      <c r="BB19" s="11"/>
      <c r="BC19" s="12">
        <v>110208</v>
      </c>
      <c r="BD19" s="12" t="s">
        <v>128</v>
      </c>
      <c r="BE19" s="12" t="str">
        <f>BE18</f>
        <v>CPA Pago Operaciones Locales BCI OP 648 09-06-yyy</v>
      </c>
      <c r="BF19" s="13"/>
      <c r="BG19" s="18">
        <f>BF18</f>
        <v>0</v>
      </c>
    </row>
    <row r="20" spans="1:59" x14ac:dyDescent="0.25">
      <c r="A20" s="1">
        <v>45584</v>
      </c>
      <c r="B20" s="26">
        <f>HLOOKUP(A20,Hoja2!$R$2:$AV$12,11,FALSE)</f>
        <v>0</v>
      </c>
      <c r="C20" s="26">
        <v>0</v>
      </c>
      <c r="D20" s="21"/>
      <c r="E20" s="15">
        <v>45453</v>
      </c>
      <c r="F20" s="8">
        <v>110209</v>
      </c>
      <c r="G20" s="8" t="s">
        <v>127</v>
      </c>
      <c r="H20" s="8" t="str">
        <f t="shared" si="0"/>
        <v xml:space="preserve">CPA Recaudación por Transbank </v>
      </c>
      <c r="I20" s="8" t="str">
        <f t="shared" si="0"/>
        <v xml:space="preserve">CPA Recaudación por Transbank </v>
      </c>
      <c r="J20" s="16">
        <f>+B11</f>
        <v>0</v>
      </c>
      <c r="K20" s="17"/>
      <c r="L20" s="3"/>
      <c r="N20" s="1">
        <v>45584</v>
      </c>
      <c r="O20" s="26"/>
      <c r="Q20" s="21"/>
      <c r="R20" s="15">
        <v>45453</v>
      </c>
      <c r="S20" s="8">
        <v>110608</v>
      </c>
      <c r="T20" s="8" t="s">
        <v>62</v>
      </c>
      <c r="U20" s="8" t="str">
        <f>"CPA LIQ CORRESPONSAL "&amp;TEXT(R20,"dd-mm-aaa")</f>
        <v>CPA LIQ CORRESPONSAL 10-06-2024</v>
      </c>
      <c r="V20" s="16">
        <f>+O11</f>
        <v>0</v>
      </c>
      <c r="W20" s="17"/>
      <c r="Z20" s="1">
        <v>45584</v>
      </c>
      <c r="AA20" s="26">
        <f>HLOOKUP(Z20,Hoja2!$R$2:$AV$44,43,FALSE)</f>
        <v>0</v>
      </c>
      <c r="AC20" s="21"/>
      <c r="AD20" s="15">
        <v>45453</v>
      </c>
      <c r="AE20" s="8">
        <v>110213</v>
      </c>
      <c r="AF20" s="8" t="s">
        <v>110</v>
      </c>
      <c r="AG20" t="str">
        <f>"CPA Fondeo WALLET CLP "</f>
        <v xml:space="preserve">CPA Fondeo WALLET CLP </v>
      </c>
      <c r="AH20" s="16">
        <f>+AA11</f>
        <v>0</v>
      </c>
      <c r="AI20" s="17"/>
      <c r="AL20" s="1">
        <v>45584</v>
      </c>
      <c r="AM20" s="26"/>
      <c r="AO20" s="21"/>
      <c r="AP20" s="15">
        <v>45453</v>
      </c>
      <c r="AQ20" s="8">
        <v>110204</v>
      </c>
      <c r="AR20" s="8" t="s">
        <v>51</v>
      </c>
      <c r="AS20" s="8" t="str">
        <f>"CPA Traspaso de Fondos BICE "&amp;TEXT(AP20,"dd-mm-aaa")</f>
        <v>CPA Traspaso de Fondos BICE 10-06-2024</v>
      </c>
      <c r="AT20" s="16">
        <f>+AM11</f>
        <v>0</v>
      </c>
      <c r="AU20" s="17"/>
      <c r="AX20" s="1">
        <v>45584</v>
      </c>
      <c r="AY20" s="26"/>
      <c r="BA20" s="21"/>
      <c r="BB20" s="15">
        <v>45453</v>
      </c>
      <c r="BC20" s="8">
        <v>211102</v>
      </c>
      <c r="BD20" s="8" t="s">
        <v>18</v>
      </c>
      <c r="BE20" s="8" t="str">
        <f>"CPA Pago Operaciones Locales BCI OP 648 "&amp;TEXT(BB20,"dd-mm-yyy")</f>
        <v>CPA Pago Operaciones Locales BCI OP 648 10-06-yyy</v>
      </c>
      <c r="BF20" s="16">
        <f>+AY11</f>
        <v>0</v>
      </c>
      <c r="BG20" s="17"/>
    </row>
    <row r="21" spans="1:59" x14ac:dyDescent="0.25">
      <c r="A21" s="1">
        <v>45585</v>
      </c>
      <c r="B21" s="26">
        <f>HLOOKUP(A21,Hoja2!$R$2:$AV$12,11,FALSE)</f>
        <v>0</v>
      </c>
      <c r="C21" s="26">
        <v>0</v>
      </c>
      <c r="D21" s="21"/>
      <c r="E21" s="11"/>
      <c r="F21" s="12">
        <v>110260</v>
      </c>
      <c r="G21" s="12" t="s">
        <v>26</v>
      </c>
      <c r="H21" s="12" t="str">
        <f t="shared" si="0"/>
        <v xml:space="preserve">CPA Recaudación por Transbank </v>
      </c>
      <c r="I21" s="12" t="str">
        <f t="shared" ref="I21" si="49">+I20</f>
        <v xml:space="preserve">CPA Recaudación por Transbank </v>
      </c>
      <c r="J21" s="13"/>
      <c r="K21" s="18">
        <f>J20</f>
        <v>0</v>
      </c>
      <c r="N21" s="1">
        <v>45585</v>
      </c>
      <c r="O21" s="26"/>
      <c r="Q21" s="21"/>
      <c r="R21" s="11"/>
      <c r="S21" s="12">
        <v>110209</v>
      </c>
      <c r="T21" s="12" t="s">
        <v>127</v>
      </c>
      <c r="U21" t="str">
        <f t="shared" ref="U21" si="50">U20</f>
        <v>CPA LIQ CORRESPONSAL 10-06-2024</v>
      </c>
      <c r="V21" s="3"/>
      <c r="W21" s="10">
        <f t="shared" ref="W21" si="51">V20</f>
        <v>0</v>
      </c>
      <c r="Z21" s="1">
        <v>45585</v>
      </c>
      <c r="AA21" s="26">
        <f>HLOOKUP(Z21,Hoja2!$R$2:$AV$44,43,FALSE)</f>
        <v>0</v>
      </c>
      <c r="AC21" s="21"/>
      <c r="AD21" s="11"/>
      <c r="AE21" s="12">
        <v>110209</v>
      </c>
      <c r="AF21" s="12" t="s">
        <v>127</v>
      </c>
      <c r="AG21" s="12" t="str">
        <f t="shared" ref="AG21" si="52">AG20</f>
        <v xml:space="preserve">CPA Fondeo WALLET CLP </v>
      </c>
      <c r="AH21" s="3"/>
      <c r="AI21" s="10">
        <f t="shared" ref="AI21" si="53">AH20</f>
        <v>0</v>
      </c>
      <c r="AL21" s="1">
        <v>45585</v>
      </c>
      <c r="AM21" s="26"/>
      <c r="AO21" s="21"/>
      <c r="AP21" s="11"/>
      <c r="AQ21">
        <v>110208</v>
      </c>
      <c r="AR21" t="s">
        <v>128</v>
      </c>
      <c r="AS21" t="str">
        <f t="shared" ref="AS21" si="54">AS20</f>
        <v>CPA Traspaso de Fondos BICE 10-06-2024</v>
      </c>
      <c r="AT21" s="3"/>
      <c r="AU21" s="10">
        <f t="shared" ref="AU21" si="55">AT20</f>
        <v>0</v>
      </c>
      <c r="AX21" s="1">
        <v>45585</v>
      </c>
      <c r="AY21" s="26"/>
      <c r="BA21" s="21"/>
      <c r="BB21" s="11"/>
      <c r="BC21">
        <v>110208</v>
      </c>
      <c r="BD21" t="s">
        <v>128</v>
      </c>
      <c r="BE21" t="str">
        <f t="shared" ref="BE21" si="56">BE20</f>
        <v>CPA Pago Operaciones Locales BCI OP 648 10-06-yyy</v>
      </c>
      <c r="BF21" s="3"/>
      <c r="BG21" s="10">
        <f t="shared" ref="BG21" si="57">BF20</f>
        <v>0</v>
      </c>
    </row>
    <row r="22" spans="1:59" x14ac:dyDescent="0.25">
      <c r="A22" s="1">
        <v>45586</v>
      </c>
      <c r="B22" s="26">
        <f>HLOOKUP(A22,Hoja2!$R$2:$AV$12,11,FALSE)</f>
        <v>0</v>
      </c>
      <c r="C22" s="26">
        <v>0</v>
      </c>
      <c r="D22" s="21"/>
      <c r="E22" s="15">
        <v>45454</v>
      </c>
      <c r="F22" s="8">
        <v>110209</v>
      </c>
      <c r="G22" s="8" t="s">
        <v>127</v>
      </c>
      <c r="H22" s="8" t="str">
        <f t="shared" si="0"/>
        <v xml:space="preserve">CPA Recaudación por Transbank </v>
      </c>
      <c r="I22" s="8" t="str">
        <f t="shared" si="0"/>
        <v xml:space="preserve">CPA Recaudación por Transbank </v>
      </c>
      <c r="J22" s="16">
        <f>+B12</f>
        <v>0</v>
      </c>
      <c r="K22" s="17"/>
      <c r="L22" s="3"/>
      <c r="N22" s="1">
        <v>45586</v>
      </c>
      <c r="O22" s="26"/>
      <c r="Q22" s="21"/>
      <c r="R22" s="15">
        <v>45454</v>
      </c>
      <c r="S22" s="8">
        <v>110608</v>
      </c>
      <c r="T22" s="8" t="s">
        <v>62</v>
      </c>
      <c r="U22" s="8" t="str">
        <f>"CPA LIQ CORRESPONSAL "&amp;TEXT(R22,"dd-mm-aaa")</f>
        <v>CPA LIQ CORRESPONSAL 11-06-2024</v>
      </c>
      <c r="V22" s="16">
        <f>+O12</f>
        <v>0</v>
      </c>
      <c r="W22" s="17"/>
      <c r="Z22" s="1">
        <v>45586</v>
      </c>
      <c r="AA22" s="26">
        <f>HLOOKUP(Z22,Hoja2!$R$2:$AV$44,43,FALSE)</f>
        <v>45000000</v>
      </c>
      <c r="AC22" s="21"/>
      <c r="AD22" s="15">
        <v>45454</v>
      </c>
      <c r="AE22" s="8">
        <v>110213</v>
      </c>
      <c r="AF22" s="8" t="s">
        <v>110</v>
      </c>
      <c r="AG22" t="str">
        <f>"CPA Fondeo WALLET CLP "</f>
        <v xml:space="preserve">CPA Fondeo WALLET CLP </v>
      </c>
      <c r="AH22" s="16">
        <f>+AA12</f>
        <v>101000000</v>
      </c>
      <c r="AI22" s="17"/>
      <c r="AL22" s="1">
        <v>45586</v>
      </c>
      <c r="AM22" s="26"/>
      <c r="AO22" s="21"/>
      <c r="AP22" s="15">
        <v>45454</v>
      </c>
      <c r="AQ22" s="8">
        <v>110204</v>
      </c>
      <c r="AR22" s="8" t="s">
        <v>51</v>
      </c>
      <c r="AS22" s="8" t="str">
        <f>"CPA Traspaso de Fondos BICE "&amp;TEXT(AP22,"dd-mm-aaa")</f>
        <v>CPA Traspaso de Fondos BICE 11-06-2024</v>
      </c>
      <c r="AT22" s="16">
        <f>+AM12</f>
        <v>0</v>
      </c>
      <c r="AU22" s="17"/>
      <c r="AX22" s="1">
        <v>45586</v>
      </c>
      <c r="AY22" s="26"/>
      <c r="BA22" s="21"/>
      <c r="BB22" s="15">
        <v>45454</v>
      </c>
      <c r="BC22" s="8">
        <v>211102</v>
      </c>
      <c r="BD22" s="8" t="s">
        <v>18</v>
      </c>
      <c r="BE22" s="8" t="str">
        <f>"CPA Pago Operaciones Locales BCI OP 648 "&amp;TEXT(BB22,"dd-mm-yyy")</f>
        <v>CPA Pago Operaciones Locales BCI OP 648 11-06-yyy</v>
      </c>
      <c r="BF22" s="16">
        <f>+AY12</f>
        <v>0</v>
      </c>
      <c r="BG22" s="17"/>
    </row>
    <row r="23" spans="1:59" x14ac:dyDescent="0.25">
      <c r="A23" s="1">
        <v>45587</v>
      </c>
      <c r="B23" s="26">
        <f>HLOOKUP(A23,Hoja2!$R$2:$AV$12,11,FALSE)</f>
        <v>0</v>
      </c>
      <c r="C23" s="26">
        <f>HLOOKUP(A23,Hoja2!$R$2:$AV$13,12,FALSE)</f>
        <v>0</v>
      </c>
      <c r="D23" s="21"/>
      <c r="E23" s="11"/>
      <c r="F23" s="12">
        <v>110260</v>
      </c>
      <c r="G23" s="12" t="s">
        <v>26</v>
      </c>
      <c r="H23" s="12" t="str">
        <f t="shared" si="0"/>
        <v xml:space="preserve">CPA Recaudación por Transbank </v>
      </c>
      <c r="I23" s="12" t="str">
        <f t="shared" ref="I23" si="58">+I22</f>
        <v xml:space="preserve">CPA Recaudación por Transbank </v>
      </c>
      <c r="J23" s="13"/>
      <c r="K23" s="18">
        <f>J22</f>
        <v>0</v>
      </c>
      <c r="N23" s="1">
        <v>45587</v>
      </c>
      <c r="O23" s="26"/>
      <c r="Q23" s="21"/>
      <c r="R23" s="11"/>
      <c r="S23" s="12">
        <v>110209</v>
      </c>
      <c r="T23" s="12" t="s">
        <v>127</v>
      </c>
      <c r="U23" t="str">
        <f t="shared" ref="U23" si="59">U22</f>
        <v>CPA LIQ CORRESPONSAL 11-06-2024</v>
      </c>
      <c r="V23" s="3"/>
      <c r="W23" s="10">
        <f t="shared" ref="W23" si="60">V22</f>
        <v>0</v>
      </c>
      <c r="Z23" s="1">
        <v>45587</v>
      </c>
      <c r="AA23" s="26">
        <f>HLOOKUP(Z23,Hoja2!$R$2:$AV$44,43,FALSE)</f>
        <v>0</v>
      </c>
      <c r="AC23" s="21"/>
      <c r="AD23" s="11"/>
      <c r="AE23" s="12">
        <v>110209</v>
      </c>
      <c r="AF23" s="12" t="s">
        <v>127</v>
      </c>
      <c r="AG23" s="12" t="str">
        <f t="shared" ref="AG23" si="61">AG22</f>
        <v xml:space="preserve">CPA Fondeo WALLET CLP </v>
      </c>
      <c r="AH23" s="3"/>
      <c r="AI23" s="10">
        <f t="shared" ref="AI23" si="62">AH22</f>
        <v>101000000</v>
      </c>
      <c r="AL23" s="1">
        <v>45587</v>
      </c>
      <c r="AM23" s="26"/>
      <c r="AO23" s="21"/>
      <c r="AP23" s="11"/>
      <c r="AQ23">
        <v>110208</v>
      </c>
      <c r="AR23" t="s">
        <v>128</v>
      </c>
      <c r="AS23" t="str">
        <f t="shared" ref="AS23" si="63">AS22</f>
        <v>CPA Traspaso de Fondos BICE 11-06-2024</v>
      </c>
      <c r="AT23" s="3"/>
      <c r="AU23" s="10">
        <f t="shared" ref="AU23" si="64">AT22</f>
        <v>0</v>
      </c>
      <c r="AX23" s="1">
        <v>45587</v>
      </c>
      <c r="AY23" s="26"/>
      <c r="BA23" s="21"/>
      <c r="BB23" s="11"/>
      <c r="BC23">
        <v>110208</v>
      </c>
      <c r="BD23" t="s">
        <v>128</v>
      </c>
      <c r="BE23" t="str">
        <f t="shared" ref="BE23" si="65">BE22</f>
        <v>CPA Pago Operaciones Locales BCI OP 648 11-06-yyy</v>
      </c>
      <c r="BF23" s="3"/>
      <c r="BG23" s="10">
        <f t="shared" ref="BG23" si="66">BF22</f>
        <v>0</v>
      </c>
    </row>
    <row r="24" spans="1:59" x14ac:dyDescent="0.25">
      <c r="A24" s="1">
        <v>45588</v>
      </c>
      <c r="B24" s="26">
        <f>HLOOKUP(A24,Hoja2!$R$2:$AV$12,11,FALSE)</f>
        <v>0</v>
      </c>
      <c r="C24" s="26">
        <f>HLOOKUP(A24,Hoja2!$R$2:$AV$13,12,FALSE)</f>
        <v>0</v>
      </c>
      <c r="D24" s="21"/>
      <c r="E24" s="15">
        <v>45455</v>
      </c>
      <c r="F24" s="8">
        <v>110209</v>
      </c>
      <c r="G24" s="8" t="s">
        <v>127</v>
      </c>
      <c r="H24" s="8" t="str">
        <f t="shared" si="0"/>
        <v xml:space="preserve">CPA Recaudación por Transbank </v>
      </c>
      <c r="I24" s="8" t="str">
        <f t="shared" si="0"/>
        <v xml:space="preserve">CPA Recaudación por Transbank </v>
      </c>
      <c r="J24" s="16">
        <f>+B13</f>
        <v>0</v>
      </c>
      <c r="K24" s="17"/>
      <c r="N24" s="1">
        <v>45588</v>
      </c>
      <c r="O24" s="26"/>
      <c r="Q24" s="21"/>
      <c r="R24" s="15">
        <v>45455</v>
      </c>
      <c r="S24" s="8">
        <v>110608</v>
      </c>
      <c r="T24" s="8" t="s">
        <v>62</v>
      </c>
      <c r="U24" s="8" t="str">
        <f>"CPA LIQ CORRESPONSAL "&amp;TEXT(R24,"dd-mm-aaa")</f>
        <v>CPA LIQ CORRESPONSAL 12-06-2024</v>
      </c>
      <c r="V24" s="16">
        <f>+O13</f>
        <v>0</v>
      </c>
      <c r="W24" s="17"/>
      <c r="Z24" s="1">
        <v>45588</v>
      </c>
      <c r="AA24" s="26">
        <f>HLOOKUP(Z24,Hoja2!$R$2:$AV$44,43,FALSE)</f>
        <v>40000000</v>
      </c>
      <c r="AC24" s="21"/>
      <c r="AD24" s="15">
        <v>45455</v>
      </c>
      <c r="AE24" s="8">
        <v>110213</v>
      </c>
      <c r="AF24" s="8" t="s">
        <v>110</v>
      </c>
      <c r="AG24" t="str">
        <f>"CPA Fondeo WALLET CLP "</f>
        <v xml:space="preserve">CPA Fondeo WALLET CLP </v>
      </c>
      <c r="AH24" s="16">
        <f>+AA13</f>
        <v>0</v>
      </c>
      <c r="AI24" s="17"/>
      <c r="AL24" s="1">
        <v>45588</v>
      </c>
      <c r="AM24" s="26"/>
      <c r="AO24" s="21"/>
      <c r="AP24" s="15">
        <v>45455</v>
      </c>
      <c r="AQ24" s="8">
        <v>110204</v>
      </c>
      <c r="AR24" s="8" t="s">
        <v>51</v>
      </c>
      <c r="AS24" s="8" t="str">
        <f>"CPA Traspaso de Fondos BICE "&amp;TEXT(AP24,"dd-mm-aaa")</f>
        <v>CPA Traspaso de Fondos BICE 12-06-2024</v>
      </c>
      <c r="AT24" s="16">
        <f>+AM13</f>
        <v>0</v>
      </c>
      <c r="AU24" s="17"/>
      <c r="AX24" s="1">
        <v>45588</v>
      </c>
      <c r="AY24" s="26"/>
      <c r="BA24" s="21"/>
      <c r="BB24" s="15">
        <v>45455</v>
      </c>
      <c r="BC24" s="8">
        <v>211102</v>
      </c>
      <c r="BD24" s="8" t="s">
        <v>18</v>
      </c>
      <c r="BE24" s="8" t="str">
        <f>"CPA Pago Operaciones Locales BCI OP 648 "&amp;TEXT(BB24,"dd-mm-yyy")</f>
        <v>CPA Pago Operaciones Locales BCI OP 648 12-06-yyy</v>
      </c>
      <c r="BF24" s="16">
        <f>+AY13</f>
        <v>0</v>
      </c>
      <c r="BG24" s="17"/>
    </row>
    <row r="25" spans="1:59" x14ac:dyDescent="0.25">
      <c r="A25" s="1">
        <v>45589</v>
      </c>
      <c r="B25" s="26">
        <f>HLOOKUP(A25,Hoja2!$R$2:$AV$12,11,FALSE)</f>
        <v>0</v>
      </c>
      <c r="C25" s="26">
        <f>HLOOKUP(A25,Hoja2!$R$2:$AV$13,12,FALSE)</f>
        <v>0</v>
      </c>
      <c r="D25" s="21"/>
      <c r="E25" s="11"/>
      <c r="F25" s="12">
        <v>110260</v>
      </c>
      <c r="G25" s="12" t="s">
        <v>26</v>
      </c>
      <c r="H25" s="12" t="str">
        <f t="shared" si="0"/>
        <v xml:space="preserve">CPA Recaudación por Transbank </v>
      </c>
      <c r="I25" s="12" t="str">
        <f t="shared" ref="I25" si="67">+I24</f>
        <v xml:space="preserve">CPA Recaudación por Transbank </v>
      </c>
      <c r="J25" s="13"/>
      <c r="K25" s="18">
        <f>J24</f>
        <v>0</v>
      </c>
      <c r="N25" s="1">
        <v>45589</v>
      </c>
      <c r="O25" s="26"/>
      <c r="Q25" s="21"/>
      <c r="R25" s="11"/>
      <c r="S25" s="12">
        <v>110209</v>
      </c>
      <c r="T25" s="12" t="s">
        <v>127</v>
      </c>
      <c r="U25" t="str">
        <f>U24</f>
        <v>CPA LIQ CORRESPONSAL 12-06-2024</v>
      </c>
      <c r="V25" s="3"/>
      <c r="W25" s="10">
        <f>V24</f>
        <v>0</v>
      </c>
      <c r="Z25" s="1">
        <v>45589</v>
      </c>
      <c r="AA25" s="26">
        <f>HLOOKUP(Z25,Hoja2!$R$2:$AV$44,43,FALSE)</f>
        <v>0</v>
      </c>
      <c r="AC25" s="21"/>
      <c r="AD25" s="11"/>
      <c r="AE25" s="12">
        <v>110209</v>
      </c>
      <c r="AF25" s="12" t="s">
        <v>127</v>
      </c>
      <c r="AG25" s="12" t="str">
        <f t="shared" ref="AG25" si="68">AG24</f>
        <v xml:space="preserve">CPA Fondeo WALLET CLP </v>
      </c>
      <c r="AH25" s="3"/>
      <c r="AI25" s="10">
        <f>AH24</f>
        <v>0</v>
      </c>
      <c r="AL25" s="1">
        <v>45589</v>
      </c>
      <c r="AM25" s="26"/>
      <c r="AO25" s="21"/>
      <c r="AP25" s="11"/>
      <c r="AQ25">
        <v>110208</v>
      </c>
      <c r="AR25" t="s">
        <v>128</v>
      </c>
      <c r="AS25" t="str">
        <f>AS24</f>
        <v>CPA Traspaso de Fondos BICE 12-06-2024</v>
      </c>
      <c r="AT25" s="3"/>
      <c r="AU25" s="10">
        <f>AT24</f>
        <v>0</v>
      </c>
      <c r="AX25" s="1">
        <v>45589</v>
      </c>
      <c r="AY25" s="26"/>
      <c r="BA25" s="21"/>
      <c r="BB25" s="11"/>
      <c r="BC25">
        <v>110208</v>
      </c>
      <c r="BD25" t="s">
        <v>128</v>
      </c>
      <c r="BE25" t="str">
        <f>BE24</f>
        <v>CPA Pago Operaciones Locales BCI OP 648 12-06-yyy</v>
      </c>
      <c r="BF25" s="3"/>
      <c r="BG25" s="10">
        <f>BF24</f>
        <v>0</v>
      </c>
    </row>
    <row r="26" spans="1:59" x14ac:dyDescent="0.25">
      <c r="A26" s="1">
        <v>45590</v>
      </c>
      <c r="B26" s="26">
        <f>HLOOKUP(A26,Hoja2!$R$2:$AV$12,11,FALSE)</f>
        <v>0</v>
      </c>
      <c r="C26" s="26">
        <f>HLOOKUP(A26,Hoja2!$R$2:$AV$13,12,FALSE)</f>
        <v>0</v>
      </c>
      <c r="D26" s="21"/>
      <c r="E26" s="15">
        <v>45456</v>
      </c>
      <c r="F26" s="8">
        <v>110209</v>
      </c>
      <c r="G26" s="8" t="s">
        <v>127</v>
      </c>
      <c r="H26" s="8" t="str">
        <f t="shared" si="0"/>
        <v xml:space="preserve">CPA Recaudación por Transbank </v>
      </c>
      <c r="I26" s="8" t="str">
        <f t="shared" si="0"/>
        <v xml:space="preserve">CPA Recaudación por Transbank </v>
      </c>
      <c r="J26" s="16">
        <f>+B14</f>
        <v>0</v>
      </c>
      <c r="K26" s="17"/>
      <c r="L26" s="3"/>
      <c r="N26" s="1">
        <v>45590</v>
      </c>
      <c r="O26" s="26"/>
      <c r="Q26" s="21"/>
      <c r="R26" s="15">
        <v>45456</v>
      </c>
      <c r="S26" s="8">
        <v>110608</v>
      </c>
      <c r="T26" s="8" t="s">
        <v>62</v>
      </c>
      <c r="U26" s="8" t="str">
        <f>"CPA LIQ CORRESPONSAL "&amp;TEXT(R26,"dd-mm-aaa")</f>
        <v>CPA LIQ CORRESPONSAL 13-06-2024</v>
      </c>
      <c r="V26" s="16">
        <f>+O14</f>
        <v>0</v>
      </c>
      <c r="W26" s="17"/>
      <c r="Z26" s="1">
        <v>45590</v>
      </c>
      <c r="AA26" s="26">
        <f>HLOOKUP(Z26,Hoja2!$R$2:$AV$44,43,FALSE)</f>
        <v>0</v>
      </c>
      <c r="AC26" s="21"/>
      <c r="AD26" s="15">
        <v>45456</v>
      </c>
      <c r="AE26" s="8">
        <v>110213</v>
      </c>
      <c r="AF26" s="8" t="s">
        <v>110</v>
      </c>
      <c r="AG26" t="str">
        <f>"CPA Fondeo WALLET CLP "</f>
        <v xml:space="preserve">CPA Fondeo WALLET CLP </v>
      </c>
      <c r="AH26" s="16">
        <f>+AA14</f>
        <v>0</v>
      </c>
      <c r="AI26" s="17"/>
      <c r="AL26" s="1">
        <v>45590</v>
      </c>
      <c r="AM26" s="26"/>
      <c r="AO26" s="21"/>
      <c r="AP26" s="15">
        <v>45456</v>
      </c>
      <c r="AQ26" s="8">
        <v>110204</v>
      </c>
      <c r="AR26" s="8" t="s">
        <v>51</v>
      </c>
      <c r="AS26" s="8" t="str">
        <f>"CPA Traspaso de Fondos BICE "&amp;TEXT(AP26,"dd-mm-aaa")</f>
        <v>CPA Traspaso de Fondos BICE 13-06-2024</v>
      </c>
      <c r="AT26" s="16">
        <f>+AM14</f>
        <v>0</v>
      </c>
      <c r="AU26" s="17"/>
      <c r="AX26" s="1">
        <v>45590</v>
      </c>
      <c r="AY26" s="26"/>
      <c r="BA26" s="21"/>
      <c r="BB26" s="15">
        <v>45456</v>
      </c>
      <c r="BC26" s="8">
        <v>211102</v>
      </c>
      <c r="BD26" s="8" t="s">
        <v>18</v>
      </c>
      <c r="BE26" s="8" t="str">
        <f>"CPA Pago Operaciones Locales BCI OP 648 "&amp;TEXT(BB26,"dd-mm-yyy")</f>
        <v>CPA Pago Operaciones Locales BCI OP 648 13-06-yyy</v>
      </c>
      <c r="BF26" s="16">
        <f>+AY14</f>
        <v>0</v>
      </c>
      <c r="BG26" s="17"/>
    </row>
    <row r="27" spans="1:59" x14ac:dyDescent="0.25">
      <c r="A27" s="1">
        <v>45591</v>
      </c>
      <c r="B27" s="26">
        <f>HLOOKUP(A27,Hoja2!$R$2:$AV$12,11,FALSE)</f>
        <v>0</v>
      </c>
      <c r="C27" s="26">
        <f>HLOOKUP(A27,Hoja2!$R$2:$AV$13,12,FALSE)</f>
        <v>0</v>
      </c>
      <c r="D27" s="21"/>
      <c r="E27" s="11"/>
      <c r="F27" s="12">
        <v>110260</v>
      </c>
      <c r="G27" s="12" t="s">
        <v>26</v>
      </c>
      <c r="H27" s="12" t="str">
        <f t="shared" si="0"/>
        <v xml:space="preserve">CPA Recaudación por Transbank </v>
      </c>
      <c r="I27" s="12" t="str">
        <f t="shared" ref="I27" si="69">+I26</f>
        <v xml:space="preserve">CPA Recaudación por Transbank </v>
      </c>
      <c r="J27" s="13"/>
      <c r="K27" s="18">
        <f>J26</f>
        <v>0</v>
      </c>
      <c r="N27" s="1">
        <v>45591</v>
      </c>
      <c r="O27" s="26"/>
      <c r="Q27" s="21"/>
      <c r="R27" s="11"/>
      <c r="S27" s="12">
        <v>110209</v>
      </c>
      <c r="T27" s="12" t="s">
        <v>127</v>
      </c>
      <c r="U27" t="str">
        <f t="shared" ref="U27" si="70">U26</f>
        <v>CPA LIQ CORRESPONSAL 13-06-2024</v>
      </c>
      <c r="V27" s="3"/>
      <c r="W27" s="10">
        <f t="shared" ref="W27" si="71">V26</f>
        <v>0</v>
      </c>
      <c r="Z27" s="1">
        <v>45591</v>
      </c>
      <c r="AA27" s="26">
        <f>HLOOKUP(Z27,Hoja2!$R$2:$AV$44,43,FALSE)</f>
        <v>0</v>
      </c>
      <c r="AC27" s="21"/>
      <c r="AD27" s="11"/>
      <c r="AE27" s="12">
        <v>110209</v>
      </c>
      <c r="AF27" s="12" t="s">
        <v>127</v>
      </c>
      <c r="AG27" s="12" t="str">
        <f t="shared" ref="AG27" si="72">AG26</f>
        <v xml:space="preserve">CPA Fondeo WALLET CLP </v>
      </c>
      <c r="AH27" s="3"/>
      <c r="AI27" s="10">
        <f t="shared" ref="AI27" si="73">AH26</f>
        <v>0</v>
      </c>
      <c r="AL27" s="1">
        <v>45591</v>
      </c>
      <c r="AM27" s="26"/>
      <c r="AO27" s="21"/>
      <c r="AP27" s="11"/>
      <c r="AQ27">
        <v>110208</v>
      </c>
      <c r="AR27" t="s">
        <v>128</v>
      </c>
      <c r="AS27" t="str">
        <f t="shared" ref="AS27" si="74">AS26</f>
        <v>CPA Traspaso de Fondos BICE 13-06-2024</v>
      </c>
      <c r="AT27" s="3"/>
      <c r="AU27" s="10">
        <f t="shared" ref="AU27" si="75">AT26</f>
        <v>0</v>
      </c>
      <c r="AX27" s="1">
        <v>45591</v>
      </c>
      <c r="AY27" s="26"/>
      <c r="BA27" s="21"/>
      <c r="BB27" s="11"/>
      <c r="BC27">
        <v>110208</v>
      </c>
      <c r="BD27" t="s">
        <v>128</v>
      </c>
      <c r="BE27" t="str">
        <f t="shared" ref="BE27" si="76">BE26</f>
        <v>CPA Pago Operaciones Locales BCI OP 648 13-06-yyy</v>
      </c>
      <c r="BF27" s="3"/>
      <c r="BG27" s="10">
        <f t="shared" ref="BG27" si="77">BF26</f>
        <v>0</v>
      </c>
    </row>
    <row r="28" spans="1:59" x14ac:dyDescent="0.25">
      <c r="A28" s="1">
        <v>45592</v>
      </c>
      <c r="B28" s="26">
        <f>HLOOKUP(A28,Hoja2!$R$2:$AV$12,11,FALSE)</f>
        <v>0</v>
      </c>
      <c r="C28" s="26">
        <f>HLOOKUP(A28,Hoja2!$R$2:$AV$13,12,FALSE)</f>
        <v>0</v>
      </c>
      <c r="E28" s="15">
        <v>45457</v>
      </c>
      <c r="F28" s="8">
        <v>110209</v>
      </c>
      <c r="G28" s="8" t="s">
        <v>127</v>
      </c>
      <c r="H28" s="8" t="str">
        <f t="shared" si="0"/>
        <v xml:space="preserve">CPA Recaudación por Transbank </v>
      </c>
      <c r="I28" s="8" t="str">
        <f t="shared" si="0"/>
        <v xml:space="preserve">CPA Recaudación por Transbank </v>
      </c>
      <c r="J28" s="16">
        <f>+B15</f>
        <v>0</v>
      </c>
      <c r="K28" s="17"/>
      <c r="N28" s="1">
        <v>45592</v>
      </c>
      <c r="O28" s="26"/>
      <c r="R28" s="15">
        <v>45457</v>
      </c>
      <c r="S28" s="8">
        <v>110608</v>
      </c>
      <c r="T28" s="8" t="s">
        <v>62</v>
      </c>
      <c r="U28" s="8" t="str">
        <f>"CPA LIQ CORRESPONSAL "&amp;TEXT(R28,"dd-mm-aaa")</f>
        <v>CPA LIQ CORRESPONSAL 14-06-2024</v>
      </c>
      <c r="V28" s="16">
        <f>+O15</f>
        <v>0</v>
      </c>
      <c r="W28" s="17"/>
      <c r="Z28" s="1">
        <v>45592</v>
      </c>
      <c r="AA28" s="26">
        <f>HLOOKUP(Z28,Hoja2!$R$2:$AV$44,43,FALSE)</f>
        <v>0</v>
      </c>
      <c r="AD28" s="15">
        <v>45457</v>
      </c>
      <c r="AE28" s="8">
        <v>110213</v>
      </c>
      <c r="AF28" s="8" t="s">
        <v>110</v>
      </c>
      <c r="AG28" t="str">
        <f>"CPA Fondeo WALLET CLP "</f>
        <v xml:space="preserve">CPA Fondeo WALLET CLP </v>
      </c>
      <c r="AH28" s="16">
        <f>+AA15</f>
        <v>0</v>
      </c>
      <c r="AI28" s="17"/>
      <c r="AL28" s="1">
        <v>45592</v>
      </c>
      <c r="AM28" s="26"/>
      <c r="AP28" s="15">
        <v>45457</v>
      </c>
      <c r="AQ28" s="8">
        <v>110204</v>
      </c>
      <c r="AR28" s="8" t="s">
        <v>51</v>
      </c>
      <c r="AS28" s="8" t="str">
        <f>"CPA Traspaso de Fondos BICE "&amp;TEXT(AP28,"dd-mm-aaa")</f>
        <v>CPA Traspaso de Fondos BICE 14-06-2024</v>
      </c>
      <c r="AT28" s="16">
        <f>+AM15</f>
        <v>0</v>
      </c>
      <c r="AU28" s="17"/>
      <c r="AX28" s="1">
        <v>45592</v>
      </c>
      <c r="AY28" s="26"/>
      <c r="BB28" s="15">
        <v>45457</v>
      </c>
      <c r="BC28" s="8">
        <v>211102</v>
      </c>
      <c r="BD28" s="8" t="s">
        <v>18</v>
      </c>
      <c r="BE28" s="8" t="str">
        <f>"CPA Pago Operaciones Locales BCI OP 648 "&amp;TEXT(BB28,"dd-mm-yyy")</f>
        <v>CPA Pago Operaciones Locales BCI OP 648 14-06-yyy</v>
      </c>
      <c r="BF28" s="16">
        <f>+AY15</f>
        <v>0</v>
      </c>
      <c r="BG28" s="17"/>
    </row>
    <row r="29" spans="1:59" x14ac:dyDescent="0.25">
      <c r="A29" s="1">
        <v>45593</v>
      </c>
      <c r="B29" s="26">
        <f>HLOOKUP(A29,Hoja2!$R$2:$AV$12,11,FALSE)</f>
        <v>0</v>
      </c>
      <c r="C29" s="26">
        <f>HLOOKUP(A29,Hoja2!$R$2:$AV$13,12,FALSE)</f>
        <v>0</v>
      </c>
      <c r="D29" s="39"/>
      <c r="E29" s="11"/>
      <c r="F29" s="12">
        <v>110260</v>
      </c>
      <c r="G29" s="12" t="s">
        <v>26</v>
      </c>
      <c r="H29" s="12" t="str">
        <f t="shared" si="0"/>
        <v xml:space="preserve">CPA Recaudación por Transbank </v>
      </c>
      <c r="I29" s="12" t="str">
        <f t="shared" ref="I29" si="78">+I28</f>
        <v xml:space="preserve">CPA Recaudación por Transbank </v>
      </c>
      <c r="J29" s="13"/>
      <c r="K29" s="18">
        <f>J28</f>
        <v>0</v>
      </c>
      <c r="N29" s="1">
        <v>45593</v>
      </c>
      <c r="O29" s="26"/>
      <c r="Q29" s="39"/>
      <c r="R29" s="11"/>
      <c r="S29" s="12">
        <v>110209</v>
      </c>
      <c r="T29" s="12" t="s">
        <v>127</v>
      </c>
      <c r="U29" t="str">
        <f t="shared" ref="U29" si="79">U28</f>
        <v>CPA LIQ CORRESPONSAL 14-06-2024</v>
      </c>
      <c r="V29" s="3"/>
      <c r="W29" s="10">
        <f t="shared" ref="W29" si="80">V28</f>
        <v>0</v>
      </c>
      <c r="Z29" s="1">
        <v>45593</v>
      </c>
      <c r="AA29" s="26">
        <f>HLOOKUP(Z29,Hoja2!$R$2:$AV$44,43,FALSE)</f>
        <v>0</v>
      </c>
      <c r="AC29" s="39"/>
      <c r="AD29" s="11"/>
      <c r="AE29" s="12">
        <v>110209</v>
      </c>
      <c r="AF29" s="12" t="s">
        <v>127</v>
      </c>
      <c r="AG29" s="12" t="str">
        <f t="shared" ref="AG29" si="81">AG28</f>
        <v xml:space="preserve">CPA Fondeo WALLET CLP </v>
      </c>
      <c r="AH29" s="3"/>
      <c r="AI29" s="10">
        <f t="shared" ref="AI29" si="82">AH28</f>
        <v>0</v>
      </c>
      <c r="AL29" s="1">
        <v>45593</v>
      </c>
      <c r="AM29" s="26"/>
      <c r="AO29" s="39"/>
      <c r="AP29" s="11"/>
      <c r="AQ29">
        <v>110208</v>
      </c>
      <c r="AR29" t="s">
        <v>128</v>
      </c>
      <c r="AS29" t="str">
        <f t="shared" ref="AS29" si="83">AS28</f>
        <v>CPA Traspaso de Fondos BICE 14-06-2024</v>
      </c>
      <c r="AT29" s="3"/>
      <c r="AU29" s="10">
        <f t="shared" ref="AU29" si="84">AT28</f>
        <v>0</v>
      </c>
      <c r="AX29" s="1">
        <v>45593</v>
      </c>
      <c r="AY29" s="26"/>
      <c r="BA29" s="39"/>
      <c r="BB29" s="11"/>
      <c r="BC29">
        <v>110208</v>
      </c>
      <c r="BD29" t="s">
        <v>128</v>
      </c>
      <c r="BE29" t="str">
        <f t="shared" ref="BE29" si="85">BE28</f>
        <v>CPA Pago Operaciones Locales BCI OP 648 14-06-yyy</v>
      </c>
      <c r="BF29" s="3"/>
      <c r="BG29" s="10">
        <f t="shared" ref="BG29" si="86">BF28</f>
        <v>0</v>
      </c>
    </row>
    <row r="30" spans="1:59" x14ac:dyDescent="0.25">
      <c r="A30" s="1">
        <v>45594</v>
      </c>
      <c r="B30" s="26">
        <f>HLOOKUP(A30,Hoja2!$R$2:$AV$12,11,FALSE)</f>
        <v>0</v>
      </c>
      <c r="C30" s="26">
        <f>HLOOKUP(A30,Hoja2!$R$2:$AV$13,12,FALSE)</f>
        <v>0</v>
      </c>
      <c r="E30" s="15">
        <v>45458</v>
      </c>
      <c r="F30" s="8">
        <v>110209</v>
      </c>
      <c r="G30" s="8" t="s">
        <v>127</v>
      </c>
      <c r="H30" s="8" t="str">
        <f t="shared" si="0"/>
        <v xml:space="preserve">CPA Recaudación por Transbank </v>
      </c>
      <c r="I30" s="8" t="str">
        <f t="shared" si="0"/>
        <v xml:space="preserve">CPA Recaudación por Transbank </v>
      </c>
      <c r="J30" s="16">
        <f>+B16</f>
        <v>0</v>
      </c>
      <c r="K30" s="17"/>
      <c r="L30" s="3"/>
      <c r="N30" s="1">
        <v>45594</v>
      </c>
      <c r="O30" s="26"/>
      <c r="R30" s="15">
        <v>45458</v>
      </c>
      <c r="S30" s="8">
        <v>110608</v>
      </c>
      <c r="T30" s="8" t="s">
        <v>62</v>
      </c>
      <c r="U30" s="8" t="str">
        <f>"CPA LIQ CORRESPONSAL "&amp;TEXT(R30,"dd-mm-aaa")</f>
        <v>CPA LIQ CORRESPONSAL 15-06-2024</v>
      </c>
      <c r="V30" s="16">
        <f>+O16</f>
        <v>0</v>
      </c>
      <c r="W30" s="17"/>
      <c r="Z30" s="1">
        <v>45594</v>
      </c>
      <c r="AA30" s="26">
        <f>HLOOKUP(Z30,Hoja2!$R$2:$AV$44,43,FALSE)</f>
        <v>41000000</v>
      </c>
      <c r="AD30" s="15">
        <v>45458</v>
      </c>
      <c r="AE30" s="8">
        <v>110213</v>
      </c>
      <c r="AF30" s="8" t="s">
        <v>110</v>
      </c>
      <c r="AG30" t="str">
        <f>"CPA Fondeo WALLET CLP "</f>
        <v xml:space="preserve">CPA Fondeo WALLET CLP </v>
      </c>
      <c r="AH30" s="16">
        <f>+AA16</f>
        <v>0</v>
      </c>
      <c r="AI30" s="17"/>
      <c r="AL30" s="1">
        <v>45594</v>
      </c>
      <c r="AM30" s="26"/>
      <c r="AP30" s="15">
        <v>45458</v>
      </c>
      <c r="AQ30" s="8">
        <v>110204</v>
      </c>
      <c r="AR30" s="8" t="s">
        <v>51</v>
      </c>
      <c r="AS30" s="8" t="str">
        <f>"CPA Traspaso de Fondos BICE "&amp;TEXT(AP30,"dd-mm-aaa")</f>
        <v>CPA Traspaso de Fondos BICE 15-06-2024</v>
      </c>
      <c r="AT30" s="16">
        <f>+AM16</f>
        <v>0</v>
      </c>
      <c r="AU30" s="17"/>
      <c r="AX30" s="1">
        <v>45594</v>
      </c>
      <c r="AY30" s="26"/>
      <c r="BB30" s="15">
        <v>45458</v>
      </c>
      <c r="BC30" s="8">
        <v>211102</v>
      </c>
      <c r="BD30" s="8" t="s">
        <v>18</v>
      </c>
      <c r="BE30" s="8" t="str">
        <f>"CPA Pago Operaciones Locales BCI OP 648 "&amp;TEXT(BB30,"dd-mm-yyy")</f>
        <v>CPA Pago Operaciones Locales BCI OP 648 15-06-yyy</v>
      </c>
      <c r="BF30" s="16">
        <f>+AY16</f>
        <v>0</v>
      </c>
      <c r="BG30" s="17"/>
    </row>
    <row r="31" spans="1:59" x14ac:dyDescent="0.25">
      <c r="A31" s="1">
        <v>45595</v>
      </c>
      <c r="B31" s="26">
        <f>HLOOKUP(A31,Hoja2!$R$2:$AV$12,11,FALSE)</f>
        <v>0</v>
      </c>
      <c r="C31" s="26">
        <f>HLOOKUP(A31,Hoja2!$R$2:$AV$13,12,FALSE)</f>
        <v>0</v>
      </c>
      <c r="E31" s="11"/>
      <c r="F31" s="12">
        <v>110260</v>
      </c>
      <c r="G31" s="12" t="s">
        <v>26</v>
      </c>
      <c r="H31" s="12" t="str">
        <f t="shared" si="0"/>
        <v xml:space="preserve">CPA Recaudación por Transbank </v>
      </c>
      <c r="I31" s="12" t="str">
        <f t="shared" ref="I31" si="87">+I30</f>
        <v xml:space="preserve">CPA Recaudación por Transbank </v>
      </c>
      <c r="J31" s="13"/>
      <c r="K31" s="18">
        <f>J30</f>
        <v>0</v>
      </c>
      <c r="N31" s="1">
        <v>45595</v>
      </c>
      <c r="O31" s="26"/>
      <c r="R31" s="11"/>
      <c r="S31" s="12">
        <v>110209</v>
      </c>
      <c r="T31" s="12" t="s">
        <v>127</v>
      </c>
      <c r="U31" s="12" t="str">
        <f>U30</f>
        <v>CPA LIQ CORRESPONSAL 15-06-2024</v>
      </c>
      <c r="V31" s="13"/>
      <c r="W31" s="18">
        <f>V30</f>
        <v>0</v>
      </c>
      <c r="Z31" s="1">
        <v>45595</v>
      </c>
      <c r="AA31" s="26">
        <f>HLOOKUP(Z31,Hoja2!$R$2:$AV$44,43,FALSE)</f>
        <v>0</v>
      </c>
      <c r="AD31" s="11"/>
      <c r="AE31" s="12">
        <v>110209</v>
      </c>
      <c r="AF31" s="12" t="s">
        <v>127</v>
      </c>
      <c r="AG31" s="12" t="str">
        <f t="shared" ref="AG31" si="88">AG30</f>
        <v xml:space="preserve">CPA Fondeo WALLET CLP </v>
      </c>
      <c r="AH31" s="13"/>
      <c r="AI31" s="18">
        <f>AH30</f>
        <v>0</v>
      </c>
      <c r="AL31" s="1">
        <v>45595</v>
      </c>
      <c r="AM31" s="26"/>
      <c r="AP31" s="11"/>
      <c r="AQ31" s="12">
        <v>110208</v>
      </c>
      <c r="AR31" s="12" t="s">
        <v>128</v>
      </c>
      <c r="AS31" s="12" t="str">
        <f>AS30</f>
        <v>CPA Traspaso de Fondos BICE 15-06-2024</v>
      </c>
      <c r="AT31" s="13"/>
      <c r="AU31" s="18">
        <f>AT30</f>
        <v>0</v>
      </c>
      <c r="AX31" s="1">
        <v>45595</v>
      </c>
      <c r="AY31" s="26"/>
      <c r="BB31" s="11"/>
      <c r="BC31" s="12">
        <v>110208</v>
      </c>
      <c r="BD31" s="12" t="s">
        <v>128</v>
      </c>
      <c r="BE31" s="12" t="str">
        <f>BE30</f>
        <v>CPA Pago Operaciones Locales BCI OP 648 15-06-yyy</v>
      </c>
      <c r="BF31" s="13"/>
      <c r="BG31" s="18">
        <f>BF30</f>
        <v>0</v>
      </c>
    </row>
    <row r="32" spans="1:59" x14ac:dyDescent="0.25">
      <c r="A32" s="1">
        <v>45596</v>
      </c>
      <c r="B32" s="26">
        <f>HLOOKUP(A32,Hoja2!$R$2:$AV$12,11,FALSE)</f>
        <v>0</v>
      </c>
      <c r="C32" s="26">
        <f>HLOOKUP(A32,Hoja2!$R$2:$AV$13,12,FALSE)</f>
        <v>0</v>
      </c>
      <c r="E32" s="15">
        <v>45459</v>
      </c>
      <c r="F32" s="8">
        <v>110209</v>
      </c>
      <c r="G32" s="8" t="s">
        <v>127</v>
      </c>
      <c r="H32" s="8" t="str">
        <f t="shared" si="0"/>
        <v xml:space="preserve">CPA Recaudación por Transbank </v>
      </c>
      <c r="I32" s="8" t="str">
        <f t="shared" si="0"/>
        <v xml:space="preserve">CPA Recaudación por Transbank </v>
      </c>
      <c r="J32" s="16">
        <f>+B17</f>
        <v>0</v>
      </c>
      <c r="K32" s="17"/>
      <c r="L32" s="3"/>
      <c r="N32" s="1">
        <v>45596</v>
      </c>
      <c r="O32" s="26"/>
      <c r="R32" s="15">
        <v>45459</v>
      </c>
      <c r="S32" s="8">
        <v>110608</v>
      </c>
      <c r="T32" s="8" t="s">
        <v>62</v>
      </c>
      <c r="U32" s="8" t="str">
        <f>"CPA LIQ CORRESPONSAL "&amp;TEXT(R32,"dd-mm-aaa")</f>
        <v>CPA LIQ CORRESPONSAL 16-06-2024</v>
      </c>
      <c r="V32" s="16">
        <f>+O17</f>
        <v>0</v>
      </c>
      <c r="W32" s="17"/>
      <c r="Z32" s="1">
        <v>45596</v>
      </c>
      <c r="AA32" s="26">
        <f>HLOOKUP(Z32,Hoja2!$R$2:$AV$44,43,FALSE)</f>
        <v>0</v>
      </c>
      <c r="AD32" s="15">
        <v>45459</v>
      </c>
      <c r="AE32" s="8">
        <v>110213</v>
      </c>
      <c r="AF32" s="8" t="s">
        <v>110</v>
      </c>
      <c r="AG32" t="str">
        <f>"CPA Fondeo WALLET CLP "</f>
        <v xml:space="preserve">CPA Fondeo WALLET CLP </v>
      </c>
      <c r="AH32" s="16">
        <f>+AA17</f>
        <v>250000000</v>
      </c>
      <c r="AI32" s="17"/>
      <c r="AL32" s="1">
        <v>45596</v>
      </c>
      <c r="AM32" s="26"/>
      <c r="AP32" s="15">
        <v>45459</v>
      </c>
      <c r="AQ32" s="8">
        <v>110204</v>
      </c>
      <c r="AR32" s="8" t="s">
        <v>51</v>
      </c>
      <c r="AS32" s="8" t="str">
        <f>"CPA Traspaso de Fondos BICE "&amp;TEXT(AP32,"dd-mm-aaa")</f>
        <v>CPA Traspaso de Fondos BICE 16-06-2024</v>
      </c>
      <c r="AT32" s="16">
        <f>+AM17</f>
        <v>0</v>
      </c>
      <c r="AU32" s="17"/>
      <c r="AX32" s="1">
        <v>45596</v>
      </c>
      <c r="AY32" s="26"/>
      <c r="BB32" s="15">
        <v>45459</v>
      </c>
      <c r="BC32" s="8">
        <v>211102</v>
      </c>
      <c r="BD32" s="8" t="s">
        <v>18</v>
      </c>
      <c r="BE32" s="8" t="str">
        <f>"CPA Pago Operaciones Locales BCI OP 648 "&amp;TEXT(BB32,"dd-mm-yyy")</f>
        <v>CPA Pago Operaciones Locales BCI OP 648 16-06-yyy</v>
      </c>
      <c r="BF32" s="16">
        <f>+AY17</f>
        <v>0</v>
      </c>
      <c r="BG32" s="17"/>
    </row>
    <row r="33" spans="2:59" x14ac:dyDescent="0.25">
      <c r="B33" s="26">
        <f>SUM(B2:B32)</f>
        <v>0</v>
      </c>
      <c r="C33" s="26">
        <f>SUM(C2:C32)</f>
        <v>0</v>
      </c>
      <c r="E33" s="11"/>
      <c r="F33" s="12">
        <v>110260</v>
      </c>
      <c r="G33" s="12" t="s">
        <v>26</v>
      </c>
      <c r="H33" s="12" t="str">
        <f t="shared" si="0"/>
        <v xml:space="preserve">CPA Recaudación por Transbank </v>
      </c>
      <c r="I33" s="12" t="str">
        <f t="shared" ref="I33" si="89">+I32</f>
        <v xml:space="preserve">CPA Recaudación por Transbank </v>
      </c>
      <c r="J33" s="13"/>
      <c r="K33" s="18">
        <f>J32</f>
        <v>0</v>
      </c>
      <c r="R33" s="11"/>
      <c r="S33" s="12">
        <v>110209</v>
      </c>
      <c r="T33" s="12" t="s">
        <v>127</v>
      </c>
      <c r="U33" s="12" t="str">
        <f t="shared" ref="U33:U41" si="90">U32</f>
        <v>CPA LIQ CORRESPONSAL 16-06-2024</v>
      </c>
      <c r="V33" s="13"/>
      <c r="W33" s="18">
        <f t="shared" ref="W33" si="91">V32</f>
        <v>0</v>
      </c>
      <c r="AD33" s="11"/>
      <c r="AE33" s="12">
        <v>110209</v>
      </c>
      <c r="AF33" s="12" t="s">
        <v>127</v>
      </c>
      <c r="AG33" s="12" t="str">
        <f t="shared" ref="AG33" si="92">AG32</f>
        <v xml:space="preserve">CPA Fondeo WALLET CLP </v>
      </c>
      <c r="AH33" s="13"/>
      <c r="AI33" s="18">
        <f t="shared" ref="AI33" si="93">AH32</f>
        <v>250000000</v>
      </c>
      <c r="AP33" s="11"/>
      <c r="AQ33" s="12">
        <v>110208</v>
      </c>
      <c r="AR33" s="12" t="s">
        <v>128</v>
      </c>
      <c r="AS33" s="12" t="str">
        <f t="shared" ref="AS33:AS41" si="94">AS32</f>
        <v>CPA Traspaso de Fondos BICE 16-06-2024</v>
      </c>
      <c r="AT33" s="13"/>
      <c r="AU33" s="18">
        <f t="shared" ref="AU33" si="95">AT32</f>
        <v>0</v>
      </c>
      <c r="BB33" s="11"/>
      <c r="BC33" s="12">
        <v>110208</v>
      </c>
      <c r="BD33" s="12" t="s">
        <v>128</v>
      </c>
      <c r="BE33" s="12" t="str">
        <f t="shared" ref="BE33:BE41" si="96">BE32</f>
        <v>CPA Pago Operaciones Locales BCI OP 648 16-06-yyy</v>
      </c>
      <c r="BF33" s="13"/>
      <c r="BG33" s="18">
        <f t="shared" ref="BG33" si="97">BF32</f>
        <v>0</v>
      </c>
    </row>
    <row r="34" spans="2:59" x14ac:dyDescent="0.25">
      <c r="E34" s="15">
        <v>45460</v>
      </c>
      <c r="F34" s="8">
        <v>110209</v>
      </c>
      <c r="G34" s="8" t="s">
        <v>127</v>
      </c>
      <c r="H34" s="8" t="str">
        <f t="shared" si="0"/>
        <v xml:space="preserve">CPA Recaudación por Transbank </v>
      </c>
      <c r="I34" s="8" t="str">
        <f t="shared" si="0"/>
        <v xml:space="preserve">CPA Recaudación por Transbank </v>
      </c>
      <c r="J34" s="16">
        <f>+B18</f>
        <v>0</v>
      </c>
      <c r="K34" s="17"/>
      <c r="L34" s="3"/>
      <c r="R34" s="15">
        <v>45460</v>
      </c>
      <c r="S34" s="8">
        <v>110608</v>
      </c>
      <c r="T34" s="8" t="s">
        <v>62</v>
      </c>
      <c r="U34" s="8" t="str">
        <f>"CPA LIQ CORRESPONSAL "&amp;TEXT(R34,"dd-mm-aaa")</f>
        <v>CPA LIQ CORRESPONSAL 17-06-2024</v>
      </c>
      <c r="V34" s="16">
        <f>+O18</f>
        <v>0</v>
      </c>
      <c r="W34" s="17"/>
      <c r="AD34" s="15">
        <v>45460</v>
      </c>
      <c r="AE34" s="8">
        <v>110213</v>
      </c>
      <c r="AF34" s="8" t="s">
        <v>110</v>
      </c>
      <c r="AG34" t="str">
        <f>"CPA Fondeo WALLET CLP "</f>
        <v xml:space="preserve">CPA Fondeo WALLET CLP </v>
      </c>
      <c r="AH34" s="16">
        <f>+AA18</f>
        <v>0</v>
      </c>
      <c r="AI34" s="17"/>
      <c r="AP34" s="15">
        <v>45460</v>
      </c>
      <c r="AQ34" s="8">
        <v>110204</v>
      </c>
      <c r="AR34" s="8" t="s">
        <v>51</v>
      </c>
      <c r="AS34" s="8" t="str">
        <f>"CPA Traspaso de Fondos BICE "&amp;TEXT(AP34,"dd-mm-aaa")</f>
        <v>CPA Traspaso de Fondos BICE 17-06-2024</v>
      </c>
      <c r="AT34" s="16">
        <f>+AM18</f>
        <v>0</v>
      </c>
      <c r="AU34" s="17"/>
      <c r="BB34" s="15">
        <v>45460</v>
      </c>
      <c r="BC34" s="8">
        <v>211102</v>
      </c>
      <c r="BD34" s="8" t="s">
        <v>18</v>
      </c>
      <c r="BE34" s="8" t="str">
        <f>"CPA Pago Operaciones Locales BCI OP 648 "&amp;TEXT(BB34,"dd-mm-yyy")</f>
        <v>CPA Pago Operaciones Locales BCI OP 648 17-06-yyy</v>
      </c>
      <c r="BF34" s="16">
        <f>+AY18</f>
        <v>0</v>
      </c>
      <c r="BG34" s="17"/>
    </row>
    <row r="35" spans="2:59" x14ac:dyDescent="0.25">
      <c r="E35" s="11"/>
      <c r="F35" s="12">
        <v>110260</v>
      </c>
      <c r="G35" s="12" t="s">
        <v>26</v>
      </c>
      <c r="H35" s="12" t="str">
        <f t="shared" si="0"/>
        <v xml:space="preserve">CPA Recaudación por Transbank </v>
      </c>
      <c r="I35" s="12" t="str">
        <f t="shared" ref="I35" si="98">+I34</f>
        <v xml:space="preserve">CPA Recaudación por Transbank </v>
      </c>
      <c r="J35" s="13"/>
      <c r="K35" s="18">
        <f>J34</f>
        <v>0</v>
      </c>
      <c r="R35" s="11"/>
      <c r="S35" s="12">
        <v>110209</v>
      </c>
      <c r="T35" s="12" t="s">
        <v>127</v>
      </c>
      <c r="U35" s="12" t="str">
        <f t="shared" si="90"/>
        <v>CPA LIQ CORRESPONSAL 17-06-2024</v>
      </c>
      <c r="V35" s="13"/>
      <c r="W35" s="18">
        <f t="shared" ref="W35" si="99">V34</f>
        <v>0</v>
      </c>
      <c r="AD35" s="11"/>
      <c r="AE35" s="12">
        <v>110209</v>
      </c>
      <c r="AF35" s="12" t="s">
        <v>127</v>
      </c>
      <c r="AG35" s="12" t="str">
        <f t="shared" ref="AG35" si="100">AG34</f>
        <v xml:space="preserve">CPA Fondeo WALLET CLP </v>
      </c>
      <c r="AH35" s="13"/>
      <c r="AI35" s="18">
        <f t="shared" ref="AI35" si="101">AH34</f>
        <v>0</v>
      </c>
      <c r="AP35" s="11"/>
      <c r="AQ35" s="12">
        <v>110208</v>
      </c>
      <c r="AR35" s="12" t="s">
        <v>128</v>
      </c>
      <c r="AS35" s="12" t="str">
        <f t="shared" si="94"/>
        <v>CPA Traspaso de Fondos BICE 17-06-2024</v>
      </c>
      <c r="AT35" s="13"/>
      <c r="AU35" s="18">
        <f t="shared" ref="AU35" si="102">AT34</f>
        <v>0</v>
      </c>
      <c r="BB35" s="11"/>
      <c r="BC35" s="12">
        <v>110208</v>
      </c>
      <c r="BD35" s="12" t="s">
        <v>128</v>
      </c>
      <c r="BE35" s="12" t="str">
        <f t="shared" si="96"/>
        <v>CPA Pago Operaciones Locales BCI OP 648 17-06-yyy</v>
      </c>
      <c r="BF35" s="13"/>
      <c r="BG35" s="18">
        <f t="shared" ref="BG35" si="103">BF34</f>
        <v>0</v>
      </c>
    </row>
    <row r="36" spans="2:59" x14ac:dyDescent="0.25">
      <c r="E36" s="15">
        <v>45461</v>
      </c>
      <c r="F36" s="8">
        <v>110209</v>
      </c>
      <c r="G36" s="8" t="s">
        <v>127</v>
      </c>
      <c r="H36" s="8" t="str">
        <f t="shared" si="0"/>
        <v xml:space="preserve">CPA Recaudación por Transbank </v>
      </c>
      <c r="I36" s="8" t="str">
        <f t="shared" si="0"/>
        <v xml:space="preserve">CPA Recaudación por Transbank </v>
      </c>
      <c r="J36" s="16">
        <f>+B19</f>
        <v>0</v>
      </c>
      <c r="K36" s="17"/>
      <c r="R36" s="15">
        <v>45461</v>
      </c>
      <c r="S36" s="8">
        <v>110608</v>
      </c>
      <c r="T36" s="8" t="s">
        <v>62</v>
      </c>
      <c r="U36" s="8" t="str">
        <f>"CPA LIQ CORRESPONSAL "&amp;TEXT(R36,"dd-mm-aaa")</f>
        <v>CPA LIQ CORRESPONSAL 18-06-2024</v>
      </c>
      <c r="V36" s="16">
        <f>+O19</f>
        <v>0</v>
      </c>
      <c r="W36" s="17"/>
      <c r="AD36" s="15">
        <v>45461</v>
      </c>
      <c r="AE36" s="8">
        <v>110213</v>
      </c>
      <c r="AF36" s="8" t="s">
        <v>110</v>
      </c>
      <c r="AG36" t="str">
        <f>"CPA Fondeo WALLET CLP "</f>
        <v xml:space="preserve">CPA Fondeo WALLET CLP </v>
      </c>
      <c r="AH36" s="16">
        <f>+AA19</f>
        <v>0</v>
      </c>
      <c r="AI36" s="17"/>
      <c r="AP36" s="15">
        <v>45461</v>
      </c>
      <c r="AQ36" s="8">
        <v>110204</v>
      </c>
      <c r="AR36" s="8" t="s">
        <v>51</v>
      </c>
      <c r="AS36" s="8" t="str">
        <f>"CPA Traspaso de Fondos BICE "&amp;TEXT(AP36,"dd-mm-aaa")</f>
        <v>CPA Traspaso de Fondos BICE 18-06-2024</v>
      </c>
      <c r="AT36" s="16">
        <f>+AM19</f>
        <v>0</v>
      </c>
      <c r="AU36" s="17"/>
      <c r="BB36" s="15">
        <v>45461</v>
      </c>
      <c r="BC36" s="8">
        <v>211102</v>
      </c>
      <c r="BD36" s="8" t="s">
        <v>18</v>
      </c>
      <c r="BE36" s="8" t="str">
        <f>"CPA Pago Operaciones Locales BCI OP 648 "&amp;TEXT(BB36,"dd-mm-yyy")</f>
        <v>CPA Pago Operaciones Locales BCI OP 648 18-06-yyy</v>
      </c>
      <c r="BF36" s="16">
        <f>+AY19</f>
        <v>0</v>
      </c>
      <c r="BG36" s="17"/>
    </row>
    <row r="37" spans="2:59" x14ac:dyDescent="0.25">
      <c r="E37" s="11"/>
      <c r="F37" s="12">
        <v>110260</v>
      </c>
      <c r="G37" s="12" t="s">
        <v>26</v>
      </c>
      <c r="H37" s="12" t="str">
        <f t="shared" si="0"/>
        <v xml:space="preserve">CPA Recaudación por Transbank </v>
      </c>
      <c r="I37" s="12" t="str">
        <f t="shared" ref="I37" si="104">+I36</f>
        <v xml:space="preserve">CPA Recaudación por Transbank </v>
      </c>
      <c r="J37" s="13"/>
      <c r="K37" s="18">
        <f>J36</f>
        <v>0</v>
      </c>
      <c r="R37" s="11"/>
      <c r="S37" s="12">
        <v>110209</v>
      </c>
      <c r="T37" s="12" t="s">
        <v>127</v>
      </c>
      <c r="U37" s="12" t="str">
        <f>U36</f>
        <v>CPA LIQ CORRESPONSAL 18-06-2024</v>
      </c>
      <c r="V37" s="13"/>
      <c r="W37" s="18">
        <f>V36</f>
        <v>0</v>
      </c>
      <c r="AD37" s="11"/>
      <c r="AE37" s="12">
        <v>110209</v>
      </c>
      <c r="AF37" s="12" t="s">
        <v>127</v>
      </c>
      <c r="AG37" s="12" t="str">
        <f t="shared" ref="AG37" si="105">AG36</f>
        <v xml:space="preserve">CPA Fondeo WALLET CLP </v>
      </c>
      <c r="AH37" s="13"/>
      <c r="AI37" s="18">
        <f>AH36</f>
        <v>0</v>
      </c>
      <c r="AP37" s="11"/>
      <c r="AQ37" s="12">
        <v>110208</v>
      </c>
      <c r="AR37" s="12" t="s">
        <v>128</v>
      </c>
      <c r="AS37" s="12" t="str">
        <f>AS36</f>
        <v>CPA Traspaso de Fondos BICE 18-06-2024</v>
      </c>
      <c r="AT37" s="13"/>
      <c r="AU37" s="18">
        <f>AT36</f>
        <v>0</v>
      </c>
      <c r="BB37" s="11"/>
      <c r="BC37" s="12">
        <v>110208</v>
      </c>
      <c r="BD37" s="12" t="s">
        <v>128</v>
      </c>
      <c r="BE37" s="12" t="str">
        <f>BE36</f>
        <v>CPA Pago Operaciones Locales BCI OP 648 18-06-yyy</v>
      </c>
      <c r="BF37" s="13"/>
      <c r="BG37" s="18">
        <f>BF36</f>
        <v>0</v>
      </c>
    </row>
    <row r="38" spans="2:59" x14ac:dyDescent="0.25">
      <c r="E38" s="15">
        <v>45462</v>
      </c>
      <c r="F38" s="8">
        <v>110209</v>
      </c>
      <c r="G38" s="8" t="s">
        <v>127</v>
      </c>
      <c r="H38" s="8" t="str">
        <f t="shared" si="0"/>
        <v xml:space="preserve">CPA Recaudación por Transbank </v>
      </c>
      <c r="I38" s="8" t="str">
        <f t="shared" si="0"/>
        <v xml:space="preserve">CPA Recaudación por Transbank </v>
      </c>
      <c r="J38" s="16">
        <f>+B20</f>
        <v>0</v>
      </c>
      <c r="K38" s="17"/>
      <c r="L38" s="3"/>
      <c r="R38" s="15">
        <v>45462</v>
      </c>
      <c r="S38" s="8">
        <v>110608</v>
      </c>
      <c r="T38" s="8" t="s">
        <v>62</v>
      </c>
      <c r="U38" s="8" t="str">
        <f>"CPA LIQ CORRESPONSAL "&amp;TEXT(R38,"dd-mm-aaa")</f>
        <v>CPA LIQ CORRESPONSAL 19-06-2024</v>
      </c>
      <c r="V38" s="16">
        <f>+O20</f>
        <v>0</v>
      </c>
      <c r="W38" s="17"/>
      <c r="AD38" s="15">
        <v>45462</v>
      </c>
      <c r="AE38" s="8">
        <v>110213</v>
      </c>
      <c r="AF38" s="8" t="s">
        <v>110</v>
      </c>
      <c r="AG38" t="str">
        <f>"CPA Fondeo WALLET CLP "</f>
        <v xml:space="preserve">CPA Fondeo WALLET CLP </v>
      </c>
      <c r="AH38" s="16">
        <f>+AA20</f>
        <v>0</v>
      </c>
      <c r="AI38" s="17"/>
      <c r="AP38" s="15">
        <v>45462</v>
      </c>
      <c r="AQ38" s="8">
        <v>110204</v>
      </c>
      <c r="AR38" s="8" t="s">
        <v>51</v>
      </c>
      <c r="AS38" s="8" t="str">
        <f>"CPA Traspaso de Fondos BICE "&amp;TEXT(AP38,"dd-mm-aaa")</f>
        <v>CPA Traspaso de Fondos BICE 19-06-2024</v>
      </c>
      <c r="AT38" s="16">
        <f>+AM20</f>
        <v>0</v>
      </c>
      <c r="AU38" s="17"/>
      <c r="BB38" s="15">
        <v>45462</v>
      </c>
      <c r="BC38" s="8">
        <v>211102</v>
      </c>
      <c r="BD38" s="8" t="s">
        <v>18</v>
      </c>
      <c r="BE38" s="8" t="str">
        <f>"CPA Pago Operaciones Locales BCI OP 648 "&amp;TEXT(BB38,"dd-mm-yyy")</f>
        <v>CPA Pago Operaciones Locales BCI OP 648 19-06-yyy</v>
      </c>
      <c r="BF38" s="16">
        <f>+AY20</f>
        <v>0</v>
      </c>
      <c r="BG38" s="17"/>
    </row>
    <row r="39" spans="2:59" x14ac:dyDescent="0.25">
      <c r="E39" s="11"/>
      <c r="F39" s="12">
        <v>110260</v>
      </c>
      <c r="G39" s="12" t="s">
        <v>26</v>
      </c>
      <c r="H39" s="12" t="str">
        <f t="shared" si="0"/>
        <v xml:space="preserve">CPA Recaudación por Transbank </v>
      </c>
      <c r="I39" s="12" t="str">
        <f t="shared" ref="I39" si="106">+I38</f>
        <v xml:space="preserve">CPA Recaudación por Transbank </v>
      </c>
      <c r="J39" s="13"/>
      <c r="K39" s="18">
        <f>J38</f>
        <v>0</v>
      </c>
      <c r="R39" s="11"/>
      <c r="S39" s="12">
        <v>110209</v>
      </c>
      <c r="T39" s="12" t="s">
        <v>127</v>
      </c>
      <c r="U39" s="12" t="str">
        <f t="shared" si="90"/>
        <v>CPA LIQ CORRESPONSAL 19-06-2024</v>
      </c>
      <c r="V39" s="13"/>
      <c r="W39" s="18">
        <f t="shared" ref="W39" si="107">V38</f>
        <v>0</v>
      </c>
      <c r="AD39" s="11"/>
      <c r="AE39" s="12">
        <v>110209</v>
      </c>
      <c r="AF39" s="12" t="s">
        <v>127</v>
      </c>
      <c r="AG39" s="12" t="str">
        <f t="shared" ref="AG39" si="108">AG38</f>
        <v xml:space="preserve">CPA Fondeo WALLET CLP </v>
      </c>
      <c r="AH39" s="13"/>
      <c r="AI39" s="18">
        <f t="shared" ref="AI39" si="109">AH38</f>
        <v>0</v>
      </c>
      <c r="AP39" s="11"/>
      <c r="AQ39" s="12">
        <v>110208</v>
      </c>
      <c r="AR39" s="12" t="s">
        <v>128</v>
      </c>
      <c r="AS39" s="12" t="str">
        <f t="shared" si="94"/>
        <v>CPA Traspaso de Fondos BICE 19-06-2024</v>
      </c>
      <c r="AT39" s="13"/>
      <c r="AU39" s="18">
        <f t="shared" ref="AU39" si="110">AT38</f>
        <v>0</v>
      </c>
      <c r="BB39" s="11"/>
      <c r="BC39" s="12">
        <v>110208</v>
      </c>
      <c r="BD39" s="12" t="s">
        <v>128</v>
      </c>
      <c r="BE39" s="12" t="str">
        <f t="shared" si="96"/>
        <v>CPA Pago Operaciones Locales BCI OP 648 19-06-yyy</v>
      </c>
      <c r="BF39" s="13"/>
      <c r="BG39" s="18">
        <f t="shared" ref="BG39" si="111">BF38</f>
        <v>0</v>
      </c>
    </row>
    <row r="40" spans="2:59" x14ac:dyDescent="0.25">
      <c r="E40" s="15">
        <v>45463</v>
      </c>
      <c r="F40" s="8">
        <v>110209</v>
      </c>
      <c r="G40" s="8" t="s">
        <v>127</v>
      </c>
      <c r="H40" s="8" t="str">
        <f t="shared" si="0"/>
        <v xml:space="preserve">CPA Recaudación por Transbank </v>
      </c>
      <c r="I40" s="8" t="str">
        <f t="shared" si="0"/>
        <v xml:space="preserve">CPA Recaudación por Transbank </v>
      </c>
      <c r="J40" s="16">
        <f>+B21</f>
        <v>0</v>
      </c>
      <c r="K40" s="17"/>
      <c r="R40" s="15">
        <v>45463</v>
      </c>
      <c r="S40" s="8">
        <v>110608</v>
      </c>
      <c r="T40" s="8" t="s">
        <v>62</v>
      </c>
      <c r="U40" s="8" t="str">
        <f>"CPA LIQ CORRESPONSAL "&amp;TEXT(R40,"dd-mm-aaa")</f>
        <v>CPA LIQ CORRESPONSAL 20-06-2024</v>
      </c>
      <c r="V40" s="16">
        <f>+O21</f>
        <v>0</v>
      </c>
      <c r="W40" s="17"/>
      <c r="AD40" s="15">
        <v>45463</v>
      </c>
      <c r="AE40" s="8">
        <v>110213</v>
      </c>
      <c r="AF40" s="8" t="s">
        <v>110</v>
      </c>
      <c r="AG40" t="str">
        <f>"CPA Fondeo WALLET CLP "</f>
        <v xml:space="preserve">CPA Fondeo WALLET CLP </v>
      </c>
      <c r="AH40" s="16">
        <f>+AA21</f>
        <v>0</v>
      </c>
      <c r="AI40" s="17"/>
      <c r="AP40" s="15">
        <v>45463</v>
      </c>
      <c r="AQ40" s="8">
        <v>110204</v>
      </c>
      <c r="AR40" s="8" t="s">
        <v>51</v>
      </c>
      <c r="AS40" s="8" t="str">
        <f>"CPA Traspaso de Fondos BICE "&amp;TEXT(AP40,"dd-mm-aaa")</f>
        <v>CPA Traspaso de Fondos BICE 20-06-2024</v>
      </c>
      <c r="AT40" s="16">
        <f>+AM21</f>
        <v>0</v>
      </c>
      <c r="AU40" s="17"/>
      <c r="BB40" s="15">
        <v>45463</v>
      </c>
      <c r="BC40" s="8">
        <v>211102</v>
      </c>
      <c r="BD40" s="8" t="s">
        <v>18</v>
      </c>
      <c r="BE40" s="8" t="str">
        <f>"CPA Pago Operaciones Locales BCI OP 648 "&amp;TEXT(BB40,"dd-mm-yyy")</f>
        <v>CPA Pago Operaciones Locales BCI OP 648 20-06-yyy</v>
      </c>
      <c r="BF40" s="16">
        <f>+AY21</f>
        <v>0</v>
      </c>
      <c r="BG40" s="17"/>
    </row>
    <row r="41" spans="2:59" x14ac:dyDescent="0.25">
      <c r="E41" s="11"/>
      <c r="F41" s="12">
        <v>110260</v>
      </c>
      <c r="G41" s="12" t="s">
        <v>26</v>
      </c>
      <c r="H41" s="12" t="str">
        <f t="shared" si="0"/>
        <v xml:space="preserve">CPA Recaudación por Transbank </v>
      </c>
      <c r="I41" s="12" t="str">
        <f t="shared" ref="I41" si="112">+I40</f>
        <v xml:space="preserve">CPA Recaudación por Transbank </v>
      </c>
      <c r="J41" s="13"/>
      <c r="K41" s="18">
        <f>J40</f>
        <v>0</v>
      </c>
      <c r="R41" s="11"/>
      <c r="S41" s="12">
        <v>110209</v>
      </c>
      <c r="T41" s="12" t="s">
        <v>127</v>
      </c>
      <c r="U41" s="12" t="str">
        <f t="shared" si="90"/>
        <v>CPA LIQ CORRESPONSAL 20-06-2024</v>
      </c>
      <c r="V41" s="13"/>
      <c r="W41" s="18">
        <f t="shared" ref="W41" si="113">V40</f>
        <v>0</v>
      </c>
      <c r="AD41" s="11"/>
      <c r="AE41" s="12">
        <v>110209</v>
      </c>
      <c r="AF41" s="12" t="s">
        <v>127</v>
      </c>
      <c r="AG41" s="12" t="str">
        <f t="shared" ref="AG41" si="114">AG40</f>
        <v xml:space="preserve">CPA Fondeo WALLET CLP </v>
      </c>
      <c r="AH41" s="13"/>
      <c r="AI41" s="18">
        <f>AH40</f>
        <v>0</v>
      </c>
      <c r="AP41" s="11"/>
      <c r="AQ41" s="12">
        <v>110208</v>
      </c>
      <c r="AR41" s="12" t="s">
        <v>128</v>
      </c>
      <c r="AS41" s="12" t="str">
        <f t="shared" si="94"/>
        <v>CPA Traspaso de Fondos BICE 20-06-2024</v>
      </c>
      <c r="AT41" s="13"/>
      <c r="AU41" s="18">
        <f t="shared" ref="AU41" si="115">AT40</f>
        <v>0</v>
      </c>
      <c r="BB41" s="11"/>
      <c r="BC41" s="12">
        <v>110208</v>
      </c>
      <c r="BD41" s="12" t="s">
        <v>128</v>
      </c>
      <c r="BE41" s="12" t="str">
        <f t="shared" si="96"/>
        <v>CPA Pago Operaciones Locales BCI OP 648 20-06-yyy</v>
      </c>
      <c r="BF41" s="13"/>
      <c r="BG41" s="18">
        <f t="shared" ref="BG41" si="116">BF40</f>
        <v>0</v>
      </c>
    </row>
    <row r="42" spans="2:59" x14ac:dyDescent="0.25">
      <c r="E42" s="15">
        <v>45464</v>
      </c>
      <c r="F42" s="8">
        <v>110209</v>
      </c>
      <c r="G42" s="8" t="s">
        <v>127</v>
      </c>
      <c r="H42" s="8" t="str">
        <f t="shared" si="0"/>
        <v xml:space="preserve">CPA Recaudación por Transbank </v>
      </c>
      <c r="I42" s="8" t="str">
        <f t="shared" si="0"/>
        <v xml:space="preserve">CPA Recaudación por Transbank </v>
      </c>
      <c r="J42" s="16">
        <f>+B22</f>
        <v>0</v>
      </c>
      <c r="K42" s="17"/>
      <c r="L42" s="3"/>
      <c r="R42" s="15">
        <v>45464</v>
      </c>
      <c r="S42" s="8">
        <v>110608</v>
      </c>
      <c r="T42" s="8" t="s">
        <v>62</v>
      </c>
      <c r="U42" s="8" t="str">
        <f t="shared" ref="U42:U52" si="117">"CPA LIQ CORRESPONSAL "&amp;TEXT(R42,"dd-mm-aaa")</f>
        <v>CPA LIQ CORRESPONSAL 21-06-2024</v>
      </c>
      <c r="V42" s="16">
        <f t="shared" ref="V42:V52" si="118">+O22</f>
        <v>0</v>
      </c>
      <c r="W42" s="17"/>
      <c r="AD42" s="15">
        <v>45464</v>
      </c>
      <c r="AE42" s="8">
        <v>110213</v>
      </c>
      <c r="AF42" s="8" t="s">
        <v>110</v>
      </c>
      <c r="AG42" t="str">
        <f>"CPA Fondeo WALLET CLP "</f>
        <v xml:space="preserve">CPA Fondeo WALLET CLP </v>
      </c>
      <c r="AH42" s="16">
        <f>+AA22</f>
        <v>45000000</v>
      </c>
      <c r="AI42" s="17"/>
      <c r="AP42" s="15">
        <v>45464</v>
      </c>
      <c r="AQ42" s="8">
        <v>110204</v>
      </c>
      <c r="AR42" s="8" t="s">
        <v>51</v>
      </c>
      <c r="AS42" s="8" t="str">
        <f t="shared" ref="AS42:AS52" si="119">"CPA Traspaso de Fondos BICE "&amp;TEXT(AP42,"dd-mm-aaa")</f>
        <v>CPA Traspaso de Fondos BICE 21-06-2024</v>
      </c>
      <c r="AT42" s="16">
        <f t="shared" ref="AT42:AT52" si="120">+AM22</f>
        <v>0</v>
      </c>
      <c r="AU42" s="17"/>
      <c r="BB42" s="15">
        <v>45464</v>
      </c>
      <c r="BC42" s="8">
        <v>211102</v>
      </c>
      <c r="BD42" s="8" t="s">
        <v>18</v>
      </c>
      <c r="BE42" s="8" t="str">
        <f t="shared" ref="BE42:BE52" si="121">"CPA Pago Operaciones Locales BCI OP 648 "&amp;TEXT(BB42,"dd-mm-yyy")</f>
        <v>CPA Pago Operaciones Locales BCI OP 648 21-06-yyy</v>
      </c>
      <c r="BF42" s="16">
        <f t="shared" ref="BF42:BF52" si="122">+AY22</f>
        <v>0</v>
      </c>
      <c r="BG42" s="17"/>
    </row>
    <row r="43" spans="2:59" x14ac:dyDescent="0.25">
      <c r="E43" s="11"/>
      <c r="F43" s="12">
        <v>110260</v>
      </c>
      <c r="G43" s="12" t="s">
        <v>26</v>
      </c>
      <c r="H43" s="12" t="str">
        <f t="shared" si="0"/>
        <v xml:space="preserve">CPA Recaudación por Transbank </v>
      </c>
      <c r="I43" s="12" t="str">
        <f t="shared" ref="I43" si="123">+I42</f>
        <v xml:space="preserve">CPA Recaudación por Transbank </v>
      </c>
      <c r="J43" s="13"/>
      <c r="K43" s="18">
        <f>J42</f>
        <v>0</v>
      </c>
      <c r="L43" s="3"/>
      <c r="R43" s="11"/>
      <c r="S43" s="12">
        <v>110608</v>
      </c>
      <c r="T43" s="12" t="s">
        <v>62</v>
      </c>
      <c r="U43" s="12" t="str">
        <f t="shared" si="117"/>
        <v>CPA LIQ CORRESPONSAL 00-01-1900</v>
      </c>
      <c r="V43" s="13">
        <f t="shared" si="118"/>
        <v>0</v>
      </c>
      <c r="W43" s="18"/>
      <c r="AD43" s="11"/>
      <c r="AE43" s="12">
        <v>110209</v>
      </c>
      <c r="AF43" s="12" t="s">
        <v>127</v>
      </c>
      <c r="AG43" s="12" t="str">
        <f t="shared" ref="AG43" si="124">AG42</f>
        <v xml:space="preserve">CPA Fondeo WALLET CLP </v>
      </c>
      <c r="AH43" s="13"/>
      <c r="AI43" s="18">
        <f t="shared" ref="AI43" si="125">AH42</f>
        <v>45000000</v>
      </c>
      <c r="AP43" s="11"/>
      <c r="AQ43" s="8">
        <v>110204</v>
      </c>
      <c r="AR43" s="8" t="s">
        <v>51</v>
      </c>
      <c r="AS43" s="8" t="str">
        <f t="shared" si="119"/>
        <v>CPA Traspaso de Fondos BICE 00-01-1900</v>
      </c>
      <c r="AT43" s="16">
        <f t="shared" si="120"/>
        <v>0</v>
      </c>
      <c r="AU43" s="17"/>
      <c r="BB43" s="11"/>
      <c r="BC43" s="8">
        <v>211102</v>
      </c>
      <c r="BD43" s="8" t="s">
        <v>18</v>
      </c>
      <c r="BE43" s="8" t="str">
        <f t="shared" si="121"/>
        <v>CPA Pago Operaciones Locales BCI OP 648 00-01-yyy</v>
      </c>
      <c r="BF43" s="16">
        <f t="shared" si="122"/>
        <v>0</v>
      </c>
      <c r="BG43" s="17"/>
    </row>
    <row r="44" spans="2:59" x14ac:dyDescent="0.25">
      <c r="E44" s="15">
        <v>45465</v>
      </c>
      <c r="F44" s="8">
        <v>110209</v>
      </c>
      <c r="G44" s="8" t="s">
        <v>127</v>
      </c>
      <c r="H44" s="8" t="str">
        <f t="shared" si="0"/>
        <v xml:space="preserve">CPA Recaudación por Transbank </v>
      </c>
      <c r="I44" s="8" t="str">
        <f t="shared" si="0"/>
        <v xml:space="preserve">CPA Recaudación por Transbank </v>
      </c>
      <c r="J44" s="16">
        <f>+B23</f>
        <v>0</v>
      </c>
      <c r="K44" s="17"/>
      <c r="L44" s="3"/>
      <c r="R44" s="15">
        <v>45465</v>
      </c>
      <c r="S44" s="8">
        <v>110608</v>
      </c>
      <c r="T44" s="8" t="s">
        <v>62</v>
      </c>
      <c r="U44" s="8" t="str">
        <f t="shared" si="117"/>
        <v>CPA LIQ CORRESPONSAL 22-06-2024</v>
      </c>
      <c r="V44" s="16">
        <f t="shared" si="118"/>
        <v>0</v>
      </c>
      <c r="W44" s="17"/>
      <c r="AD44" s="15">
        <v>45465</v>
      </c>
      <c r="AE44" s="8">
        <v>110213</v>
      </c>
      <c r="AF44" s="8" t="s">
        <v>110</v>
      </c>
      <c r="AG44" t="str">
        <f>"CPA Fondeo WALLET CLP "</f>
        <v xml:space="preserve">CPA Fondeo WALLET CLP </v>
      </c>
      <c r="AH44" s="16">
        <f>+AA23</f>
        <v>0</v>
      </c>
      <c r="AI44" s="17"/>
      <c r="AP44" s="15">
        <v>45465</v>
      </c>
      <c r="AQ44" s="8">
        <v>110204</v>
      </c>
      <c r="AR44" s="8" t="s">
        <v>51</v>
      </c>
      <c r="AS44" s="8" t="str">
        <f t="shared" si="119"/>
        <v>CPA Traspaso de Fondos BICE 22-06-2024</v>
      </c>
      <c r="AT44" s="16">
        <f t="shared" si="120"/>
        <v>0</v>
      </c>
      <c r="AU44" s="17"/>
      <c r="BB44" s="15">
        <v>45465</v>
      </c>
      <c r="BC44" s="8">
        <v>211102</v>
      </c>
      <c r="BD44" s="8" t="s">
        <v>18</v>
      </c>
      <c r="BE44" s="8" t="str">
        <f t="shared" si="121"/>
        <v>CPA Pago Operaciones Locales BCI OP 648 22-06-yyy</v>
      </c>
      <c r="BF44" s="16">
        <f t="shared" si="122"/>
        <v>0</v>
      </c>
      <c r="BG44" s="17"/>
    </row>
    <row r="45" spans="2:59" x14ac:dyDescent="0.25">
      <c r="E45" s="11"/>
      <c r="F45" s="12">
        <v>110260</v>
      </c>
      <c r="G45" s="12" t="s">
        <v>26</v>
      </c>
      <c r="H45" s="12" t="str">
        <f t="shared" si="0"/>
        <v xml:space="preserve">CPA Recaudación por Transbank </v>
      </c>
      <c r="I45" s="12" t="str">
        <f t="shared" ref="I45" si="126">+I44</f>
        <v xml:space="preserve">CPA Recaudación por Transbank </v>
      </c>
      <c r="J45" s="13"/>
      <c r="K45" s="18">
        <f>J44</f>
        <v>0</v>
      </c>
      <c r="R45" s="11"/>
      <c r="S45" s="12">
        <v>110608</v>
      </c>
      <c r="T45" s="12" t="s">
        <v>62</v>
      </c>
      <c r="U45" s="12" t="str">
        <f t="shared" si="117"/>
        <v>CPA LIQ CORRESPONSAL 00-01-1900</v>
      </c>
      <c r="V45" s="13">
        <f t="shared" si="118"/>
        <v>0</v>
      </c>
      <c r="W45" s="18"/>
      <c r="AD45" s="11"/>
      <c r="AE45" s="12">
        <v>110209</v>
      </c>
      <c r="AF45" s="12" t="s">
        <v>127</v>
      </c>
      <c r="AG45" s="12" t="str">
        <f t="shared" ref="AG45" si="127">AG44</f>
        <v xml:space="preserve">CPA Fondeo WALLET CLP </v>
      </c>
      <c r="AH45" s="13"/>
      <c r="AI45" s="18">
        <f t="shared" ref="AI45" si="128">AH44</f>
        <v>0</v>
      </c>
      <c r="AP45" s="11"/>
      <c r="AQ45" s="8">
        <v>110204</v>
      </c>
      <c r="AR45" s="8" t="s">
        <v>51</v>
      </c>
      <c r="AS45" s="8" t="str">
        <f t="shared" si="119"/>
        <v>CPA Traspaso de Fondos BICE 00-01-1900</v>
      </c>
      <c r="AT45" s="16">
        <f t="shared" si="120"/>
        <v>0</v>
      </c>
      <c r="AU45" s="17"/>
      <c r="BB45" s="11"/>
      <c r="BC45" s="8">
        <v>211102</v>
      </c>
      <c r="BD45" s="8" t="s">
        <v>18</v>
      </c>
      <c r="BE45" s="8" t="str">
        <f t="shared" si="121"/>
        <v>CPA Pago Operaciones Locales BCI OP 648 00-01-yyy</v>
      </c>
      <c r="BF45" s="16">
        <f t="shared" si="122"/>
        <v>0</v>
      </c>
      <c r="BG45" s="17"/>
    </row>
    <row r="46" spans="2:59" x14ac:dyDescent="0.25">
      <c r="E46" s="15">
        <v>45466</v>
      </c>
      <c r="F46" s="8">
        <v>110209</v>
      </c>
      <c r="G46" s="8" t="s">
        <v>127</v>
      </c>
      <c r="H46" s="8" t="str">
        <f t="shared" si="0"/>
        <v xml:space="preserve">CPA Recaudación por Transbank </v>
      </c>
      <c r="I46" s="8" t="str">
        <f t="shared" si="0"/>
        <v xml:space="preserve">CPA Recaudación por Transbank </v>
      </c>
      <c r="J46" s="16">
        <f>+B24</f>
        <v>0</v>
      </c>
      <c r="K46" s="17"/>
      <c r="L46" s="3"/>
      <c r="R46" s="15">
        <v>45466</v>
      </c>
      <c r="S46" s="8">
        <v>110608</v>
      </c>
      <c r="T46" s="8" t="s">
        <v>62</v>
      </c>
      <c r="U46" s="8" t="str">
        <f t="shared" si="117"/>
        <v>CPA LIQ CORRESPONSAL 23-06-2024</v>
      </c>
      <c r="V46" s="16">
        <f t="shared" si="118"/>
        <v>0</v>
      </c>
      <c r="W46" s="17"/>
      <c r="AD46" s="15">
        <v>45466</v>
      </c>
      <c r="AE46" s="8">
        <v>110213</v>
      </c>
      <c r="AF46" s="8" t="s">
        <v>110</v>
      </c>
      <c r="AG46" t="str">
        <f>"CPA Fondeo WALLET CLP "</f>
        <v xml:space="preserve">CPA Fondeo WALLET CLP </v>
      </c>
      <c r="AH46" s="16">
        <f>+AA24</f>
        <v>40000000</v>
      </c>
      <c r="AI46" s="17"/>
      <c r="AP46" s="15">
        <v>45466</v>
      </c>
      <c r="AQ46" s="8">
        <v>110204</v>
      </c>
      <c r="AR46" s="8" t="s">
        <v>51</v>
      </c>
      <c r="AS46" s="8" t="str">
        <f t="shared" si="119"/>
        <v>CPA Traspaso de Fondos BICE 23-06-2024</v>
      </c>
      <c r="AT46" s="16">
        <f t="shared" si="120"/>
        <v>0</v>
      </c>
      <c r="AU46" s="17"/>
      <c r="BB46" s="15">
        <v>45466</v>
      </c>
      <c r="BC46" s="8">
        <v>211102</v>
      </c>
      <c r="BD46" s="8" t="s">
        <v>18</v>
      </c>
      <c r="BE46" s="8" t="str">
        <f t="shared" si="121"/>
        <v>CPA Pago Operaciones Locales BCI OP 648 23-06-yyy</v>
      </c>
      <c r="BF46" s="16">
        <f t="shared" si="122"/>
        <v>0</v>
      </c>
      <c r="BG46" s="17"/>
    </row>
    <row r="47" spans="2:59" x14ac:dyDescent="0.25">
      <c r="E47" s="11"/>
      <c r="F47" s="12">
        <v>110260</v>
      </c>
      <c r="G47" s="12" t="s">
        <v>26</v>
      </c>
      <c r="H47" s="12" t="str">
        <f t="shared" si="0"/>
        <v xml:space="preserve">CPA Recaudación por Transbank </v>
      </c>
      <c r="I47" s="12" t="str">
        <f t="shared" ref="I47" si="129">+I46</f>
        <v xml:space="preserve">CPA Recaudación por Transbank </v>
      </c>
      <c r="J47" s="13"/>
      <c r="K47" s="18">
        <f>J46</f>
        <v>0</v>
      </c>
      <c r="R47" s="11"/>
      <c r="S47" s="12">
        <v>110608</v>
      </c>
      <c r="T47" s="12" t="s">
        <v>62</v>
      </c>
      <c r="U47" s="12" t="str">
        <f t="shared" si="117"/>
        <v>CPA LIQ CORRESPONSAL 00-01-1900</v>
      </c>
      <c r="V47" s="13">
        <f t="shared" si="118"/>
        <v>0</v>
      </c>
      <c r="W47" s="18"/>
      <c r="AD47" s="11"/>
      <c r="AE47" s="12">
        <v>110209</v>
      </c>
      <c r="AF47" s="12" t="s">
        <v>127</v>
      </c>
      <c r="AG47" s="12" t="str">
        <f t="shared" ref="AG47" si="130">AG46</f>
        <v xml:space="preserve">CPA Fondeo WALLET CLP </v>
      </c>
      <c r="AH47" s="13"/>
      <c r="AI47" s="18">
        <f t="shared" ref="AI47" si="131">AH46</f>
        <v>40000000</v>
      </c>
      <c r="AP47" s="11"/>
      <c r="AQ47" s="8">
        <v>110204</v>
      </c>
      <c r="AR47" s="8" t="s">
        <v>51</v>
      </c>
      <c r="AS47" s="8" t="str">
        <f t="shared" si="119"/>
        <v>CPA Traspaso de Fondos BICE 00-01-1900</v>
      </c>
      <c r="AT47" s="16">
        <f t="shared" si="120"/>
        <v>0</v>
      </c>
      <c r="AU47" s="17"/>
      <c r="BB47" s="11"/>
      <c r="BC47" s="8">
        <v>211102</v>
      </c>
      <c r="BD47" s="8" t="s">
        <v>18</v>
      </c>
      <c r="BE47" s="8" t="str">
        <f t="shared" si="121"/>
        <v>CPA Pago Operaciones Locales BCI OP 648 00-01-yyy</v>
      </c>
      <c r="BF47" s="16">
        <f t="shared" si="122"/>
        <v>0</v>
      </c>
      <c r="BG47" s="17"/>
    </row>
    <row r="48" spans="2:59" x14ac:dyDescent="0.25">
      <c r="E48" s="15">
        <v>45467</v>
      </c>
      <c r="F48" s="8">
        <v>110209</v>
      </c>
      <c r="G48" s="8" t="s">
        <v>127</v>
      </c>
      <c r="H48" s="8" t="str">
        <f t="shared" si="0"/>
        <v xml:space="preserve">CPA Recaudación por Transbank </v>
      </c>
      <c r="I48" s="8" t="str">
        <f t="shared" si="0"/>
        <v xml:space="preserve">CPA Recaudación por Transbank </v>
      </c>
      <c r="J48" s="16">
        <f>+B25</f>
        <v>0</v>
      </c>
      <c r="K48" s="17"/>
      <c r="L48" s="3"/>
      <c r="R48" s="15">
        <v>45467</v>
      </c>
      <c r="S48" s="8">
        <v>110608</v>
      </c>
      <c r="T48" s="8" t="s">
        <v>62</v>
      </c>
      <c r="U48" s="8" t="str">
        <f t="shared" si="117"/>
        <v>CPA LIQ CORRESPONSAL 24-06-2024</v>
      </c>
      <c r="V48" s="16">
        <f t="shared" si="118"/>
        <v>0</v>
      </c>
      <c r="W48" s="17"/>
      <c r="AD48" s="15">
        <v>45467</v>
      </c>
      <c r="AE48" s="8">
        <v>110213</v>
      </c>
      <c r="AF48" s="8" t="s">
        <v>110</v>
      </c>
      <c r="AG48" t="str">
        <f>"CPA Fondeo WALLET CLP "</f>
        <v xml:space="preserve">CPA Fondeo WALLET CLP </v>
      </c>
      <c r="AH48" s="16">
        <f>+AA25</f>
        <v>0</v>
      </c>
      <c r="AI48" s="17"/>
      <c r="AP48" s="15">
        <v>45467</v>
      </c>
      <c r="AQ48" s="8">
        <v>110204</v>
      </c>
      <c r="AR48" s="8" t="s">
        <v>51</v>
      </c>
      <c r="AS48" s="8" t="str">
        <f t="shared" si="119"/>
        <v>CPA Traspaso de Fondos BICE 24-06-2024</v>
      </c>
      <c r="AT48" s="16">
        <f t="shared" si="120"/>
        <v>0</v>
      </c>
      <c r="AU48" s="17"/>
      <c r="BB48" s="15">
        <v>45467</v>
      </c>
      <c r="BC48" s="8">
        <v>211102</v>
      </c>
      <c r="BD48" s="8" t="s">
        <v>18</v>
      </c>
      <c r="BE48" s="8" t="str">
        <f t="shared" si="121"/>
        <v>CPA Pago Operaciones Locales BCI OP 648 24-06-yyy</v>
      </c>
      <c r="BF48" s="16">
        <f t="shared" si="122"/>
        <v>0</v>
      </c>
      <c r="BG48" s="17"/>
    </row>
    <row r="49" spans="5:59" x14ac:dyDescent="0.25">
      <c r="E49" s="11"/>
      <c r="F49" s="12">
        <v>110260</v>
      </c>
      <c r="G49" s="12" t="s">
        <v>26</v>
      </c>
      <c r="H49" s="12" t="str">
        <f t="shared" si="0"/>
        <v xml:space="preserve">CPA Recaudación por Transbank </v>
      </c>
      <c r="I49" s="12" t="str">
        <f t="shared" ref="I49" si="132">+I48</f>
        <v xml:space="preserve">CPA Recaudación por Transbank </v>
      </c>
      <c r="J49" s="13"/>
      <c r="K49" s="18">
        <f>J48</f>
        <v>0</v>
      </c>
      <c r="L49" s="3"/>
      <c r="R49" s="11"/>
      <c r="S49" s="12">
        <v>110608</v>
      </c>
      <c r="T49" s="12" t="s">
        <v>62</v>
      </c>
      <c r="U49" s="12" t="str">
        <f t="shared" si="117"/>
        <v>CPA LIQ CORRESPONSAL 00-01-1900</v>
      </c>
      <c r="V49" s="13">
        <f t="shared" si="118"/>
        <v>0</v>
      </c>
      <c r="W49" s="18"/>
      <c r="AD49" s="11"/>
      <c r="AE49" s="12">
        <v>110209</v>
      </c>
      <c r="AF49" s="12" t="s">
        <v>127</v>
      </c>
      <c r="AG49" s="12" t="str">
        <f t="shared" ref="AG49" si="133">AG48</f>
        <v xml:space="preserve">CPA Fondeo WALLET CLP </v>
      </c>
      <c r="AH49" s="13"/>
      <c r="AI49" s="18">
        <f t="shared" ref="AI49" si="134">AH48</f>
        <v>0</v>
      </c>
      <c r="AP49" s="11"/>
      <c r="AQ49" s="8">
        <v>110204</v>
      </c>
      <c r="AR49" s="8" t="s">
        <v>51</v>
      </c>
      <c r="AS49" s="8" t="str">
        <f t="shared" si="119"/>
        <v>CPA Traspaso de Fondos BICE 00-01-1900</v>
      </c>
      <c r="AT49" s="16">
        <f t="shared" si="120"/>
        <v>0</v>
      </c>
      <c r="AU49" s="17"/>
      <c r="BB49" s="11"/>
      <c r="BC49" s="8">
        <v>211102</v>
      </c>
      <c r="BD49" s="8" t="s">
        <v>18</v>
      </c>
      <c r="BE49" s="8" t="str">
        <f t="shared" si="121"/>
        <v>CPA Pago Operaciones Locales BCI OP 648 00-01-yyy</v>
      </c>
      <c r="BF49" s="16">
        <f t="shared" si="122"/>
        <v>0</v>
      </c>
      <c r="BG49" s="17"/>
    </row>
    <row r="50" spans="5:59" x14ac:dyDescent="0.25">
      <c r="E50" s="15">
        <v>45468</v>
      </c>
      <c r="F50" s="8">
        <v>110209</v>
      </c>
      <c r="G50" s="8" t="s">
        <v>127</v>
      </c>
      <c r="H50" s="8" t="str">
        <f t="shared" si="0"/>
        <v xml:space="preserve">CPA Recaudación por Transbank </v>
      </c>
      <c r="I50" s="8" t="str">
        <f t="shared" si="0"/>
        <v xml:space="preserve">CPA Recaudación por Transbank </v>
      </c>
      <c r="J50" s="16">
        <f>+B26</f>
        <v>0</v>
      </c>
      <c r="K50" s="17"/>
      <c r="L50" s="3"/>
      <c r="R50" s="15">
        <v>45468</v>
      </c>
      <c r="S50" s="8">
        <v>110608</v>
      </c>
      <c r="T50" s="8" t="s">
        <v>62</v>
      </c>
      <c r="U50" s="8" t="str">
        <f t="shared" si="117"/>
        <v>CPA LIQ CORRESPONSAL 25-06-2024</v>
      </c>
      <c r="V50" s="16">
        <f t="shared" si="118"/>
        <v>0</v>
      </c>
      <c r="W50" s="17"/>
      <c r="AD50" s="15">
        <v>45468</v>
      </c>
      <c r="AE50" s="8">
        <v>110213</v>
      </c>
      <c r="AF50" s="8" t="s">
        <v>110</v>
      </c>
      <c r="AG50" t="str">
        <f>"CPA Fondeo WALLET CLP "</f>
        <v xml:space="preserve">CPA Fondeo WALLET CLP </v>
      </c>
      <c r="AH50" s="16">
        <f>+AA26</f>
        <v>0</v>
      </c>
      <c r="AI50" s="17"/>
      <c r="AP50" s="15">
        <v>45468</v>
      </c>
      <c r="AQ50" s="8">
        <v>110204</v>
      </c>
      <c r="AR50" s="8" t="s">
        <v>51</v>
      </c>
      <c r="AS50" s="8" t="str">
        <f t="shared" si="119"/>
        <v>CPA Traspaso de Fondos BICE 25-06-2024</v>
      </c>
      <c r="AT50" s="16">
        <f t="shared" si="120"/>
        <v>0</v>
      </c>
      <c r="AU50" s="17"/>
      <c r="BB50" s="15">
        <v>45468</v>
      </c>
      <c r="BC50" s="8">
        <v>211102</v>
      </c>
      <c r="BD50" s="8" t="s">
        <v>18</v>
      </c>
      <c r="BE50" s="8" t="str">
        <f t="shared" si="121"/>
        <v>CPA Pago Operaciones Locales BCI OP 648 25-06-yyy</v>
      </c>
      <c r="BF50" s="16">
        <f t="shared" si="122"/>
        <v>0</v>
      </c>
      <c r="BG50" s="17"/>
    </row>
    <row r="51" spans="5:59" x14ac:dyDescent="0.25">
      <c r="E51" s="11"/>
      <c r="F51" s="12">
        <v>110260</v>
      </c>
      <c r="G51" s="12" t="s">
        <v>26</v>
      </c>
      <c r="H51" s="12" t="str">
        <f t="shared" si="0"/>
        <v xml:space="preserve">CPA Recaudación por Transbank </v>
      </c>
      <c r="I51" s="12" t="str">
        <f t="shared" ref="I51" si="135">+I50</f>
        <v xml:space="preserve">CPA Recaudación por Transbank </v>
      </c>
      <c r="J51" s="13"/>
      <c r="K51" s="18">
        <f>J50</f>
        <v>0</v>
      </c>
      <c r="R51" s="11"/>
      <c r="S51" s="12">
        <v>110608</v>
      </c>
      <c r="T51" s="12" t="s">
        <v>62</v>
      </c>
      <c r="U51" s="12" t="str">
        <f t="shared" si="117"/>
        <v>CPA LIQ CORRESPONSAL 00-01-1900</v>
      </c>
      <c r="V51" s="13">
        <f t="shared" si="118"/>
        <v>0</v>
      </c>
      <c r="W51" s="18"/>
      <c r="AD51" s="11"/>
      <c r="AE51" s="12">
        <v>110209</v>
      </c>
      <c r="AF51" s="12" t="s">
        <v>127</v>
      </c>
      <c r="AG51" s="12" t="str">
        <f t="shared" ref="AG51" si="136">AG50</f>
        <v xml:space="preserve">CPA Fondeo WALLET CLP </v>
      </c>
      <c r="AH51" s="13"/>
      <c r="AI51" s="18">
        <f t="shared" ref="AI51" si="137">AH50</f>
        <v>0</v>
      </c>
      <c r="AP51" s="11"/>
      <c r="AQ51" s="8">
        <v>110204</v>
      </c>
      <c r="AR51" s="8" t="s">
        <v>51</v>
      </c>
      <c r="AS51" s="8" t="str">
        <f t="shared" si="119"/>
        <v>CPA Traspaso de Fondos BICE 00-01-1900</v>
      </c>
      <c r="AT51" s="16">
        <f t="shared" si="120"/>
        <v>0</v>
      </c>
      <c r="AU51" s="17"/>
      <c r="BB51" s="11"/>
      <c r="BC51" s="8">
        <v>211102</v>
      </c>
      <c r="BD51" s="8" t="s">
        <v>18</v>
      </c>
      <c r="BE51" s="8" t="str">
        <f t="shared" si="121"/>
        <v>CPA Pago Operaciones Locales BCI OP 648 00-01-yyy</v>
      </c>
      <c r="BF51" s="16">
        <f t="shared" si="122"/>
        <v>0</v>
      </c>
      <c r="BG51" s="17"/>
    </row>
    <row r="52" spans="5:59" x14ac:dyDescent="0.25">
      <c r="E52" s="15">
        <v>45469</v>
      </c>
      <c r="F52" s="8">
        <v>110209</v>
      </c>
      <c r="G52" s="8" t="s">
        <v>127</v>
      </c>
      <c r="H52" s="8" t="str">
        <f t="shared" si="0"/>
        <v xml:space="preserve">CPA Recaudación por Transbank </v>
      </c>
      <c r="I52" s="8" t="str">
        <f t="shared" si="0"/>
        <v xml:space="preserve">CPA Recaudación por Transbank </v>
      </c>
      <c r="J52" s="16">
        <f>+B27</f>
        <v>0</v>
      </c>
      <c r="K52" s="17"/>
      <c r="L52" s="3"/>
      <c r="R52" s="15">
        <v>45469</v>
      </c>
      <c r="S52" s="8">
        <v>110608</v>
      </c>
      <c r="T52" s="8" t="s">
        <v>62</v>
      </c>
      <c r="U52" s="8" t="str">
        <f t="shared" si="117"/>
        <v>CPA LIQ CORRESPONSAL 26-06-2024</v>
      </c>
      <c r="V52" s="16">
        <f t="shared" si="118"/>
        <v>0</v>
      </c>
      <c r="W52" s="17"/>
      <c r="AD52" s="15">
        <v>45469</v>
      </c>
      <c r="AE52" s="8">
        <v>110213</v>
      </c>
      <c r="AF52" s="8" t="s">
        <v>110</v>
      </c>
      <c r="AG52" t="str">
        <f>"CPA Fondeo WALLET CLP "</f>
        <v xml:space="preserve">CPA Fondeo WALLET CLP </v>
      </c>
      <c r="AH52" s="16">
        <f>+AA27</f>
        <v>0</v>
      </c>
      <c r="AI52" s="17"/>
      <c r="AP52" s="15">
        <v>45469</v>
      </c>
      <c r="AQ52" s="8">
        <v>110204</v>
      </c>
      <c r="AR52" s="8" t="s">
        <v>51</v>
      </c>
      <c r="AS52" s="8" t="str">
        <f t="shared" si="119"/>
        <v>CPA Traspaso de Fondos BICE 26-06-2024</v>
      </c>
      <c r="AT52" s="16">
        <f t="shared" si="120"/>
        <v>0</v>
      </c>
      <c r="AU52" s="17"/>
      <c r="BB52" s="15">
        <v>45469</v>
      </c>
      <c r="BC52" s="8">
        <v>211102</v>
      </c>
      <c r="BD52" s="8" t="s">
        <v>18</v>
      </c>
      <c r="BE52" s="8" t="str">
        <f t="shared" si="121"/>
        <v>CPA Pago Operaciones Locales BCI OP 648 26-06-yyy</v>
      </c>
      <c r="BF52" s="16">
        <f t="shared" si="122"/>
        <v>0</v>
      </c>
      <c r="BG52" s="17"/>
    </row>
    <row r="53" spans="5:59" x14ac:dyDescent="0.25">
      <c r="E53" s="11"/>
      <c r="F53" s="12">
        <v>110260</v>
      </c>
      <c r="G53" s="12" t="s">
        <v>26</v>
      </c>
      <c r="H53" s="12" t="str">
        <f t="shared" si="0"/>
        <v xml:space="preserve">CPA Recaudación por Transbank </v>
      </c>
      <c r="I53" s="12" t="str">
        <f t="shared" ref="I53" si="138">+I52</f>
        <v xml:space="preserve">CPA Recaudación por Transbank </v>
      </c>
      <c r="J53" s="13"/>
      <c r="K53" s="18">
        <f>J52</f>
        <v>0</v>
      </c>
      <c r="R53" s="11"/>
      <c r="S53" s="12"/>
      <c r="T53" s="12"/>
      <c r="U53" s="12"/>
      <c r="V53" s="13"/>
      <c r="W53" s="18"/>
      <c r="AD53" s="11"/>
      <c r="AE53" s="12">
        <v>110209</v>
      </c>
      <c r="AF53" s="12" t="s">
        <v>127</v>
      </c>
      <c r="AG53" s="12" t="str">
        <f t="shared" ref="AG53" si="139">AG52</f>
        <v xml:space="preserve">CPA Fondeo WALLET CLP </v>
      </c>
      <c r="AH53" s="13"/>
      <c r="AI53" s="18">
        <f t="shared" ref="AI53" si="140">AH52</f>
        <v>0</v>
      </c>
      <c r="AP53" s="11"/>
      <c r="AS53" t="str">
        <f>"CPA Fondeo BICE  CLP "&amp;TEXT(AP53,"dd-mm-aaa")</f>
        <v>CPA Fondeo BICE  CLP 00-01-1900</v>
      </c>
      <c r="BB53" s="11"/>
    </row>
    <row r="54" spans="5:59" x14ac:dyDescent="0.25">
      <c r="E54" s="15">
        <v>45470</v>
      </c>
      <c r="F54" s="8">
        <v>110209</v>
      </c>
      <c r="G54" s="8" t="s">
        <v>127</v>
      </c>
      <c r="H54" s="8" t="str">
        <f t="shared" si="0"/>
        <v xml:space="preserve">CPA Recaudación por Transbank </v>
      </c>
      <c r="I54" s="8" t="str">
        <f t="shared" si="0"/>
        <v xml:space="preserve">CPA Recaudación por Transbank </v>
      </c>
      <c r="J54" s="16">
        <f>+B28</f>
        <v>0</v>
      </c>
      <c r="K54" s="17"/>
      <c r="L54" s="3"/>
      <c r="R54" s="15">
        <v>45470</v>
      </c>
      <c r="S54" s="8"/>
      <c r="T54" s="8"/>
      <c r="U54" s="8"/>
      <c r="V54" s="16"/>
      <c r="W54" s="17"/>
      <c r="AD54" s="15">
        <v>45470</v>
      </c>
      <c r="AE54" s="8">
        <v>110213</v>
      </c>
      <c r="AF54" s="8" t="s">
        <v>110</v>
      </c>
      <c r="AG54" t="str">
        <f>"CPA Fondeo WALLET CLP "</f>
        <v xml:space="preserve">CPA Fondeo WALLET CLP </v>
      </c>
      <c r="AH54" s="16">
        <f>+AA28</f>
        <v>0</v>
      </c>
      <c r="AI54" s="17"/>
      <c r="AP54" s="15">
        <v>45470</v>
      </c>
      <c r="BB54" s="15">
        <v>45470</v>
      </c>
    </row>
    <row r="55" spans="5:59" x14ac:dyDescent="0.25">
      <c r="E55" s="11"/>
      <c r="F55" s="12">
        <v>110260</v>
      </c>
      <c r="G55" s="12" t="s">
        <v>26</v>
      </c>
      <c r="H55" s="12" t="str">
        <f t="shared" si="0"/>
        <v xml:space="preserve">CPA Recaudación por Transbank </v>
      </c>
      <c r="I55" s="12" t="str">
        <f t="shared" ref="I55" si="141">+I54</f>
        <v xml:space="preserve">CPA Recaudación por Transbank </v>
      </c>
      <c r="J55" s="13"/>
      <c r="K55" s="18">
        <f>J54</f>
        <v>0</v>
      </c>
      <c r="L55" s="3"/>
      <c r="R55" s="11"/>
      <c r="S55" s="12"/>
      <c r="T55" s="12"/>
      <c r="U55" s="12"/>
      <c r="V55" s="13"/>
      <c r="W55" s="18"/>
      <c r="AD55" s="11"/>
      <c r="AE55" s="12">
        <v>110209</v>
      </c>
      <c r="AF55" s="12" t="s">
        <v>127</v>
      </c>
      <c r="AG55" s="12" t="str">
        <f t="shared" ref="AG55" si="142">AG54</f>
        <v xml:space="preserve">CPA Fondeo WALLET CLP </v>
      </c>
      <c r="AH55" s="13"/>
      <c r="AI55" s="18">
        <f t="shared" ref="AI55" si="143">AH54</f>
        <v>0</v>
      </c>
      <c r="AP55" s="11"/>
      <c r="BB55" s="11"/>
    </row>
    <row r="56" spans="5:59" x14ac:dyDescent="0.25">
      <c r="E56" s="15">
        <v>45471</v>
      </c>
      <c r="F56" s="8">
        <v>110209</v>
      </c>
      <c r="G56" s="8" t="s">
        <v>127</v>
      </c>
      <c r="H56" s="8" t="str">
        <f t="shared" si="0"/>
        <v xml:space="preserve">CPA Recaudación por Transbank </v>
      </c>
      <c r="I56" s="8" t="str">
        <f t="shared" si="0"/>
        <v xml:space="preserve">CPA Recaudación por Transbank </v>
      </c>
      <c r="J56" s="16">
        <f>+B29</f>
        <v>0</v>
      </c>
      <c r="K56" s="17"/>
      <c r="L56" s="3"/>
      <c r="R56" s="15">
        <v>45471</v>
      </c>
      <c r="S56" s="8"/>
      <c r="T56" s="8"/>
      <c r="U56" s="8"/>
      <c r="V56" s="16"/>
      <c r="W56" s="17"/>
      <c r="AD56" s="15">
        <v>45471</v>
      </c>
      <c r="AE56" s="8">
        <v>110213</v>
      </c>
      <c r="AF56" s="8" t="s">
        <v>110</v>
      </c>
      <c r="AG56" t="str">
        <f>"CPA Fondeo WALLET CLP "</f>
        <v xml:space="preserve">CPA Fondeo WALLET CLP </v>
      </c>
      <c r="AH56" s="16">
        <f>+AA29</f>
        <v>0</v>
      </c>
      <c r="AI56" s="17"/>
      <c r="AP56" s="15">
        <v>45471</v>
      </c>
      <c r="BB56" s="15">
        <v>45471</v>
      </c>
    </row>
    <row r="57" spans="5:59" x14ac:dyDescent="0.25">
      <c r="E57" s="11"/>
      <c r="F57" s="12">
        <v>110260</v>
      </c>
      <c r="G57" s="12" t="s">
        <v>26</v>
      </c>
      <c r="H57" s="12" t="str">
        <f t="shared" si="0"/>
        <v xml:space="preserve">CPA Recaudación por Transbank </v>
      </c>
      <c r="I57" s="12" t="str">
        <f t="shared" ref="I57" si="144">+I56</f>
        <v xml:space="preserve">CPA Recaudación por Transbank </v>
      </c>
      <c r="J57" s="13"/>
      <c r="K57" s="18">
        <f>J56</f>
        <v>0</v>
      </c>
      <c r="R57" s="11"/>
      <c r="S57" s="12"/>
      <c r="T57" s="12"/>
      <c r="U57" s="12"/>
      <c r="V57" s="13"/>
      <c r="W57" s="18"/>
      <c r="AD57" s="11"/>
      <c r="AE57" s="12">
        <v>110209</v>
      </c>
      <c r="AF57" s="12" t="s">
        <v>127</v>
      </c>
      <c r="AG57" s="12" t="str">
        <f t="shared" ref="AG57" si="145">AG56</f>
        <v xml:space="preserve">CPA Fondeo WALLET CLP </v>
      </c>
      <c r="AH57" s="13"/>
      <c r="AI57" s="18">
        <f t="shared" ref="AI57" si="146">AH56</f>
        <v>0</v>
      </c>
      <c r="AP57" s="11"/>
      <c r="BB57" s="11"/>
    </row>
    <row r="58" spans="5:59" x14ac:dyDescent="0.25">
      <c r="E58" s="15">
        <v>45472</v>
      </c>
      <c r="F58" s="8">
        <v>110209</v>
      </c>
      <c r="G58" s="8" t="s">
        <v>127</v>
      </c>
      <c r="H58" s="8" t="str">
        <f t="shared" si="0"/>
        <v xml:space="preserve">CPA Recaudación por Transbank </v>
      </c>
      <c r="I58" s="8" t="str">
        <f t="shared" si="0"/>
        <v xml:space="preserve">CPA Recaudación por Transbank </v>
      </c>
      <c r="J58" s="16">
        <f>+B30</f>
        <v>0</v>
      </c>
      <c r="K58" s="17"/>
      <c r="L58" s="3"/>
      <c r="R58" s="15">
        <v>45472</v>
      </c>
      <c r="S58" s="8"/>
      <c r="T58" s="8"/>
      <c r="U58" s="8"/>
      <c r="V58" s="16"/>
      <c r="W58" s="17"/>
      <c r="AD58" s="15">
        <v>45472</v>
      </c>
      <c r="AE58" s="8">
        <v>110213</v>
      </c>
      <c r="AF58" s="8" t="s">
        <v>110</v>
      </c>
      <c r="AG58" t="str">
        <f>"CPA Fondeo WALLET CLP "</f>
        <v xml:space="preserve">CPA Fondeo WALLET CLP </v>
      </c>
      <c r="AH58" s="16">
        <f>+AA30</f>
        <v>41000000</v>
      </c>
      <c r="AI58" s="17"/>
      <c r="AP58" s="15">
        <v>45472</v>
      </c>
      <c r="BB58" s="15">
        <v>45472</v>
      </c>
    </row>
    <row r="59" spans="5:59" x14ac:dyDescent="0.25">
      <c r="E59" s="11"/>
      <c r="F59" s="12">
        <v>110260</v>
      </c>
      <c r="G59" s="12" t="s">
        <v>26</v>
      </c>
      <c r="H59" s="12" t="str">
        <f t="shared" si="0"/>
        <v xml:space="preserve">CPA Recaudación por Transbank </v>
      </c>
      <c r="I59" s="12" t="str">
        <f t="shared" ref="I59" si="147">+I58</f>
        <v xml:space="preserve">CPA Recaudación por Transbank </v>
      </c>
      <c r="J59" s="13"/>
      <c r="K59" s="18">
        <f>J58</f>
        <v>0</v>
      </c>
      <c r="R59" s="11"/>
      <c r="S59" s="12"/>
      <c r="T59" s="12"/>
      <c r="U59" s="12"/>
      <c r="V59" s="13"/>
      <c r="W59" s="18"/>
      <c r="AD59" s="11"/>
      <c r="AE59" s="12">
        <v>110209</v>
      </c>
      <c r="AF59" s="12" t="s">
        <v>127</v>
      </c>
      <c r="AG59" s="12" t="str">
        <f t="shared" ref="AG59" si="148">AG58</f>
        <v xml:space="preserve">CPA Fondeo WALLET CLP </v>
      </c>
      <c r="AH59" s="13"/>
      <c r="AI59" s="18">
        <f t="shared" ref="AI59" si="149">AH58</f>
        <v>41000000</v>
      </c>
      <c r="AP59" s="11"/>
      <c r="BB59" s="11"/>
    </row>
    <row r="60" spans="5:59" x14ac:dyDescent="0.25">
      <c r="E60" s="15">
        <v>45473</v>
      </c>
      <c r="F60" s="8">
        <v>110209</v>
      </c>
      <c r="G60" s="8" t="s">
        <v>127</v>
      </c>
      <c r="H60" s="8" t="str">
        <f t="shared" si="0"/>
        <v xml:space="preserve">CPA Recaudación por Transbank </v>
      </c>
      <c r="I60" s="8" t="str">
        <f t="shared" si="0"/>
        <v xml:space="preserve">CPA Recaudación por Transbank </v>
      </c>
      <c r="J60" s="16">
        <f>+B31</f>
        <v>0</v>
      </c>
      <c r="K60" s="17"/>
      <c r="L60" s="3"/>
      <c r="R60" s="15">
        <v>45473</v>
      </c>
      <c r="S60" s="8"/>
      <c r="T60" s="8"/>
      <c r="U60" s="8"/>
      <c r="V60" s="16"/>
      <c r="W60" s="17"/>
      <c r="AD60" s="15">
        <v>45473</v>
      </c>
      <c r="AE60" s="8">
        <v>110213</v>
      </c>
      <c r="AF60" s="8" t="s">
        <v>110</v>
      </c>
      <c r="AG60" t="str">
        <f>"CPA Fondeo WALLET CLP "</f>
        <v xml:space="preserve">CPA Fondeo WALLET CLP </v>
      </c>
      <c r="AH60" s="16">
        <f>+AA31</f>
        <v>0</v>
      </c>
      <c r="AI60" s="17"/>
      <c r="AP60" s="15">
        <v>45473</v>
      </c>
      <c r="BB60" s="15">
        <v>45473</v>
      </c>
    </row>
    <row r="61" spans="5:59" x14ac:dyDescent="0.25">
      <c r="E61" s="11"/>
      <c r="F61" s="12">
        <v>110260</v>
      </c>
      <c r="G61" s="12" t="s">
        <v>26</v>
      </c>
      <c r="H61" s="12" t="str">
        <f t="shared" si="0"/>
        <v xml:space="preserve">CPA Recaudación por Transbank </v>
      </c>
      <c r="I61" s="12" t="str">
        <f t="shared" ref="I61" si="150">+I60</f>
        <v xml:space="preserve">CPA Recaudación por Transbank </v>
      </c>
      <c r="J61" s="13"/>
      <c r="K61" s="18">
        <f>J60</f>
        <v>0</v>
      </c>
      <c r="L61" s="3"/>
      <c r="R61" s="11"/>
      <c r="S61" s="12"/>
      <c r="T61" s="12"/>
      <c r="U61" s="12"/>
      <c r="V61" s="13"/>
      <c r="W61" s="18"/>
      <c r="AD61" s="11"/>
      <c r="AE61" s="12">
        <v>110209</v>
      </c>
      <c r="AF61" s="12" t="s">
        <v>127</v>
      </c>
      <c r="AG61" s="12" t="str">
        <f t="shared" ref="AG61" si="151">AG60</f>
        <v xml:space="preserve">CPA Fondeo WALLET CLP </v>
      </c>
      <c r="AH61" s="13"/>
      <c r="AI61" s="18">
        <f t="shared" ref="AI61" si="152">AH60</f>
        <v>0</v>
      </c>
      <c r="AP61" s="11"/>
      <c r="BB61" s="11"/>
    </row>
    <row r="62" spans="5:59" x14ac:dyDescent="0.25">
      <c r="E62" s="15" t="s">
        <v>143</v>
      </c>
      <c r="F62" s="8">
        <v>110209</v>
      </c>
      <c r="G62" s="8" t="s">
        <v>127</v>
      </c>
      <c r="H62" s="8" t="str">
        <f t="shared" si="0"/>
        <v xml:space="preserve">CPA Recaudación por Transbank </v>
      </c>
      <c r="I62" s="8" t="str">
        <f t="shared" si="0"/>
        <v xml:space="preserve">CPA Recaudación por Transbank </v>
      </c>
      <c r="J62" s="16">
        <f>+B32</f>
        <v>0</v>
      </c>
      <c r="K62" s="17"/>
      <c r="L62" s="3"/>
      <c r="R62" s="15" t="s">
        <v>143</v>
      </c>
      <c r="S62" s="8"/>
      <c r="T62" s="8"/>
      <c r="U62" s="8"/>
      <c r="V62" s="16"/>
      <c r="W62" s="17"/>
      <c r="AD62" s="15" t="s">
        <v>143</v>
      </c>
      <c r="AE62" s="8">
        <v>110213</v>
      </c>
      <c r="AF62" s="8" t="s">
        <v>110</v>
      </c>
      <c r="AG62" t="str">
        <f>"CPA Fondeo WALLET CLP "</f>
        <v xml:space="preserve">CPA Fondeo WALLET CLP </v>
      </c>
      <c r="AH62" s="16">
        <f>+AA32</f>
        <v>0</v>
      </c>
      <c r="AI62" s="17"/>
      <c r="AP62" s="15" t="s">
        <v>143</v>
      </c>
      <c r="BB62" s="15" t="s">
        <v>143</v>
      </c>
    </row>
    <row r="63" spans="5:59" x14ac:dyDescent="0.25">
      <c r="E63" s="11"/>
      <c r="F63" s="12">
        <v>110260</v>
      </c>
      <c r="G63" s="12" t="s">
        <v>26</v>
      </c>
      <c r="H63" s="12" t="str">
        <f t="shared" si="0"/>
        <v xml:space="preserve">CPA Recaudación por Transbank </v>
      </c>
      <c r="I63" s="12" t="str">
        <f t="shared" ref="I63" si="153">+I62</f>
        <v xml:space="preserve">CPA Recaudación por Transbank </v>
      </c>
      <c r="J63" s="13"/>
      <c r="K63" s="18">
        <f>J62</f>
        <v>0</v>
      </c>
      <c r="R63" s="11"/>
      <c r="S63" s="12"/>
      <c r="T63" s="12"/>
      <c r="U63" s="12"/>
      <c r="V63" s="13"/>
      <c r="W63" s="18"/>
      <c r="AD63" s="11"/>
      <c r="AE63" s="12">
        <v>110209</v>
      </c>
      <c r="AF63" s="12" t="s">
        <v>127</v>
      </c>
      <c r="AG63" s="12" t="str">
        <f t="shared" ref="AG63" si="154">AG62</f>
        <v xml:space="preserve">CPA Fondeo WALLET CLP </v>
      </c>
      <c r="AH63" s="13"/>
      <c r="AI63" s="18">
        <f t="shared" ref="AI63" si="155">AH62</f>
        <v>0</v>
      </c>
      <c r="AP63" s="11"/>
      <c r="BB63" s="11"/>
    </row>
    <row r="64" spans="5:59" x14ac:dyDescent="0.25">
      <c r="L64" s="3"/>
    </row>
    <row r="66" spans="12:12" x14ac:dyDescent="0.25">
      <c r="L66" s="3"/>
    </row>
    <row r="67" spans="12:12" x14ac:dyDescent="0.25">
      <c r="L67" s="3"/>
    </row>
    <row r="68" spans="12:12" x14ac:dyDescent="0.25">
      <c r="L68" s="3"/>
    </row>
    <row r="70" spans="12:12" x14ac:dyDescent="0.25">
      <c r="L70" s="3"/>
    </row>
    <row r="72" spans="12:12" x14ac:dyDescent="0.25">
      <c r="L72" s="3"/>
    </row>
    <row r="73" spans="12:12" x14ac:dyDescent="0.25">
      <c r="L73" s="3"/>
    </row>
    <row r="74" spans="12:12" x14ac:dyDescent="0.25">
      <c r="L74" s="3"/>
    </row>
    <row r="76" spans="12:12" x14ac:dyDescent="0.25">
      <c r="L76" s="3"/>
    </row>
    <row r="78" spans="12:12" x14ac:dyDescent="0.25">
      <c r="L78" s="3"/>
    </row>
    <row r="79" spans="12:12" x14ac:dyDescent="0.25">
      <c r="L79" s="3"/>
    </row>
    <row r="80" spans="12:12" x14ac:dyDescent="0.25">
      <c r="L80" s="3"/>
    </row>
    <row r="82" spans="12:12" x14ac:dyDescent="0.25">
      <c r="L82" s="3"/>
    </row>
    <row r="86" spans="12:12" x14ac:dyDescent="0.25">
      <c r="L86" s="3"/>
    </row>
    <row r="92" spans="12:12" x14ac:dyDescent="0.25">
      <c r="L92" s="3"/>
    </row>
    <row r="98" spans="12:12" x14ac:dyDescent="0.25">
      <c r="L98" s="3"/>
    </row>
    <row r="104" spans="12:12" x14ac:dyDescent="0.25">
      <c r="L104" s="3"/>
    </row>
    <row r="110" spans="12:12" x14ac:dyDescent="0.25">
      <c r="L110" s="3"/>
    </row>
    <row r="116" spans="12:12" x14ac:dyDescent="0.25">
      <c r="L116" s="3"/>
    </row>
    <row r="122" spans="12:12" x14ac:dyDescent="0.25">
      <c r="L122" s="3"/>
    </row>
    <row r="128" spans="12:12" x14ac:dyDescent="0.25">
      <c r="L128" s="3"/>
    </row>
    <row r="134" spans="12:12" x14ac:dyDescent="0.25">
      <c r="L134" s="3"/>
    </row>
    <row r="140" spans="12:12" x14ac:dyDescent="0.25">
      <c r="L140" s="3"/>
    </row>
  </sheetData>
  <autoFilter ref="AD1:AI63" xr:uid="{BC1428F1-8873-419C-88A7-D5EEC0FD9004}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08410-EC44-4D17-848E-349FF0E77576}">
  <dimension ref="A1:J63"/>
  <sheetViews>
    <sheetView showGridLines="0" workbookViewId="0">
      <selection activeCell="H2" sqref="H2"/>
    </sheetView>
  </sheetViews>
  <sheetFormatPr baseColWidth="10" defaultRowHeight="15" x14ac:dyDescent="0.25"/>
  <cols>
    <col min="1" max="1" width="11.140625" bestFit="1" customWidth="1"/>
    <col min="2" max="2" width="12" bestFit="1" customWidth="1"/>
    <col min="3" max="3" width="13.28515625" bestFit="1" customWidth="1"/>
    <col min="7" max="7" width="23.140625" bestFit="1" customWidth="1"/>
    <col min="8" max="8" width="45.7109375" bestFit="1" customWidth="1"/>
    <col min="9" max="10" width="12" bestFit="1" customWidth="1"/>
  </cols>
  <sheetData>
    <row r="1" spans="1:10" x14ac:dyDescent="0.25">
      <c r="A1" s="4" t="s">
        <v>0</v>
      </c>
      <c r="B1" s="4"/>
      <c r="C1" s="4" t="s">
        <v>27</v>
      </c>
      <c r="E1" s="22" t="s">
        <v>0</v>
      </c>
      <c r="F1" s="23"/>
      <c r="G1" s="23"/>
      <c r="H1" s="23"/>
      <c r="I1" s="23" t="s">
        <v>5</v>
      </c>
      <c r="J1" s="24" t="s">
        <v>6</v>
      </c>
    </row>
    <row r="2" spans="1:10" x14ac:dyDescent="0.25">
      <c r="A2" s="1">
        <v>45444</v>
      </c>
      <c r="B2" s="42"/>
      <c r="C2" s="26" t="e">
        <f>HLOOKUP(A2,Hoja2!$R$2:$AV$14,13,FALSE)</f>
        <v>#N/A</v>
      </c>
      <c r="E2" s="9">
        <v>45444</v>
      </c>
      <c r="F2">
        <v>110220</v>
      </c>
      <c r="G2" t="s">
        <v>57</v>
      </c>
      <c r="H2" t="str">
        <f>"CPA Recaudación Clientes BCI 553 "&amp;TEXT(E2,"dd-mm-aaa")</f>
        <v>CPA Recaudación Clientes BCI 553 01-06-2024</v>
      </c>
      <c r="I2" s="3" t="e">
        <f>+C2</f>
        <v>#N/A</v>
      </c>
      <c r="J2" s="10"/>
    </row>
    <row r="3" spans="1:10" x14ac:dyDescent="0.25">
      <c r="A3" s="1">
        <v>45445</v>
      </c>
      <c r="B3" s="3"/>
      <c r="C3" s="26" t="e">
        <f>HLOOKUP(A3,Hoja2!$R$2:$AV$14,13,FALSE)</f>
        <v>#N/A</v>
      </c>
      <c r="E3" s="11"/>
      <c r="F3" s="12">
        <v>211101</v>
      </c>
      <c r="G3" s="12" t="s">
        <v>18</v>
      </c>
      <c r="H3" s="12" t="str">
        <f>H2</f>
        <v>CPA Recaudación Clientes BCI 553 01-06-2024</v>
      </c>
      <c r="I3" s="13"/>
      <c r="J3" s="18" t="e">
        <f>I2</f>
        <v>#N/A</v>
      </c>
    </row>
    <row r="4" spans="1:10" x14ac:dyDescent="0.25">
      <c r="A4" s="1">
        <v>45446</v>
      </c>
      <c r="B4" s="3"/>
      <c r="C4" s="26" t="e">
        <f>HLOOKUP(A4,Hoja2!$R$2:$AV$14,13,FALSE)</f>
        <v>#N/A</v>
      </c>
      <c r="E4" s="15">
        <v>45445</v>
      </c>
      <c r="F4">
        <v>110220</v>
      </c>
      <c r="G4" t="s">
        <v>57</v>
      </c>
      <c r="H4" t="str">
        <f>"CPA Recaudación Clientes BCI 553 "&amp;TEXT(E4,"dd-mm-aaa")</f>
        <v>CPA Recaudación Clientes BCI 553 02-06-2024</v>
      </c>
      <c r="I4" s="16" t="e">
        <f>+C3</f>
        <v>#N/A</v>
      </c>
      <c r="J4" s="17"/>
    </row>
    <row r="5" spans="1:10" x14ac:dyDescent="0.25">
      <c r="A5" s="1">
        <v>45447</v>
      </c>
      <c r="B5" s="3"/>
      <c r="C5" s="26" t="e">
        <f>HLOOKUP(A5,Hoja2!$R$2:$AV$14,13,FALSE)</f>
        <v>#N/A</v>
      </c>
      <c r="E5" s="11"/>
      <c r="F5" s="12">
        <v>211101</v>
      </c>
      <c r="G5" s="12" t="s">
        <v>18</v>
      </c>
      <c r="H5" s="12" t="str">
        <f t="shared" ref="H5" si="0">H4</f>
        <v>CPA Recaudación Clientes BCI 553 02-06-2024</v>
      </c>
      <c r="I5" s="13"/>
      <c r="J5" s="18" t="e">
        <f t="shared" ref="J5" si="1">I4</f>
        <v>#N/A</v>
      </c>
    </row>
    <row r="6" spans="1:10" x14ac:dyDescent="0.25">
      <c r="A6" s="1">
        <v>45448</v>
      </c>
      <c r="B6" s="3"/>
      <c r="C6" s="26" t="e">
        <f>HLOOKUP(A6,Hoja2!$R$2:$AV$14,13,FALSE)</f>
        <v>#N/A</v>
      </c>
      <c r="E6" s="15">
        <v>45446</v>
      </c>
      <c r="F6">
        <v>110220</v>
      </c>
      <c r="G6" t="s">
        <v>57</v>
      </c>
      <c r="H6" t="str">
        <f>"CPA Recaudación Clientes BCI 553 "&amp;TEXT(E6,"dd-mm-aaa")</f>
        <v>CPA Recaudación Clientes BCI 553 03-06-2024</v>
      </c>
      <c r="I6" s="16" t="e">
        <f>+C4</f>
        <v>#N/A</v>
      </c>
      <c r="J6" s="17"/>
    </row>
    <row r="7" spans="1:10" x14ac:dyDescent="0.25">
      <c r="A7" s="1">
        <v>45449</v>
      </c>
      <c r="B7" s="3"/>
      <c r="C7" s="26" t="e">
        <f>HLOOKUP(A7,Hoja2!$R$2:$AV$14,13,FALSE)</f>
        <v>#N/A</v>
      </c>
      <c r="E7" s="11"/>
      <c r="F7" s="12">
        <v>211101</v>
      </c>
      <c r="G7" s="12" t="s">
        <v>18</v>
      </c>
      <c r="H7" s="12" t="str">
        <f t="shared" ref="H7" si="2">H6</f>
        <v>CPA Recaudación Clientes BCI 553 03-06-2024</v>
      </c>
      <c r="I7" s="13"/>
      <c r="J7" s="18" t="e">
        <f t="shared" ref="J7" si="3">I6</f>
        <v>#N/A</v>
      </c>
    </row>
    <row r="8" spans="1:10" x14ac:dyDescent="0.25">
      <c r="A8" s="1">
        <v>45450</v>
      </c>
      <c r="B8" s="3"/>
      <c r="C8" s="26" t="e">
        <f>HLOOKUP(A8,Hoja2!$R$2:$AV$14,13,FALSE)</f>
        <v>#N/A</v>
      </c>
      <c r="E8" s="15">
        <v>45447</v>
      </c>
      <c r="F8">
        <v>110220</v>
      </c>
      <c r="G8" t="s">
        <v>57</v>
      </c>
      <c r="H8" t="str">
        <f>"CPA Recaudación Clientes BCI 553 "&amp;TEXT(E8,"dd-mm-aaa")</f>
        <v>CPA Recaudación Clientes BCI 553 04-06-2024</v>
      </c>
      <c r="I8" s="16" t="e">
        <f>+C5</f>
        <v>#N/A</v>
      </c>
      <c r="J8" s="17"/>
    </row>
    <row r="9" spans="1:10" x14ac:dyDescent="0.25">
      <c r="A9" s="1">
        <v>45451</v>
      </c>
      <c r="B9" s="3"/>
      <c r="C9" s="26" t="e">
        <f>HLOOKUP(A9,Hoja2!$R$2:$AV$14,13,FALSE)</f>
        <v>#N/A</v>
      </c>
      <c r="E9" s="20"/>
      <c r="F9" s="12">
        <v>211101</v>
      </c>
      <c r="G9" s="12" t="s">
        <v>18</v>
      </c>
      <c r="H9" s="12" t="str">
        <f t="shared" ref="H9" si="4">H8</f>
        <v>CPA Recaudación Clientes BCI 553 04-06-2024</v>
      </c>
      <c r="J9" s="10" t="e">
        <f t="shared" ref="J9" si="5">I8</f>
        <v>#N/A</v>
      </c>
    </row>
    <row r="10" spans="1:10" x14ac:dyDescent="0.25">
      <c r="A10" s="1">
        <v>45452</v>
      </c>
      <c r="B10" s="3"/>
      <c r="C10" s="26" t="e">
        <f>HLOOKUP(A10,Hoja2!$R$2:$AV$14,13,FALSE)</f>
        <v>#N/A</v>
      </c>
      <c r="E10" s="15">
        <v>45448</v>
      </c>
      <c r="F10">
        <v>110220</v>
      </c>
      <c r="G10" t="s">
        <v>57</v>
      </c>
      <c r="H10" t="str">
        <f>"CPA Recaudación Clientes BCI 553 "&amp;TEXT(E10,"dd-mm-aaa")</f>
        <v>CPA Recaudación Clientes BCI 553 05-06-2024</v>
      </c>
      <c r="I10" s="16" t="e">
        <f>+C6</f>
        <v>#N/A</v>
      </c>
      <c r="J10" s="17"/>
    </row>
    <row r="11" spans="1:10" x14ac:dyDescent="0.25">
      <c r="A11" s="1">
        <v>45453</v>
      </c>
      <c r="B11" s="3"/>
      <c r="C11" s="26" t="e">
        <f>HLOOKUP(A11,Hoja2!$R$2:$AV$14,13,FALSE)</f>
        <v>#N/A</v>
      </c>
      <c r="E11" s="20"/>
      <c r="F11" s="12">
        <v>211101</v>
      </c>
      <c r="G11" s="12" t="s">
        <v>18</v>
      </c>
      <c r="H11" s="12" t="str">
        <f t="shared" ref="H11" si="6">H10</f>
        <v>CPA Recaudación Clientes BCI 553 05-06-2024</v>
      </c>
      <c r="J11" s="10" t="e">
        <f t="shared" ref="J11" si="7">I10</f>
        <v>#N/A</v>
      </c>
    </row>
    <row r="12" spans="1:10" x14ac:dyDescent="0.25">
      <c r="A12" s="1">
        <v>45454</v>
      </c>
      <c r="B12" s="3"/>
      <c r="C12" s="26" t="e">
        <f>HLOOKUP(A12,Hoja2!$R$2:$AV$14,13,FALSE)</f>
        <v>#N/A</v>
      </c>
      <c r="D12" s="19"/>
      <c r="E12" s="15">
        <v>45449</v>
      </c>
      <c r="F12">
        <v>110220</v>
      </c>
      <c r="G12" t="s">
        <v>57</v>
      </c>
      <c r="H12" t="str">
        <f>"CPA Recaudación Clientes BCI 553 "&amp;TEXT(E12,"dd-mm-aaa")</f>
        <v>CPA Recaudación Clientes BCI 553 06-06-2024</v>
      </c>
      <c r="I12" s="16" t="e">
        <f>+C7</f>
        <v>#N/A</v>
      </c>
      <c r="J12" s="17"/>
    </row>
    <row r="13" spans="1:10" x14ac:dyDescent="0.25">
      <c r="A13" s="1">
        <v>45455</v>
      </c>
      <c r="B13" s="3"/>
      <c r="C13" s="26" t="e">
        <f>HLOOKUP(A13,Hoja2!$R$2:$AV$14,13,FALSE)</f>
        <v>#N/A</v>
      </c>
      <c r="D13" s="39"/>
      <c r="E13" s="20"/>
      <c r="F13" s="12">
        <v>211101</v>
      </c>
      <c r="G13" s="12" t="s">
        <v>18</v>
      </c>
      <c r="H13" s="12" t="str">
        <f t="shared" ref="H13" si="8">H12</f>
        <v>CPA Recaudación Clientes BCI 553 06-06-2024</v>
      </c>
      <c r="I13" s="3"/>
      <c r="J13" s="10" t="e">
        <f t="shared" ref="J13" si="9">I12</f>
        <v>#N/A</v>
      </c>
    </row>
    <row r="14" spans="1:10" x14ac:dyDescent="0.25">
      <c r="A14" s="1">
        <v>45456</v>
      </c>
      <c r="B14" s="3"/>
      <c r="C14" s="26" t="e">
        <f>HLOOKUP(A14,Hoja2!$R$2:$AV$14,13,FALSE)</f>
        <v>#N/A</v>
      </c>
      <c r="D14" s="21"/>
      <c r="E14" s="15">
        <v>45450</v>
      </c>
      <c r="F14">
        <v>110220</v>
      </c>
      <c r="G14" t="s">
        <v>57</v>
      </c>
      <c r="H14" t="str">
        <f>"CPA Recaudación Clientes BCI 553 "&amp;TEXT(E14,"dd-mm-aaa")</f>
        <v>CPA Recaudación Clientes BCI 553 07-06-2024</v>
      </c>
      <c r="I14" s="16" t="e">
        <f>+C8</f>
        <v>#N/A</v>
      </c>
      <c r="J14" s="17"/>
    </row>
    <row r="15" spans="1:10" x14ac:dyDescent="0.25">
      <c r="A15" s="1">
        <v>45457</v>
      </c>
      <c r="B15" s="3"/>
      <c r="C15" s="26" t="e">
        <f>HLOOKUP(A15,Hoja2!$R$2:$AV$14,13,FALSE)</f>
        <v>#N/A</v>
      </c>
      <c r="D15" s="40"/>
      <c r="E15" s="20"/>
      <c r="F15" s="12">
        <v>211101</v>
      </c>
      <c r="G15" s="12" t="s">
        <v>18</v>
      </c>
      <c r="H15" s="12" t="str">
        <f t="shared" ref="H15" si="10">H14</f>
        <v>CPA Recaudación Clientes BCI 553 07-06-2024</v>
      </c>
      <c r="I15" s="3"/>
      <c r="J15" s="10" t="e">
        <f t="shared" ref="J15" si="11">I14</f>
        <v>#N/A</v>
      </c>
    </row>
    <row r="16" spans="1:10" x14ac:dyDescent="0.25">
      <c r="A16" s="1">
        <v>45458</v>
      </c>
      <c r="B16" s="3"/>
      <c r="C16" s="26" t="e">
        <f>HLOOKUP(A16,Hoja2!$R$2:$AV$14,13,FALSE)</f>
        <v>#N/A</v>
      </c>
      <c r="D16" s="21"/>
      <c r="E16" s="15">
        <v>45451</v>
      </c>
      <c r="F16">
        <v>110220</v>
      </c>
      <c r="G16" t="s">
        <v>57</v>
      </c>
      <c r="H16" t="str">
        <f>"CPA Recaudación Clientes BCI 553 "&amp;TEXT(E16,"dd-mm-aaa")</f>
        <v>CPA Recaudación Clientes BCI 553 08-06-2024</v>
      </c>
      <c r="I16" s="16" t="e">
        <f>+C9</f>
        <v>#N/A</v>
      </c>
      <c r="J16" s="17"/>
    </row>
    <row r="17" spans="1:10" x14ac:dyDescent="0.25">
      <c r="A17" s="1">
        <v>45459</v>
      </c>
      <c r="B17" s="3"/>
      <c r="C17" s="26" t="e">
        <f>HLOOKUP(A17,Hoja2!$R$2:$AV$14,13,FALSE)</f>
        <v>#N/A</v>
      </c>
      <c r="D17" s="21"/>
      <c r="E17" s="11"/>
      <c r="F17" s="12">
        <v>211101</v>
      </c>
      <c r="G17" s="12" t="s">
        <v>18</v>
      </c>
      <c r="H17" s="12" t="str">
        <f t="shared" ref="H17" si="12">H16</f>
        <v>CPA Recaudación Clientes BCI 553 08-06-2024</v>
      </c>
      <c r="I17" s="13"/>
      <c r="J17" s="18" t="e">
        <f t="shared" ref="J17" si="13">I16</f>
        <v>#N/A</v>
      </c>
    </row>
    <row r="18" spans="1:10" x14ac:dyDescent="0.25">
      <c r="A18" s="1">
        <v>45460</v>
      </c>
      <c r="B18" s="3"/>
      <c r="C18" s="26" t="e">
        <f>HLOOKUP(A18,Hoja2!$R$2:$AV$14,13,FALSE)</f>
        <v>#N/A</v>
      </c>
      <c r="D18" s="21"/>
      <c r="E18" s="15">
        <v>45452</v>
      </c>
      <c r="F18">
        <v>110220</v>
      </c>
      <c r="G18" t="s">
        <v>57</v>
      </c>
      <c r="H18" t="str">
        <f>"CPA Recaudación Clientes BCI 553 "&amp;TEXT(E18,"dd-mm-aaa")</f>
        <v>CPA Recaudación Clientes BCI 553 09-06-2024</v>
      </c>
      <c r="I18" s="16" t="e">
        <f>+C10</f>
        <v>#N/A</v>
      </c>
      <c r="J18" s="17"/>
    </row>
    <row r="19" spans="1:10" x14ac:dyDescent="0.25">
      <c r="A19" s="1">
        <v>45461</v>
      </c>
      <c r="B19" s="3"/>
      <c r="C19" s="26" t="e">
        <f>HLOOKUP(A19,Hoja2!$R$2:$AV$14,13,FALSE)</f>
        <v>#N/A</v>
      </c>
      <c r="D19" s="21"/>
      <c r="E19" s="11"/>
      <c r="F19" s="12">
        <v>211101</v>
      </c>
      <c r="G19" s="12" t="s">
        <v>18</v>
      </c>
      <c r="H19" s="12" t="str">
        <f t="shared" ref="H19" si="14">H18</f>
        <v>CPA Recaudación Clientes BCI 553 09-06-2024</v>
      </c>
      <c r="I19" s="13"/>
      <c r="J19" s="18" t="e">
        <f t="shared" ref="J19" si="15">I18</f>
        <v>#N/A</v>
      </c>
    </row>
    <row r="20" spans="1:10" x14ac:dyDescent="0.25">
      <c r="A20" s="1">
        <v>45462</v>
      </c>
      <c r="B20" s="3"/>
      <c r="C20" s="26" t="e">
        <f>HLOOKUP(A20,Hoja2!$R$2:$AV$14,13,FALSE)</f>
        <v>#N/A</v>
      </c>
      <c r="D20" s="21"/>
      <c r="E20" s="15">
        <v>45453</v>
      </c>
      <c r="F20">
        <v>110220</v>
      </c>
      <c r="G20" t="s">
        <v>57</v>
      </c>
      <c r="H20" t="str">
        <f>"CPA Recaudación Clientes BCI 553 "&amp;TEXT(E20,"dd-mm-aaa")</f>
        <v>CPA Recaudación Clientes BCI 553 10-06-2024</v>
      </c>
      <c r="I20" s="16" t="e">
        <f>+C11</f>
        <v>#N/A</v>
      </c>
      <c r="J20" s="17"/>
    </row>
    <row r="21" spans="1:10" x14ac:dyDescent="0.25">
      <c r="A21" s="1">
        <v>45463</v>
      </c>
      <c r="B21" s="3"/>
      <c r="C21" s="26" t="e">
        <f>HLOOKUP(A21,Hoja2!$R$2:$AV$14,13,FALSE)</f>
        <v>#N/A</v>
      </c>
      <c r="D21" s="21"/>
      <c r="E21" s="9"/>
      <c r="F21" s="12">
        <v>211101</v>
      </c>
      <c r="G21" s="12" t="s">
        <v>18</v>
      </c>
      <c r="H21" s="12" t="str">
        <f t="shared" ref="H21" si="16">H20</f>
        <v>CPA Recaudación Clientes BCI 553 10-06-2024</v>
      </c>
      <c r="I21" s="3"/>
      <c r="J21" s="10" t="e">
        <f t="shared" ref="J21" si="17">I20</f>
        <v>#N/A</v>
      </c>
    </row>
    <row r="22" spans="1:10" x14ac:dyDescent="0.25">
      <c r="A22" s="1">
        <v>45464</v>
      </c>
      <c r="B22" s="3"/>
      <c r="C22" s="26" t="e">
        <f>HLOOKUP(A22,Hoja2!$R$2:$AV$14,13,FALSE)</f>
        <v>#N/A</v>
      </c>
      <c r="D22" s="21"/>
      <c r="E22" s="15">
        <v>45454</v>
      </c>
      <c r="F22">
        <v>110220</v>
      </c>
      <c r="G22" t="s">
        <v>57</v>
      </c>
      <c r="H22" t="str">
        <f>"CPA Recaudación Clientes BCI 553 "&amp;TEXT(E22,"dd-mm-aaa")</f>
        <v>CPA Recaudación Clientes BCI 553 11-06-2024</v>
      </c>
      <c r="I22" s="16" t="e">
        <f>+C12</f>
        <v>#N/A</v>
      </c>
      <c r="J22" s="17"/>
    </row>
    <row r="23" spans="1:10" x14ac:dyDescent="0.25">
      <c r="A23" s="1">
        <v>45465</v>
      </c>
      <c r="B23" s="3"/>
      <c r="C23" s="26" t="e">
        <f>HLOOKUP(A23,Hoja2!$R$2:$AV$14,13,FALSE)</f>
        <v>#N/A</v>
      </c>
      <c r="D23" s="21"/>
      <c r="E23" s="9"/>
      <c r="F23" s="12">
        <v>211101</v>
      </c>
      <c r="G23" s="12" t="s">
        <v>18</v>
      </c>
      <c r="H23" s="12" t="str">
        <f t="shared" ref="H23" si="18">H22</f>
        <v>CPA Recaudación Clientes BCI 553 11-06-2024</v>
      </c>
      <c r="I23" s="3"/>
      <c r="J23" s="10" t="e">
        <f t="shared" ref="J23" si="19">I22</f>
        <v>#N/A</v>
      </c>
    </row>
    <row r="24" spans="1:10" x14ac:dyDescent="0.25">
      <c r="A24" s="1">
        <v>45466</v>
      </c>
      <c r="B24" s="3"/>
      <c r="C24" s="26" t="e">
        <f>HLOOKUP(A24,Hoja2!$R$2:$AV$14,13,FALSE)</f>
        <v>#N/A</v>
      </c>
      <c r="D24" s="21"/>
      <c r="E24" s="15">
        <v>45455</v>
      </c>
      <c r="F24">
        <v>110220</v>
      </c>
      <c r="G24" t="s">
        <v>57</v>
      </c>
      <c r="H24" t="str">
        <f>"CPA Recaudación Clientes BCI 553 "&amp;TEXT(E24,"dd-mm-aaa")</f>
        <v>CPA Recaudación Clientes BCI 553 12-06-2024</v>
      </c>
      <c r="I24" s="16" t="e">
        <f>+C13</f>
        <v>#N/A</v>
      </c>
      <c r="J24" s="17"/>
    </row>
    <row r="25" spans="1:10" x14ac:dyDescent="0.25">
      <c r="A25" s="1">
        <v>45467</v>
      </c>
      <c r="B25" s="3"/>
      <c r="C25" s="26" t="e">
        <f>HLOOKUP(A25,Hoja2!$R$2:$AV$14,13,FALSE)</f>
        <v>#N/A</v>
      </c>
      <c r="D25" s="21"/>
      <c r="E25" s="9"/>
      <c r="F25" s="12">
        <v>211101</v>
      </c>
      <c r="G25" s="12" t="s">
        <v>18</v>
      </c>
      <c r="H25" s="12" t="str">
        <f t="shared" ref="H25" si="20">H24</f>
        <v>CPA Recaudación Clientes BCI 553 12-06-2024</v>
      </c>
      <c r="I25" s="3"/>
      <c r="J25" s="10" t="e">
        <f t="shared" ref="J25" si="21">I24</f>
        <v>#N/A</v>
      </c>
    </row>
    <row r="26" spans="1:10" x14ac:dyDescent="0.25">
      <c r="A26" s="1">
        <v>45468</v>
      </c>
      <c r="B26" s="3"/>
      <c r="C26" s="26" t="e">
        <f>HLOOKUP(A26,Hoja2!$R$2:$AV$14,13,FALSE)</f>
        <v>#N/A</v>
      </c>
      <c r="D26" s="21"/>
      <c r="E26" s="15">
        <v>45456</v>
      </c>
      <c r="F26">
        <v>110220</v>
      </c>
      <c r="G26" t="s">
        <v>57</v>
      </c>
      <c r="H26" t="str">
        <f>"CPA Recaudación Clientes BCI 553 "&amp;TEXT(E26,"dd-mm-aaa")</f>
        <v>CPA Recaudación Clientes BCI 553 13-06-2024</v>
      </c>
      <c r="I26" s="16" t="e">
        <f>+C14</f>
        <v>#N/A</v>
      </c>
      <c r="J26" s="17"/>
    </row>
    <row r="27" spans="1:10" x14ac:dyDescent="0.25">
      <c r="A27" s="1">
        <v>45469</v>
      </c>
      <c r="B27" s="3"/>
      <c r="C27" s="26" t="e">
        <f>HLOOKUP(A27,Hoja2!$R$2:$AV$14,13,FALSE)</f>
        <v>#N/A</v>
      </c>
      <c r="D27" s="21"/>
      <c r="E27" s="9"/>
      <c r="F27" s="12">
        <v>211101</v>
      </c>
      <c r="G27" s="12" t="s">
        <v>18</v>
      </c>
      <c r="H27" s="12" t="str">
        <f t="shared" ref="H27" si="22">H26</f>
        <v>CPA Recaudación Clientes BCI 553 13-06-2024</v>
      </c>
      <c r="I27" s="3"/>
      <c r="J27" s="10" t="e">
        <f t="shared" ref="J27" si="23">I26</f>
        <v>#N/A</v>
      </c>
    </row>
    <row r="28" spans="1:10" x14ac:dyDescent="0.25">
      <c r="A28" s="1">
        <v>45470</v>
      </c>
      <c r="B28" s="3"/>
      <c r="C28" s="26" t="e">
        <f>HLOOKUP(A28,Hoja2!$R$2:$AV$14,13,FALSE)</f>
        <v>#N/A</v>
      </c>
      <c r="E28" s="15">
        <v>45457</v>
      </c>
      <c r="F28">
        <v>110220</v>
      </c>
      <c r="G28" t="s">
        <v>57</v>
      </c>
      <c r="H28" t="str">
        <f>"CPA Recaudación Clientes BCI 553 "&amp;TEXT(E28,"dd-mm-aaa")</f>
        <v>CPA Recaudación Clientes BCI 553 14-06-2024</v>
      </c>
      <c r="I28" s="16" t="e">
        <f>+C15</f>
        <v>#N/A</v>
      </c>
      <c r="J28" s="17"/>
    </row>
    <row r="29" spans="1:10" x14ac:dyDescent="0.25">
      <c r="A29" s="1">
        <v>45471</v>
      </c>
      <c r="B29" s="3"/>
      <c r="C29" s="26" t="e">
        <f>HLOOKUP(A29,Hoja2!$R$2:$AV$14,13,FALSE)</f>
        <v>#N/A</v>
      </c>
      <c r="D29" s="39"/>
      <c r="E29" s="9"/>
      <c r="F29" s="12">
        <v>211101</v>
      </c>
      <c r="G29" s="12" t="s">
        <v>18</v>
      </c>
      <c r="H29" s="12" t="str">
        <f t="shared" ref="H29" si="24">H28</f>
        <v>CPA Recaudación Clientes BCI 553 14-06-2024</v>
      </c>
      <c r="I29" s="3"/>
      <c r="J29" s="10" t="e">
        <f t="shared" ref="J29" si="25">I28</f>
        <v>#N/A</v>
      </c>
    </row>
    <row r="30" spans="1:10" x14ac:dyDescent="0.25">
      <c r="A30" s="1">
        <v>45472</v>
      </c>
      <c r="B30" s="3"/>
      <c r="C30" s="26" t="e">
        <f>HLOOKUP(A30,Hoja2!$R$2:$AV$14,13,FALSE)</f>
        <v>#N/A</v>
      </c>
      <c r="E30" s="15">
        <v>45458</v>
      </c>
      <c r="F30">
        <v>110220</v>
      </c>
      <c r="G30" t="s">
        <v>57</v>
      </c>
      <c r="H30" t="str">
        <f>"CPA Recaudación Clientes BCI 553 "&amp;TEXT(E30,"dd-mm-aaa")</f>
        <v>CPA Recaudación Clientes BCI 553 15-06-2024</v>
      </c>
      <c r="I30" s="16" t="e">
        <f>+C16</f>
        <v>#N/A</v>
      </c>
      <c r="J30" s="17"/>
    </row>
    <row r="31" spans="1:10" x14ac:dyDescent="0.25">
      <c r="A31" s="1">
        <v>45473</v>
      </c>
      <c r="B31" s="3"/>
      <c r="C31" s="26" t="e">
        <f>HLOOKUP(A31,Hoja2!$R$2:$AV$14,13,FALSE)</f>
        <v>#N/A</v>
      </c>
      <c r="E31" s="11"/>
      <c r="F31" s="12">
        <v>211101</v>
      </c>
      <c r="G31" s="12" t="s">
        <v>18</v>
      </c>
      <c r="H31" s="12" t="str">
        <f t="shared" ref="H31" si="26">H30</f>
        <v>CPA Recaudación Clientes BCI 553 15-06-2024</v>
      </c>
      <c r="I31" s="13"/>
      <c r="J31" s="18" t="e">
        <f t="shared" ref="J31" si="27">I30</f>
        <v>#N/A</v>
      </c>
    </row>
    <row r="32" spans="1:10" x14ac:dyDescent="0.25">
      <c r="A32" s="1">
        <v>45474</v>
      </c>
      <c r="B32" s="3"/>
      <c r="C32" s="26" t="e">
        <f>HLOOKUP(A32,Hoja2!$R$2:$AV$14,13,FALSE)</f>
        <v>#N/A</v>
      </c>
      <c r="E32" s="15">
        <v>45459</v>
      </c>
      <c r="F32">
        <v>110220</v>
      </c>
      <c r="G32" t="s">
        <v>57</v>
      </c>
      <c r="H32" t="str">
        <f>"CPA Recaudación Clientes BCI 553 "&amp;TEXT(E32,"dd-mm-aaa")</f>
        <v>CPA Recaudación Clientes BCI 553 16-06-2024</v>
      </c>
      <c r="I32" s="16" t="e">
        <f>+C17</f>
        <v>#N/A</v>
      </c>
      <c r="J32" s="17"/>
    </row>
    <row r="33" spans="1:10" x14ac:dyDescent="0.25">
      <c r="E33" s="11"/>
      <c r="F33" s="12">
        <v>211101</v>
      </c>
      <c r="G33" s="12" t="s">
        <v>18</v>
      </c>
      <c r="H33" s="12" t="str">
        <f t="shared" ref="H33" si="28">H32</f>
        <v>CPA Recaudación Clientes BCI 553 16-06-2024</v>
      </c>
      <c r="I33" s="13"/>
      <c r="J33" s="18" t="e">
        <f t="shared" ref="J33" si="29">I32</f>
        <v>#N/A</v>
      </c>
    </row>
    <row r="34" spans="1:10" x14ac:dyDescent="0.25">
      <c r="E34" s="15">
        <v>45460</v>
      </c>
      <c r="F34">
        <v>110220</v>
      </c>
      <c r="G34" t="s">
        <v>57</v>
      </c>
      <c r="H34" t="str">
        <f>"CPA Recaudación Clientes BCI 553 "&amp;TEXT(E34,"dd-mm-aaa")</f>
        <v>CPA Recaudación Clientes BCI 553 17-06-2024</v>
      </c>
      <c r="I34" s="16" t="e">
        <f>+C18</f>
        <v>#N/A</v>
      </c>
      <c r="J34" s="17"/>
    </row>
    <row r="35" spans="1:10" x14ac:dyDescent="0.25">
      <c r="E35" s="11"/>
      <c r="F35" s="12">
        <v>211101</v>
      </c>
      <c r="G35" s="12" t="s">
        <v>18</v>
      </c>
      <c r="H35" s="12" t="str">
        <f t="shared" ref="H35" si="30">H34</f>
        <v>CPA Recaudación Clientes BCI 553 17-06-2024</v>
      </c>
      <c r="I35" s="13"/>
      <c r="J35" s="18" t="e">
        <f t="shared" ref="J35" si="31">I34</f>
        <v>#N/A</v>
      </c>
    </row>
    <row r="36" spans="1:10" x14ac:dyDescent="0.25">
      <c r="E36" s="15">
        <v>45461</v>
      </c>
      <c r="F36">
        <v>110220</v>
      </c>
      <c r="G36" t="s">
        <v>57</v>
      </c>
      <c r="H36" t="str">
        <f>"CPA Recaudación Clientes BCI 553 "&amp;TEXT(E36,"dd-mm-aaa")</f>
        <v>CPA Recaudación Clientes BCI 553 18-06-2024</v>
      </c>
      <c r="I36" s="16" t="e">
        <f>+C19</f>
        <v>#N/A</v>
      </c>
      <c r="J36" s="17"/>
    </row>
    <row r="37" spans="1:10" x14ac:dyDescent="0.25">
      <c r="E37" s="11"/>
      <c r="F37" s="12">
        <v>211101</v>
      </c>
      <c r="G37" s="12" t="s">
        <v>18</v>
      </c>
      <c r="H37" s="12" t="str">
        <f t="shared" ref="H37" si="32">H36</f>
        <v>CPA Recaudación Clientes BCI 553 18-06-2024</v>
      </c>
      <c r="I37" s="13"/>
      <c r="J37" s="18" t="e">
        <f t="shared" ref="J37" si="33">I36</f>
        <v>#N/A</v>
      </c>
    </row>
    <row r="38" spans="1:10" x14ac:dyDescent="0.25">
      <c r="E38" s="15">
        <v>45462</v>
      </c>
      <c r="F38">
        <v>110220</v>
      </c>
      <c r="G38" t="s">
        <v>57</v>
      </c>
      <c r="H38" t="str">
        <f>"CPA Recaudación Clientes BCI 553 "&amp;TEXT(E38,"dd-mm-aaa")</f>
        <v>CPA Recaudación Clientes BCI 553 19-06-2024</v>
      </c>
      <c r="I38" s="16" t="e">
        <f>+C20</f>
        <v>#N/A</v>
      </c>
      <c r="J38" s="17"/>
    </row>
    <row r="39" spans="1:10" x14ac:dyDescent="0.25">
      <c r="E39" s="11"/>
      <c r="F39" s="12">
        <v>211101</v>
      </c>
      <c r="G39" s="12" t="s">
        <v>18</v>
      </c>
      <c r="H39" s="12" t="str">
        <f t="shared" ref="H39" si="34">H38</f>
        <v>CPA Recaudación Clientes BCI 553 19-06-2024</v>
      </c>
      <c r="I39" s="13"/>
      <c r="J39" s="18" t="e">
        <f t="shared" ref="J39" si="35">I38</f>
        <v>#N/A</v>
      </c>
    </row>
    <row r="40" spans="1:10" x14ac:dyDescent="0.25">
      <c r="E40" s="15">
        <v>45463</v>
      </c>
      <c r="F40">
        <v>110220</v>
      </c>
      <c r="G40" t="s">
        <v>57</v>
      </c>
      <c r="H40" t="str">
        <f>"CPA Recaudación Clientes BCI 553 "&amp;TEXT(E40,"dd-mm-aaa")</f>
        <v>CPA Recaudación Clientes BCI 553 20-06-2024</v>
      </c>
      <c r="I40" s="16" t="e">
        <f>+C21</f>
        <v>#N/A</v>
      </c>
      <c r="J40" s="17"/>
    </row>
    <row r="41" spans="1:10" x14ac:dyDescent="0.25">
      <c r="A41" s="42"/>
      <c r="E41" s="11"/>
      <c r="F41" s="12">
        <v>211101</v>
      </c>
      <c r="G41" s="12" t="s">
        <v>18</v>
      </c>
      <c r="H41" s="12" t="str">
        <f t="shared" ref="H41" si="36">H40</f>
        <v>CPA Recaudación Clientes BCI 553 20-06-2024</v>
      </c>
      <c r="I41" s="13"/>
      <c r="J41" s="18" t="e">
        <f t="shared" ref="J41" si="37">I40</f>
        <v>#N/A</v>
      </c>
    </row>
    <row r="42" spans="1:10" x14ac:dyDescent="0.25">
      <c r="A42" s="42"/>
      <c r="E42" s="15">
        <v>45464</v>
      </c>
      <c r="F42">
        <v>110220</v>
      </c>
      <c r="G42" t="s">
        <v>57</v>
      </c>
      <c r="H42" t="str">
        <f>"CPA Recaudación Clientes BCI 553 "&amp;TEXT(E42,"dd-mm-aaa")</f>
        <v>CPA Recaudación Clientes BCI 553 21-06-2024</v>
      </c>
      <c r="I42" s="16" t="e">
        <f>+C22</f>
        <v>#N/A</v>
      </c>
      <c r="J42" s="17"/>
    </row>
    <row r="43" spans="1:10" x14ac:dyDescent="0.25">
      <c r="A43" s="42"/>
      <c r="E43" s="11"/>
      <c r="F43" s="12">
        <v>211101</v>
      </c>
      <c r="G43" s="12" t="s">
        <v>18</v>
      </c>
      <c r="H43" s="12" t="str">
        <f t="shared" ref="H43" si="38">H42</f>
        <v>CPA Recaudación Clientes BCI 553 21-06-2024</v>
      </c>
      <c r="I43" s="13"/>
      <c r="J43" s="18" t="e">
        <f t="shared" ref="J43" si="39">I42</f>
        <v>#N/A</v>
      </c>
    </row>
    <row r="44" spans="1:10" x14ac:dyDescent="0.25">
      <c r="E44" s="15">
        <v>45465</v>
      </c>
      <c r="F44">
        <v>110220</v>
      </c>
      <c r="G44" t="s">
        <v>57</v>
      </c>
      <c r="H44" t="str">
        <f>"CPA Recaudación Clientes BCI 553 "&amp;TEXT(E44,"dd-mm-aaa")</f>
        <v>CPA Recaudación Clientes BCI 553 22-06-2024</v>
      </c>
      <c r="I44" s="16" t="e">
        <f>+C23</f>
        <v>#N/A</v>
      </c>
      <c r="J44" s="17"/>
    </row>
    <row r="45" spans="1:10" x14ac:dyDescent="0.25">
      <c r="E45" s="11"/>
      <c r="F45" s="12">
        <v>211101</v>
      </c>
      <c r="G45" s="12" t="s">
        <v>18</v>
      </c>
      <c r="H45" s="12" t="str">
        <f t="shared" ref="H45" si="40">H44</f>
        <v>CPA Recaudación Clientes BCI 553 22-06-2024</v>
      </c>
      <c r="I45" s="13"/>
      <c r="J45" s="18" t="e">
        <f t="shared" ref="J45" si="41">I44</f>
        <v>#N/A</v>
      </c>
    </row>
    <row r="46" spans="1:10" x14ac:dyDescent="0.25">
      <c r="E46" s="15">
        <v>45466</v>
      </c>
      <c r="F46">
        <v>110220</v>
      </c>
      <c r="G46" t="s">
        <v>57</v>
      </c>
      <c r="H46" t="str">
        <f>"CPA Recaudación Clientes BCI 553 "&amp;TEXT(E46,"dd-mm-aaa")</f>
        <v>CPA Recaudación Clientes BCI 553 23-06-2024</v>
      </c>
      <c r="I46" s="16" t="e">
        <f>+C24</f>
        <v>#N/A</v>
      </c>
      <c r="J46" s="17"/>
    </row>
    <row r="47" spans="1:10" x14ac:dyDescent="0.25">
      <c r="E47" s="11"/>
      <c r="F47" s="12">
        <v>211101</v>
      </c>
      <c r="G47" s="12" t="s">
        <v>18</v>
      </c>
      <c r="H47" s="12" t="str">
        <f t="shared" ref="H47" si="42">H46</f>
        <v>CPA Recaudación Clientes BCI 553 23-06-2024</v>
      </c>
      <c r="I47" s="13"/>
      <c r="J47" s="18" t="e">
        <f t="shared" ref="J47" si="43">I46</f>
        <v>#N/A</v>
      </c>
    </row>
    <row r="48" spans="1:10" x14ac:dyDescent="0.25">
      <c r="E48" s="15">
        <v>45467</v>
      </c>
      <c r="F48">
        <v>110220</v>
      </c>
      <c r="G48" t="s">
        <v>57</v>
      </c>
      <c r="H48" t="str">
        <f>"CPA Recaudación Clientes BCI 553 "&amp;TEXT(E48,"dd-mm-aaa")</f>
        <v>CPA Recaudación Clientes BCI 553 24-06-2024</v>
      </c>
      <c r="I48" s="16" t="e">
        <f>+C25</f>
        <v>#N/A</v>
      </c>
      <c r="J48" s="17"/>
    </row>
    <row r="49" spans="5:10" x14ac:dyDescent="0.25">
      <c r="E49" s="11"/>
      <c r="F49" s="12">
        <v>211101</v>
      </c>
      <c r="G49" s="12" t="s">
        <v>18</v>
      </c>
      <c r="H49" s="12" t="str">
        <f t="shared" ref="H49" si="44">H48</f>
        <v>CPA Recaudación Clientes BCI 553 24-06-2024</v>
      </c>
      <c r="I49" s="13"/>
      <c r="J49" s="18" t="e">
        <f t="shared" ref="J49" si="45">I48</f>
        <v>#N/A</v>
      </c>
    </row>
    <row r="50" spans="5:10" x14ac:dyDescent="0.25">
      <c r="E50" s="15">
        <v>45468</v>
      </c>
      <c r="F50">
        <v>110220</v>
      </c>
      <c r="G50" t="s">
        <v>57</v>
      </c>
      <c r="H50" t="str">
        <f>"CPA Recaudación Clientes BCI 553 "&amp;TEXT(E50,"dd-mm-aaa")</f>
        <v>CPA Recaudación Clientes BCI 553 25-06-2024</v>
      </c>
      <c r="I50" s="16" t="e">
        <f>+C26</f>
        <v>#N/A</v>
      </c>
      <c r="J50" s="17"/>
    </row>
    <row r="51" spans="5:10" x14ac:dyDescent="0.25">
      <c r="E51" s="11"/>
      <c r="F51" s="12">
        <v>211101</v>
      </c>
      <c r="G51" s="12" t="s">
        <v>18</v>
      </c>
      <c r="H51" s="12" t="str">
        <f t="shared" ref="H51" si="46">H50</f>
        <v>CPA Recaudación Clientes BCI 553 25-06-2024</v>
      </c>
      <c r="I51" s="13"/>
      <c r="J51" s="18" t="e">
        <f t="shared" ref="J51" si="47">I50</f>
        <v>#N/A</v>
      </c>
    </row>
    <row r="52" spans="5:10" x14ac:dyDescent="0.25">
      <c r="E52" s="15">
        <v>45469</v>
      </c>
      <c r="F52">
        <v>110220</v>
      </c>
      <c r="G52" t="s">
        <v>57</v>
      </c>
      <c r="H52" t="str">
        <f>"CPA Recaudación Clientes BCI 553 "&amp;TEXT(E52,"dd-mm-aaa")</f>
        <v>CPA Recaudación Clientes BCI 553 26-06-2024</v>
      </c>
      <c r="I52" s="16" t="e">
        <f>+C27</f>
        <v>#N/A</v>
      </c>
      <c r="J52" s="17"/>
    </row>
    <row r="53" spans="5:10" x14ac:dyDescent="0.25">
      <c r="E53" s="11"/>
      <c r="F53" s="12">
        <v>211101</v>
      </c>
      <c r="G53" s="12" t="s">
        <v>18</v>
      </c>
      <c r="H53" s="12" t="str">
        <f t="shared" ref="H53" si="48">H52</f>
        <v>CPA Recaudación Clientes BCI 553 26-06-2024</v>
      </c>
      <c r="I53" s="13"/>
      <c r="J53" s="18" t="e">
        <f t="shared" ref="J53" si="49">I52</f>
        <v>#N/A</v>
      </c>
    </row>
    <row r="54" spans="5:10" x14ac:dyDescent="0.25">
      <c r="E54" s="15">
        <v>45470</v>
      </c>
      <c r="F54">
        <v>110220</v>
      </c>
      <c r="G54" t="s">
        <v>57</v>
      </c>
      <c r="H54" t="str">
        <f>"CPA Recaudación Clientes BCI 553 "&amp;TEXT(E54,"dd-mm-aaa")</f>
        <v>CPA Recaudación Clientes BCI 553 27-06-2024</v>
      </c>
      <c r="I54" s="16" t="e">
        <f>+C28</f>
        <v>#N/A</v>
      </c>
      <c r="J54" s="17"/>
    </row>
    <row r="55" spans="5:10" x14ac:dyDescent="0.25">
      <c r="E55" s="11"/>
      <c r="F55" s="12">
        <v>211101</v>
      </c>
      <c r="G55" s="12" t="s">
        <v>18</v>
      </c>
      <c r="H55" s="12" t="str">
        <f t="shared" ref="H55" si="50">H54</f>
        <v>CPA Recaudación Clientes BCI 553 27-06-2024</v>
      </c>
      <c r="I55" s="13"/>
      <c r="J55" s="18" t="e">
        <f t="shared" ref="J55" si="51">I54</f>
        <v>#N/A</v>
      </c>
    </row>
    <row r="56" spans="5:10" x14ac:dyDescent="0.25">
      <c r="E56" s="15">
        <v>45471</v>
      </c>
      <c r="F56">
        <v>110220</v>
      </c>
      <c r="G56" t="s">
        <v>57</v>
      </c>
      <c r="H56" t="str">
        <f>"CPA Recaudación Clientes BCI 553 "&amp;TEXT(E56,"dd-mm-aaa")</f>
        <v>CPA Recaudación Clientes BCI 553 28-06-2024</v>
      </c>
      <c r="I56" s="16" t="e">
        <f>+C29</f>
        <v>#N/A</v>
      </c>
      <c r="J56" s="17"/>
    </row>
    <row r="57" spans="5:10" x14ac:dyDescent="0.25">
      <c r="E57" s="11"/>
      <c r="F57" s="12">
        <v>211101</v>
      </c>
      <c r="G57" s="12" t="s">
        <v>18</v>
      </c>
      <c r="H57" s="12" t="str">
        <f t="shared" ref="H57" si="52">H56</f>
        <v>CPA Recaudación Clientes BCI 553 28-06-2024</v>
      </c>
      <c r="I57" s="13"/>
      <c r="J57" s="18" t="e">
        <f t="shared" ref="J57" si="53">I56</f>
        <v>#N/A</v>
      </c>
    </row>
    <row r="58" spans="5:10" x14ac:dyDescent="0.25">
      <c r="E58" s="15">
        <v>45472</v>
      </c>
      <c r="F58">
        <v>110220</v>
      </c>
      <c r="G58" t="s">
        <v>57</v>
      </c>
      <c r="H58" t="str">
        <f>"CPA Recaudación Clientes BCI 553 "&amp;TEXT(E58,"dd-mm-aaa")</f>
        <v>CPA Recaudación Clientes BCI 553 29-06-2024</v>
      </c>
      <c r="I58" s="16" t="e">
        <f>+C30</f>
        <v>#N/A</v>
      </c>
      <c r="J58" s="17"/>
    </row>
    <row r="59" spans="5:10" x14ac:dyDescent="0.25">
      <c r="E59" s="11"/>
      <c r="F59" s="12">
        <v>211101</v>
      </c>
      <c r="G59" s="12" t="s">
        <v>18</v>
      </c>
      <c r="H59" s="12" t="str">
        <f t="shared" ref="H59" si="54">H58</f>
        <v>CPA Recaudación Clientes BCI 553 29-06-2024</v>
      </c>
      <c r="I59" s="13"/>
      <c r="J59" s="18" t="e">
        <f t="shared" ref="J59" si="55">I58</f>
        <v>#N/A</v>
      </c>
    </row>
    <row r="60" spans="5:10" x14ac:dyDescent="0.25">
      <c r="E60" s="15">
        <v>45473</v>
      </c>
      <c r="F60">
        <v>110220</v>
      </c>
      <c r="G60" t="s">
        <v>57</v>
      </c>
      <c r="H60" t="str">
        <f>"CPA Recaudación Clientes BCI 553 "&amp;TEXT(E60,"dd-mm-aaa")</f>
        <v>CPA Recaudación Clientes BCI 553 30-06-2024</v>
      </c>
      <c r="I60" s="16" t="e">
        <f>+C31</f>
        <v>#N/A</v>
      </c>
      <c r="J60" s="17"/>
    </row>
    <row r="61" spans="5:10" x14ac:dyDescent="0.25">
      <c r="E61" s="11"/>
      <c r="F61" s="12">
        <v>211101</v>
      </c>
      <c r="G61" s="12" t="s">
        <v>18</v>
      </c>
      <c r="H61" s="12" t="str">
        <f t="shared" ref="H61" si="56">H60</f>
        <v>CPA Recaudación Clientes BCI 553 30-06-2024</v>
      </c>
      <c r="I61" s="13"/>
      <c r="J61" s="18" t="e">
        <f t="shared" ref="J61" si="57">I60</f>
        <v>#N/A</v>
      </c>
    </row>
    <row r="62" spans="5:10" x14ac:dyDescent="0.25">
      <c r="E62" s="15" t="s">
        <v>144</v>
      </c>
      <c r="F62">
        <v>110220</v>
      </c>
      <c r="G62" t="s">
        <v>57</v>
      </c>
      <c r="H62" t="str">
        <f>"CPA Recaudación Clientes BCI 553 "&amp;TEXT(E62,"dd-mm-aaa")</f>
        <v>CPA Recaudación Clientes BCI 553 31-06-2024</v>
      </c>
      <c r="I62" s="16" t="e">
        <f>+C32</f>
        <v>#N/A</v>
      </c>
      <c r="J62" s="17"/>
    </row>
    <row r="63" spans="5:10" x14ac:dyDescent="0.25">
      <c r="E63" s="11"/>
      <c r="F63" s="12">
        <v>211101</v>
      </c>
      <c r="G63" s="12" t="s">
        <v>18</v>
      </c>
      <c r="H63" s="12" t="str">
        <f t="shared" ref="H63" si="58">H62</f>
        <v>CPA Recaudación Clientes BCI 553 31-06-2024</v>
      </c>
      <c r="I63" s="13"/>
      <c r="J63" s="18" t="e">
        <f t="shared" ref="J63" si="59">I62</f>
        <v>#N/A</v>
      </c>
    </row>
  </sheetData>
  <autoFilter ref="E1:J63" xr:uid="{5DA38CDA-9010-4E07-ABDF-4887936EE683}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38CDA-9010-4E07-ABDF-4887936EE683}">
  <dimension ref="A1:AJ63"/>
  <sheetViews>
    <sheetView showGridLines="0" workbookViewId="0">
      <selection activeCell="H2" sqref="H2"/>
    </sheetView>
  </sheetViews>
  <sheetFormatPr baseColWidth="10" defaultRowHeight="15" x14ac:dyDescent="0.25"/>
  <cols>
    <col min="1" max="1" width="11.140625" bestFit="1" customWidth="1"/>
    <col min="2" max="2" width="12" bestFit="1" customWidth="1"/>
    <col min="3" max="3" width="13.28515625" bestFit="1" customWidth="1"/>
    <col min="7" max="7" width="23.140625" bestFit="1" customWidth="1"/>
    <col min="8" max="8" width="37" bestFit="1" customWidth="1"/>
    <col min="9" max="10" width="12" bestFit="1" customWidth="1"/>
    <col min="14" max="14" width="11.140625" bestFit="1" customWidth="1"/>
    <col min="15" max="15" width="12" bestFit="1" customWidth="1"/>
    <col min="16" max="16" width="13.28515625" bestFit="1" customWidth="1"/>
    <col min="20" max="20" width="23.140625" bestFit="1" customWidth="1"/>
    <col min="21" max="21" width="41.85546875" bestFit="1" customWidth="1"/>
    <col min="22" max="23" width="12" bestFit="1" customWidth="1"/>
    <col min="27" max="27" width="11.140625" bestFit="1" customWidth="1"/>
    <col min="28" max="28" width="12" bestFit="1" customWidth="1"/>
    <col min="29" max="29" width="13.28515625" bestFit="1" customWidth="1"/>
    <col min="33" max="33" width="23.140625" bestFit="1" customWidth="1"/>
    <col min="34" max="34" width="51.42578125" bestFit="1" customWidth="1"/>
    <col min="35" max="36" width="12" bestFit="1" customWidth="1"/>
  </cols>
  <sheetData>
    <row r="1" spans="1:36" x14ac:dyDescent="0.25">
      <c r="A1" s="4" t="s">
        <v>0</v>
      </c>
      <c r="B1" s="4"/>
      <c r="C1" s="4" t="s">
        <v>27</v>
      </c>
      <c r="E1" s="22" t="s">
        <v>0</v>
      </c>
      <c r="F1" s="23"/>
      <c r="G1" s="23"/>
      <c r="H1" s="23"/>
      <c r="I1" s="23" t="s">
        <v>5</v>
      </c>
      <c r="J1" s="24" t="s">
        <v>6</v>
      </c>
      <c r="N1" s="4" t="s">
        <v>0</v>
      </c>
      <c r="O1" s="4"/>
      <c r="P1" s="4" t="s">
        <v>27</v>
      </c>
      <c r="R1" s="22" t="s">
        <v>0</v>
      </c>
      <c r="S1" s="78"/>
      <c r="T1" s="78"/>
      <c r="U1" s="23"/>
      <c r="V1" s="23" t="s">
        <v>5</v>
      </c>
      <c r="W1" s="24" t="s">
        <v>6</v>
      </c>
      <c r="AA1" s="4" t="s">
        <v>0</v>
      </c>
      <c r="AB1" s="4"/>
      <c r="AC1" s="4" t="s">
        <v>27</v>
      </c>
      <c r="AE1" s="22" t="s">
        <v>0</v>
      </c>
      <c r="AF1" s="78"/>
      <c r="AG1" s="78"/>
      <c r="AH1" s="23"/>
      <c r="AI1" s="23" t="s">
        <v>5</v>
      </c>
      <c r="AJ1" s="24" t="s">
        <v>6</v>
      </c>
    </row>
    <row r="2" spans="1:36" x14ac:dyDescent="0.25">
      <c r="A2" s="1">
        <v>45444</v>
      </c>
      <c r="B2" s="42"/>
      <c r="C2" s="26" t="e">
        <f>HLOOKUP(A2,Hoja2!$R$2:$AV$10,9,FALSE)</f>
        <v>#N/A</v>
      </c>
      <c r="E2" s="9">
        <v>45444</v>
      </c>
      <c r="F2">
        <v>110206</v>
      </c>
      <c r="G2" t="s">
        <v>45</v>
      </c>
      <c r="H2" t="str">
        <f>"CPA Recaudación Clientes Banco Estado "</f>
        <v xml:space="preserve">CPA Recaudación Clientes Banco Estado </v>
      </c>
      <c r="I2" s="3" t="e">
        <f>+C2</f>
        <v>#N/A</v>
      </c>
      <c r="J2" s="10"/>
      <c r="N2" s="1">
        <v>45444</v>
      </c>
      <c r="O2" s="42"/>
      <c r="P2" s="26" t="e">
        <f>HLOOKUP(N2,Hoja2!$R$2:$AV$11,10,FALSE)</f>
        <v>#N/A</v>
      </c>
      <c r="R2" s="9">
        <v>45444</v>
      </c>
      <c r="S2" s="8">
        <v>110209</v>
      </c>
      <c r="T2" s="8" t="s">
        <v>55</v>
      </c>
      <c r="U2" t="str">
        <f>"CPA Traspaso de fondos Bco. Estado a BCI 656 "</f>
        <v xml:space="preserve">CPA Traspaso de fondos Bco. Estado a BCI 656 </v>
      </c>
      <c r="V2" s="3" t="e">
        <f>+P2</f>
        <v>#N/A</v>
      </c>
      <c r="W2" s="10"/>
      <c r="AA2" s="1">
        <v>45444</v>
      </c>
      <c r="AB2" s="42"/>
      <c r="AC2" s="26" t="e">
        <f>HLOOKUP(AA2,Hoja2!$R$2:$AV$43,42,FALSE)</f>
        <v>#N/A</v>
      </c>
      <c r="AE2" s="9">
        <v>45444</v>
      </c>
      <c r="AF2" s="8">
        <v>110204</v>
      </c>
      <c r="AG2" s="8" t="s">
        <v>107</v>
      </c>
      <c r="AH2" t="str">
        <f>"CPA Traspaso de fondos Bco. Estado a BICE "&amp;TEXT(AE2,"dd-mm-yyy")</f>
        <v>CPA Traspaso de fondos Bco. Estado a BICE 01-06-yyy</v>
      </c>
      <c r="AI2" s="3" t="e">
        <f>+AC2</f>
        <v>#N/A</v>
      </c>
      <c r="AJ2" s="10"/>
    </row>
    <row r="3" spans="1:36" x14ac:dyDescent="0.25">
      <c r="A3" s="1">
        <v>45445</v>
      </c>
      <c r="B3" s="3"/>
      <c r="C3" s="26" t="e">
        <f>HLOOKUP(A3,Hoja2!$R$2:$AV$10,9,FALSE)</f>
        <v>#N/A</v>
      </c>
      <c r="E3" s="11"/>
      <c r="F3" s="12">
        <v>211101</v>
      </c>
      <c r="G3" s="12" t="s">
        <v>18</v>
      </c>
      <c r="H3" s="12" t="str">
        <f>H2</f>
        <v xml:space="preserve">CPA Recaudación Clientes Banco Estado </v>
      </c>
      <c r="I3" s="13"/>
      <c r="J3" s="18" t="e">
        <f>I2</f>
        <v>#N/A</v>
      </c>
      <c r="N3" s="1">
        <v>45445</v>
      </c>
      <c r="O3" s="3"/>
      <c r="P3" s="26" t="e">
        <f>HLOOKUP(N3,Hoja2!$R$2:$AV$11,10,FALSE)</f>
        <v>#N/A</v>
      </c>
      <c r="R3" s="11"/>
      <c r="S3">
        <v>110206</v>
      </c>
      <c r="T3" t="s">
        <v>45</v>
      </c>
      <c r="U3" s="12" t="str">
        <f>U2</f>
        <v xml:space="preserve">CPA Traspaso de fondos Bco. Estado a BCI 656 </v>
      </c>
      <c r="V3" s="13"/>
      <c r="W3" s="18" t="e">
        <f>V2</f>
        <v>#N/A</v>
      </c>
      <c r="AA3" s="1">
        <v>45445</v>
      </c>
      <c r="AB3" s="3"/>
      <c r="AC3" s="26" t="e">
        <f>HLOOKUP(AA3,Hoja2!$R$2:$AV$43,42,FALSE)</f>
        <v>#N/A</v>
      </c>
      <c r="AE3" s="11"/>
      <c r="AF3">
        <v>110206</v>
      </c>
      <c r="AG3" t="s">
        <v>45</v>
      </c>
      <c r="AH3" s="12" t="str">
        <f>AH2</f>
        <v>CPA Traspaso de fondos Bco. Estado a BICE 01-06-yyy</v>
      </c>
      <c r="AI3" s="13"/>
      <c r="AJ3" s="18" t="e">
        <f>AI2</f>
        <v>#N/A</v>
      </c>
    </row>
    <row r="4" spans="1:36" x14ac:dyDescent="0.25">
      <c r="A4" s="1">
        <v>45446</v>
      </c>
      <c r="B4" s="3"/>
      <c r="C4" s="26" t="e">
        <f>HLOOKUP(A4,Hoja2!$R$2:$AV$10,9,FALSE)</f>
        <v>#N/A</v>
      </c>
      <c r="E4" s="15">
        <v>45445</v>
      </c>
      <c r="F4" s="8">
        <v>110206</v>
      </c>
      <c r="G4" s="8" t="s">
        <v>45</v>
      </c>
      <c r="H4" t="str">
        <f t="shared" ref="H4" si="0">"CPA Recaudación Clientes Banco Estado "</f>
        <v xml:space="preserve">CPA Recaudación Clientes Banco Estado </v>
      </c>
      <c r="I4" s="16" t="e">
        <f>+C3</f>
        <v>#N/A</v>
      </c>
      <c r="J4" s="17"/>
      <c r="N4" s="1">
        <v>45446</v>
      </c>
      <c r="O4" s="3"/>
      <c r="P4" s="26" t="e">
        <f>HLOOKUP(N4,Hoja2!$R$2:$AV$11,10,FALSE)</f>
        <v>#N/A</v>
      </c>
      <c r="R4" s="15">
        <v>45445</v>
      </c>
      <c r="S4" s="8">
        <v>110209</v>
      </c>
      <c r="T4" s="8" t="s">
        <v>55</v>
      </c>
      <c r="U4" t="str">
        <f t="shared" ref="U4" si="1">"CPA Traspaso de fondos Bco. Estado a BCI 656 "</f>
        <v xml:space="preserve">CPA Traspaso de fondos Bco. Estado a BCI 656 </v>
      </c>
      <c r="V4" s="16" t="e">
        <f>+P3</f>
        <v>#N/A</v>
      </c>
      <c r="W4" s="17"/>
      <c r="AA4" s="1">
        <v>45446</v>
      </c>
      <c r="AB4" s="3"/>
      <c r="AC4" s="26" t="e">
        <f>HLOOKUP(AA4,Hoja2!$R$2:$AV$43,42,FALSE)</f>
        <v>#N/A</v>
      </c>
      <c r="AE4" s="15">
        <v>45445</v>
      </c>
      <c r="AF4" s="8">
        <v>110204</v>
      </c>
      <c r="AG4" s="8" t="s">
        <v>107</v>
      </c>
      <c r="AH4" t="str">
        <f>"CPA Traspaso de fondos Bco. Estado a BICE "&amp;TEXT(AE4,"dd-mm-yyy")</f>
        <v>CPA Traspaso de fondos Bco. Estado a BICE 02-06-yyy</v>
      </c>
      <c r="AI4" s="16" t="e">
        <f>+AC3</f>
        <v>#N/A</v>
      </c>
      <c r="AJ4" s="17"/>
    </row>
    <row r="5" spans="1:36" x14ac:dyDescent="0.25">
      <c r="A5" s="1">
        <v>45447</v>
      </c>
      <c r="B5" s="3"/>
      <c r="C5" s="26" t="e">
        <f>HLOOKUP(A5,Hoja2!$R$2:$AV$10,9,FALSE)</f>
        <v>#N/A</v>
      </c>
      <c r="E5" s="11"/>
      <c r="F5" s="12">
        <v>211101</v>
      </c>
      <c r="G5" s="12" t="s">
        <v>18</v>
      </c>
      <c r="H5" s="12" t="str">
        <f t="shared" ref="H5" si="2">H4</f>
        <v xml:space="preserve">CPA Recaudación Clientes Banco Estado </v>
      </c>
      <c r="I5" s="13"/>
      <c r="J5" s="18" t="e">
        <f t="shared" ref="J5" si="3">I4</f>
        <v>#N/A</v>
      </c>
      <c r="N5" s="1">
        <v>45447</v>
      </c>
      <c r="O5" s="3"/>
      <c r="P5" s="26" t="e">
        <f>HLOOKUP(N5,Hoja2!$R$2:$AV$11,10,FALSE)</f>
        <v>#N/A</v>
      </c>
      <c r="R5" s="11"/>
      <c r="S5" s="12">
        <v>110206</v>
      </c>
      <c r="T5" s="12" t="s">
        <v>45</v>
      </c>
      <c r="U5" s="12" t="str">
        <f t="shared" ref="U5" si="4">U4</f>
        <v xml:space="preserve">CPA Traspaso de fondos Bco. Estado a BCI 656 </v>
      </c>
      <c r="V5" s="13"/>
      <c r="W5" s="18" t="e">
        <f t="shared" ref="W5" si="5">V4</f>
        <v>#N/A</v>
      </c>
      <c r="AA5" s="1">
        <v>45447</v>
      </c>
      <c r="AB5" s="3"/>
      <c r="AC5" s="26" t="e">
        <f>HLOOKUP(AA5,Hoja2!$R$2:$AV$43,42,FALSE)</f>
        <v>#N/A</v>
      </c>
      <c r="AE5" s="11"/>
      <c r="AF5" s="12">
        <v>110206</v>
      </c>
      <c r="AG5" s="12" t="s">
        <v>45</v>
      </c>
      <c r="AH5" s="12" t="str">
        <f t="shared" ref="AH5" si="6">AH4</f>
        <v>CPA Traspaso de fondos Bco. Estado a BICE 02-06-yyy</v>
      </c>
      <c r="AI5" s="13"/>
      <c r="AJ5" s="18" t="e">
        <f t="shared" ref="AJ5" si="7">AI4</f>
        <v>#N/A</v>
      </c>
    </row>
    <row r="6" spans="1:36" x14ac:dyDescent="0.25">
      <c r="A6" s="1">
        <v>45448</v>
      </c>
      <c r="B6" s="3"/>
      <c r="C6" s="26" t="e">
        <f>HLOOKUP(A6,Hoja2!$R$2:$AV$10,9,FALSE)</f>
        <v>#N/A</v>
      </c>
      <c r="E6" s="15">
        <v>45446</v>
      </c>
      <c r="F6" s="8">
        <v>110206</v>
      </c>
      <c r="G6" s="8" t="s">
        <v>45</v>
      </c>
      <c r="H6" t="str">
        <f t="shared" ref="H6" si="8">"CPA Recaudación Clientes Banco Estado "</f>
        <v xml:space="preserve">CPA Recaudación Clientes Banco Estado </v>
      </c>
      <c r="I6" s="16" t="e">
        <f>+C4</f>
        <v>#N/A</v>
      </c>
      <c r="J6" s="17"/>
      <c r="N6" s="1">
        <v>45448</v>
      </c>
      <c r="O6" s="3"/>
      <c r="P6" s="26" t="e">
        <f>HLOOKUP(N6,Hoja2!$R$2:$AV$11,10,FALSE)</f>
        <v>#N/A</v>
      </c>
      <c r="R6" s="15">
        <v>45446</v>
      </c>
      <c r="S6" s="8">
        <v>110209</v>
      </c>
      <c r="T6" s="8" t="s">
        <v>55</v>
      </c>
      <c r="U6" t="str">
        <f t="shared" ref="U6" si="9">"CPA Traspaso de fondos Bco. Estado a BCI 656 "</f>
        <v xml:space="preserve">CPA Traspaso de fondos Bco. Estado a BCI 656 </v>
      </c>
      <c r="V6" s="16" t="e">
        <f>+P4</f>
        <v>#N/A</v>
      </c>
      <c r="W6" s="17"/>
      <c r="AA6" s="1">
        <v>45448</v>
      </c>
      <c r="AB6" s="3"/>
      <c r="AC6" s="26" t="e">
        <f>HLOOKUP(AA6,Hoja2!$R$2:$AV$43,42,FALSE)</f>
        <v>#N/A</v>
      </c>
      <c r="AE6" s="15">
        <v>45446</v>
      </c>
      <c r="AF6" s="8">
        <v>110204</v>
      </c>
      <c r="AG6" s="8" t="s">
        <v>107</v>
      </c>
      <c r="AH6" t="str">
        <f>"CPA Traspaso de fondos Bco. Estado a BICE "&amp;TEXT(AE6,"dd-mm-yyy")</f>
        <v>CPA Traspaso de fondos Bco. Estado a BICE 03-06-yyy</v>
      </c>
      <c r="AI6" s="16" t="e">
        <f>+AC4</f>
        <v>#N/A</v>
      </c>
      <c r="AJ6" s="17"/>
    </row>
    <row r="7" spans="1:36" x14ac:dyDescent="0.25">
      <c r="A7" s="1">
        <v>45449</v>
      </c>
      <c r="B7" s="3"/>
      <c r="C7" s="26" t="e">
        <f>HLOOKUP(A7,Hoja2!$R$2:$AV$10,9,FALSE)</f>
        <v>#N/A</v>
      </c>
      <c r="E7" s="11"/>
      <c r="F7" s="12">
        <v>211101</v>
      </c>
      <c r="G7" s="12" t="s">
        <v>18</v>
      </c>
      <c r="H7" s="12" t="str">
        <f t="shared" ref="H7" si="10">H6</f>
        <v xml:space="preserve">CPA Recaudación Clientes Banco Estado </v>
      </c>
      <c r="I7" s="13"/>
      <c r="J7" s="18" t="e">
        <f t="shared" ref="J7" si="11">I6</f>
        <v>#N/A</v>
      </c>
      <c r="N7" s="1">
        <v>45449</v>
      </c>
      <c r="O7" s="3"/>
      <c r="P7" s="26" t="e">
        <f>HLOOKUP(N7,Hoja2!$R$2:$AV$11,10,FALSE)</f>
        <v>#N/A</v>
      </c>
      <c r="R7" s="11"/>
      <c r="S7" s="12">
        <v>110206</v>
      </c>
      <c r="T7" s="12" t="s">
        <v>45</v>
      </c>
      <c r="U7" s="12" t="str">
        <f t="shared" ref="U7" si="12">U6</f>
        <v xml:space="preserve">CPA Traspaso de fondos Bco. Estado a BCI 656 </v>
      </c>
      <c r="V7" s="13"/>
      <c r="W7" s="18" t="e">
        <f t="shared" ref="W7" si="13">V6</f>
        <v>#N/A</v>
      </c>
      <c r="AA7" s="1">
        <v>45449</v>
      </c>
      <c r="AB7" s="3"/>
      <c r="AC7" s="26" t="e">
        <f>HLOOKUP(AA7,Hoja2!$R$2:$AV$43,42,FALSE)</f>
        <v>#N/A</v>
      </c>
      <c r="AE7" s="11"/>
      <c r="AF7" s="12">
        <v>110206</v>
      </c>
      <c r="AG7" s="12" t="s">
        <v>45</v>
      </c>
      <c r="AH7" s="12" t="str">
        <f t="shared" ref="AH7" si="14">AH6</f>
        <v>CPA Traspaso de fondos Bco. Estado a BICE 03-06-yyy</v>
      </c>
      <c r="AI7" s="13"/>
      <c r="AJ7" s="18" t="e">
        <f t="shared" ref="AJ7" si="15">AI6</f>
        <v>#N/A</v>
      </c>
    </row>
    <row r="8" spans="1:36" x14ac:dyDescent="0.25">
      <c r="A8" s="1">
        <v>45450</v>
      </c>
      <c r="B8" s="3"/>
      <c r="C8" s="26" t="e">
        <f>HLOOKUP(A8,Hoja2!$R$2:$AV$10,9,FALSE)</f>
        <v>#N/A</v>
      </c>
      <c r="E8" s="15">
        <v>45447</v>
      </c>
      <c r="F8" s="8">
        <v>110206</v>
      </c>
      <c r="G8" s="8" t="s">
        <v>45</v>
      </c>
      <c r="H8" t="str">
        <f t="shared" ref="H8" si="16">"CPA Recaudación Clientes Banco Estado "</f>
        <v xml:space="preserve">CPA Recaudación Clientes Banco Estado </v>
      </c>
      <c r="I8" s="16" t="e">
        <f>+C5</f>
        <v>#N/A</v>
      </c>
      <c r="J8" s="17"/>
      <c r="N8" s="1">
        <v>45450</v>
      </c>
      <c r="O8" s="3"/>
      <c r="P8" s="26" t="e">
        <f>HLOOKUP(N8,Hoja2!$R$2:$AV$11,10,FALSE)</f>
        <v>#N/A</v>
      </c>
      <c r="R8" s="15">
        <v>45447</v>
      </c>
      <c r="S8" s="8">
        <v>110209</v>
      </c>
      <c r="T8" s="8" t="s">
        <v>55</v>
      </c>
      <c r="U8" t="str">
        <f t="shared" ref="U8" si="17">"CPA Traspaso de fondos Bco. Estado a BCI 656 "</f>
        <v xml:space="preserve">CPA Traspaso de fondos Bco. Estado a BCI 656 </v>
      </c>
      <c r="V8" s="16" t="e">
        <f>+P5</f>
        <v>#N/A</v>
      </c>
      <c r="W8" s="17"/>
      <c r="AA8" s="1">
        <v>45450</v>
      </c>
      <c r="AB8" s="3"/>
      <c r="AC8" s="26" t="e">
        <f>HLOOKUP(AA8,Hoja2!$R$2:$AV$43,42,FALSE)</f>
        <v>#N/A</v>
      </c>
      <c r="AE8" s="15">
        <v>45447</v>
      </c>
      <c r="AF8" s="8">
        <v>110204</v>
      </c>
      <c r="AG8" s="8" t="s">
        <v>107</v>
      </c>
      <c r="AH8" t="str">
        <f>"CPA Traspaso de fondos Bco. Estado a BICE "&amp;TEXT(AE8,"dd-mm-yyy")</f>
        <v>CPA Traspaso de fondos Bco. Estado a BICE 04-06-yyy</v>
      </c>
      <c r="AI8" s="16" t="e">
        <f>+AC5</f>
        <v>#N/A</v>
      </c>
      <c r="AJ8" s="17"/>
    </row>
    <row r="9" spans="1:36" x14ac:dyDescent="0.25">
      <c r="A9" s="1">
        <v>45451</v>
      </c>
      <c r="B9" s="3"/>
      <c r="C9" s="26" t="e">
        <f>HLOOKUP(A9,Hoja2!$R$2:$AV$10,9,FALSE)</f>
        <v>#N/A</v>
      </c>
      <c r="E9" s="20"/>
      <c r="F9">
        <v>211101</v>
      </c>
      <c r="G9" t="s">
        <v>18</v>
      </c>
      <c r="H9" s="12" t="str">
        <f t="shared" ref="H9" si="18">H8</f>
        <v xml:space="preserve">CPA Recaudación Clientes Banco Estado </v>
      </c>
      <c r="J9" s="10" t="e">
        <f t="shared" ref="J9" si="19">I8</f>
        <v>#N/A</v>
      </c>
      <c r="N9" s="1">
        <v>45451</v>
      </c>
      <c r="O9" s="3"/>
      <c r="P9" s="26" t="e">
        <f>HLOOKUP(N9,Hoja2!$R$2:$AV$11,10,FALSE)</f>
        <v>#N/A</v>
      </c>
      <c r="R9" s="20"/>
      <c r="S9">
        <v>110206</v>
      </c>
      <c r="T9" t="s">
        <v>45</v>
      </c>
      <c r="U9" s="12" t="str">
        <f t="shared" ref="U9" si="20">U8</f>
        <v xml:space="preserve">CPA Traspaso de fondos Bco. Estado a BCI 656 </v>
      </c>
      <c r="W9" s="10" t="e">
        <f t="shared" ref="W9" si="21">V8</f>
        <v>#N/A</v>
      </c>
      <c r="AA9" s="1">
        <v>45451</v>
      </c>
      <c r="AB9" s="3"/>
      <c r="AC9" s="26" t="e">
        <f>HLOOKUP(AA9,Hoja2!$R$2:$AV$43,42,FALSE)</f>
        <v>#N/A</v>
      </c>
      <c r="AE9" s="20"/>
      <c r="AF9">
        <v>110206</v>
      </c>
      <c r="AG9" t="s">
        <v>45</v>
      </c>
      <c r="AH9" s="12" t="str">
        <f t="shared" ref="AH9" si="22">AH8</f>
        <v>CPA Traspaso de fondos Bco. Estado a BICE 04-06-yyy</v>
      </c>
      <c r="AJ9" s="10" t="e">
        <f t="shared" ref="AJ9" si="23">AI8</f>
        <v>#N/A</v>
      </c>
    </row>
    <row r="10" spans="1:36" x14ac:dyDescent="0.25">
      <c r="A10" s="1">
        <v>45452</v>
      </c>
      <c r="B10" s="3"/>
      <c r="C10" s="26" t="e">
        <f>HLOOKUP(A10,Hoja2!$R$2:$AV$10,9,FALSE)</f>
        <v>#N/A</v>
      </c>
      <c r="E10" s="15">
        <v>45448</v>
      </c>
      <c r="F10" s="8">
        <v>110206</v>
      </c>
      <c r="G10" s="8" t="s">
        <v>45</v>
      </c>
      <c r="H10" t="str">
        <f t="shared" ref="H10" si="24">"CPA Recaudación Clientes Banco Estado "</f>
        <v xml:space="preserve">CPA Recaudación Clientes Banco Estado </v>
      </c>
      <c r="I10" s="16" t="e">
        <f>+C6</f>
        <v>#N/A</v>
      </c>
      <c r="J10" s="17"/>
      <c r="N10" s="1">
        <v>45452</v>
      </c>
      <c r="O10" s="3"/>
      <c r="P10" s="26" t="e">
        <f>HLOOKUP(N10,Hoja2!$R$2:$AV$11,10,FALSE)</f>
        <v>#N/A</v>
      </c>
      <c r="R10" s="15">
        <v>45448</v>
      </c>
      <c r="S10" s="8">
        <v>110209</v>
      </c>
      <c r="T10" s="8" t="s">
        <v>55</v>
      </c>
      <c r="U10" t="str">
        <f t="shared" ref="U10" si="25">"CPA Traspaso de fondos Bco. Estado a BCI 656 "</f>
        <v xml:space="preserve">CPA Traspaso de fondos Bco. Estado a BCI 656 </v>
      </c>
      <c r="V10" s="16" t="e">
        <f>+P6</f>
        <v>#N/A</v>
      </c>
      <c r="W10" s="17"/>
      <c r="AA10" s="1">
        <v>45452</v>
      </c>
      <c r="AB10" s="3"/>
      <c r="AC10" s="26" t="e">
        <f>HLOOKUP(AA10,Hoja2!$R$2:$AV$43,42,FALSE)</f>
        <v>#N/A</v>
      </c>
      <c r="AE10" s="15">
        <v>45448</v>
      </c>
      <c r="AF10" s="8">
        <v>110204</v>
      </c>
      <c r="AG10" s="8" t="s">
        <v>107</v>
      </c>
      <c r="AH10" t="str">
        <f>"CPA Traspaso de fondos Bco. Estado a BICE "&amp;TEXT(AE10,"dd-mm-yyy")</f>
        <v>CPA Traspaso de fondos Bco. Estado a BICE 05-06-yyy</v>
      </c>
      <c r="AI10" s="16" t="e">
        <f>+AC6</f>
        <v>#N/A</v>
      </c>
      <c r="AJ10" s="17"/>
    </row>
    <row r="11" spans="1:36" x14ac:dyDescent="0.25">
      <c r="A11" s="1">
        <v>45453</v>
      </c>
      <c r="B11" s="3"/>
      <c r="C11" s="26" t="e">
        <f>HLOOKUP(A11,Hoja2!$R$2:$AV$10,9,FALSE)</f>
        <v>#N/A</v>
      </c>
      <c r="E11" s="20"/>
      <c r="F11">
        <v>211101</v>
      </c>
      <c r="G11" t="s">
        <v>18</v>
      </c>
      <c r="H11" s="12" t="str">
        <f t="shared" ref="H11" si="26">H10</f>
        <v xml:space="preserve">CPA Recaudación Clientes Banco Estado </v>
      </c>
      <c r="J11" s="10" t="e">
        <f t="shared" ref="J11" si="27">I10</f>
        <v>#N/A</v>
      </c>
      <c r="N11" s="1">
        <v>45453</v>
      </c>
      <c r="O11" s="3"/>
      <c r="P11" s="26" t="e">
        <f>HLOOKUP(N11,Hoja2!$R$2:$AV$11,10,FALSE)</f>
        <v>#N/A</v>
      </c>
      <c r="R11" s="20"/>
      <c r="S11">
        <v>110206</v>
      </c>
      <c r="T11" t="s">
        <v>45</v>
      </c>
      <c r="U11" s="12" t="str">
        <f t="shared" ref="U11" si="28">U10</f>
        <v xml:space="preserve">CPA Traspaso de fondos Bco. Estado a BCI 656 </v>
      </c>
      <c r="W11" s="10" t="e">
        <f t="shared" ref="W11" si="29">V10</f>
        <v>#N/A</v>
      </c>
      <c r="AA11" s="1">
        <v>45453</v>
      </c>
      <c r="AB11" s="3"/>
      <c r="AC11" s="26" t="e">
        <f>HLOOKUP(AA11,Hoja2!$R$2:$AV$43,42,FALSE)</f>
        <v>#N/A</v>
      </c>
      <c r="AE11" s="20"/>
      <c r="AF11">
        <v>110206</v>
      </c>
      <c r="AG11" t="s">
        <v>45</v>
      </c>
      <c r="AH11" s="12" t="str">
        <f t="shared" ref="AH11" si="30">AH10</f>
        <v>CPA Traspaso de fondos Bco. Estado a BICE 05-06-yyy</v>
      </c>
      <c r="AJ11" s="10" t="e">
        <f t="shared" ref="AJ11" si="31">AI10</f>
        <v>#N/A</v>
      </c>
    </row>
    <row r="12" spans="1:36" x14ac:dyDescent="0.25">
      <c r="A12" s="1">
        <v>45454</v>
      </c>
      <c r="B12" s="3"/>
      <c r="C12" s="26" t="e">
        <f>HLOOKUP(A12,Hoja2!$R$2:$AV$10,9,FALSE)</f>
        <v>#N/A</v>
      </c>
      <c r="D12" s="19"/>
      <c r="E12" s="15">
        <v>45449</v>
      </c>
      <c r="F12" s="8">
        <v>110206</v>
      </c>
      <c r="G12" s="8" t="s">
        <v>45</v>
      </c>
      <c r="H12" t="str">
        <f t="shared" ref="H12" si="32">"CPA Recaudación Clientes Banco Estado "</f>
        <v xml:space="preserve">CPA Recaudación Clientes Banco Estado </v>
      </c>
      <c r="I12" s="16" t="e">
        <f>+C7</f>
        <v>#N/A</v>
      </c>
      <c r="J12" s="17"/>
      <c r="N12" s="1">
        <v>45454</v>
      </c>
      <c r="O12" s="3"/>
      <c r="P12" s="26" t="e">
        <f>HLOOKUP(N12,Hoja2!$R$2:$AV$11,10,FALSE)</f>
        <v>#N/A</v>
      </c>
      <c r="Q12" s="19"/>
      <c r="R12" s="15">
        <v>45449</v>
      </c>
      <c r="S12" s="8">
        <v>110209</v>
      </c>
      <c r="T12" s="8" t="s">
        <v>55</v>
      </c>
      <c r="U12" t="str">
        <f t="shared" ref="U12" si="33">"CPA Traspaso de fondos Bco. Estado a BCI 656 "</f>
        <v xml:space="preserve">CPA Traspaso de fondos Bco. Estado a BCI 656 </v>
      </c>
      <c r="V12" s="16" t="e">
        <f>+P7</f>
        <v>#N/A</v>
      </c>
      <c r="W12" s="17"/>
      <c r="AA12" s="1">
        <v>45454</v>
      </c>
      <c r="AB12" s="3"/>
      <c r="AC12" s="26" t="e">
        <f>HLOOKUP(AA12,Hoja2!$R$2:$AV$43,42,FALSE)</f>
        <v>#N/A</v>
      </c>
      <c r="AD12" s="19"/>
      <c r="AE12" s="15">
        <v>45449</v>
      </c>
      <c r="AF12" s="8">
        <v>110204</v>
      </c>
      <c r="AG12" s="8" t="s">
        <v>107</v>
      </c>
      <c r="AH12" t="str">
        <f>"CPA Traspaso de fondos Bco. Estado a BICE "&amp;TEXT(AE12,"dd-mm-yyy")</f>
        <v>CPA Traspaso de fondos Bco. Estado a BICE 06-06-yyy</v>
      </c>
      <c r="AI12" s="16" t="e">
        <f>+AC7</f>
        <v>#N/A</v>
      </c>
      <c r="AJ12" s="17"/>
    </row>
    <row r="13" spans="1:36" x14ac:dyDescent="0.25">
      <c r="A13" s="1">
        <v>45455</v>
      </c>
      <c r="B13" s="3"/>
      <c r="C13" s="26" t="e">
        <f>HLOOKUP(A13,Hoja2!$R$2:$AV$10,9,FALSE)</f>
        <v>#N/A</v>
      </c>
      <c r="D13" s="39"/>
      <c r="E13" s="20"/>
      <c r="F13">
        <v>211101</v>
      </c>
      <c r="G13" t="s">
        <v>18</v>
      </c>
      <c r="H13" s="12" t="str">
        <f t="shared" ref="H13" si="34">H12</f>
        <v xml:space="preserve">CPA Recaudación Clientes Banco Estado </v>
      </c>
      <c r="I13" s="3"/>
      <c r="J13" s="10" t="e">
        <f t="shared" ref="J13" si="35">I12</f>
        <v>#N/A</v>
      </c>
      <c r="N13" s="1">
        <v>45455</v>
      </c>
      <c r="O13" s="3"/>
      <c r="P13" s="26" t="e">
        <f>HLOOKUP(N13,Hoja2!$R$2:$AV$11,10,FALSE)</f>
        <v>#N/A</v>
      </c>
      <c r="Q13" s="39"/>
      <c r="R13" s="20"/>
      <c r="S13">
        <v>110206</v>
      </c>
      <c r="T13" t="s">
        <v>45</v>
      </c>
      <c r="U13" s="12" t="str">
        <f t="shared" ref="U13" si="36">U12</f>
        <v xml:space="preserve">CPA Traspaso de fondos Bco. Estado a BCI 656 </v>
      </c>
      <c r="V13" s="3"/>
      <c r="W13" s="10" t="e">
        <f t="shared" ref="W13" si="37">V12</f>
        <v>#N/A</v>
      </c>
      <c r="AA13" s="1">
        <v>45455</v>
      </c>
      <c r="AB13" s="3"/>
      <c r="AC13" s="26" t="e">
        <f>HLOOKUP(AA13,Hoja2!$R$2:$AV$43,42,FALSE)</f>
        <v>#N/A</v>
      </c>
      <c r="AD13" s="39"/>
      <c r="AE13" s="20"/>
      <c r="AF13">
        <v>110206</v>
      </c>
      <c r="AG13" t="s">
        <v>45</v>
      </c>
      <c r="AH13" s="12" t="str">
        <f t="shared" ref="AH13" si="38">AH12</f>
        <v>CPA Traspaso de fondos Bco. Estado a BICE 06-06-yyy</v>
      </c>
      <c r="AI13" s="3"/>
      <c r="AJ13" s="10" t="e">
        <f t="shared" ref="AJ13" si="39">AI12</f>
        <v>#N/A</v>
      </c>
    </row>
    <row r="14" spans="1:36" x14ac:dyDescent="0.25">
      <c r="A14" s="1">
        <v>45456</v>
      </c>
      <c r="B14" s="3"/>
      <c r="C14" s="26" t="e">
        <f>HLOOKUP(A14,Hoja2!$R$2:$AV$10,9,FALSE)</f>
        <v>#N/A</v>
      </c>
      <c r="D14" s="21"/>
      <c r="E14" s="15">
        <v>45450</v>
      </c>
      <c r="F14" s="8">
        <v>110206</v>
      </c>
      <c r="G14" s="8" t="s">
        <v>45</v>
      </c>
      <c r="H14" t="str">
        <f t="shared" ref="H14" si="40">"CPA Recaudación Clientes Banco Estado "</f>
        <v xml:space="preserve">CPA Recaudación Clientes Banco Estado </v>
      </c>
      <c r="I14" s="16" t="e">
        <f>+C8</f>
        <v>#N/A</v>
      </c>
      <c r="J14" s="17"/>
      <c r="N14" s="1">
        <v>45456</v>
      </c>
      <c r="O14" s="3"/>
      <c r="P14" s="26" t="e">
        <f>HLOOKUP(N14,Hoja2!$R$2:$AV$11,10,FALSE)</f>
        <v>#N/A</v>
      </c>
      <c r="Q14" s="21"/>
      <c r="R14" s="15">
        <v>45450</v>
      </c>
      <c r="S14" s="8">
        <v>110209</v>
      </c>
      <c r="T14" s="8" t="s">
        <v>55</v>
      </c>
      <c r="U14" t="str">
        <f t="shared" ref="U14" si="41">"CPA Traspaso de fondos Bco. Estado a BCI 656 "</f>
        <v xml:space="preserve">CPA Traspaso de fondos Bco. Estado a BCI 656 </v>
      </c>
      <c r="V14" s="16" t="e">
        <f>+P8</f>
        <v>#N/A</v>
      </c>
      <c r="W14" s="17"/>
      <c r="AA14" s="1">
        <v>45456</v>
      </c>
      <c r="AB14" s="3"/>
      <c r="AC14" s="26" t="e">
        <f>HLOOKUP(AA14,Hoja2!$R$2:$AV$43,42,FALSE)</f>
        <v>#N/A</v>
      </c>
      <c r="AD14" s="21"/>
      <c r="AE14" s="15">
        <v>45450</v>
      </c>
      <c r="AF14" s="8">
        <v>110204</v>
      </c>
      <c r="AG14" s="8" t="s">
        <v>107</v>
      </c>
      <c r="AH14" t="str">
        <f>"CPA Traspaso de fondos Bco. Estado a BICE "&amp;TEXT(AE14,"dd-mm-yyy")</f>
        <v>CPA Traspaso de fondos Bco. Estado a BICE 07-06-yyy</v>
      </c>
      <c r="AI14" s="16" t="e">
        <f>+AC8</f>
        <v>#N/A</v>
      </c>
      <c r="AJ14" s="17"/>
    </row>
    <row r="15" spans="1:36" x14ac:dyDescent="0.25">
      <c r="A15" s="1">
        <v>45457</v>
      </c>
      <c r="B15" s="3"/>
      <c r="C15" s="26" t="e">
        <f>HLOOKUP(A15,Hoja2!$R$2:$AV$10,9,FALSE)</f>
        <v>#N/A</v>
      </c>
      <c r="D15" s="40"/>
      <c r="E15" s="20"/>
      <c r="F15">
        <v>211101</v>
      </c>
      <c r="G15" t="s">
        <v>18</v>
      </c>
      <c r="H15" s="12" t="str">
        <f t="shared" ref="H15" si="42">H14</f>
        <v xml:space="preserve">CPA Recaudación Clientes Banco Estado </v>
      </c>
      <c r="I15" s="3"/>
      <c r="J15" s="10" t="e">
        <f t="shared" ref="J15" si="43">I14</f>
        <v>#N/A</v>
      </c>
      <c r="N15" s="1">
        <v>45457</v>
      </c>
      <c r="O15" s="3"/>
      <c r="P15" s="26" t="e">
        <f>HLOOKUP(N15,Hoja2!$R$2:$AV$11,10,FALSE)</f>
        <v>#N/A</v>
      </c>
      <c r="Q15" s="40"/>
      <c r="R15" s="20"/>
      <c r="S15">
        <v>110206</v>
      </c>
      <c r="T15" t="s">
        <v>45</v>
      </c>
      <c r="U15" s="12" t="str">
        <f t="shared" ref="U15" si="44">U14</f>
        <v xml:space="preserve">CPA Traspaso de fondos Bco. Estado a BCI 656 </v>
      </c>
      <c r="V15" s="3"/>
      <c r="W15" s="10" t="e">
        <f t="shared" ref="W15" si="45">V14</f>
        <v>#N/A</v>
      </c>
      <c r="AA15" s="1">
        <v>45457</v>
      </c>
      <c r="AB15" s="3"/>
      <c r="AC15" s="26" t="e">
        <f>HLOOKUP(AA15,Hoja2!$R$2:$AV$43,42,FALSE)</f>
        <v>#N/A</v>
      </c>
      <c r="AD15" s="40"/>
      <c r="AE15" s="20"/>
      <c r="AF15">
        <v>110206</v>
      </c>
      <c r="AG15" t="s">
        <v>45</v>
      </c>
      <c r="AH15" s="12" t="str">
        <f t="shared" ref="AH15" si="46">AH14</f>
        <v>CPA Traspaso de fondos Bco. Estado a BICE 07-06-yyy</v>
      </c>
      <c r="AI15" s="3"/>
      <c r="AJ15" s="10" t="e">
        <f t="shared" ref="AJ15" si="47">AI14</f>
        <v>#N/A</v>
      </c>
    </row>
    <row r="16" spans="1:36" x14ac:dyDescent="0.25">
      <c r="A16" s="1">
        <v>45458</v>
      </c>
      <c r="B16" s="3"/>
      <c r="C16" s="26" t="e">
        <f>HLOOKUP(A16,Hoja2!$R$2:$AV$10,9,FALSE)</f>
        <v>#N/A</v>
      </c>
      <c r="D16" s="21"/>
      <c r="E16" s="15">
        <v>45451</v>
      </c>
      <c r="F16" s="8">
        <v>110206</v>
      </c>
      <c r="G16" s="8" t="s">
        <v>45</v>
      </c>
      <c r="H16" t="str">
        <f t="shared" ref="H16" si="48">"CPA Recaudación Clientes Banco Estado "</f>
        <v xml:space="preserve">CPA Recaudación Clientes Banco Estado </v>
      </c>
      <c r="I16" s="16" t="e">
        <f>+C9</f>
        <v>#N/A</v>
      </c>
      <c r="J16" s="17"/>
      <c r="N16" s="1">
        <v>45458</v>
      </c>
      <c r="O16" s="3"/>
      <c r="P16" s="26" t="e">
        <f>HLOOKUP(N16,Hoja2!$R$2:$AV$11,10,FALSE)</f>
        <v>#N/A</v>
      </c>
      <c r="Q16" s="21"/>
      <c r="R16" s="15">
        <v>45451</v>
      </c>
      <c r="S16" s="8">
        <v>110209</v>
      </c>
      <c r="T16" s="8" t="s">
        <v>55</v>
      </c>
      <c r="U16" t="str">
        <f t="shared" ref="U16" si="49">"CPA Traspaso de fondos Bco. Estado a BCI 656 "</f>
        <v xml:space="preserve">CPA Traspaso de fondos Bco. Estado a BCI 656 </v>
      </c>
      <c r="V16" s="16" t="e">
        <f>+P9</f>
        <v>#N/A</v>
      </c>
      <c r="W16" s="17"/>
      <c r="AA16" s="1">
        <v>45458</v>
      </c>
      <c r="AB16" s="3"/>
      <c r="AC16" s="26" t="e">
        <f>HLOOKUP(AA16,Hoja2!$R$2:$AV$43,42,FALSE)</f>
        <v>#N/A</v>
      </c>
      <c r="AD16" s="21"/>
      <c r="AE16" s="15">
        <v>45451</v>
      </c>
      <c r="AF16" s="8">
        <v>110204</v>
      </c>
      <c r="AG16" s="8" t="s">
        <v>107</v>
      </c>
      <c r="AH16" t="str">
        <f>"CPA Traspaso de fondos Bco. Estado a BICE "&amp;TEXT(AE16,"dd-mm-yyy")</f>
        <v>CPA Traspaso de fondos Bco. Estado a BICE 08-06-yyy</v>
      </c>
      <c r="AI16" s="16" t="e">
        <f>+AC9</f>
        <v>#N/A</v>
      </c>
      <c r="AJ16" s="17"/>
    </row>
    <row r="17" spans="1:36" x14ac:dyDescent="0.25">
      <c r="A17" s="1">
        <v>45459</v>
      </c>
      <c r="B17" s="3"/>
      <c r="C17" s="26" t="e">
        <f>HLOOKUP(A17,Hoja2!$R$2:$AV$10,9,FALSE)</f>
        <v>#N/A</v>
      </c>
      <c r="D17" s="21"/>
      <c r="E17" s="11"/>
      <c r="F17" s="12">
        <v>211101</v>
      </c>
      <c r="G17" s="12" t="s">
        <v>18</v>
      </c>
      <c r="H17" s="12" t="str">
        <f t="shared" ref="H17" si="50">H16</f>
        <v xml:space="preserve">CPA Recaudación Clientes Banco Estado </v>
      </c>
      <c r="I17" s="13"/>
      <c r="J17" s="18" t="e">
        <f t="shared" ref="J17" si="51">I16</f>
        <v>#N/A</v>
      </c>
      <c r="N17" s="1">
        <v>45459</v>
      </c>
      <c r="O17" s="3"/>
      <c r="P17" s="26" t="e">
        <f>HLOOKUP(N17,Hoja2!$R$2:$AV$11,10,FALSE)</f>
        <v>#N/A</v>
      </c>
      <c r="Q17" s="21"/>
      <c r="R17" s="11"/>
      <c r="S17" s="12">
        <v>110206</v>
      </c>
      <c r="T17" s="12" t="s">
        <v>45</v>
      </c>
      <c r="U17" s="12" t="str">
        <f t="shared" ref="U17" si="52">U16</f>
        <v xml:space="preserve">CPA Traspaso de fondos Bco. Estado a BCI 656 </v>
      </c>
      <c r="V17" s="13"/>
      <c r="W17" s="18" t="e">
        <f t="shared" ref="W17" si="53">V16</f>
        <v>#N/A</v>
      </c>
      <c r="AA17" s="1">
        <v>45459</v>
      </c>
      <c r="AB17" s="3"/>
      <c r="AC17" s="26" t="e">
        <f>HLOOKUP(AA17,Hoja2!$R$2:$AV$43,42,FALSE)</f>
        <v>#N/A</v>
      </c>
      <c r="AD17" s="21"/>
      <c r="AE17" s="11"/>
      <c r="AF17" s="12">
        <v>110206</v>
      </c>
      <c r="AG17" s="12" t="s">
        <v>45</v>
      </c>
      <c r="AH17" s="12" t="str">
        <f t="shared" ref="AH17" si="54">AH16</f>
        <v>CPA Traspaso de fondos Bco. Estado a BICE 08-06-yyy</v>
      </c>
      <c r="AI17" s="13"/>
      <c r="AJ17" s="18" t="e">
        <f t="shared" ref="AJ17" si="55">AI16</f>
        <v>#N/A</v>
      </c>
    </row>
    <row r="18" spans="1:36" x14ac:dyDescent="0.25">
      <c r="A18" s="1">
        <v>45460</v>
      </c>
      <c r="B18" s="3"/>
      <c r="C18" s="26" t="e">
        <f>HLOOKUP(A18,Hoja2!$R$2:$AV$10,9,FALSE)</f>
        <v>#N/A</v>
      </c>
      <c r="D18" s="21"/>
      <c r="E18" s="15">
        <v>45452</v>
      </c>
      <c r="F18" s="8">
        <v>110206</v>
      </c>
      <c r="G18" s="8" t="s">
        <v>45</v>
      </c>
      <c r="H18" t="str">
        <f t="shared" ref="H18" si="56">"CPA Recaudación Clientes Banco Estado "</f>
        <v xml:space="preserve">CPA Recaudación Clientes Banco Estado </v>
      </c>
      <c r="I18" s="16" t="e">
        <f>+C10</f>
        <v>#N/A</v>
      </c>
      <c r="J18" s="17"/>
      <c r="N18" s="1">
        <v>45460</v>
      </c>
      <c r="O18" s="3"/>
      <c r="P18" s="26" t="e">
        <f>HLOOKUP(N18,Hoja2!$R$2:$AV$11,10,FALSE)</f>
        <v>#N/A</v>
      </c>
      <c r="Q18" s="21"/>
      <c r="R18" s="15">
        <v>45452</v>
      </c>
      <c r="S18" s="8">
        <v>110209</v>
      </c>
      <c r="T18" s="8" t="s">
        <v>55</v>
      </c>
      <c r="U18" t="str">
        <f t="shared" ref="U18" si="57">"CPA Traspaso de fondos Bco. Estado a BCI 656 "</f>
        <v xml:space="preserve">CPA Traspaso de fondos Bco. Estado a BCI 656 </v>
      </c>
      <c r="V18" s="16" t="e">
        <f>+P10</f>
        <v>#N/A</v>
      </c>
      <c r="W18" s="17"/>
      <c r="AA18" s="1">
        <v>45460</v>
      </c>
      <c r="AB18" s="3"/>
      <c r="AC18" s="26" t="e">
        <f>HLOOKUP(AA18,Hoja2!$R$2:$AV$43,42,FALSE)</f>
        <v>#N/A</v>
      </c>
      <c r="AD18" s="21"/>
      <c r="AE18" s="15">
        <v>45452</v>
      </c>
      <c r="AF18" s="8">
        <v>110204</v>
      </c>
      <c r="AG18" s="8" t="s">
        <v>107</v>
      </c>
      <c r="AH18" t="str">
        <f>"CPA Traspaso de fondos Bco. Estado a BICE "&amp;TEXT(AE18,"dd-mm-yyy")</f>
        <v>CPA Traspaso de fondos Bco. Estado a BICE 09-06-yyy</v>
      </c>
      <c r="AI18" s="16" t="e">
        <f>+AC10</f>
        <v>#N/A</v>
      </c>
      <c r="AJ18" s="17"/>
    </row>
    <row r="19" spans="1:36" x14ac:dyDescent="0.25">
      <c r="A19" s="1">
        <v>45461</v>
      </c>
      <c r="B19" s="3"/>
      <c r="C19" s="26" t="e">
        <f>HLOOKUP(A19,Hoja2!$R$2:$AV$10,9,FALSE)</f>
        <v>#N/A</v>
      </c>
      <c r="D19" s="21"/>
      <c r="E19" s="11"/>
      <c r="F19" s="12">
        <v>211101</v>
      </c>
      <c r="G19" s="12" t="s">
        <v>18</v>
      </c>
      <c r="H19" s="12" t="str">
        <f t="shared" ref="H19" si="58">H18</f>
        <v xml:space="preserve">CPA Recaudación Clientes Banco Estado </v>
      </c>
      <c r="I19" s="13"/>
      <c r="J19" s="18" t="e">
        <f t="shared" ref="J19" si="59">I18</f>
        <v>#N/A</v>
      </c>
      <c r="N19" s="1">
        <v>45461</v>
      </c>
      <c r="O19" s="3"/>
      <c r="P19" s="26" t="e">
        <f>HLOOKUP(N19,Hoja2!$R$2:$AV$11,10,FALSE)</f>
        <v>#N/A</v>
      </c>
      <c r="Q19" s="21"/>
      <c r="R19" s="11"/>
      <c r="S19" s="12">
        <v>110206</v>
      </c>
      <c r="T19" s="12" t="s">
        <v>45</v>
      </c>
      <c r="U19" s="12" t="str">
        <f t="shared" ref="U19" si="60">U18</f>
        <v xml:space="preserve">CPA Traspaso de fondos Bco. Estado a BCI 656 </v>
      </c>
      <c r="V19" s="13"/>
      <c r="W19" s="18" t="e">
        <f t="shared" ref="W19" si="61">V18</f>
        <v>#N/A</v>
      </c>
      <c r="AA19" s="1">
        <v>45461</v>
      </c>
      <c r="AB19" s="3"/>
      <c r="AC19" s="26" t="e">
        <f>HLOOKUP(AA19,Hoja2!$R$2:$AV$43,42,FALSE)</f>
        <v>#N/A</v>
      </c>
      <c r="AD19" s="21"/>
      <c r="AE19" s="11"/>
      <c r="AF19" s="12">
        <v>110206</v>
      </c>
      <c r="AG19" s="12" t="s">
        <v>45</v>
      </c>
      <c r="AH19" s="12" t="str">
        <f t="shared" ref="AH19" si="62">AH18</f>
        <v>CPA Traspaso de fondos Bco. Estado a BICE 09-06-yyy</v>
      </c>
      <c r="AI19" s="13"/>
      <c r="AJ19" s="18" t="e">
        <f t="shared" ref="AJ19" si="63">AI18</f>
        <v>#N/A</v>
      </c>
    </row>
    <row r="20" spans="1:36" x14ac:dyDescent="0.25">
      <c r="A20" s="1">
        <v>45462</v>
      </c>
      <c r="B20" s="3"/>
      <c r="C20" s="26" t="e">
        <f>HLOOKUP(A20,Hoja2!$R$2:$AV$10,9,FALSE)</f>
        <v>#N/A</v>
      </c>
      <c r="D20" s="21"/>
      <c r="E20" s="15">
        <v>45453</v>
      </c>
      <c r="F20" s="8">
        <v>110206</v>
      </c>
      <c r="G20" s="8" t="s">
        <v>45</v>
      </c>
      <c r="H20" t="str">
        <f t="shared" ref="H20" si="64">"CPA Recaudación Clientes Banco Estado "</f>
        <v xml:space="preserve">CPA Recaudación Clientes Banco Estado </v>
      </c>
      <c r="I20" s="16" t="e">
        <f>+C11</f>
        <v>#N/A</v>
      </c>
      <c r="J20" s="17"/>
      <c r="N20" s="1">
        <v>45462</v>
      </c>
      <c r="O20" s="3"/>
      <c r="P20" s="26" t="e">
        <f>HLOOKUP(N20,Hoja2!$R$2:$AV$11,10,FALSE)</f>
        <v>#N/A</v>
      </c>
      <c r="Q20" s="21"/>
      <c r="R20" s="15">
        <v>45453</v>
      </c>
      <c r="S20" s="8">
        <v>110209</v>
      </c>
      <c r="T20" s="8" t="s">
        <v>55</v>
      </c>
      <c r="U20" t="str">
        <f t="shared" ref="U20" si="65">"CPA Traspaso de fondos Bco. Estado a BCI 656 "</f>
        <v xml:space="preserve">CPA Traspaso de fondos Bco. Estado a BCI 656 </v>
      </c>
      <c r="V20" s="16" t="e">
        <f>+P11</f>
        <v>#N/A</v>
      </c>
      <c r="W20" s="17"/>
      <c r="AA20" s="1">
        <v>45462</v>
      </c>
      <c r="AB20" s="3"/>
      <c r="AC20" s="26" t="e">
        <f>HLOOKUP(AA20,Hoja2!$R$2:$AV$43,42,FALSE)</f>
        <v>#N/A</v>
      </c>
      <c r="AD20" s="21"/>
      <c r="AE20" s="15">
        <v>45453</v>
      </c>
      <c r="AF20" s="8">
        <v>110204</v>
      </c>
      <c r="AG20" s="8" t="s">
        <v>107</v>
      </c>
      <c r="AH20" t="str">
        <f>"CPA Traspaso de fondos Bco. Estado a BICE "&amp;TEXT(AE20,"dd-mm-yyy")</f>
        <v>CPA Traspaso de fondos Bco. Estado a BICE 10-06-yyy</v>
      </c>
      <c r="AI20" s="16" t="e">
        <f>+AC11</f>
        <v>#N/A</v>
      </c>
      <c r="AJ20" s="17"/>
    </row>
    <row r="21" spans="1:36" x14ac:dyDescent="0.25">
      <c r="A21" s="1">
        <v>45463</v>
      </c>
      <c r="B21" s="3"/>
      <c r="C21" s="26" t="e">
        <f>HLOOKUP(A21,Hoja2!$R$2:$AV$10,9,FALSE)</f>
        <v>#N/A</v>
      </c>
      <c r="D21" s="21"/>
      <c r="E21" s="9"/>
      <c r="F21">
        <v>211101</v>
      </c>
      <c r="G21" t="s">
        <v>18</v>
      </c>
      <c r="H21" s="12" t="str">
        <f t="shared" ref="H21" si="66">H20</f>
        <v xml:space="preserve">CPA Recaudación Clientes Banco Estado </v>
      </c>
      <c r="I21" s="3"/>
      <c r="J21" s="10" t="e">
        <f t="shared" ref="J21" si="67">I20</f>
        <v>#N/A</v>
      </c>
      <c r="N21" s="1">
        <v>45463</v>
      </c>
      <c r="O21" s="3"/>
      <c r="P21" s="26" t="e">
        <f>HLOOKUP(N21,Hoja2!$R$2:$AV$11,10,FALSE)</f>
        <v>#N/A</v>
      </c>
      <c r="Q21" s="21"/>
      <c r="R21" s="9"/>
      <c r="S21">
        <v>110206</v>
      </c>
      <c r="T21" t="s">
        <v>45</v>
      </c>
      <c r="U21" s="12" t="str">
        <f t="shared" ref="U21" si="68">U20</f>
        <v xml:space="preserve">CPA Traspaso de fondos Bco. Estado a BCI 656 </v>
      </c>
      <c r="V21" s="3"/>
      <c r="W21" s="10" t="e">
        <f t="shared" ref="W21" si="69">V20</f>
        <v>#N/A</v>
      </c>
      <c r="AA21" s="1">
        <v>45463</v>
      </c>
      <c r="AB21" s="3"/>
      <c r="AC21" s="26" t="e">
        <f>HLOOKUP(AA21,Hoja2!$R$2:$AV$43,42,FALSE)</f>
        <v>#N/A</v>
      </c>
      <c r="AD21" s="21"/>
      <c r="AE21" s="9"/>
      <c r="AF21">
        <v>110206</v>
      </c>
      <c r="AG21" t="s">
        <v>45</v>
      </c>
      <c r="AH21" s="12" t="str">
        <f t="shared" ref="AH21" si="70">AH20</f>
        <v>CPA Traspaso de fondos Bco. Estado a BICE 10-06-yyy</v>
      </c>
      <c r="AI21" s="3"/>
      <c r="AJ21" s="10" t="e">
        <f t="shared" ref="AJ21" si="71">AI20</f>
        <v>#N/A</v>
      </c>
    </row>
    <row r="22" spans="1:36" x14ac:dyDescent="0.25">
      <c r="A22" s="1">
        <v>45464</v>
      </c>
      <c r="B22" s="3"/>
      <c r="C22" s="26" t="e">
        <f>HLOOKUP(A22,Hoja2!$R$2:$AV$10,9,FALSE)</f>
        <v>#N/A</v>
      </c>
      <c r="D22" s="21"/>
      <c r="E22" s="15">
        <v>45454</v>
      </c>
      <c r="F22" s="8">
        <v>110206</v>
      </c>
      <c r="G22" s="8" t="s">
        <v>45</v>
      </c>
      <c r="H22" t="str">
        <f t="shared" ref="H22" si="72">"CPA Recaudación Clientes Banco Estado "</f>
        <v xml:space="preserve">CPA Recaudación Clientes Banco Estado </v>
      </c>
      <c r="I22" s="16" t="e">
        <f>+C12</f>
        <v>#N/A</v>
      </c>
      <c r="J22" s="17"/>
      <c r="N22" s="1">
        <v>45464</v>
      </c>
      <c r="O22" s="3"/>
      <c r="P22" s="26" t="e">
        <f>HLOOKUP(N22,Hoja2!$R$2:$AV$11,10,FALSE)</f>
        <v>#N/A</v>
      </c>
      <c r="Q22" s="21"/>
      <c r="R22" s="15">
        <v>45454</v>
      </c>
      <c r="S22" s="8">
        <v>110209</v>
      </c>
      <c r="T22" s="8" t="s">
        <v>55</v>
      </c>
      <c r="U22" t="str">
        <f t="shared" ref="U22" si="73">"CPA Traspaso de fondos Bco. Estado a BCI 656 "</f>
        <v xml:space="preserve">CPA Traspaso de fondos Bco. Estado a BCI 656 </v>
      </c>
      <c r="V22" s="16" t="e">
        <f>+P12</f>
        <v>#N/A</v>
      </c>
      <c r="W22" s="17"/>
      <c r="AA22" s="1">
        <v>45464</v>
      </c>
      <c r="AB22" s="3"/>
      <c r="AC22" s="26" t="e">
        <f>HLOOKUP(AA22,Hoja2!$R$2:$AV$43,42,FALSE)</f>
        <v>#N/A</v>
      </c>
      <c r="AD22" s="21"/>
      <c r="AE22" s="15">
        <v>45454</v>
      </c>
      <c r="AF22" s="8">
        <v>110204</v>
      </c>
      <c r="AG22" s="8" t="s">
        <v>107</v>
      </c>
      <c r="AH22" t="str">
        <f>"CPA Traspaso de fondos Bco. Estado a BICE "&amp;TEXT(AE22,"dd-mm-yyy")</f>
        <v>CPA Traspaso de fondos Bco. Estado a BICE 11-06-yyy</v>
      </c>
      <c r="AI22" s="16" t="e">
        <f>+AC12</f>
        <v>#N/A</v>
      </c>
      <c r="AJ22" s="17"/>
    </row>
    <row r="23" spans="1:36" x14ac:dyDescent="0.25">
      <c r="A23" s="1">
        <v>45465</v>
      </c>
      <c r="B23" s="3"/>
      <c r="C23" s="26" t="e">
        <f>HLOOKUP(A23,Hoja2!$R$2:$AV$10,9,FALSE)</f>
        <v>#N/A</v>
      </c>
      <c r="D23" s="21"/>
      <c r="E23" s="9"/>
      <c r="F23">
        <v>211101</v>
      </c>
      <c r="G23" t="s">
        <v>18</v>
      </c>
      <c r="H23" s="12" t="str">
        <f t="shared" ref="H23" si="74">H22</f>
        <v xml:space="preserve">CPA Recaudación Clientes Banco Estado </v>
      </c>
      <c r="I23" s="3"/>
      <c r="J23" s="10" t="e">
        <f t="shared" ref="J23" si="75">I22</f>
        <v>#N/A</v>
      </c>
      <c r="N23" s="1">
        <v>45465</v>
      </c>
      <c r="O23" s="3"/>
      <c r="P23" s="26" t="e">
        <f>HLOOKUP(N23,Hoja2!$R$2:$AV$11,10,FALSE)</f>
        <v>#N/A</v>
      </c>
      <c r="Q23" s="21"/>
      <c r="R23" s="9"/>
      <c r="S23">
        <v>110206</v>
      </c>
      <c r="T23" t="s">
        <v>45</v>
      </c>
      <c r="U23" s="12" t="str">
        <f t="shared" ref="U23" si="76">U22</f>
        <v xml:space="preserve">CPA Traspaso de fondos Bco. Estado a BCI 656 </v>
      </c>
      <c r="V23" s="3"/>
      <c r="W23" s="10" t="e">
        <f t="shared" ref="W23" si="77">V22</f>
        <v>#N/A</v>
      </c>
      <c r="AA23" s="1">
        <v>45465</v>
      </c>
      <c r="AB23" s="3"/>
      <c r="AC23" s="26" t="e">
        <f>HLOOKUP(AA23,Hoja2!$R$2:$AV$43,42,FALSE)</f>
        <v>#N/A</v>
      </c>
      <c r="AD23" s="21"/>
      <c r="AE23" s="9"/>
      <c r="AF23">
        <v>110206</v>
      </c>
      <c r="AG23" t="s">
        <v>45</v>
      </c>
      <c r="AH23" s="12" t="str">
        <f t="shared" ref="AH23" si="78">AH22</f>
        <v>CPA Traspaso de fondos Bco. Estado a BICE 11-06-yyy</v>
      </c>
      <c r="AI23" s="3"/>
      <c r="AJ23" s="10" t="e">
        <f t="shared" ref="AJ23" si="79">AI22</f>
        <v>#N/A</v>
      </c>
    </row>
    <row r="24" spans="1:36" x14ac:dyDescent="0.25">
      <c r="A24" s="1">
        <v>45466</v>
      </c>
      <c r="B24" s="3"/>
      <c r="C24" s="26" t="e">
        <f>HLOOKUP(A24,Hoja2!$R$2:$AV$10,9,FALSE)</f>
        <v>#N/A</v>
      </c>
      <c r="D24" s="21"/>
      <c r="E24" s="15">
        <v>45455</v>
      </c>
      <c r="F24" s="8">
        <v>110206</v>
      </c>
      <c r="G24" s="8" t="s">
        <v>45</v>
      </c>
      <c r="H24" t="str">
        <f t="shared" ref="H24" si="80">"CPA Recaudación Clientes Banco Estado "</f>
        <v xml:space="preserve">CPA Recaudación Clientes Banco Estado </v>
      </c>
      <c r="I24" s="16" t="e">
        <f>+C13</f>
        <v>#N/A</v>
      </c>
      <c r="J24" s="17"/>
      <c r="N24" s="1">
        <v>45466</v>
      </c>
      <c r="O24" s="3"/>
      <c r="P24" s="26" t="e">
        <f>HLOOKUP(N24,Hoja2!$R$2:$AV$11,10,FALSE)</f>
        <v>#N/A</v>
      </c>
      <c r="Q24" s="21"/>
      <c r="R24" s="15">
        <v>45455</v>
      </c>
      <c r="S24" s="8">
        <v>110209</v>
      </c>
      <c r="T24" s="8" t="s">
        <v>55</v>
      </c>
      <c r="U24" t="str">
        <f t="shared" ref="U24" si="81">"CPA Traspaso de fondos Bco. Estado a BCI 656 "</f>
        <v xml:space="preserve">CPA Traspaso de fondos Bco. Estado a BCI 656 </v>
      </c>
      <c r="V24" s="16" t="e">
        <f>+P13</f>
        <v>#N/A</v>
      </c>
      <c r="W24" s="17"/>
      <c r="AA24" s="1">
        <v>45466</v>
      </c>
      <c r="AB24" s="3"/>
      <c r="AC24" s="26" t="e">
        <f>HLOOKUP(AA24,Hoja2!$R$2:$AV$43,42,FALSE)</f>
        <v>#N/A</v>
      </c>
      <c r="AD24" s="21"/>
      <c r="AE24" s="15">
        <v>45455</v>
      </c>
      <c r="AF24" s="8">
        <v>110204</v>
      </c>
      <c r="AG24" s="8" t="s">
        <v>107</v>
      </c>
      <c r="AH24" t="str">
        <f>"CPA Traspaso de fondos Bco. Estado a BICE "&amp;TEXT(AE24,"dd-mm-yyy")</f>
        <v>CPA Traspaso de fondos Bco. Estado a BICE 12-06-yyy</v>
      </c>
      <c r="AI24" s="16" t="e">
        <f>+AC13</f>
        <v>#N/A</v>
      </c>
      <c r="AJ24" s="17"/>
    </row>
    <row r="25" spans="1:36" x14ac:dyDescent="0.25">
      <c r="A25" s="1">
        <v>45467</v>
      </c>
      <c r="B25" s="3"/>
      <c r="C25" s="26" t="e">
        <f>HLOOKUP(A25,Hoja2!$R$2:$AV$10,9,FALSE)</f>
        <v>#N/A</v>
      </c>
      <c r="D25" s="21"/>
      <c r="E25" s="9"/>
      <c r="F25">
        <v>211101</v>
      </c>
      <c r="G25" t="s">
        <v>18</v>
      </c>
      <c r="H25" s="12" t="str">
        <f t="shared" ref="H25" si="82">H24</f>
        <v xml:space="preserve">CPA Recaudación Clientes Banco Estado </v>
      </c>
      <c r="I25" s="3"/>
      <c r="J25" s="10" t="e">
        <f t="shared" ref="J25" si="83">I24</f>
        <v>#N/A</v>
      </c>
      <c r="N25" s="1">
        <v>45467</v>
      </c>
      <c r="O25" s="3"/>
      <c r="P25" s="26" t="e">
        <f>HLOOKUP(N25,Hoja2!$R$2:$AV$11,10,FALSE)</f>
        <v>#N/A</v>
      </c>
      <c r="Q25" s="21"/>
      <c r="R25" s="9"/>
      <c r="S25">
        <v>110206</v>
      </c>
      <c r="T25" t="s">
        <v>45</v>
      </c>
      <c r="U25" s="12" t="str">
        <f t="shared" ref="U25" si="84">U24</f>
        <v xml:space="preserve">CPA Traspaso de fondos Bco. Estado a BCI 656 </v>
      </c>
      <c r="V25" s="3"/>
      <c r="W25" s="10" t="e">
        <f t="shared" ref="W25" si="85">V24</f>
        <v>#N/A</v>
      </c>
      <c r="AA25" s="1">
        <v>45467</v>
      </c>
      <c r="AB25" s="3"/>
      <c r="AC25" s="26" t="e">
        <f>HLOOKUP(AA25,Hoja2!$R$2:$AV$43,42,FALSE)</f>
        <v>#N/A</v>
      </c>
      <c r="AD25" s="21"/>
      <c r="AE25" s="9"/>
      <c r="AF25">
        <v>110206</v>
      </c>
      <c r="AG25" t="s">
        <v>45</v>
      </c>
      <c r="AH25" s="12" t="str">
        <f t="shared" ref="AH25" si="86">AH24</f>
        <v>CPA Traspaso de fondos Bco. Estado a BICE 12-06-yyy</v>
      </c>
      <c r="AI25" s="3"/>
      <c r="AJ25" s="10" t="e">
        <f t="shared" ref="AJ25" si="87">AI24</f>
        <v>#N/A</v>
      </c>
    </row>
    <row r="26" spans="1:36" x14ac:dyDescent="0.25">
      <c r="A26" s="1">
        <v>45468</v>
      </c>
      <c r="B26" s="3"/>
      <c r="C26" s="26" t="e">
        <f>HLOOKUP(A26,Hoja2!$R$2:$AV$10,9,FALSE)</f>
        <v>#N/A</v>
      </c>
      <c r="D26" s="21"/>
      <c r="E26" s="15">
        <v>45456</v>
      </c>
      <c r="F26" s="8">
        <v>110206</v>
      </c>
      <c r="G26" s="8" t="s">
        <v>45</v>
      </c>
      <c r="H26" t="str">
        <f t="shared" ref="H26" si="88">"CPA Recaudación Clientes Banco Estado "</f>
        <v xml:space="preserve">CPA Recaudación Clientes Banco Estado </v>
      </c>
      <c r="I26" s="16" t="e">
        <f>+C14</f>
        <v>#N/A</v>
      </c>
      <c r="J26" s="17"/>
      <c r="N26" s="1">
        <v>45468</v>
      </c>
      <c r="O26" s="3"/>
      <c r="P26" s="26" t="e">
        <f>HLOOKUP(N26,Hoja2!$R$2:$AV$11,10,FALSE)</f>
        <v>#N/A</v>
      </c>
      <c r="Q26" s="21"/>
      <c r="R26" s="15">
        <v>45456</v>
      </c>
      <c r="S26" s="8">
        <v>110209</v>
      </c>
      <c r="T26" s="8" t="s">
        <v>55</v>
      </c>
      <c r="U26" t="str">
        <f t="shared" ref="U26" si="89">"CPA Traspaso de fondos Bco. Estado a BCI 656 "</f>
        <v xml:space="preserve">CPA Traspaso de fondos Bco. Estado a BCI 656 </v>
      </c>
      <c r="V26" s="16" t="e">
        <f>+P14</f>
        <v>#N/A</v>
      </c>
      <c r="W26" s="17"/>
      <c r="AA26" s="1">
        <v>45468</v>
      </c>
      <c r="AB26" s="3"/>
      <c r="AC26" s="26" t="e">
        <f>HLOOKUP(AA26,Hoja2!$R$2:$AV$43,42,FALSE)</f>
        <v>#N/A</v>
      </c>
      <c r="AD26" s="21"/>
      <c r="AE26" s="15">
        <v>45456</v>
      </c>
      <c r="AF26" s="8">
        <v>110204</v>
      </c>
      <c r="AG26" s="8" t="s">
        <v>107</v>
      </c>
      <c r="AH26" t="str">
        <f>"CPA Traspaso de fondos Bco. Estado a BICE "&amp;TEXT(AE26,"dd-mm-yyy")</f>
        <v>CPA Traspaso de fondos Bco. Estado a BICE 13-06-yyy</v>
      </c>
      <c r="AI26" s="16" t="e">
        <f>+AC14</f>
        <v>#N/A</v>
      </c>
      <c r="AJ26" s="17"/>
    </row>
    <row r="27" spans="1:36" x14ac:dyDescent="0.25">
      <c r="A27" s="1">
        <v>45469</v>
      </c>
      <c r="B27" s="3"/>
      <c r="C27" s="26" t="e">
        <f>HLOOKUP(A27,Hoja2!$R$2:$AV$10,9,FALSE)</f>
        <v>#N/A</v>
      </c>
      <c r="D27" s="21"/>
      <c r="E27" s="9"/>
      <c r="F27">
        <v>211101</v>
      </c>
      <c r="G27" t="s">
        <v>18</v>
      </c>
      <c r="H27" s="12" t="str">
        <f t="shared" ref="H27" si="90">H26</f>
        <v xml:space="preserve">CPA Recaudación Clientes Banco Estado </v>
      </c>
      <c r="I27" s="3"/>
      <c r="J27" s="10" t="e">
        <f t="shared" ref="J27" si="91">I26</f>
        <v>#N/A</v>
      </c>
      <c r="N27" s="1">
        <v>45469</v>
      </c>
      <c r="O27" s="3"/>
      <c r="P27" s="26" t="e">
        <f>HLOOKUP(N27,Hoja2!$R$2:$AV$11,10,FALSE)</f>
        <v>#N/A</v>
      </c>
      <c r="Q27" s="21"/>
      <c r="R27" s="9"/>
      <c r="S27">
        <v>110206</v>
      </c>
      <c r="T27" t="s">
        <v>45</v>
      </c>
      <c r="U27" s="12" t="str">
        <f t="shared" ref="U27" si="92">U26</f>
        <v xml:space="preserve">CPA Traspaso de fondos Bco. Estado a BCI 656 </v>
      </c>
      <c r="V27" s="3"/>
      <c r="W27" s="10" t="e">
        <f t="shared" ref="W27" si="93">V26</f>
        <v>#N/A</v>
      </c>
      <c r="AA27" s="1">
        <v>45469</v>
      </c>
      <c r="AB27" s="3"/>
      <c r="AC27" s="26" t="e">
        <f>HLOOKUP(AA27,Hoja2!$R$2:$AV$43,42,FALSE)</f>
        <v>#N/A</v>
      </c>
      <c r="AD27" s="21"/>
      <c r="AE27" s="9"/>
      <c r="AF27">
        <v>110206</v>
      </c>
      <c r="AG27" t="s">
        <v>45</v>
      </c>
      <c r="AH27" s="12" t="str">
        <f t="shared" ref="AH27" si="94">AH26</f>
        <v>CPA Traspaso de fondos Bco. Estado a BICE 13-06-yyy</v>
      </c>
      <c r="AI27" s="3"/>
      <c r="AJ27" s="10" t="e">
        <f t="shared" ref="AJ27" si="95">AI26</f>
        <v>#N/A</v>
      </c>
    </row>
    <row r="28" spans="1:36" x14ac:dyDescent="0.25">
      <c r="A28" s="1">
        <v>45470</v>
      </c>
      <c r="B28" s="3"/>
      <c r="C28" s="26" t="e">
        <f>HLOOKUP(A28,Hoja2!$R$2:$AV$10,9,FALSE)</f>
        <v>#N/A</v>
      </c>
      <c r="E28" s="15">
        <v>45457</v>
      </c>
      <c r="F28" s="8">
        <v>110206</v>
      </c>
      <c r="G28" s="8" t="s">
        <v>45</v>
      </c>
      <c r="H28" t="str">
        <f t="shared" ref="H28" si="96">"CPA Recaudación Clientes Banco Estado "</f>
        <v xml:space="preserve">CPA Recaudación Clientes Banco Estado </v>
      </c>
      <c r="I28" s="16" t="e">
        <f>+C15</f>
        <v>#N/A</v>
      </c>
      <c r="J28" s="17"/>
      <c r="N28" s="1">
        <v>45470</v>
      </c>
      <c r="O28" s="3"/>
      <c r="P28" s="26" t="e">
        <f>HLOOKUP(N28,Hoja2!$R$2:$AV$11,10,FALSE)</f>
        <v>#N/A</v>
      </c>
      <c r="R28" s="15">
        <v>45457</v>
      </c>
      <c r="S28" s="8">
        <v>110209</v>
      </c>
      <c r="T28" s="8" t="s">
        <v>55</v>
      </c>
      <c r="U28" t="str">
        <f t="shared" ref="U28" si="97">"CPA Traspaso de fondos Bco. Estado a BCI 656 "</f>
        <v xml:space="preserve">CPA Traspaso de fondos Bco. Estado a BCI 656 </v>
      </c>
      <c r="V28" s="16" t="e">
        <f>+P15</f>
        <v>#N/A</v>
      </c>
      <c r="W28" s="17"/>
      <c r="AA28" s="1">
        <v>45470</v>
      </c>
      <c r="AB28" s="3"/>
      <c r="AC28" s="26" t="e">
        <f>HLOOKUP(AA28,Hoja2!$R$2:$AV$43,42,FALSE)</f>
        <v>#N/A</v>
      </c>
      <c r="AE28" s="15">
        <v>45457</v>
      </c>
      <c r="AF28" s="8">
        <v>110204</v>
      </c>
      <c r="AG28" s="8" t="s">
        <v>107</v>
      </c>
      <c r="AH28" t="str">
        <f>"CPA Traspaso de fondos Bco. Estado a BICE "&amp;TEXT(AE28,"dd-mm-yyy")</f>
        <v>CPA Traspaso de fondos Bco. Estado a BICE 14-06-yyy</v>
      </c>
      <c r="AI28" s="16" t="e">
        <f>+AC15</f>
        <v>#N/A</v>
      </c>
      <c r="AJ28" s="17"/>
    </row>
    <row r="29" spans="1:36" x14ac:dyDescent="0.25">
      <c r="A29" s="1">
        <v>45471</v>
      </c>
      <c r="B29" s="3"/>
      <c r="C29" s="26" t="e">
        <f>HLOOKUP(A29,Hoja2!$R$2:$AV$10,9,FALSE)</f>
        <v>#N/A</v>
      </c>
      <c r="D29" s="40"/>
      <c r="E29" s="9"/>
      <c r="F29">
        <v>211101</v>
      </c>
      <c r="G29" t="s">
        <v>18</v>
      </c>
      <c r="H29" s="12" t="str">
        <f t="shared" ref="H29" si="98">H28</f>
        <v xml:space="preserve">CPA Recaudación Clientes Banco Estado </v>
      </c>
      <c r="I29" s="3"/>
      <c r="J29" s="10" t="e">
        <f t="shared" ref="J29" si="99">I28</f>
        <v>#N/A</v>
      </c>
      <c r="N29" s="1">
        <v>45471</v>
      </c>
      <c r="O29" s="3"/>
      <c r="P29" s="26" t="e">
        <f>HLOOKUP(N29,Hoja2!$R$2:$AV$11,10,FALSE)</f>
        <v>#N/A</v>
      </c>
      <c r="Q29" s="40"/>
      <c r="R29" s="9"/>
      <c r="S29">
        <v>110206</v>
      </c>
      <c r="T29" t="s">
        <v>45</v>
      </c>
      <c r="U29" s="12" t="str">
        <f t="shared" ref="U29" si="100">U28</f>
        <v xml:space="preserve">CPA Traspaso de fondos Bco. Estado a BCI 656 </v>
      </c>
      <c r="V29" s="3"/>
      <c r="W29" s="10" t="e">
        <f t="shared" ref="W29" si="101">V28</f>
        <v>#N/A</v>
      </c>
      <c r="AA29" s="1">
        <v>45471</v>
      </c>
      <c r="AB29" s="3"/>
      <c r="AC29" s="26" t="e">
        <f>HLOOKUP(AA29,Hoja2!$R$2:$AV$43,42,FALSE)</f>
        <v>#N/A</v>
      </c>
      <c r="AD29" s="40"/>
      <c r="AE29" s="9"/>
      <c r="AF29">
        <v>110206</v>
      </c>
      <c r="AG29" t="s">
        <v>45</v>
      </c>
      <c r="AH29" s="12" t="str">
        <f t="shared" ref="AH29" si="102">AH28</f>
        <v>CPA Traspaso de fondos Bco. Estado a BICE 14-06-yyy</v>
      </c>
      <c r="AI29" s="3"/>
      <c r="AJ29" s="10" t="e">
        <f t="shared" ref="AJ29" si="103">AI28</f>
        <v>#N/A</v>
      </c>
    </row>
    <row r="30" spans="1:36" x14ac:dyDescent="0.25">
      <c r="A30" s="1">
        <v>45472</v>
      </c>
      <c r="B30" s="3"/>
      <c r="C30" s="26" t="e">
        <f>HLOOKUP(A30,Hoja2!$R$2:$AV$10,9,FALSE)</f>
        <v>#N/A</v>
      </c>
      <c r="E30" s="15">
        <v>45458</v>
      </c>
      <c r="F30" s="8">
        <v>110206</v>
      </c>
      <c r="G30" s="8" t="s">
        <v>45</v>
      </c>
      <c r="H30" t="str">
        <f t="shared" ref="H30" si="104">"CPA Recaudación Clientes Banco Estado "</f>
        <v xml:space="preserve">CPA Recaudación Clientes Banco Estado </v>
      </c>
      <c r="I30" s="16" t="e">
        <f>+C16</f>
        <v>#N/A</v>
      </c>
      <c r="J30" s="17"/>
      <c r="N30" s="1">
        <v>45472</v>
      </c>
      <c r="O30" s="3"/>
      <c r="P30" s="26" t="e">
        <f>HLOOKUP(N30,Hoja2!$R$2:$AV$11,10,FALSE)</f>
        <v>#N/A</v>
      </c>
      <c r="R30" s="15">
        <v>45458</v>
      </c>
      <c r="S30" s="8">
        <v>110209</v>
      </c>
      <c r="T30" s="8" t="s">
        <v>55</v>
      </c>
      <c r="U30" t="str">
        <f t="shared" ref="U30" si="105">"CPA Traspaso de fondos Bco. Estado a BCI 656 "</f>
        <v xml:space="preserve">CPA Traspaso de fondos Bco. Estado a BCI 656 </v>
      </c>
      <c r="V30" s="16" t="e">
        <f>+P16</f>
        <v>#N/A</v>
      </c>
      <c r="W30" s="17"/>
      <c r="AA30" s="1">
        <v>45472</v>
      </c>
      <c r="AB30" s="3"/>
      <c r="AC30" s="26" t="e">
        <f>HLOOKUP(AA30,Hoja2!$R$2:$AV$43,42,FALSE)</f>
        <v>#N/A</v>
      </c>
      <c r="AE30" s="15">
        <v>45458</v>
      </c>
      <c r="AF30" s="8">
        <v>110204</v>
      </c>
      <c r="AG30" s="8" t="s">
        <v>107</v>
      </c>
      <c r="AH30" t="str">
        <f>"CPA Traspaso de fondos Bco. Estado a BICE "&amp;TEXT(AE30,"dd-mm-yyy")</f>
        <v>CPA Traspaso de fondos Bco. Estado a BICE 15-06-yyy</v>
      </c>
      <c r="AI30" s="16" t="e">
        <f>+AC16</f>
        <v>#N/A</v>
      </c>
      <c r="AJ30" s="17"/>
    </row>
    <row r="31" spans="1:36" x14ac:dyDescent="0.25">
      <c r="A31" s="1">
        <v>45473</v>
      </c>
      <c r="B31" s="3"/>
      <c r="C31" s="26" t="e">
        <f>HLOOKUP(A31,Hoja2!$R$2:$AV$10,9,FALSE)</f>
        <v>#N/A</v>
      </c>
      <c r="E31" s="11"/>
      <c r="F31" s="12">
        <v>211101</v>
      </c>
      <c r="G31" s="12" t="s">
        <v>18</v>
      </c>
      <c r="H31" s="12" t="str">
        <f t="shared" ref="H31" si="106">H30</f>
        <v xml:space="preserve">CPA Recaudación Clientes Banco Estado </v>
      </c>
      <c r="I31" s="13"/>
      <c r="J31" s="18" t="e">
        <f t="shared" ref="J31" si="107">I30</f>
        <v>#N/A</v>
      </c>
      <c r="N31" s="1">
        <v>45473</v>
      </c>
      <c r="O31" s="3"/>
      <c r="P31" s="26" t="e">
        <f>HLOOKUP(N31,Hoja2!$R$2:$AV$11,10,FALSE)</f>
        <v>#N/A</v>
      </c>
      <c r="R31" s="11"/>
      <c r="S31" s="12">
        <v>110206</v>
      </c>
      <c r="T31" s="12" t="s">
        <v>45</v>
      </c>
      <c r="U31" s="12" t="str">
        <f t="shared" ref="U31" si="108">U30</f>
        <v xml:space="preserve">CPA Traspaso de fondos Bco. Estado a BCI 656 </v>
      </c>
      <c r="V31" s="13"/>
      <c r="W31" s="18" t="e">
        <f t="shared" ref="W31" si="109">V30</f>
        <v>#N/A</v>
      </c>
      <c r="AA31" s="1">
        <v>45473</v>
      </c>
      <c r="AB31" s="3"/>
      <c r="AC31" s="26" t="e">
        <f>HLOOKUP(AA31,Hoja2!$R$2:$AV$43,42,FALSE)</f>
        <v>#N/A</v>
      </c>
      <c r="AE31" s="11"/>
      <c r="AF31" s="12">
        <v>110206</v>
      </c>
      <c r="AG31" s="12" t="s">
        <v>45</v>
      </c>
      <c r="AH31" s="12" t="str">
        <f t="shared" ref="AH31" si="110">AH30</f>
        <v>CPA Traspaso de fondos Bco. Estado a BICE 15-06-yyy</v>
      </c>
      <c r="AI31" s="13"/>
      <c r="AJ31" s="18" t="e">
        <f t="shared" ref="AJ31" si="111">AI30</f>
        <v>#N/A</v>
      </c>
    </row>
    <row r="32" spans="1:36" x14ac:dyDescent="0.25">
      <c r="A32" s="1">
        <v>45474</v>
      </c>
      <c r="B32" s="3"/>
      <c r="C32" s="26" t="e">
        <f>HLOOKUP(A32,Hoja2!$R$2:$AV$10,9,FALSE)</f>
        <v>#N/A</v>
      </c>
      <c r="E32" s="15">
        <v>45459</v>
      </c>
      <c r="F32" s="8">
        <v>110206</v>
      </c>
      <c r="G32" s="8" t="s">
        <v>45</v>
      </c>
      <c r="H32" t="str">
        <f t="shared" ref="H32" si="112">"CPA Recaudación Clientes Banco Estado "</f>
        <v xml:space="preserve">CPA Recaudación Clientes Banco Estado </v>
      </c>
      <c r="I32" s="16" t="e">
        <f>+C17</f>
        <v>#N/A</v>
      </c>
      <c r="J32" s="17"/>
      <c r="N32" s="1">
        <v>45474</v>
      </c>
      <c r="O32" s="3"/>
      <c r="P32" s="26" t="e">
        <f>HLOOKUP(N32,Hoja2!$R$2:$AV$11,10,FALSE)</f>
        <v>#N/A</v>
      </c>
      <c r="R32" s="15">
        <v>45459</v>
      </c>
      <c r="S32" s="8">
        <v>110209</v>
      </c>
      <c r="T32" s="8" t="s">
        <v>55</v>
      </c>
      <c r="U32" t="str">
        <f t="shared" ref="U32" si="113">"CPA Traspaso de fondos Bco. Estado a BCI 656 "</f>
        <v xml:space="preserve">CPA Traspaso de fondos Bco. Estado a BCI 656 </v>
      </c>
      <c r="V32" s="16" t="e">
        <f>+P17</f>
        <v>#N/A</v>
      </c>
      <c r="W32" s="17"/>
      <c r="AA32" s="1">
        <v>45474</v>
      </c>
      <c r="AB32" s="3"/>
      <c r="AC32" s="26" t="e">
        <f>HLOOKUP(AA32,Hoja2!$R$2:$AV$43,42,FALSE)</f>
        <v>#N/A</v>
      </c>
      <c r="AE32" s="15">
        <v>45459</v>
      </c>
      <c r="AF32" s="8">
        <v>110204</v>
      </c>
      <c r="AG32" s="8" t="s">
        <v>107</v>
      </c>
      <c r="AH32" t="str">
        <f>"CPA Traspaso de fondos Bco. Estado a BICE "&amp;TEXT(AE32,"dd-mm-yyy")</f>
        <v>CPA Traspaso de fondos Bco. Estado a BICE 16-06-yyy</v>
      </c>
      <c r="AI32" s="16" t="e">
        <f>+AC17</f>
        <v>#N/A</v>
      </c>
      <c r="AJ32" s="17"/>
    </row>
    <row r="33" spans="1:36" x14ac:dyDescent="0.25">
      <c r="E33" s="11"/>
      <c r="F33" s="12">
        <v>211101</v>
      </c>
      <c r="G33" s="12" t="s">
        <v>18</v>
      </c>
      <c r="H33" s="12" t="str">
        <f t="shared" ref="H33" si="114">H32</f>
        <v xml:space="preserve">CPA Recaudación Clientes Banco Estado </v>
      </c>
      <c r="I33" s="13"/>
      <c r="J33" s="18" t="e">
        <f t="shared" ref="J33" si="115">I32</f>
        <v>#N/A</v>
      </c>
      <c r="R33" s="11"/>
      <c r="S33" s="12">
        <v>110206</v>
      </c>
      <c r="T33" s="12" t="s">
        <v>45</v>
      </c>
      <c r="U33" s="12" t="str">
        <f t="shared" ref="U33" si="116">U32</f>
        <v xml:space="preserve">CPA Traspaso de fondos Bco. Estado a BCI 656 </v>
      </c>
      <c r="V33" s="13"/>
      <c r="W33" s="18" t="e">
        <f t="shared" ref="W33" si="117">V32</f>
        <v>#N/A</v>
      </c>
      <c r="AE33" s="11"/>
      <c r="AF33" s="12">
        <v>110206</v>
      </c>
      <c r="AG33" s="12" t="s">
        <v>45</v>
      </c>
      <c r="AH33" s="12" t="str">
        <f t="shared" ref="AH33" si="118">AH32</f>
        <v>CPA Traspaso de fondos Bco. Estado a BICE 16-06-yyy</v>
      </c>
      <c r="AI33" s="13"/>
      <c r="AJ33" s="18" t="e">
        <f t="shared" ref="AJ33" si="119">AI32</f>
        <v>#N/A</v>
      </c>
    </row>
    <row r="34" spans="1:36" x14ac:dyDescent="0.25">
      <c r="E34" s="15">
        <v>45460</v>
      </c>
      <c r="F34" s="8">
        <v>110206</v>
      </c>
      <c r="G34" s="8" t="s">
        <v>45</v>
      </c>
      <c r="H34" t="str">
        <f t="shared" ref="H34" si="120">"CPA Recaudación Clientes Banco Estado "</f>
        <v xml:space="preserve">CPA Recaudación Clientes Banco Estado </v>
      </c>
      <c r="I34" s="16" t="e">
        <f>+C18</f>
        <v>#N/A</v>
      </c>
      <c r="J34" s="17"/>
      <c r="R34" s="15">
        <v>45460</v>
      </c>
      <c r="S34" s="8">
        <v>110209</v>
      </c>
      <c r="T34" s="8" t="s">
        <v>55</v>
      </c>
      <c r="U34" t="str">
        <f t="shared" ref="U34" si="121">"CPA Traspaso de fondos Bco. Estado a BCI 656 "</f>
        <v xml:space="preserve">CPA Traspaso de fondos Bco. Estado a BCI 656 </v>
      </c>
      <c r="V34" s="16" t="e">
        <f>+P18</f>
        <v>#N/A</v>
      </c>
      <c r="W34" s="17"/>
      <c r="AE34" s="15">
        <v>45460</v>
      </c>
      <c r="AF34" s="8">
        <v>110204</v>
      </c>
      <c r="AG34" s="8" t="s">
        <v>107</v>
      </c>
      <c r="AH34" t="str">
        <f>"CPA Traspaso de fondos Bco. Estado a BICE "&amp;TEXT(AE34,"dd-mm-yyy")</f>
        <v>CPA Traspaso de fondos Bco. Estado a BICE 17-06-yyy</v>
      </c>
      <c r="AI34" s="16" t="e">
        <f>+AC18</f>
        <v>#N/A</v>
      </c>
      <c r="AJ34" s="17"/>
    </row>
    <row r="35" spans="1:36" x14ac:dyDescent="0.25">
      <c r="E35" s="11"/>
      <c r="F35" s="12">
        <v>211101</v>
      </c>
      <c r="G35" s="12" t="s">
        <v>18</v>
      </c>
      <c r="H35" s="12" t="str">
        <f t="shared" ref="H35" si="122">H34</f>
        <v xml:space="preserve">CPA Recaudación Clientes Banco Estado </v>
      </c>
      <c r="I35" s="13"/>
      <c r="J35" s="18" t="e">
        <f t="shared" ref="J35" si="123">I34</f>
        <v>#N/A</v>
      </c>
      <c r="R35" s="11"/>
      <c r="S35" s="12">
        <v>110206</v>
      </c>
      <c r="T35" s="12" t="s">
        <v>45</v>
      </c>
      <c r="U35" s="12" t="str">
        <f t="shared" ref="U35" si="124">U34</f>
        <v xml:space="preserve">CPA Traspaso de fondos Bco. Estado a BCI 656 </v>
      </c>
      <c r="V35" s="13"/>
      <c r="W35" s="18" t="e">
        <f t="shared" ref="W35" si="125">V34</f>
        <v>#N/A</v>
      </c>
      <c r="AE35" s="11"/>
      <c r="AF35" s="12">
        <v>110206</v>
      </c>
      <c r="AG35" s="12" t="s">
        <v>45</v>
      </c>
      <c r="AH35" s="12" t="str">
        <f t="shared" ref="AH35" si="126">AH34</f>
        <v>CPA Traspaso de fondos Bco. Estado a BICE 17-06-yyy</v>
      </c>
      <c r="AI35" s="13"/>
      <c r="AJ35" s="18" t="e">
        <f t="shared" ref="AJ35" si="127">AI34</f>
        <v>#N/A</v>
      </c>
    </row>
    <row r="36" spans="1:36" x14ac:dyDescent="0.25">
      <c r="E36" s="15">
        <v>45461</v>
      </c>
      <c r="F36" s="8">
        <v>110206</v>
      </c>
      <c r="G36" s="8" t="s">
        <v>45</v>
      </c>
      <c r="H36" t="str">
        <f t="shared" ref="H36" si="128">"CPA Recaudación Clientes Banco Estado "</f>
        <v xml:space="preserve">CPA Recaudación Clientes Banco Estado </v>
      </c>
      <c r="I36" s="16" t="e">
        <f>+C19</f>
        <v>#N/A</v>
      </c>
      <c r="J36" s="17"/>
      <c r="R36" s="15">
        <v>45461</v>
      </c>
      <c r="S36" s="8">
        <v>110209</v>
      </c>
      <c r="T36" s="8" t="s">
        <v>55</v>
      </c>
      <c r="U36" t="str">
        <f t="shared" ref="U36" si="129">"CPA Traspaso de fondos Bco. Estado a BCI 656 "</f>
        <v xml:space="preserve">CPA Traspaso de fondos Bco. Estado a BCI 656 </v>
      </c>
      <c r="V36" s="16" t="e">
        <f>+P19</f>
        <v>#N/A</v>
      </c>
      <c r="W36" s="17"/>
      <c r="AE36" s="15">
        <v>45461</v>
      </c>
      <c r="AF36" s="8">
        <v>110204</v>
      </c>
      <c r="AG36" s="8" t="s">
        <v>107</v>
      </c>
      <c r="AH36" t="str">
        <f>"CPA Traspaso de fondos Bco. Estado a BICE "&amp;TEXT(AE36,"dd-mm-yyy")</f>
        <v>CPA Traspaso de fondos Bco. Estado a BICE 18-06-yyy</v>
      </c>
      <c r="AI36" s="16" t="e">
        <f>+AC19</f>
        <v>#N/A</v>
      </c>
      <c r="AJ36" s="17"/>
    </row>
    <row r="37" spans="1:36" x14ac:dyDescent="0.25">
      <c r="E37" s="11"/>
      <c r="F37" s="12">
        <v>211101</v>
      </c>
      <c r="G37" s="12" t="s">
        <v>18</v>
      </c>
      <c r="H37" s="12" t="str">
        <f t="shared" ref="H37" si="130">H36</f>
        <v xml:space="preserve">CPA Recaudación Clientes Banco Estado </v>
      </c>
      <c r="I37" s="13"/>
      <c r="J37" s="18" t="e">
        <f t="shared" ref="J37" si="131">I36</f>
        <v>#N/A</v>
      </c>
      <c r="R37" s="11"/>
      <c r="S37" s="12">
        <v>110206</v>
      </c>
      <c r="T37" s="12" t="s">
        <v>45</v>
      </c>
      <c r="U37" s="12" t="str">
        <f t="shared" ref="U37" si="132">U36</f>
        <v xml:space="preserve">CPA Traspaso de fondos Bco. Estado a BCI 656 </v>
      </c>
      <c r="V37" s="13"/>
      <c r="W37" s="18" t="e">
        <f t="shared" ref="W37" si="133">V36</f>
        <v>#N/A</v>
      </c>
      <c r="AE37" s="11"/>
      <c r="AF37" s="12">
        <v>110206</v>
      </c>
      <c r="AG37" s="12" t="s">
        <v>45</v>
      </c>
      <c r="AH37" s="12" t="str">
        <f t="shared" ref="AH37" si="134">AH36</f>
        <v>CPA Traspaso de fondos Bco. Estado a BICE 18-06-yyy</v>
      </c>
      <c r="AI37" s="13"/>
      <c r="AJ37" s="18" t="e">
        <f t="shared" ref="AJ37" si="135">AI36</f>
        <v>#N/A</v>
      </c>
    </row>
    <row r="38" spans="1:36" x14ac:dyDescent="0.25">
      <c r="E38" s="15">
        <v>45462</v>
      </c>
      <c r="F38" s="8">
        <v>110206</v>
      </c>
      <c r="G38" s="8" t="s">
        <v>45</v>
      </c>
      <c r="H38" t="str">
        <f t="shared" ref="H38" si="136">"CPA Recaudación Clientes Banco Estado "</f>
        <v xml:space="preserve">CPA Recaudación Clientes Banco Estado </v>
      </c>
      <c r="I38" s="16" t="e">
        <f>+C20</f>
        <v>#N/A</v>
      </c>
      <c r="J38" s="17"/>
      <c r="R38" s="15">
        <v>45462</v>
      </c>
      <c r="S38" s="8">
        <v>110209</v>
      </c>
      <c r="T38" s="8" t="s">
        <v>55</v>
      </c>
      <c r="U38" t="str">
        <f t="shared" ref="U38" si="137">"CPA Traspaso de fondos Bco. Estado a BCI 656 "</f>
        <v xml:space="preserve">CPA Traspaso de fondos Bco. Estado a BCI 656 </v>
      </c>
      <c r="V38" s="16" t="e">
        <f>+P20</f>
        <v>#N/A</v>
      </c>
      <c r="W38" s="17"/>
      <c r="AE38" s="15">
        <v>45462</v>
      </c>
      <c r="AF38" s="8">
        <v>110204</v>
      </c>
      <c r="AG38" s="8" t="s">
        <v>107</v>
      </c>
      <c r="AH38" t="str">
        <f>"CPA Traspaso de fondos Bco. Estado a BICE "&amp;TEXT(AE38,"dd-mm-yyy")</f>
        <v>CPA Traspaso de fondos Bco. Estado a BICE 19-06-yyy</v>
      </c>
      <c r="AI38" s="16" t="e">
        <f>+AC20</f>
        <v>#N/A</v>
      </c>
      <c r="AJ38" s="17"/>
    </row>
    <row r="39" spans="1:36" x14ac:dyDescent="0.25">
      <c r="E39" s="11"/>
      <c r="F39" s="12">
        <v>211101</v>
      </c>
      <c r="G39" s="12" t="s">
        <v>18</v>
      </c>
      <c r="H39" s="12" t="str">
        <f t="shared" ref="H39" si="138">H38</f>
        <v xml:space="preserve">CPA Recaudación Clientes Banco Estado </v>
      </c>
      <c r="I39" s="13"/>
      <c r="J39" s="18" t="e">
        <f t="shared" ref="J39" si="139">I38</f>
        <v>#N/A</v>
      </c>
      <c r="R39" s="11"/>
      <c r="S39" s="12">
        <v>110206</v>
      </c>
      <c r="T39" s="12" t="s">
        <v>45</v>
      </c>
      <c r="U39" s="12" t="str">
        <f t="shared" ref="U39" si="140">U38</f>
        <v xml:space="preserve">CPA Traspaso de fondos Bco. Estado a BCI 656 </v>
      </c>
      <c r="V39" s="13"/>
      <c r="W39" s="18" t="e">
        <f t="shared" ref="W39" si="141">V38</f>
        <v>#N/A</v>
      </c>
      <c r="AE39" s="11"/>
      <c r="AF39" s="12">
        <v>110206</v>
      </c>
      <c r="AG39" s="12" t="s">
        <v>45</v>
      </c>
      <c r="AH39" s="12" t="str">
        <f t="shared" ref="AH39" si="142">AH38</f>
        <v>CPA Traspaso de fondos Bco. Estado a BICE 19-06-yyy</v>
      </c>
      <c r="AI39" s="13"/>
      <c r="AJ39" s="18" t="e">
        <f t="shared" ref="AJ39" si="143">AI38</f>
        <v>#N/A</v>
      </c>
    </row>
    <row r="40" spans="1:36" x14ac:dyDescent="0.25">
      <c r="E40" s="15">
        <v>45463</v>
      </c>
      <c r="F40" s="8">
        <v>110206</v>
      </c>
      <c r="G40" s="8" t="s">
        <v>45</v>
      </c>
      <c r="H40" t="str">
        <f t="shared" ref="H40" si="144">"CPA Recaudación Clientes Banco Estado "</f>
        <v xml:space="preserve">CPA Recaudación Clientes Banco Estado </v>
      </c>
      <c r="I40" s="16" t="e">
        <f>+C21</f>
        <v>#N/A</v>
      </c>
      <c r="J40" s="17"/>
      <c r="R40" s="15">
        <v>45463</v>
      </c>
      <c r="S40" s="8">
        <v>110209</v>
      </c>
      <c r="T40" s="8" t="s">
        <v>55</v>
      </c>
      <c r="U40" t="str">
        <f t="shared" ref="U40" si="145">"CPA Traspaso de fondos Bco. Estado a BCI 656 "</f>
        <v xml:space="preserve">CPA Traspaso de fondos Bco. Estado a BCI 656 </v>
      </c>
      <c r="V40" s="16" t="e">
        <f>+P21</f>
        <v>#N/A</v>
      </c>
      <c r="W40" s="17"/>
      <c r="AE40" s="15">
        <v>45463</v>
      </c>
      <c r="AF40" s="8">
        <v>110204</v>
      </c>
      <c r="AG40" s="8" t="s">
        <v>107</v>
      </c>
      <c r="AH40" t="str">
        <f>"CPA Traspaso de fondos Bco. Estado a BICE "&amp;TEXT(AE40,"dd-mm-yyy")</f>
        <v>CPA Traspaso de fondos Bco. Estado a BICE 20-06-yyy</v>
      </c>
      <c r="AI40" s="16" t="e">
        <f>+AC21</f>
        <v>#N/A</v>
      </c>
      <c r="AJ40" s="17"/>
    </row>
    <row r="41" spans="1:36" x14ac:dyDescent="0.25">
      <c r="A41" s="42"/>
      <c r="E41" s="11"/>
      <c r="F41" s="12">
        <v>211101</v>
      </c>
      <c r="G41" s="12" t="s">
        <v>18</v>
      </c>
      <c r="H41" s="12" t="str">
        <f t="shared" ref="H41" si="146">H40</f>
        <v xml:space="preserve">CPA Recaudación Clientes Banco Estado </v>
      </c>
      <c r="I41" s="13"/>
      <c r="J41" s="18" t="e">
        <f t="shared" ref="J41" si="147">I40</f>
        <v>#N/A</v>
      </c>
      <c r="N41" s="42"/>
      <c r="R41" s="11"/>
      <c r="S41" s="12">
        <v>110206</v>
      </c>
      <c r="T41" s="12" t="s">
        <v>45</v>
      </c>
      <c r="U41" s="12" t="str">
        <f t="shared" ref="U41" si="148">U40</f>
        <v xml:space="preserve">CPA Traspaso de fondos Bco. Estado a BCI 656 </v>
      </c>
      <c r="V41" s="13"/>
      <c r="W41" s="18" t="e">
        <f t="shared" ref="W41" si="149">V40</f>
        <v>#N/A</v>
      </c>
      <c r="AA41" s="42"/>
      <c r="AE41" s="11"/>
      <c r="AF41" s="12">
        <v>110206</v>
      </c>
      <c r="AG41" s="12" t="s">
        <v>45</v>
      </c>
      <c r="AH41" s="12" t="str">
        <f t="shared" ref="AH41" si="150">AH40</f>
        <v>CPA Traspaso de fondos Bco. Estado a BICE 20-06-yyy</v>
      </c>
      <c r="AI41" s="13"/>
      <c r="AJ41" s="18" t="e">
        <f t="shared" ref="AJ41" si="151">AI40</f>
        <v>#N/A</v>
      </c>
    </row>
    <row r="42" spans="1:36" x14ac:dyDescent="0.25">
      <c r="A42" s="42"/>
      <c r="E42" s="15">
        <v>45464</v>
      </c>
      <c r="F42" s="8">
        <v>110206</v>
      </c>
      <c r="G42" s="8" t="s">
        <v>45</v>
      </c>
      <c r="H42" t="str">
        <f t="shared" ref="H42" si="152">"CPA Recaudación Clientes Banco Estado "</f>
        <v xml:space="preserve">CPA Recaudación Clientes Banco Estado </v>
      </c>
      <c r="I42" s="16" t="e">
        <f>+C22</f>
        <v>#N/A</v>
      </c>
      <c r="J42" s="17"/>
      <c r="N42" s="42"/>
      <c r="R42" s="15">
        <v>45464</v>
      </c>
      <c r="S42" s="8">
        <v>110209</v>
      </c>
      <c r="T42" s="8" t="s">
        <v>55</v>
      </c>
      <c r="U42" t="str">
        <f t="shared" ref="U42" si="153">"CPA Traspaso de fondos Bco. Estado a BCI 656 "</f>
        <v xml:space="preserve">CPA Traspaso de fondos Bco. Estado a BCI 656 </v>
      </c>
      <c r="V42" s="16" t="e">
        <f>+P22</f>
        <v>#N/A</v>
      </c>
      <c r="W42" s="17"/>
      <c r="AA42" s="42"/>
      <c r="AE42" s="15">
        <v>45464</v>
      </c>
      <c r="AF42" s="8">
        <v>110204</v>
      </c>
      <c r="AG42" s="8" t="s">
        <v>107</v>
      </c>
      <c r="AH42" t="str">
        <f>"CPA Traspaso de fondos Bco. Estado a BICE "&amp;TEXT(AE42,"dd-mm-yyy")</f>
        <v>CPA Traspaso de fondos Bco. Estado a BICE 21-06-yyy</v>
      </c>
      <c r="AI42" s="16" t="e">
        <f>+AC22</f>
        <v>#N/A</v>
      </c>
      <c r="AJ42" s="17"/>
    </row>
    <row r="43" spans="1:36" x14ac:dyDescent="0.25">
      <c r="A43" s="42"/>
      <c r="E43" s="11"/>
      <c r="F43" s="12">
        <v>211101</v>
      </c>
      <c r="G43" s="12" t="s">
        <v>18</v>
      </c>
      <c r="H43" s="12" t="str">
        <f t="shared" ref="H43" si="154">H42</f>
        <v xml:space="preserve">CPA Recaudación Clientes Banco Estado </v>
      </c>
      <c r="I43" s="13"/>
      <c r="J43" s="18" t="e">
        <f t="shared" ref="J43" si="155">I42</f>
        <v>#N/A</v>
      </c>
      <c r="N43" s="42"/>
      <c r="R43" s="11"/>
      <c r="S43" s="12">
        <v>110206</v>
      </c>
      <c r="T43" s="12" t="s">
        <v>45</v>
      </c>
      <c r="U43" s="12" t="str">
        <f t="shared" ref="U43" si="156">U42</f>
        <v xml:space="preserve">CPA Traspaso de fondos Bco. Estado a BCI 656 </v>
      </c>
      <c r="V43" s="13"/>
      <c r="W43" s="18" t="e">
        <f t="shared" ref="W43" si="157">V42</f>
        <v>#N/A</v>
      </c>
      <c r="AA43" s="42"/>
      <c r="AE43" s="11"/>
      <c r="AF43" s="12">
        <v>110206</v>
      </c>
      <c r="AG43" s="12" t="s">
        <v>45</v>
      </c>
      <c r="AH43" s="12" t="str">
        <f t="shared" ref="AH43" si="158">AH42</f>
        <v>CPA Traspaso de fondos Bco. Estado a BICE 21-06-yyy</v>
      </c>
      <c r="AI43" s="13"/>
      <c r="AJ43" s="18" t="e">
        <f t="shared" ref="AJ43" si="159">AI42</f>
        <v>#N/A</v>
      </c>
    </row>
    <row r="44" spans="1:36" x14ac:dyDescent="0.25">
      <c r="E44" s="15">
        <v>45465</v>
      </c>
      <c r="F44" s="8">
        <v>110206</v>
      </c>
      <c r="G44" s="8" t="s">
        <v>45</v>
      </c>
      <c r="H44" t="str">
        <f t="shared" ref="H44" si="160">"CPA Recaudación Clientes Banco Estado "</f>
        <v xml:space="preserve">CPA Recaudación Clientes Banco Estado </v>
      </c>
      <c r="I44" s="16" t="e">
        <f>+C23</f>
        <v>#N/A</v>
      </c>
      <c r="J44" s="17"/>
      <c r="R44" s="15">
        <v>45465</v>
      </c>
      <c r="S44" s="8">
        <v>110209</v>
      </c>
      <c r="T44" s="8" t="s">
        <v>55</v>
      </c>
      <c r="U44" t="str">
        <f t="shared" ref="U44" si="161">"CPA Traspaso de fondos Bco. Estado a BCI 656 "</f>
        <v xml:space="preserve">CPA Traspaso de fondos Bco. Estado a BCI 656 </v>
      </c>
      <c r="V44" s="16" t="e">
        <f>+P23</f>
        <v>#N/A</v>
      </c>
      <c r="W44" s="17"/>
      <c r="AE44" s="15">
        <v>45465</v>
      </c>
      <c r="AF44" s="8">
        <v>110204</v>
      </c>
      <c r="AG44" s="8" t="s">
        <v>107</v>
      </c>
      <c r="AH44" t="str">
        <f>"CPA Traspaso de fondos Bco. Estado a BICE "&amp;TEXT(AE44,"dd-mm-yyy")</f>
        <v>CPA Traspaso de fondos Bco. Estado a BICE 22-06-yyy</v>
      </c>
      <c r="AI44" s="16" t="e">
        <f>+AC23</f>
        <v>#N/A</v>
      </c>
      <c r="AJ44" s="17"/>
    </row>
    <row r="45" spans="1:36" x14ac:dyDescent="0.25">
      <c r="E45" s="11"/>
      <c r="F45" s="12">
        <v>211101</v>
      </c>
      <c r="G45" s="12" t="s">
        <v>18</v>
      </c>
      <c r="H45" s="12" t="str">
        <f t="shared" ref="H45" si="162">H44</f>
        <v xml:space="preserve">CPA Recaudación Clientes Banco Estado </v>
      </c>
      <c r="I45" s="13"/>
      <c r="J45" s="18" t="e">
        <f t="shared" ref="J45" si="163">I44</f>
        <v>#N/A</v>
      </c>
      <c r="R45" s="11"/>
      <c r="S45" s="12">
        <v>110206</v>
      </c>
      <c r="T45" s="12" t="s">
        <v>45</v>
      </c>
      <c r="U45" s="12" t="str">
        <f t="shared" ref="U45" si="164">U44</f>
        <v xml:space="preserve">CPA Traspaso de fondos Bco. Estado a BCI 656 </v>
      </c>
      <c r="V45" s="13"/>
      <c r="W45" s="18" t="e">
        <f t="shared" ref="W45" si="165">V44</f>
        <v>#N/A</v>
      </c>
      <c r="AE45" s="11"/>
      <c r="AF45" s="12">
        <v>110206</v>
      </c>
      <c r="AG45" s="12" t="s">
        <v>45</v>
      </c>
      <c r="AH45" s="12" t="str">
        <f t="shared" ref="AH45" si="166">AH44</f>
        <v>CPA Traspaso de fondos Bco. Estado a BICE 22-06-yyy</v>
      </c>
      <c r="AI45" s="13"/>
      <c r="AJ45" s="18" t="e">
        <f t="shared" ref="AJ45" si="167">AI44</f>
        <v>#N/A</v>
      </c>
    </row>
    <row r="46" spans="1:36" x14ac:dyDescent="0.25">
      <c r="E46" s="15">
        <v>45466</v>
      </c>
      <c r="F46" s="8">
        <v>110206</v>
      </c>
      <c r="G46" s="8" t="s">
        <v>45</v>
      </c>
      <c r="H46" t="str">
        <f t="shared" ref="H46" si="168">"CPA Recaudación Clientes Banco Estado "</f>
        <v xml:space="preserve">CPA Recaudación Clientes Banco Estado </v>
      </c>
      <c r="I46" s="16" t="e">
        <f>+C24</f>
        <v>#N/A</v>
      </c>
      <c r="J46" s="17"/>
      <c r="R46" s="15">
        <v>45466</v>
      </c>
      <c r="S46" s="8">
        <v>110209</v>
      </c>
      <c r="T46" s="8" t="s">
        <v>55</v>
      </c>
      <c r="U46" t="str">
        <f t="shared" ref="U46" si="169">"CPA Traspaso de fondos Bco. Estado a BCI 656 "</f>
        <v xml:space="preserve">CPA Traspaso de fondos Bco. Estado a BCI 656 </v>
      </c>
      <c r="V46" s="16" t="e">
        <f>+P24</f>
        <v>#N/A</v>
      </c>
      <c r="W46" s="17"/>
      <c r="AE46" s="15">
        <v>45466</v>
      </c>
      <c r="AF46" s="8">
        <v>110204</v>
      </c>
      <c r="AG46" s="8" t="s">
        <v>107</v>
      </c>
      <c r="AH46" t="str">
        <f>"CPA Traspaso de fondos Bco. Estado a BICE "&amp;TEXT(AE46,"dd-mm-yyy")</f>
        <v>CPA Traspaso de fondos Bco. Estado a BICE 23-06-yyy</v>
      </c>
      <c r="AI46" s="16" t="e">
        <f>+AC24</f>
        <v>#N/A</v>
      </c>
      <c r="AJ46" s="17"/>
    </row>
    <row r="47" spans="1:36" x14ac:dyDescent="0.25">
      <c r="E47" s="11"/>
      <c r="F47" s="12">
        <v>211101</v>
      </c>
      <c r="G47" s="12" t="s">
        <v>18</v>
      </c>
      <c r="H47" s="12" t="str">
        <f t="shared" ref="H47" si="170">H46</f>
        <v xml:space="preserve">CPA Recaudación Clientes Banco Estado </v>
      </c>
      <c r="I47" s="13"/>
      <c r="J47" s="18" t="e">
        <f t="shared" ref="J47" si="171">I46</f>
        <v>#N/A</v>
      </c>
      <c r="R47" s="11"/>
      <c r="S47" s="12">
        <v>110206</v>
      </c>
      <c r="T47" s="12" t="s">
        <v>45</v>
      </c>
      <c r="U47" s="12" t="str">
        <f t="shared" ref="U47" si="172">U46</f>
        <v xml:space="preserve">CPA Traspaso de fondos Bco. Estado a BCI 656 </v>
      </c>
      <c r="V47" s="13"/>
      <c r="W47" s="18" t="e">
        <f t="shared" ref="W47" si="173">V46</f>
        <v>#N/A</v>
      </c>
      <c r="AE47" s="11"/>
      <c r="AF47" s="12">
        <v>110206</v>
      </c>
      <c r="AG47" s="12" t="s">
        <v>45</v>
      </c>
      <c r="AH47" s="12" t="str">
        <f t="shared" ref="AH47" si="174">AH46</f>
        <v>CPA Traspaso de fondos Bco. Estado a BICE 23-06-yyy</v>
      </c>
      <c r="AI47" s="13"/>
      <c r="AJ47" s="18" t="e">
        <f t="shared" ref="AJ47" si="175">AI46</f>
        <v>#N/A</v>
      </c>
    </row>
    <row r="48" spans="1:36" x14ac:dyDescent="0.25">
      <c r="E48" s="15">
        <v>45467</v>
      </c>
      <c r="F48" s="8">
        <v>110206</v>
      </c>
      <c r="G48" s="8" t="s">
        <v>45</v>
      </c>
      <c r="H48" t="str">
        <f t="shared" ref="H48" si="176">"CPA Recaudación Clientes Banco Estado "</f>
        <v xml:space="preserve">CPA Recaudación Clientes Banco Estado </v>
      </c>
      <c r="I48" s="16" t="e">
        <f>+C25</f>
        <v>#N/A</v>
      </c>
      <c r="J48" s="17"/>
      <c r="R48" s="15">
        <v>45467</v>
      </c>
      <c r="S48" s="8">
        <v>110209</v>
      </c>
      <c r="T48" s="8" t="s">
        <v>55</v>
      </c>
      <c r="U48" t="str">
        <f t="shared" ref="U48" si="177">"CPA Traspaso de fondos Bco. Estado a BCI 656 "</f>
        <v xml:space="preserve">CPA Traspaso de fondos Bco. Estado a BCI 656 </v>
      </c>
      <c r="V48" s="16" t="e">
        <f>+P25</f>
        <v>#N/A</v>
      </c>
      <c r="W48" s="17"/>
      <c r="AE48" s="15">
        <v>45467</v>
      </c>
      <c r="AF48" s="8">
        <v>110204</v>
      </c>
      <c r="AG48" s="8" t="s">
        <v>107</v>
      </c>
      <c r="AH48" t="str">
        <f>"CPA Traspaso de fondos Bco. Estado a BICE "&amp;TEXT(AE48,"dd-mm-yyy")</f>
        <v>CPA Traspaso de fondos Bco. Estado a BICE 24-06-yyy</v>
      </c>
      <c r="AI48" s="16" t="e">
        <f>+AC25</f>
        <v>#N/A</v>
      </c>
      <c r="AJ48" s="17"/>
    </row>
    <row r="49" spans="5:36" x14ac:dyDescent="0.25">
      <c r="E49" s="11"/>
      <c r="F49" s="12">
        <v>211101</v>
      </c>
      <c r="G49" s="12" t="s">
        <v>18</v>
      </c>
      <c r="H49" s="12" t="str">
        <f t="shared" ref="H49" si="178">H48</f>
        <v xml:space="preserve">CPA Recaudación Clientes Banco Estado </v>
      </c>
      <c r="I49" s="13"/>
      <c r="J49" s="18" t="e">
        <f t="shared" ref="J49" si="179">I48</f>
        <v>#N/A</v>
      </c>
      <c r="R49" s="11"/>
      <c r="S49" s="12">
        <v>110206</v>
      </c>
      <c r="T49" s="12" t="s">
        <v>45</v>
      </c>
      <c r="U49" s="12" t="str">
        <f t="shared" ref="U49" si="180">U48</f>
        <v xml:space="preserve">CPA Traspaso de fondos Bco. Estado a BCI 656 </v>
      </c>
      <c r="V49" s="13"/>
      <c r="W49" s="18" t="e">
        <f t="shared" ref="W49" si="181">V48</f>
        <v>#N/A</v>
      </c>
      <c r="AE49" s="11"/>
      <c r="AF49" s="12">
        <v>110206</v>
      </c>
      <c r="AG49" s="12" t="s">
        <v>45</v>
      </c>
      <c r="AH49" s="12" t="str">
        <f t="shared" ref="AH49" si="182">AH48</f>
        <v>CPA Traspaso de fondos Bco. Estado a BICE 24-06-yyy</v>
      </c>
      <c r="AI49" s="13"/>
      <c r="AJ49" s="18" t="e">
        <f t="shared" ref="AJ49" si="183">AI48</f>
        <v>#N/A</v>
      </c>
    </row>
    <row r="50" spans="5:36" x14ac:dyDescent="0.25">
      <c r="E50" s="15">
        <v>45468</v>
      </c>
      <c r="F50" s="8">
        <v>110206</v>
      </c>
      <c r="G50" s="8" t="s">
        <v>45</v>
      </c>
      <c r="H50" t="str">
        <f t="shared" ref="H50" si="184">"CPA Recaudación Clientes Banco Estado "</f>
        <v xml:space="preserve">CPA Recaudación Clientes Banco Estado </v>
      </c>
      <c r="I50" s="16" t="e">
        <f>+C26</f>
        <v>#N/A</v>
      </c>
      <c r="J50" s="17"/>
      <c r="R50" s="15">
        <v>45468</v>
      </c>
      <c r="S50" s="8">
        <v>110209</v>
      </c>
      <c r="T50" s="8" t="s">
        <v>55</v>
      </c>
      <c r="U50" t="str">
        <f t="shared" ref="U50" si="185">"CPA Traspaso de fondos Bco. Estado a BCI 656 "</f>
        <v xml:space="preserve">CPA Traspaso de fondos Bco. Estado a BCI 656 </v>
      </c>
      <c r="V50" s="16" t="e">
        <f>+P26</f>
        <v>#N/A</v>
      </c>
      <c r="W50" s="17"/>
      <c r="AE50" s="15">
        <v>45468</v>
      </c>
      <c r="AF50" s="8">
        <v>110204</v>
      </c>
      <c r="AG50" s="8" t="s">
        <v>107</v>
      </c>
      <c r="AH50" t="str">
        <f>"CPA Traspaso de fondos Bco. Estado a BICE "&amp;TEXT(AE50,"dd-mm-yyy")</f>
        <v>CPA Traspaso de fondos Bco. Estado a BICE 25-06-yyy</v>
      </c>
      <c r="AI50" s="16" t="e">
        <f>+AC26</f>
        <v>#N/A</v>
      </c>
      <c r="AJ50" s="17"/>
    </row>
    <row r="51" spans="5:36" x14ac:dyDescent="0.25">
      <c r="E51" s="11"/>
      <c r="F51" s="12">
        <v>211101</v>
      </c>
      <c r="G51" s="12" t="s">
        <v>18</v>
      </c>
      <c r="H51" s="12" t="str">
        <f t="shared" ref="H51" si="186">H50</f>
        <v xml:space="preserve">CPA Recaudación Clientes Banco Estado </v>
      </c>
      <c r="I51" s="13"/>
      <c r="J51" s="18" t="e">
        <f t="shared" ref="J51" si="187">I50</f>
        <v>#N/A</v>
      </c>
      <c r="R51" s="11"/>
      <c r="S51" s="12">
        <v>110206</v>
      </c>
      <c r="T51" s="12" t="s">
        <v>45</v>
      </c>
      <c r="U51" s="12" t="str">
        <f t="shared" ref="U51" si="188">U50</f>
        <v xml:space="preserve">CPA Traspaso de fondos Bco. Estado a BCI 656 </v>
      </c>
      <c r="V51" s="13"/>
      <c r="W51" s="18" t="e">
        <f t="shared" ref="W51" si="189">V50</f>
        <v>#N/A</v>
      </c>
      <c r="AE51" s="11"/>
      <c r="AF51" s="12">
        <v>110206</v>
      </c>
      <c r="AG51" s="12" t="s">
        <v>45</v>
      </c>
      <c r="AH51" s="12" t="str">
        <f t="shared" ref="AH51" si="190">AH50</f>
        <v>CPA Traspaso de fondos Bco. Estado a BICE 25-06-yyy</v>
      </c>
      <c r="AI51" s="13"/>
      <c r="AJ51" s="18" t="e">
        <f t="shared" ref="AJ51" si="191">AI50</f>
        <v>#N/A</v>
      </c>
    </row>
    <row r="52" spans="5:36" x14ac:dyDescent="0.25">
      <c r="E52" s="15">
        <v>45469</v>
      </c>
      <c r="F52" s="8">
        <v>110206</v>
      </c>
      <c r="G52" s="8" t="s">
        <v>45</v>
      </c>
      <c r="H52" t="str">
        <f t="shared" ref="H52" si="192">"CPA Recaudación Clientes Banco Estado "</f>
        <v xml:space="preserve">CPA Recaudación Clientes Banco Estado </v>
      </c>
      <c r="I52" s="16" t="e">
        <f>+C27</f>
        <v>#N/A</v>
      </c>
      <c r="J52" s="17"/>
      <c r="R52" s="15">
        <v>45469</v>
      </c>
      <c r="S52" s="8">
        <v>110209</v>
      </c>
      <c r="T52" s="8" t="s">
        <v>55</v>
      </c>
      <c r="U52" t="str">
        <f t="shared" ref="U52" si="193">"CPA Traspaso de fondos Bco. Estado a BCI 656 "</f>
        <v xml:space="preserve">CPA Traspaso de fondos Bco. Estado a BCI 656 </v>
      </c>
      <c r="V52" s="16" t="e">
        <f>+P27</f>
        <v>#N/A</v>
      </c>
      <c r="W52" s="17"/>
      <c r="AE52" s="15">
        <v>45469</v>
      </c>
      <c r="AF52" s="8">
        <v>110204</v>
      </c>
      <c r="AG52" s="8" t="s">
        <v>107</v>
      </c>
      <c r="AH52" t="str">
        <f>"CPA Traspaso de fondos Bco. Estado a BICE "&amp;TEXT(AE52,"dd-mm-yyy")</f>
        <v>CPA Traspaso de fondos Bco. Estado a BICE 26-06-yyy</v>
      </c>
      <c r="AI52" s="16" t="e">
        <f>+AC27</f>
        <v>#N/A</v>
      </c>
      <c r="AJ52" s="17"/>
    </row>
    <row r="53" spans="5:36" x14ac:dyDescent="0.25">
      <c r="E53" s="11"/>
      <c r="F53" s="12">
        <v>211101</v>
      </c>
      <c r="G53" s="12" t="s">
        <v>18</v>
      </c>
      <c r="H53" s="12" t="str">
        <f t="shared" ref="H53" si="194">H52</f>
        <v xml:space="preserve">CPA Recaudación Clientes Banco Estado </v>
      </c>
      <c r="I53" s="13"/>
      <c r="J53" s="18" t="e">
        <f t="shared" ref="J53" si="195">I52</f>
        <v>#N/A</v>
      </c>
      <c r="R53" s="11"/>
      <c r="S53" s="12">
        <v>110206</v>
      </c>
      <c r="T53" s="12" t="s">
        <v>45</v>
      </c>
      <c r="U53" s="12" t="str">
        <f t="shared" ref="U53" si="196">U52</f>
        <v xml:space="preserve">CPA Traspaso de fondos Bco. Estado a BCI 656 </v>
      </c>
      <c r="V53" s="13"/>
      <c r="W53" s="18" t="e">
        <f t="shared" ref="W53" si="197">V52</f>
        <v>#N/A</v>
      </c>
      <c r="AE53" s="11"/>
      <c r="AF53" s="12">
        <v>110206</v>
      </c>
      <c r="AG53" s="12" t="s">
        <v>45</v>
      </c>
      <c r="AH53" s="12" t="str">
        <f t="shared" ref="AH53" si="198">AH52</f>
        <v>CPA Traspaso de fondos Bco. Estado a BICE 26-06-yyy</v>
      </c>
      <c r="AI53" s="13"/>
      <c r="AJ53" s="18" t="e">
        <f t="shared" ref="AJ53" si="199">AI52</f>
        <v>#N/A</v>
      </c>
    </row>
    <row r="54" spans="5:36" x14ac:dyDescent="0.25">
      <c r="E54" s="15">
        <v>45470</v>
      </c>
      <c r="F54" s="8">
        <v>110206</v>
      </c>
      <c r="G54" s="8" t="s">
        <v>45</v>
      </c>
      <c r="H54" t="str">
        <f t="shared" ref="H54" si="200">"CPA Recaudación Clientes Banco Estado "</f>
        <v xml:space="preserve">CPA Recaudación Clientes Banco Estado </v>
      </c>
      <c r="I54" s="16" t="e">
        <f>+C28</f>
        <v>#N/A</v>
      </c>
      <c r="J54" s="17"/>
      <c r="R54" s="15">
        <v>45470</v>
      </c>
      <c r="S54" s="8">
        <v>110209</v>
      </c>
      <c r="T54" s="8" t="s">
        <v>55</v>
      </c>
      <c r="U54" t="str">
        <f t="shared" ref="U54" si="201">"CPA Traspaso de fondos Bco. Estado a BCI 656 "</f>
        <v xml:space="preserve">CPA Traspaso de fondos Bco. Estado a BCI 656 </v>
      </c>
      <c r="V54" s="16" t="e">
        <f>+P28</f>
        <v>#N/A</v>
      </c>
      <c r="W54" s="17"/>
      <c r="AE54" s="15">
        <v>45470</v>
      </c>
      <c r="AF54" s="8">
        <v>110204</v>
      </c>
      <c r="AG54" s="8" t="s">
        <v>107</v>
      </c>
      <c r="AH54" t="str">
        <f>"CPA Traspaso de fondos Bco. Estado a BICE "&amp;TEXT(AE54,"dd-mm-yyy")</f>
        <v>CPA Traspaso de fondos Bco. Estado a BICE 27-06-yyy</v>
      </c>
      <c r="AI54" s="16" t="e">
        <f>+AC28</f>
        <v>#N/A</v>
      </c>
      <c r="AJ54" s="17"/>
    </row>
    <row r="55" spans="5:36" x14ac:dyDescent="0.25">
      <c r="E55" s="11"/>
      <c r="F55" s="12">
        <v>211101</v>
      </c>
      <c r="G55" s="12" t="s">
        <v>18</v>
      </c>
      <c r="H55" s="12" t="str">
        <f t="shared" ref="H55" si="202">H54</f>
        <v xml:space="preserve">CPA Recaudación Clientes Banco Estado </v>
      </c>
      <c r="I55" s="13"/>
      <c r="J55" s="18" t="e">
        <f t="shared" ref="J55" si="203">I54</f>
        <v>#N/A</v>
      </c>
      <c r="R55" s="11"/>
      <c r="S55" s="12">
        <v>110206</v>
      </c>
      <c r="T55" s="12" t="s">
        <v>45</v>
      </c>
      <c r="U55" s="12" t="str">
        <f t="shared" ref="U55" si="204">U54</f>
        <v xml:space="preserve">CPA Traspaso de fondos Bco. Estado a BCI 656 </v>
      </c>
      <c r="V55" s="13"/>
      <c r="W55" s="18" t="e">
        <f t="shared" ref="W55" si="205">V54</f>
        <v>#N/A</v>
      </c>
      <c r="AE55" s="11"/>
      <c r="AF55" s="12">
        <v>110206</v>
      </c>
      <c r="AG55" s="12" t="s">
        <v>45</v>
      </c>
      <c r="AH55" s="12" t="str">
        <f t="shared" ref="AH55" si="206">AH54</f>
        <v>CPA Traspaso de fondos Bco. Estado a BICE 27-06-yyy</v>
      </c>
      <c r="AI55" s="13"/>
      <c r="AJ55" s="18" t="e">
        <f t="shared" ref="AJ55" si="207">AI54</f>
        <v>#N/A</v>
      </c>
    </row>
    <row r="56" spans="5:36" x14ac:dyDescent="0.25">
      <c r="E56" s="15">
        <v>45471</v>
      </c>
      <c r="F56" s="8">
        <v>110206</v>
      </c>
      <c r="G56" s="8" t="s">
        <v>45</v>
      </c>
      <c r="H56" t="str">
        <f t="shared" ref="H56" si="208">"CPA Recaudación Clientes Banco Estado "</f>
        <v xml:space="preserve">CPA Recaudación Clientes Banco Estado </v>
      </c>
      <c r="I56" s="16" t="e">
        <f>+C29</f>
        <v>#N/A</v>
      </c>
      <c r="J56" s="17"/>
      <c r="R56" s="15">
        <v>45471</v>
      </c>
      <c r="S56" s="8">
        <v>110209</v>
      </c>
      <c r="T56" s="8" t="s">
        <v>55</v>
      </c>
      <c r="U56" t="str">
        <f t="shared" ref="U56" si="209">"CPA Traspaso de fondos Bco. Estado a BCI 656 "</f>
        <v xml:space="preserve">CPA Traspaso de fondos Bco. Estado a BCI 656 </v>
      </c>
      <c r="V56" s="16" t="e">
        <f>+P29</f>
        <v>#N/A</v>
      </c>
      <c r="W56" s="17"/>
      <c r="AE56" s="15">
        <v>45471</v>
      </c>
      <c r="AF56" s="8">
        <v>110204</v>
      </c>
      <c r="AG56" s="8" t="s">
        <v>107</v>
      </c>
      <c r="AH56" t="str">
        <f>"CPA Traspaso de fondos Bco. Estado a BICE "&amp;TEXT(AE56,"dd-mm-yyy")</f>
        <v>CPA Traspaso de fondos Bco. Estado a BICE 28-06-yyy</v>
      </c>
      <c r="AI56" s="16" t="e">
        <f>+AC29</f>
        <v>#N/A</v>
      </c>
      <c r="AJ56" s="17"/>
    </row>
    <row r="57" spans="5:36" x14ac:dyDescent="0.25">
      <c r="E57" s="11"/>
      <c r="F57" s="12">
        <v>211101</v>
      </c>
      <c r="G57" s="12" t="s">
        <v>18</v>
      </c>
      <c r="H57" s="12" t="str">
        <f t="shared" ref="H57" si="210">H56</f>
        <v xml:space="preserve">CPA Recaudación Clientes Banco Estado </v>
      </c>
      <c r="I57" s="13"/>
      <c r="J57" s="18" t="e">
        <f t="shared" ref="J57" si="211">I56</f>
        <v>#N/A</v>
      </c>
      <c r="R57" s="11"/>
      <c r="S57" s="12">
        <v>110206</v>
      </c>
      <c r="T57" s="12" t="s">
        <v>45</v>
      </c>
      <c r="U57" s="12" t="str">
        <f t="shared" ref="U57" si="212">U56</f>
        <v xml:space="preserve">CPA Traspaso de fondos Bco. Estado a BCI 656 </v>
      </c>
      <c r="V57" s="13"/>
      <c r="W57" s="18" t="e">
        <f t="shared" ref="W57" si="213">V56</f>
        <v>#N/A</v>
      </c>
      <c r="AE57" s="11"/>
      <c r="AF57" s="12">
        <v>110206</v>
      </c>
      <c r="AG57" s="12" t="s">
        <v>45</v>
      </c>
      <c r="AH57" s="12" t="str">
        <f t="shared" ref="AH57" si="214">AH56</f>
        <v>CPA Traspaso de fondos Bco. Estado a BICE 28-06-yyy</v>
      </c>
      <c r="AI57" s="13"/>
      <c r="AJ57" s="18" t="e">
        <f t="shared" ref="AJ57" si="215">AI56</f>
        <v>#N/A</v>
      </c>
    </row>
    <row r="58" spans="5:36" x14ac:dyDescent="0.25">
      <c r="E58" s="15">
        <v>45472</v>
      </c>
      <c r="F58" s="8">
        <v>110206</v>
      </c>
      <c r="G58" s="8" t="s">
        <v>45</v>
      </c>
      <c r="H58" t="str">
        <f t="shared" ref="H58" si="216">"CPA Recaudación Clientes Banco Estado "</f>
        <v xml:space="preserve">CPA Recaudación Clientes Banco Estado </v>
      </c>
      <c r="I58" s="16" t="e">
        <f>+C30</f>
        <v>#N/A</v>
      </c>
      <c r="J58" s="17"/>
      <c r="R58" s="15">
        <v>45472</v>
      </c>
      <c r="S58" s="8">
        <v>110209</v>
      </c>
      <c r="T58" s="8" t="s">
        <v>55</v>
      </c>
      <c r="U58" t="str">
        <f t="shared" ref="U58" si="217">"CPA Traspaso de fondos Bco. Estado a BCI 656 "</f>
        <v xml:space="preserve">CPA Traspaso de fondos Bco. Estado a BCI 656 </v>
      </c>
      <c r="V58" s="16" t="e">
        <f>+P30</f>
        <v>#N/A</v>
      </c>
      <c r="W58" s="17"/>
      <c r="AE58" s="15">
        <v>45472</v>
      </c>
      <c r="AF58" s="8">
        <v>110204</v>
      </c>
      <c r="AG58" s="8" t="s">
        <v>107</v>
      </c>
      <c r="AH58" t="str">
        <f>"CPA Traspaso de fondos Bco. Estado a BICE "&amp;TEXT(AE58,"dd-mm-yyy")</f>
        <v>CPA Traspaso de fondos Bco. Estado a BICE 29-06-yyy</v>
      </c>
      <c r="AI58" s="16" t="e">
        <f>+AC30</f>
        <v>#N/A</v>
      </c>
      <c r="AJ58" s="17"/>
    </row>
    <row r="59" spans="5:36" x14ac:dyDescent="0.25">
      <c r="E59" s="11"/>
      <c r="F59" s="12">
        <v>211101</v>
      </c>
      <c r="G59" s="12" t="s">
        <v>18</v>
      </c>
      <c r="H59" s="12" t="str">
        <f t="shared" ref="H59" si="218">H58</f>
        <v xml:space="preserve">CPA Recaudación Clientes Banco Estado </v>
      </c>
      <c r="I59" s="13"/>
      <c r="J59" s="18" t="e">
        <f t="shared" ref="J59" si="219">I58</f>
        <v>#N/A</v>
      </c>
      <c r="R59" s="11"/>
      <c r="S59" s="12">
        <v>110206</v>
      </c>
      <c r="T59" s="12" t="s">
        <v>45</v>
      </c>
      <c r="U59" s="12" t="str">
        <f t="shared" ref="U59" si="220">U58</f>
        <v xml:space="preserve">CPA Traspaso de fondos Bco. Estado a BCI 656 </v>
      </c>
      <c r="V59" s="13"/>
      <c r="W59" s="18" t="e">
        <f t="shared" ref="W59" si="221">V58</f>
        <v>#N/A</v>
      </c>
      <c r="AE59" s="11"/>
      <c r="AF59" s="12">
        <v>110206</v>
      </c>
      <c r="AG59" s="12" t="s">
        <v>45</v>
      </c>
      <c r="AH59" s="12" t="str">
        <f t="shared" ref="AH59" si="222">AH58</f>
        <v>CPA Traspaso de fondos Bco. Estado a BICE 29-06-yyy</v>
      </c>
      <c r="AI59" s="13"/>
      <c r="AJ59" s="18" t="e">
        <f t="shared" ref="AJ59" si="223">AI58</f>
        <v>#N/A</v>
      </c>
    </row>
    <row r="60" spans="5:36" x14ac:dyDescent="0.25">
      <c r="E60" s="15">
        <v>45473</v>
      </c>
      <c r="F60" s="8">
        <v>110206</v>
      </c>
      <c r="G60" s="8" t="s">
        <v>45</v>
      </c>
      <c r="H60" t="str">
        <f t="shared" ref="H60" si="224">"CPA Recaudación Clientes Banco Estado "</f>
        <v xml:space="preserve">CPA Recaudación Clientes Banco Estado </v>
      </c>
      <c r="I60" s="16" t="e">
        <f>+C31</f>
        <v>#N/A</v>
      </c>
      <c r="J60" s="17"/>
      <c r="R60" s="15">
        <v>45473</v>
      </c>
      <c r="S60" s="8">
        <v>110209</v>
      </c>
      <c r="T60" s="8" t="s">
        <v>55</v>
      </c>
      <c r="U60" t="str">
        <f t="shared" ref="U60" si="225">"CPA Traspaso de fondos Bco. Estado a BCI 656 "</f>
        <v xml:space="preserve">CPA Traspaso de fondos Bco. Estado a BCI 656 </v>
      </c>
      <c r="V60" s="16" t="e">
        <f>+P31</f>
        <v>#N/A</v>
      </c>
      <c r="W60" s="17"/>
      <c r="AE60" s="15">
        <v>45473</v>
      </c>
      <c r="AF60" s="8">
        <v>110204</v>
      </c>
      <c r="AG60" s="8" t="s">
        <v>107</v>
      </c>
      <c r="AH60" t="str">
        <f>"CPA Traspaso de fondos Bco. Estado a BICE "&amp;TEXT(AE60,"dd-mm-yyy")</f>
        <v>CPA Traspaso de fondos Bco. Estado a BICE 30-06-yyy</v>
      </c>
      <c r="AI60" s="16" t="e">
        <f>+AC31</f>
        <v>#N/A</v>
      </c>
      <c r="AJ60" s="17"/>
    </row>
    <row r="61" spans="5:36" x14ac:dyDescent="0.25">
      <c r="E61" s="11"/>
      <c r="F61" s="12">
        <v>211101</v>
      </c>
      <c r="G61" s="12" t="s">
        <v>18</v>
      </c>
      <c r="H61" s="12" t="str">
        <f t="shared" ref="H61" si="226">H60</f>
        <v xml:space="preserve">CPA Recaudación Clientes Banco Estado </v>
      </c>
      <c r="I61" s="13"/>
      <c r="J61" s="18" t="e">
        <f t="shared" ref="J61" si="227">I60</f>
        <v>#N/A</v>
      </c>
      <c r="R61" s="11"/>
      <c r="S61" s="12">
        <v>110206</v>
      </c>
      <c r="T61" s="12" t="s">
        <v>45</v>
      </c>
      <c r="U61" s="12" t="str">
        <f t="shared" ref="U61" si="228">U60</f>
        <v xml:space="preserve">CPA Traspaso de fondos Bco. Estado a BCI 656 </v>
      </c>
      <c r="V61" s="13"/>
      <c r="W61" s="18" t="e">
        <f t="shared" ref="W61" si="229">V60</f>
        <v>#N/A</v>
      </c>
      <c r="AE61" s="11"/>
      <c r="AF61" s="12">
        <v>110206</v>
      </c>
      <c r="AG61" s="12" t="s">
        <v>45</v>
      </c>
      <c r="AH61" s="12" t="str">
        <f t="shared" ref="AH61" si="230">AH60</f>
        <v>CPA Traspaso de fondos Bco. Estado a BICE 30-06-yyy</v>
      </c>
      <c r="AI61" s="13"/>
      <c r="AJ61" s="18" t="e">
        <f t="shared" ref="AJ61" si="231">AI60</f>
        <v>#N/A</v>
      </c>
    </row>
    <row r="62" spans="5:36" x14ac:dyDescent="0.25">
      <c r="E62" s="15" t="s">
        <v>143</v>
      </c>
      <c r="F62" s="8">
        <v>110206</v>
      </c>
      <c r="G62" s="8" t="s">
        <v>45</v>
      </c>
      <c r="H62" t="str">
        <f t="shared" ref="H62" si="232">"CPA Recaudación Clientes Banco Estado "</f>
        <v xml:space="preserve">CPA Recaudación Clientes Banco Estado </v>
      </c>
      <c r="I62" s="16" t="e">
        <f>+C32</f>
        <v>#N/A</v>
      </c>
      <c r="J62" s="17"/>
      <c r="R62" s="15" t="s">
        <v>143</v>
      </c>
      <c r="S62" s="8">
        <v>110209</v>
      </c>
      <c r="T62" s="8" t="s">
        <v>55</v>
      </c>
      <c r="U62" t="str">
        <f t="shared" ref="U62" si="233">"CPA Traspaso de fondos Bco. Estado a BCI 656 "</f>
        <v xml:space="preserve">CPA Traspaso de fondos Bco. Estado a BCI 656 </v>
      </c>
      <c r="V62" s="16" t="e">
        <f>+P32</f>
        <v>#N/A</v>
      </c>
      <c r="W62" s="17"/>
      <c r="AE62" s="15" t="s">
        <v>143</v>
      </c>
      <c r="AF62" s="8">
        <v>110204</v>
      </c>
      <c r="AG62" s="8" t="s">
        <v>107</v>
      </c>
      <c r="AH62" t="str">
        <f>"CPA Traspaso de fondos Bco. Estado a BICE "&amp;TEXT(AE62,"dd-mm-yyy")</f>
        <v>CPA Traspaso de fondos Bco. Estado a BICE 31/06/2024</v>
      </c>
      <c r="AI62" s="16" t="e">
        <f>+AC32</f>
        <v>#N/A</v>
      </c>
      <c r="AJ62" s="17"/>
    </row>
    <row r="63" spans="5:36" x14ac:dyDescent="0.25">
      <c r="E63" s="11"/>
      <c r="F63" s="12">
        <v>211101</v>
      </c>
      <c r="G63" s="12" t="s">
        <v>18</v>
      </c>
      <c r="H63" s="12" t="str">
        <f t="shared" ref="H63" si="234">H62</f>
        <v xml:space="preserve">CPA Recaudación Clientes Banco Estado </v>
      </c>
      <c r="I63" s="13"/>
      <c r="J63" s="18" t="e">
        <f t="shared" ref="J63" si="235">I62</f>
        <v>#N/A</v>
      </c>
      <c r="R63" s="11"/>
      <c r="S63" s="12">
        <v>110206</v>
      </c>
      <c r="T63" s="12" t="s">
        <v>45</v>
      </c>
      <c r="U63" s="12" t="str">
        <f t="shared" ref="U63" si="236">U62</f>
        <v xml:space="preserve">CPA Traspaso de fondos Bco. Estado a BCI 656 </v>
      </c>
      <c r="V63" s="13"/>
      <c r="W63" s="18" t="e">
        <f t="shared" ref="W63" si="237">V62</f>
        <v>#N/A</v>
      </c>
      <c r="AE63" s="11"/>
      <c r="AF63" s="12">
        <v>110206</v>
      </c>
      <c r="AG63" s="12" t="s">
        <v>45</v>
      </c>
      <c r="AH63" s="12" t="str">
        <f t="shared" ref="AH63" si="238">AH62</f>
        <v>CPA Traspaso de fondos Bco. Estado a BICE 31/06/2024</v>
      </c>
      <c r="AI63" s="13"/>
      <c r="AJ63" s="18" t="e">
        <f t="shared" ref="AJ63" si="239">AI62</f>
        <v>#N/A</v>
      </c>
    </row>
  </sheetData>
  <autoFilter ref="AE1:AJ63" xr:uid="{5DA38CDA-9010-4E07-ABDF-4887936EE683}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CB557-53FF-4987-BF2B-8F1D211F05E9}">
  <dimension ref="A1:AM63"/>
  <sheetViews>
    <sheetView showGridLines="0" topLeftCell="Y1" workbookViewId="0">
      <selection activeCell="AK5" sqref="AK5"/>
    </sheetView>
  </sheetViews>
  <sheetFormatPr baseColWidth="10" defaultRowHeight="15" outlineLevelCol="1" x14ac:dyDescent="0.25"/>
  <cols>
    <col min="1" max="1" width="11.140625" bestFit="1" customWidth="1"/>
    <col min="2" max="2" width="14.5703125" bestFit="1" customWidth="1" outlineLevel="1"/>
    <col min="3" max="4" width="12" customWidth="1" outlineLevel="1"/>
    <col min="5" max="5" width="13.5703125" bestFit="1" customWidth="1" outlineLevel="1"/>
    <col min="6" max="6" width="11.42578125" outlineLevel="1"/>
    <col min="7" max="8" width="11.42578125" customWidth="1" outlineLevel="1"/>
    <col min="9" max="9" width="23.140625" customWidth="1" outlineLevel="1"/>
    <col min="10" max="10" width="53.7109375" bestFit="1" customWidth="1" outlineLevel="1"/>
    <col min="11" max="12" width="13.5703125" customWidth="1" outlineLevel="1"/>
    <col min="17" max="17" width="11.140625" bestFit="1" customWidth="1"/>
    <col min="18" max="18" width="13.5703125" customWidth="1" outlineLevel="1"/>
    <col min="19" max="19" width="12" customWidth="1" outlineLevel="1"/>
    <col min="20" max="22" width="11.42578125" outlineLevel="1"/>
    <col min="23" max="23" width="26.140625" bestFit="1" customWidth="1" outlineLevel="1"/>
    <col min="24" max="24" width="55" customWidth="1" outlineLevel="1"/>
    <col min="25" max="26" width="13.5703125" customWidth="1" outlineLevel="1"/>
    <col min="30" max="30" width="11.140625" bestFit="1" customWidth="1"/>
    <col min="31" max="31" width="13.5703125" customWidth="1" outlineLevel="1"/>
    <col min="32" max="32" width="12" customWidth="1" outlineLevel="1"/>
    <col min="33" max="35" width="11.42578125" outlineLevel="1"/>
    <col min="36" max="36" width="26.140625" bestFit="1" customWidth="1" outlineLevel="1"/>
    <col min="37" max="37" width="55" customWidth="1" outlineLevel="1"/>
    <col min="38" max="39" width="13.5703125" customWidth="1" outlineLevel="1"/>
  </cols>
  <sheetData>
    <row r="1" spans="1:39" x14ac:dyDescent="0.25">
      <c r="A1" s="4" t="s">
        <v>0</v>
      </c>
      <c r="B1" s="4"/>
      <c r="C1" s="75"/>
      <c r="G1" s="22" t="s">
        <v>0</v>
      </c>
      <c r="H1" s="23"/>
      <c r="I1" s="23"/>
      <c r="J1" s="23" t="s">
        <v>56</v>
      </c>
      <c r="K1" s="23" t="s">
        <v>5</v>
      </c>
      <c r="L1" s="24" t="s">
        <v>6</v>
      </c>
      <c r="Q1" s="4" t="s">
        <v>0</v>
      </c>
      <c r="R1" s="4" t="s">
        <v>27</v>
      </c>
      <c r="S1" s="75" t="s">
        <v>58</v>
      </c>
      <c r="U1" s="22" t="s">
        <v>0</v>
      </c>
      <c r="V1" s="23"/>
      <c r="W1" s="23"/>
      <c r="X1" s="23"/>
      <c r="Y1" s="23" t="s">
        <v>5</v>
      </c>
      <c r="Z1" s="24" t="s">
        <v>6</v>
      </c>
      <c r="AD1" s="4" t="s">
        <v>0</v>
      </c>
      <c r="AE1" s="4" t="s">
        <v>27</v>
      </c>
      <c r="AF1" s="75" t="s">
        <v>58</v>
      </c>
      <c r="AH1" s="22" t="s">
        <v>0</v>
      </c>
      <c r="AI1" s="23"/>
      <c r="AJ1" s="23"/>
      <c r="AK1" s="23"/>
      <c r="AL1" s="23" t="s">
        <v>5</v>
      </c>
      <c r="AM1" s="24" t="s">
        <v>6</v>
      </c>
    </row>
    <row r="2" spans="1:39" x14ac:dyDescent="0.25">
      <c r="A2" s="1">
        <v>45566</v>
      </c>
      <c r="B2" s="26">
        <f>HLOOKUP(A2,Hoja2!$R$2:$AV$15,14,FALSE)</f>
        <v>945840000</v>
      </c>
      <c r="C2" s="77">
        <f>HLOOKUP(A2,Hoja2!$R$2:$AV$16,15,FALSE)</f>
        <v>900.8</v>
      </c>
      <c r="D2" s="26" t="str">
        <f>HLOOKUP(A2,Hoja2!$R$2:$AV$17,16,FALSE)</f>
        <v>1.05 M</v>
      </c>
      <c r="E2" s="26"/>
      <c r="G2" s="9">
        <v>45444</v>
      </c>
      <c r="H2">
        <v>110205</v>
      </c>
      <c r="I2" t="s">
        <v>59</v>
      </c>
      <c r="J2" t="str">
        <f>"CPA Compra Divisas " &amp;D2&amp;" T/C "&amp;C2</f>
        <v>CPA Compra Divisas 1.05 M T/C 900,8</v>
      </c>
      <c r="K2" s="3">
        <f>+B2</f>
        <v>945840000</v>
      </c>
      <c r="L2" s="10"/>
      <c r="M2" s="3"/>
      <c r="Q2" s="1">
        <v>45566</v>
      </c>
      <c r="R2" s="26">
        <f>HLOOKUP(Q2,Hoja2!$R$2:$AV$8,7,FALSE)</f>
        <v>1006934665</v>
      </c>
      <c r="S2" s="3"/>
      <c r="U2" s="9">
        <v>45444</v>
      </c>
      <c r="V2" s="8">
        <v>110204</v>
      </c>
      <c r="W2" s="8" t="s">
        <v>51</v>
      </c>
      <c r="X2" t="str">
        <f>"CPA LIQ CORRESPONSAL GC BICE "</f>
        <v xml:space="preserve">CPA LIQ CORRESPONSAL GC BICE </v>
      </c>
      <c r="Y2" s="3">
        <f>+R2</f>
        <v>1006934665</v>
      </c>
      <c r="Z2" s="10"/>
      <c r="AD2" s="1">
        <v>45566</v>
      </c>
      <c r="AE2" s="26">
        <f>HLOOKUP(AD2,Hoja2!$R$2:$AV$121,120,FALSE)</f>
        <v>60160000</v>
      </c>
      <c r="AF2" s="3"/>
      <c r="AH2" s="9">
        <v>45444</v>
      </c>
      <c r="AI2" s="8">
        <v>110295</v>
      </c>
      <c r="AJ2" s="8" t="s">
        <v>220</v>
      </c>
      <c r="AK2" t="str">
        <f>"CPA Traspaso de Fondos Bco. Bice a MBI CLP"</f>
        <v>CPA Traspaso de Fondos Bco. Bice a MBI CLP</v>
      </c>
      <c r="AL2" s="3">
        <f>+AE2</f>
        <v>60160000</v>
      </c>
      <c r="AM2" s="10"/>
    </row>
    <row r="3" spans="1:39" x14ac:dyDescent="0.25">
      <c r="A3" s="1">
        <v>45567</v>
      </c>
      <c r="B3" s="26">
        <f>HLOOKUP(A3,Hoja2!$R$2:$AV$15,14,FALSE)</f>
        <v>729720000</v>
      </c>
      <c r="C3" s="77">
        <f>HLOOKUP(A3,Hoja2!$R$2:$AV$16,15,FALSE)</f>
        <v>912.15</v>
      </c>
      <c r="D3" s="26" t="str">
        <f>HLOOKUP(A3,Hoja2!$R$2:$AV$17,16,FALSE)</f>
        <v>800K</v>
      </c>
      <c r="E3" s="26"/>
      <c r="G3" s="11"/>
      <c r="H3" s="12">
        <v>110204</v>
      </c>
      <c r="I3" s="12" t="s">
        <v>51</v>
      </c>
      <c r="J3" s="12" t="str">
        <f>+J2</f>
        <v>CPA Compra Divisas 1.05 M T/C 900,8</v>
      </c>
      <c r="K3" s="13"/>
      <c r="L3" s="18">
        <f>+K2</f>
        <v>945840000</v>
      </c>
      <c r="Q3" s="1">
        <v>45567</v>
      </c>
      <c r="R3" s="26">
        <f>HLOOKUP(Q3,Hoja2!$R$2:$AV$8,7,FALSE)</f>
        <v>1527603551</v>
      </c>
      <c r="U3" s="11"/>
      <c r="V3" s="12">
        <v>110608</v>
      </c>
      <c r="W3" s="12" t="s">
        <v>62</v>
      </c>
      <c r="X3" s="12" t="str">
        <f>X2</f>
        <v xml:space="preserve">CPA LIQ CORRESPONSAL GC BICE </v>
      </c>
      <c r="Y3" s="13"/>
      <c r="Z3" s="18">
        <f>Y2</f>
        <v>1006934665</v>
      </c>
      <c r="AD3" s="1">
        <v>45567</v>
      </c>
      <c r="AE3" s="26">
        <f>HLOOKUP(AD3,Hoja2!$R$2:$AV$121,120,FALSE)</f>
        <v>800000000</v>
      </c>
      <c r="AH3" s="11"/>
      <c r="AI3" s="12">
        <v>110608</v>
      </c>
      <c r="AJ3" s="12" t="s">
        <v>62</v>
      </c>
      <c r="AK3" s="12" t="str">
        <f>AK2</f>
        <v>CPA Traspaso de Fondos Bco. Bice a MBI CLP</v>
      </c>
      <c r="AL3" s="13"/>
      <c r="AM3" s="18">
        <f>AL2</f>
        <v>60160000</v>
      </c>
    </row>
    <row r="4" spans="1:39" x14ac:dyDescent="0.25">
      <c r="A4" s="1">
        <v>45568</v>
      </c>
      <c r="B4" s="26">
        <f>HLOOKUP(A4,Hoja2!$R$2:$AV$15,14,FALSE)</f>
        <v>0</v>
      </c>
      <c r="C4" s="77">
        <f>HLOOKUP(A4,Hoja2!$R$2:$AV$16,15,FALSE)</f>
        <v>0</v>
      </c>
      <c r="D4" s="26">
        <f>HLOOKUP(A4,Hoja2!$R$2:$AV$17,16,FALSE)</f>
        <v>0</v>
      </c>
      <c r="E4" s="26"/>
      <c r="G4" s="15">
        <v>45445</v>
      </c>
      <c r="H4">
        <v>110205</v>
      </c>
      <c r="I4" t="s">
        <v>59</v>
      </c>
      <c r="J4" t="str">
        <f>"CPA Compra Divisas " &amp;D3&amp;" T/C "&amp;C3</f>
        <v>CPA Compra Divisas 800K T/C 912,15</v>
      </c>
      <c r="K4" s="3">
        <f>+B3</f>
        <v>729720000</v>
      </c>
      <c r="L4" s="10"/>
      <c r="Q4" s="1">
        <v>45568</v>
      </c>
      <c r="R4" s="26">
        <f>HLOOKUP(Q4,Hoja2!$R$2:$AV$8,7,FALSE)</f>
        <v>471149402</v>
      </c>
      <c r="U4" s="15">
        <v>45445</v>
      </c>
      <c r="V4" s="8">
        <v>110204</v>
      </c>
      <c r="W4" s="8" t="s">
        <v>51</v>
      </c>
      <c r="X4" s="8" t="str">
        <f>"CPA LIQ CORRESPONSAL GC BICE "</f>
        <v xml:space="preserve">CPA LIQ CORRESPONSAL GC BICE </v>
      </c>
      <c r="Y4" s="16">
        <f>+R3</f>
        <v>1527603551</v>
      </c>
      <c r="Z4" s="17"/>
      <c r="AD4" s="1">
        <v>45568</v>
      </c>
      <c r="AE4" s="26">
        <f>HLOOKUP(AD4,Hoja2!$R$2:$AV$121,120,FALSE)</f>
        <v>470000000</v>
      </c>
      <c r="AH4" s="15">
        <v>45445</v>
      </c>
      <c r="AI4" s="8">
        <v>110295</v>
      </c>
      <c r="AJ4" s="8" t="s">
        <v>220</v>
      </c>
      <c r="AK4" t="str">
        <f>"CPA Traspaso de Fondos Bco. Bice a MBI CLP"</f>
        <v>CPA Traspaso de Fondos Bco. Bice a MBI CLP</v>
      </c>
      <c r="AL4" s="16">
        <f>+AE3</f>
        <v>800000000</v>
      </c>
      <c r="AM4" s="17"/>
    </row>
    <row r="5" spans="1:39" x14ac:dyDescent="0.25">
      <c r="A5" s="1">
        <v>45569</v>
      </c>
      <c r="B5" s="26">
        <f>HLOOKUP(A5,Hoja2!$R$2:$AV$15,14,FALSE)</f>
        <v>0</v>
      </c>
      <c r="C5" s="77">
        <f>HLOOKUP(A5,Hoja2!$R$2:$AV$16,15,FALSE)</f>
        <v>0</v>
      </c>
      <c r="D5" s="26">
        <f>HLOOKUP(A5,Hoja2!$R$2:$AV$17,16,FALSE)</f>
        <v>0</v>
      </c>
      <c r="E5" s="26"/>
      <c r="G5" s="11"/>
      <c r="H5" s="12">
        <v>110204</v>
      </c>
      <c r="I5" s="12" t="s">
        <v>51</v>
      </c>
      <c r="J5" s="12" t="str">
        <f>+J4</f>
        <v>CPA Compra Divisas 800K T/C 912,15</v>
      </c>
      <c r="K5" s="13"/>
      <c r="L5" s="18">
        <f t="shared" ref="L5" si="0">+K4</f>
        <v>729720000</v>
      </c>
      <c r="Q5" s="1">
        <v>45569</v>
      </c>
      <c r="R5" s="26">
        <f>HLOOKUP(Q5,Hoja2!$R$2:$AV$8,7,FALSE)</f>
        <v>577924011</v>
      </c>
      <c r="U5" s="11"/>
      <c r="V5" s="12">
        <v>110608</v>
      </c>
      <c r="W5" s="12" t="s">
        <v>62</v>
      </c>
      <c r="X5" s="12" t="str">
        <f>X4</f>
        <v xml:space="preserve">CPA LIQ CORRESPONSAL GC BICE </v>
      </c>
      <c r="Y5" s="13"/>
      <c r="Z5" s="18">
        <f>Y4</f>
        <v>1527603551</v>
      </c>
      <c r="AD5" s="1">
        <v>45569</v>
      </c>
      <c r="AE5" s="26">
        <f>HLOOKUP(AD5,Hoja2!$R$2:$AV$121,120,FALSE)</f>
        <v>585000000</v>
      </c>
      <c r="AH5" s="11"/>
      <c r="AI5" s="12">
        <v>110608</v>
      </c>
      <c r="AJ5" s="12" t="s">
        <v>62</v>
      </c>
      <c r="AK5" s="12" t="str">
        <f>AK4</f>
        <v>CPA Traspaso de Fondos Bco. Bice a MBI CLP</v>
      </c>
      <c r="AL5" s="13"/>
      <c r="AM5" s="18">
        <f>AL4</f>
        <v>800000000</v>
      </c>
    </row>
    <row r="6" spans="1:39" x14ac:dyDescent="0.25">
      <c r="A6" s="1">
        <v>45570</v>
      </c>
      <c r="B6" s="26">
        <f>HLOOKUP(A6,Hoja2!$R$2:$AV$15,14,FALSE)</f>
        <v>0</v>
      </c>
      <c r="C6" s="77">
        <f>HLOOKUP(A6,Hoja2!$R$2:$AV$16,15,FALSE)</f>
        <v>0</v>
      </c>
      <c r="D6" s="26">
        <f>HLOOKUP(A6,Hoja2!$R$2:$AV$17,16,FALSE)</f>
        <v>0</v>
      </c>
      <c r="E6" s="26"/>
      <c r="G6" s="15">
        <v>45446</v>
      </c>
      <c r="H6">
        <v>110205</v>
      </c>
      <c r="I6" t="s">
        <v>59</v>
      </c>
      <c r="J6" t="str">
        <f>"CPA Compra Divisas " &amp;D4&amp;" T/C "&amp;C4</f>
        <v>CPA Compra Divisas 0 T/C 0</v>
      </c>
      <c r="K6" s="3">
        <f>+B4</f>
        <v>0</v>
      </c>
      <c r="L6" s="10"/>
      <c r="Q6" s="1">
        <v>45570</v>
      </c>
      <c r="R6" s="26" t="str">
        <f>HLOOKUP(Q6,Hoja2!$R$2:$AV$8,7,FALSE)</f>
        <v>-</v>
      </c>
      <c r="U6" s="15">
        <v>45446</v>
      </c>
      <c r="V6" s="8">
        <v>110204</v>
      </c>
      <c r="W6" s="8" t="s">
        <v>51</v>
      </c>
      <c r="X6" s="8" t="str">
        <f>"CPA LIQ CORRESPONSAL GC BICE "</f>
        <v xml:space="preserve">CPA LIQ CORRESPONSAL GC BICE </v>
      </c>
      <c r="Y6" s="16">
        <f>+R4</f>
        <v>471149402</v>
      </c>
      <c r="Z6" s="17"/>
      <c r="AD6" s="1">
        <v>45570</v>
      </c>
      <c r="AE6" s="26">
        <f>HLOOKUP(AD6,Hoja2!$R$2:$AV$121,120,FALSE)</f>
        <v>0</v>
      </c>
      <c r="AH6" s="15">
        <v>45446</v>
      </c>
      <c r="AI6" s="8">
        <v>110295</v>
      </c>
      <c r="AJ6" s="8" t="s">
        <v>220</v>
      </c>
      <c r="AK6" t="str">
        <f>"CPA Traspaso de Fondos Bco. Bice a MBI CLP"</f>
        <v>CPA Traspaso de Fondos Bco. Bice a MBI CLP</v>
      </c>
      <c r="AL6" s="16">
        <f>+AE4</f>
        <v>470000000</v>
      </c>
      <c r="AM6" s="17"/>
    </row>
    <row r="7" spans="1:39" x14ac:dyDescent="0.25">
      <c r="A7" s="1">
        <v>45571</v>
      </c>
      <c r="B7" s="26">
        <f>HLOOKUP(A7,Hoja2!$R$2:$AV$15,14,FALSE)</f>
        <v>0</v>
      </c>
      <c r="C7" s="77">
        <f>HLOOKUP(A7,Hoja2!$R$2:$AV$16,15,FALSE)</f>
        <v>0</v>
      </c>
      <c r="D7" s="26">
        <f>HLOOKUP(A7,Hoja2!$R$2:$AV$17,16,FALSE)</f>
        <v>0</v>
      </c>
      <c r="E7" s="26"/>
      <c r="G7" s="11"/>
      <c r="H7" s="12">
        <v>110204</v>
      </c>
      <c r="I7" s="12" t="s">
        <v>51</v>
      </c>
      <c r="J7" s="12" t="str">
        <f>+J6</f>
        <v>CPA Compra Divisas 0 T/C 0</v>
      </c>
      <c r="K7" s="13"/>
      <c r="L7" s="18">
        <f t="shared" ref="L7" si="1">+K6</f>
        <v>0</v>
      </c>
      <c r="Q7" s="1">
        <v>45571</v>
      </c>
      <c r="R7" s="26" t="str">
        <f>HLOOKUP(Q7,Hoja2!$R$2:$AV$8,7,FALSE)</f>
        <v>-</v>
      </c>
      <c r="U7" s="11"/>
      <c r="V7" s="12">
        <v>110608</v>
      </c>
      <c r="W7" s="12" t="s">
        <v>62</v>
      </c>
      <c r="X7" s="12" t="str">
        <f>X6</f>
        <v xml:space="preserve">CPA LIQ CORRESPONSAL GC BICE </v>
      </c>
      <c r="Y7" s="13"/>
      <c r="Z7" s="18">
        <f>Y6</f>
        <v>471149402</v>
      </c>
      <c r="AD7" s="1">
        <v>45571</v>
      </c>
      <c r="AE7" s="26">
        <f>HLOOKUP(AD7,Hoja2!$R$2:$AV$121,120,FALSE)</f>
        <v>0</v>
      </c>
      <c r="AH7" s="11"/>
      <c r="AI7" s="12">
        <v>110608</v>
      </c>
      <c r="AJ7" s="12" t="s">
        <v>62</v>
      </c>
      <c r="AK7" s="12" t="str">
        <f>AK6</f>
        <v>CPA Traspaso de Fondos Bco. Bice a MBI CLP</v>
      </c>
      <c r="AL7" s="13"/>
      <c r="AM7" s="18">
        <f>AL6</f>
        <v>470000000</v>
      </c>
    </row>
    <row r="8" spans="1:39" x14ac:dyDescent="0.25">
      <c r="A8" s="1">
        <v>45572</v>
      </c>
      <c r="B8" s="26">
        <f>HLOOKUP(A8,Hoja2!$R$2:$AV$15,14,FALSE)</f>
        <v>835335000</v>
      </c>
      <c r="C8" s="77">
        <f>HLOOKUP(A8,Hoja2!$R$2:$AV$16,15,FALSE)</f>
        <v>928.15</v>
      </c>
      <c r="D8" s="26" t="str">
        <f>HLOOKUP(A8,Hoja2!$R$2:$AV$17,16,FALSE)</f>
        <v>900K</v>
      </c>
      <c r="E8" s="26"/>
      <c r="G8" s="15">
        <v>45447</v>
      </c>
      <c r="H8">
        <v>110205</v>
      </c>
      <c r="I8" t="s">
        <v>59</v>
      </c>
      <c r="J8" t="str">
        <f>"CPA Compra Divisas " &amp;D5&amp;" T/C "&amp;C5</f>
        <v>CPA Compra Divisas 0 T/C 0</v>
      </c>
      <c r="K8" s="3">
        <f>+B5</f>
        <v>0</v>
      </c>
      <c r="L8" s="10"/>
      <c r="Q8" s="1">
        <v>45572</v>
      </c>
      <c r="R8" s="26">
        <f>HLOOKUP(Q8,Hoja2!$R$2:$AV$8,7,FALSE)</f>
        <v>1198223047</v>
      </c>
      <c r="U8" s="15">
        <v>45447</v>
      </c>
      <c r="V8" s="8">
        <v>110204</v>
      </c>
      <c r="W8" s="8" t="s">
        <v>51</v>
      </c>
      <c r="X8" s="8" t="str">
        <f>"CPA LIQ CORRESPONSAL GC BICE "</f>
        <v xml:space="preserve">CPA LIQ CORRESPONSAL GC BICE </v>
      </c>
      <c r="Y8" s="16">
        <f>+R5</f>
        <v>577924011</v>
      </c>
      <c r="Z8" s="17"/>
      <c r="AD8" s="1">
        <v>45572</v>
      </c>
      <c r="AE8" s="26">
        <f>HLOOKUP(AD8,Hoja2!$R$2:$AV$121,120,FALSE)</f>
        <v>360000000</v>
      </c>
      <c r="AH8" s="15">
        <v>45447</v>
      </c>
      <c r="AI8" s="8">
        <v>110295</v>
      </c>
      <c r="AJ8" s="8" t="s">
        <v>220</v>
      </c>
      <c r="AK8" t="str">
        <f>"CPA Traspaso de Fondos Bco. Bice a MBI CLP"</f>
        <v>CPA Traspaso de Fondos Bco. Bice a MBI CLP</v>
      </c>
      <c r="AL8" s="16">
        <f>+AE5</f>
        <v>585000000</v>
      </c>
      <c r="AM8" s="17"/>
    </row>
    <row r="9" spans="1:39" x14ac:dyDescent="0.25">
      <c r="A9" s="1">
        <v>45573</v>
      </c>
      <c r="B9" s="26">
        <f>HLOOKUP(A9,Hoja2!$R$2:$AV$15,14,FALSE)</f>
        <v>935200000</v>
      </c>
      <c r="C9" s="77">
        <f>HLOOKUP(A9,Hoja2!$R$2:$AV$16,15,FALSE)</f>
        <v>935.2</v>
      </c>
      <c r="D9" s="26" t="str">
        <f>HLOOKUP(A9,Hoja2!$R$2:$AV$17,16,FALSE)</f>
        <v>1 M</v>
      </c>
      <c r="E9" s="26"/>
      <c r="G9" s="20"/>
      <c r="H9" s="12">
        <v>110204</v>
      </c>
      <c r="I9" s="12" t="s">
        <v>51</v>
      </c>
      <c r="J9" s="12" t="str">
        <f>+J8</f>
        <v>CPA Compra Divisas 0 T/C 0</v>
      </c>
      <c r="K9" s="13"/>
      <c r="L9" s="18">
        <f t="shared" ref="L9" si="2">+K8</f>
        <v>0</v>
      </c>
      <c r="Q9" s="1">
        <v>45573</v>
      </c>
      <c r="R9" s="26">
        <f>HLOOKUP(Q9,Hoja2!$R$2:$AV$8,7,FALSE)</f>
        <v>302106565</v>
      </c>
      <c r="U9" s="20"/>
      <c r="V9">
        <v>110608</v>
      </c>
      <c r="W9" t="s">
        <v>62</v>
      </c>
      <c r="X9" t="str">
        <f>X8</f>
        <v xml:space="preserve">CPA LIQ CORRESPONSAL GC BICE </v>
      </c>
      <c r="Z9" s="10">
        <f>Y8</f>
        <v>577924011</v>
      </c>
      <c r="AD9" s="1">
        <v>45573</v>
      </c>
      <c r="AE9" s="26">
        <f>HLOOKUP(AD9,Hoja2!$R$2:$AV$121,120,FALSE)</f>
        <v>0</v>
      </c>
      <c r="AH9" s="11"/>
      <c r="AI9" s="12">
        <v>110608</v>
      </c>
      <c r="AJ9" s="12" t="s">
        <v>62</v>
      </c>
      <c r="AK9" s="12" t="str">
        <f>AK8</f>
        <v>CPA Traspaso de Fondos Bco. Bice a MBI CLP</v>
      </c>
      <c r="AL9" s="13"/>
      <c r="AM9" s="18">
        <f>AL8</f>
        <v>585000000</v>
      </c>
    </row>
    <row r="10" spans="1:39" x14ac:dyDescent="0.25">
      <c r="A10" s="1">
        <v>45574</v>
      </c>
      <c r="B10" s="26">
        <f>HLOOKUP(A10,Hoja2!$R$2:$AV$15,14,FALSE)</f>
        <v>0</v>
      </c>
      <c r="C10" s="77">
        <f>HLOOKUP(A10,Hoja2!$R$2:$AV$16,15,FALSE)</f>
        <v>0</v>
      </c>
      <c r="D10" s="26">
        <f>HLOOKUP(A10,Hoja2!$R$2:$AV$17,16,FALSE)</f>
        <v>0</v>
      </c>
      <c r="E10" s="26"/>
      <c r="G10" s="15">
        <v>45448</v>
      </c>
      <c r="H10">
        <v>110205</v>
      </c>
      <c r="I10" t="s">
        <v>59</v>
      </c>
      <c r="J10" t="str">
        <f>"CPA Compra Divisas " &amp;D6&amp;" T/C "&amp;C6</f>
        <v>CPA Compra Divisas 0 T/C 0</v>
      </c>
      <c r="K10" s="3">
        <f>+B6</f>
        <v>0</v>
      </c>
      <c r="L10" s="10"/>
      <c r="Q10" s="1">
        <v>45574</v>
      </c>
      <c r="R10" s="26" t="str">
        <f>HLOOKUP(Q10,Hoja2!$R$2:$AV$8,7,FALSE)</f>
        <v>-</v>
      </c>
      <c r="U10" s="15">
        <v>45448</v>
      </c>
      <c r="V10" s="8">
        <v>110204</v>
      </c>
      <c r="W10" s="8" t="s">
        <v>51</v>
      </c>
      <c r="X10" s="8" t="str">
        <f>"CPA LIQ CORRESPONSAL GC BICE "</f>
        <v xml:space="preserve">CPA LIQ CORRESPONSAL GC BICE </v>
      </c>
      <c r="Y10" s="16" t="str">
        <f>+R6</f>
        <v>-</v>
      </c>
      <c r="Z10" s="17"/>
      <c r="AD10" s="1">
        <v>45574</v>
      </c>
      <c r="AE10" s="26">
        <f>HLOOKUP(AD10,Hoja2!$R$2:$AV$121,120,FALSE)</f>
        <v>0</v>
      </c>
      <c r="AH10" s="15">
        <v>45448</v>
      </c>
      <c r="AI10" s="8">
        <v>110295</v>
      </c>
      <c r="AJ10" s="8" t="s">
        <v>220</v>
      </c>
      <c r="AK10" t="str">
        <f>"CPA Traspaso de Fondos Bco. Bice a MBI CLP"</f>
        <v>CPA Traspaso de Fondos Bco. Bice a MBI CLP</v>
      </c>
      <c r="AL10" s="16">
        <f>+AE6</f>
        <v>0</v>
      </c>
      <c r="AM10" s="17"/>
    </row>
    <row r="11" spans="1:39" x14ac:dyDescent="0.25">
      <c r="A11" s="1">
        <v>45575</v>
      </c>
      <c r="B11" s="26">
        <f>HLOOKUP(A11,Hoja2!$R$2:$AV$15,14,FALSE)</f>
        <v>0</v>
      </c>
      <c r="C11" s="77">
        <f>HLOOKUP(A11,Hoja2!$R$2:$AV$16,15,FALSE)</f>
        <v>0</v>
      </c>
      <c r="D11" s="26">
        <f>HLOOKUP(A11,Hoja2!$R$2:$AV$17,16,FALSE)</f>
        <v>0</v>
      </c>
      <c r="E11" s="26"/>
      <c r="G11" s="20"/>
      <c r="H11" s="12">
        <v>110204</v>
      </c>
      <c r="I11" s="12" t="s">
        <v>51</v>
      </c>
      <c r="J11" s="12" t="str">
        <f>+J10</f>
        <v>CPA Compra Divisas 0 T/C 0</v>
      </c>
      <c r="K11" s="13"/>
      <c r="L11" s="18">
        <f t="shared" ref="L11" si="3">+K10</f>
        <v>0</v>
      </c>
      <c r="Q11" s="1">
        <v>45575</v>
      </c>
      <c r="R11" s="26" t="str">
        <f>HLOOKUP(Q11,Hoja2!$R$2:$AV$8,7,FALSE)</f>
        <v>-</v>
      </c>
      <c r="U11" s="20"/>
      <c r="V11">
        <v>110608</v>
      </c>
      <c r="W11" t="s">
        <v>62</v>
      </c>
      <c r="X11" t="str">
        <f>X10</f>
        <v xml:space="preserve">CPA LIQ CORRESPONSAL GC BICE </v>
      </c>
      <c r="Z11" s="10" t="str">
        <f>Y10</f>
        <v>-</v>
      </c>
      <c r="AD11" s="1">
        <v>45575</v>
      </c>
      <c r="AE11" s="26">
        <f>HLOOKUP(AD11,Hoja2!$R$2:$AV$121,120,FALSE)</f>
        <v>0</v>
      </c>
      <c r="AH11" s="11"/>
      <c r="AI11" s="12">
        <v>110608</v>
      </c>
      <c r="AJ11" s="12" t="s">
        <v>62</v>
      </c>
      <c r="AK11" s="12" t="str">
        <f>AK10</f>
        <v>CPA Traspaso de Fondos Bco. Bice a MBI CLP</v>
      </c>
      <c r="AL11" s="13"/>
      <c r="AM11" s="18">
        <f>AL10</f>
        <v>0</v>
      </c>
    </row>
    <row r="12" spans="1:39" x14ac:dyDescent="0.25">
      <c r="A12" s="1">
        <v>45576</v>
      </c>
      <c r="B12" s="26">
        <f>HLOOKUP(A12,Hoja2!$R$2:$AV$15,14,FALSE)</f>
        <v>695025000</v>
      </c>
      <c r="C12" s="77">
        <f>HLOOKUP(A12,Hoja2!$R$2:$AV$16,15,FALSE)</f>
        <v>926.7</v>
      </c>
      <c r="D12" s="26" t="str">
        <f>HLOOKUP(A12,Hoja2!$R$2:$AV$17,16,FALSE)</f>
        <v>750K</v>
      </c>
      <c r="E12" s="26"/>
      <c r="G12" s="15">
        <v>45449</v>
      </c>
      <c r="H12">
        <v>110205</v>
      </c>
      <c r="I12" t="s">
        <v>59</v>
      </c>
      <c r="J12" t="str">
        <f>"CPA Compra Divisas " &amp;D7&amp;" T/C "&amp;C7</f>
        <v>CPA Compra Divisas 0 T/C 0</v>
      </c>
      <c r="K12" s="3">
        <f>+B7</f>
        <v>0</v>
      </c>
      <c r="L12" s="10"/>
      <c r="Q12" s="1">
        <v>45576</v>
      </c>
      <c r="R12" s="26">
        <f>HLOOKUP(Q12,Hoja2!$R$2:$AV$8,7,FALSE)</f>
        <v>354093937</v>
      </c>
      <c r="T12" s="19"/>
      <c r="U12" s="15">
        <v>45449</v>
      </c>
      <c r="V12" s="8">
        <v>110204</v>
      </c>
      <c r="W12" s="8" t="s">
        <v>51</v>
      </c>
      <c r="X12" s="8" t="str">
        <f>"CPA LIQ CORRESPONSAL GC BICE "</f>
        <v xml:space="preserve">CPA LIQ CORRESPONSAL GC BICE </v>
      </c>
      <c r="Y12" s="16" t="str">
        <f>+R7</f>
        <v>-</v>
      </c>
      <c r="Z12" s="17"/>
      <c r="AD12" s="1">
        <v>45576</v>
      </c>
      <c r="AE12" s="26">
        <f>HLOOKUP(AD12,Hoja2!$R$2:$AV$121,120,FALSE)</f>
        <v>0</v>
      </c>
      <c r="AG12" s="19"/>
      <c r="AH12" s="15">
        <v>45449</v>
      </c>
      <c r="AI12" s="8">
        <v>110295</v>
      </c>
      <c r="AJ12" s="8" t="s">
        <v>220</v>
      </c>
      <c r="AK12" t="str">
        <f>"CPA Traspaso de Fondos Bco. Bice a MBI CLP"</f>
        <v>CPA Traspaso de Fondos Bco. Bice a MBI CLP</v>
      </c>
      <c r="AL12" s="16">
        <f>+AE7</f>
        <v>0</v>
      </c>
      <c r="AM12" s="17"/>
    </row>
    <row r="13" spans="1:39" x14ac:dyDescent="0.25">
      <c r="A13" s="1">
        <v>45577</v>
      </c>
      <c r="B13" s="26">
        <f>HLOOKUP(A13,Hoja2!$R$2:$AV$15,14,FALSE)</f>
        <v>0</v>
      </c>
      <c r="C13" s="77">
        <f>HLOOKUP(A13,Hoja2!$R$2:$AV$16,15,FALSE)</f>
        <v>0</v>
      </c>
      <c r="D13" s="26">
        <f>HLOOKUP(A13,Hoja2!$R$2:$AV$17,16,FALSE)</f>
        <v>0</v>
      </c>
      <c r="E13" s="26"/>
      <c r="F13" s="39"/>
      <c r="G13" s="20"/>
      <c r="H13" s="12">
        <v>110204</v>
      </c>
      <c r="I13" s="12" t="s">
        <v>51</v>
      </c>
      <c r="J13" s="12" t="str">
        <f>+J12</f>
        <v>CPA Compra Divisas 0 T/C 0</v>
      </c>
      <c r="K13" s="13"/>
      <c r="L13" s="18">
        <f t="shared" ref="L13" si="4">+K12</f>
        <v>0</v>
      </c>
      <c r="Q13" s="1">
        <v>45577</v>
      </c>
      <c r="R13" s="26" t="str">
        <f>HLOOKUP(Q13,Hoja2!$R$2:$AV$8,7,FALSE)</f>
        <v>-</v>
      </c>
      <c r="T13" s="39"/>
      <c r="U13" s="20"/>
      <c r="V13">
        <v>110608</v>
      </c>
      <c r="W13" t="s">
        <v>62</v>
      </c>
      <c r="X13" t="str">
        <f>X12</f>
        <v xml:space="preserve">CPA LIQ CORRESPONSAL GC BICE </v>
      </c>
      <c r="Y13" s="3"/>
      <c r="Z13" s="10" t="str">
        <f>Y12</f>
        <v>-</v>
      </c>
      <c r="AD13" s="1">
        <v>45577</v>
      </c>
      <c r="AE13" s="26">
        <f>HLOOKUP(AD13,Hoja2!$R$2:$AV$121,120,FALSE)</f>
        <v>0</v>
      </c>
      <c r="AG13" s="39"/>
      <c r="AH13" s="11"/>
      <c r="AI13" s="12">
        <v>110608</v>
      </c>
      <c r="AJ13" s="12" t="s">
        <v>62</v>
      </c>
      <c r="AK13" s="12" t="str">
        <f>AK12</f>
        <v>CPA Traspaso de Fondos Bco. Bice a MBI CLP</v>
      </c>
      <c r="AL13" s="13"/>
      <c r="AM13" s="18">
        <f>AL12</f>
        <v>0</v>
      </c>
    </row>
    <row r="14" spans="1:39" x14ac:dyDescent="0.25">
      <c r="A14" s="1">
        <v>45578</v>
      </c>
      <c r="B14" s="26">
        <f>HLOOKUP(A14,Hoja2!$R$2:$AV$15,14,FALSE)</f>
        <v>0</v>
      </c>
      <c r="C14" s="77">
        <f>HLOOKUP(A14,Hoja2!$R$2:$AV$16,15,FALSE)</f>
        <v>0</v>
      </c>
      <c r="D14" s="26">
        <f>HLOOKUP(A14,Hoja2!$R$2:$AV$17,16,FALSE)</f>
        <v>0</v>
      </c>
      <c r="E14" s="26"/>
      <c r="F14" s="21"/>
      <c r="G14" s="15">
        <v>45450</v>
      </c>
      <c r="H14">
        <v>110205</v>
      </c>
      <c r="I14" t="s">
        <v>59</v>
      </c>
      <c r="J14" t="str">
        <f>"CPA Compra Divisas " &amp;D8&amp;" T/C "&amp;C8</f>
        <v>CPA Compra Divisas 900K T/C 928,15</v>
      </c>
      <c r="K14" s="3">
        <f>+B8</f>
        <v>835335000</v>
      </c>
      <c r="L14" s="10"/>
      <c r="Q14" s="1">
        <v>45578</v>
      </c>
      <c r="R14" s="26" t="str">
        <f>HLOOKUP(Q14,Hoja2!$R$2:$AV$8,7,FALSE)</f>
        <v>-</v>
      </c>
      <c r="T14" s="21"/>
      <c r="U14" s="15">
        <v>45450</v>
      </c>
      <c r="V14" s="8">
        <v>110204</v>
      </c>
      <c r="W14" s="8" t="s">
        <v>51</v>
      </c>
      <c r="X14" s="8" t="str">
        <f>"CPA LIQ CORRESPONSAL GC BICE "</f>
        <v xml:space="preserve">CPA LIQ CORRESPONSAL GC BICE </v>
      </c>
      <c r="Y14" s="16">
        <f>+R8</f>
        <v>1198223047</v>
      </c>
      <c r="Z14" s="17"/>
      <c r="AD14" s="1">
        <v>45578</v>
      </c>
      <c r="AE14" s="26">
        <f>HLOOKUP(AD14,Hoja2!$R$2:$AV$121,120,FALSE)</f>
        <v>0</v>
      </c>
      <c r="AG14" s="21"/>
      <c r="AH14" s="15">
        <v>45450</v>
      </c>
      <c r="AI14" s="8">
        <v>110295</v>
      </c>
      <c r="AJ14" s="8" t="s">
        <v>220</v>
      </c>
      <c r="AK14" t="str">
        <f>"CPA Traspaso de Fondos Bco. Bice a MBI CLP"</f>
        <v>CPA Traspaso de Fondos Bco. Bice a MBI CLP</v>
      </c>
      <c r="AL14" s="16">
        <f>+AE8</f>
        <v>360000000</v>
      </c>
      <c r="AM14" s="17"/>
    </row>
    <row r="15" spans="1:39" x14ac:dyDescent="0.25">
      <c r="A15" s="1">
        <v>45579</v>
      </c>
      <c r="B15" s="26">
        <f>HLOOKUP(A15,Hoja2!$R$2:$AV$15,14,FALSE)</f>
        <v>649810000</v>
      </c>
      <c r="C15" s="77">
        <f>HLOOKUP(A15,Hoja2!$R$2:$AV$16,15,FALSE)</f>
        <v>928.3</v>
      </c>
      <c r="D15" s="26" t="str">
        <f>HLOOKUP(A15,Hoja2!$R$2:$AV$17,16,FALSE)</f>
        <v>700K</v>
      </c>
      <c r="E15" s="26"/>
      <c r="F15" s="40"/>
      <c r="G15" s="20"/>
      <c r="H15" s="12">
        <v>110204</v>
      </c>
      <c r="I15" s="12" t="s">
        <v>51</v>
      </c>
      <c r="J15" s="12" t="str">
        <f>+J14</f>
        <v>CPA Compra Divisas 900K T/C 928,15</v>
      </c>
      <c r="K15" s="13"/>
      <c r="L15" s="18">
        <f t="shared" ref="L15" si="5">+K14</f>
        <v>835335000</v>
      </c>
      <c r="Q15" s="1">
        <v>45579</v>
      </c>
      <c r="R15" s="26">
        <f>HLOOKUP(Q15,Hoja2!$R$2:$AV$8,7,FALSE)</f>
        <v>319315650</v>
      </c>
      <c r="T15" s="40"/>
      <c r="U15" s="20"/>
      <c r="V15">
        <v>110608</v>
      </c>
      <c r="W15" t="s">
        <v>62</v>
      </c>
      <c r="X15" t="str">
        <f>X14</f>
        <v xml:space="preserve">CPA LIQ CORRESPONSAL GC BICE </v>
      </c>
      <c r="Y15" s="3"/>
      <c r="Z15" s="10">
        <f>Y14</f>
        <v>1198223047</v>
      </c>
      <c r="AD15" s="1">
        <v>45579</v>
      </c>
      <c r="AE15" s="26">
        <f>HLOOKUP(AD15,Hoja2!$R$2:$AV$121,120,FALSE)</f>
        <v>0</v>
      </c>
      <c r="AG15" s="40"/>
      <c r="AH15" s="11"/>
      <c r="AI15" s="12">
        <v>110608</v>
      </c>
      <c r="AJ15" s="12" t="s">
        <v>62</v>
      </c>
      <c r="AK15" s="12" t="str">
        <f>AK14</f>
        <v>CPA Traspaso de Fondos Bco. Bice a MBI CLP</v>
      </c>
      <c r="AL15" s="13"/>
      <c r="AM15" s="18">
        <f>AL14</f>
        <v>360000000</v>
      </c>
    </row>
    <row r="16" spans="1:39" x14ac:dyDescent="0.25">
      <c r="A16" s="1">
        <v>45580</v>
      </c>
      <c r="B16" s="26">
        <f>HLOOKUP(A16,Hoja2!$R$2:$AV$15,14,FALSE)</f>
        <v>0</v>
      </c>
      <c r="C16" s="77">
        <f>HLOOKUP(A16,Hoja2!$R$2:$AV$16,15,FALSE)</f>
        <v>0</v>
      </c>
      <c r="D16" s="26">
        <f>HLOOKUP(A16,Hoja2!$R$2:$AV$17,16,FALSE)</f>
        <v>0</v>
      </c>
      <c r="E16" s="26"/>
      <c r="F16" s="21"/>
      <c r="G16" s="15">
        <v>45451</v>
      </c>
      <c r="H16">
        <v>110205</v>
      </c>
      <c r="I16" t="s">
        <v>59</v>
      </c>
      <c r="J16" t="str">
        <f>"CPA Compra Divisas " &amp;D9&amp;" T/C "&amp;C9</f>
        <v>CPA Compra Divisas 1 M T/C 935,2</v>
      </c>
      <c r="K16" s="3">
        <f>+B9</f>
        <v>935200000</v>
      </c>
      <c r="L16" s="10"/>
      <c r="Q16" s="1">
        <v>45580</v>
      </c>
      <c r="R16" s="26" t="str">
        <f>HLOOKUP(Q16,Hoja2!$R$2:$AV$8,7,FALSE)</f>
        <v>-</v>
      </c>
      <c r="T16" s="21"/>
      <c r="U16" s="15">
        <v>45451</v>
      </c>
      <c r="V16" s="8">
        <v>110204</v>
      </c>
      <c r="W16" s="8" t="s">
        <v>51</v>
      </c>
      <c r="X16" s="8" t="str">
        <f>"CPA LIQ CORRESPONSAL GC BICE "</f>
        <v xml:space="preserve">CPA LIQ CORRESPONSAL GC BICE </v>
      </c>
      <c r="Y16" s="16">
        <f>+R9</f>
        <v>302106565</v>
      </c>
      <c r="Z16" s="17"/>
      <c r="AD16" s="1">
        <v>45580</v>
      </c>
      <c r="AE16" s="26">
        <f>HLOOKUP(AD16,Hoja2!$R$2:$AV$121,120,FALSE)</f>
        <v>0</v>
      </c>
      <c r="AG16" s="21"/>
      <c r="AH16" s="15">
        <v>45451</v>
      </c>
      <c r="AI16" s="8">
        <v>110295</v>
      </c>
      <c r="AJ16" s="8" t="s">
        <v>220</v>
      </c>
      <c r="AK16" t="str">
        <f>"CPA Traspaso de Fondos Bco. Bice a MBI CLP"</f>
        <v>CPA Traspaso de Fondos Bco. Bice a MBI CLP</v>
      </c>
      <c r="AL16" s="16">
        <f>+AE9</f>
        <v>0</v>
      </c>
      <c r="AM16" s="17"/>
    </row>
    <row r="17" spans="1:39" x14ac:dyDescent="0.25">
      <c r="A17" s="1">
        <v>45581</v>
      </c>
      <c r="B17" s="26">
        <f>HLOOKUP(A17,Hoja2!$R$2:$AV$15,14,FALSE)</f>
        <v>0</v>
      </c>
      <c r="C17" s="77">
        <f>HLOOKUP(A17,Hoja2!$R$2:$AV$16,15,FALSE)</f>
        <v>0</v>
      </c>
      <c r="D17" s="26">
        <f>HLOOKUP(A17,Hoja2!$R$2:$AV$17,16,FALSE)</f>
        <v>0</v>
      </c>
      <c r="E17" s="26"/>
      <c r="F17" s="21"/>
      <c r="G17" s="11"/>
      <c r="H17" s="12">
        <v>110204</v>
      </c>
      <c r="I17" s="12" t="s">
        <v>51</v>
      </c>
      <c r="J17" s="12" t="str">
        <f>+J16</f>
        <v>CPA Compra Divisas 1 M T/C 935,2</v>
      </c>
      <c r="K17" s="13"/>
      <c r="L17" s="18">
        <f t="shared" ref="L17" si="6">+K16</f>
        <v>935200000</v>
      </c>
      <c r="Q17" s="1">
        <v>45581</v>
      </c>
      <c r="R17" s="26">
        <f>HLOOKUP(Q17,Hoja2!$R$2:$AV$8,7,FALSE)</f>
        <v>465289318</v>
      </c>
      <c r="T17" s="21"/>
      <c r="U17" s="11"/>
      <c r="V17" s="12">
        <v>110608</v>
      </c>
      <c r="W17" s="12" t="s">
        <v>62</v>
      </c>
      <c r="X17" s="12" t="str">
        <f>X16</f>
        <v xml:space="preserve">CPA LIQ CORRESPONSAL GC BICE </v>
      </c>
      <c r="Y17" s="13"/>
      <c r="Z17" s="18">
        <f>Y16</f>
        <v>302106565</v>
      </c>
      <c r="AD17" s="1">
        <v>45581</v>
      </c>
      <c r="AE17" s="26">
        <f>HLOOKUP(AD17,Hoja2!$R$2:$AV$121,120,FALSE)</f>
        <v>478000000</v>
      </c>
      <c r="AG17" s="21"/>
      <c r="AH17" s="11"/>
      <c r="AI17" s="12">
        <v>110608</v>
      </c>
      <c r="AJ17" s="12" t="s">
        <v>62</v>
      </c>
      <c r="AK17" s="12" t="str">
        <f>AK16</f>
        <v>CPA Traspaso de Fondos Bco. Bice a MBI CLP</v>
      </c>
      <c r="AL17" s="13"/>
      <c r="AM17" s="18">
        <f>AL16</f>
        <v>0</v>
      </c>
    </row>
    <row r="18" spans="1:39" x14ac:dyDescent="0.25">
      <c r="A18" s="1">
        <v>45582</v>
      </c>
      <c r="B18" s="26">
        <f>HLOOKUP(A18,Hoja2!$R$2:$AV$15,14,FALSE)</f>
        <v>0</v>
      </c>
      <c r="C18" s="77">
        <f>HLOOKUP(A18,Hoja2!$R$2:$AV$16,15,FALSE)</f>
        <v>0</v>
      </c>
      <c r="D18" s="26">
        <f>HLOOKUP(A18,Hoja2!$R$2:$AV$17,16,FALSE)</f>
        <v>0</v>
      </c>
      <c r="E18" s="26"/>
      <c r="F18" s="21"/>
      <c r="G18" s="15">
        <v>45452</v>
      </c>
      <c r="H18">
        <v>110205</v>
      </c>
      <c r="I18" t="s">
        <v>59</v>
      </c>
      <c r="J18" t="str">
        <f>"CPA Compra Divisas " &amp;D10&amp;" T/C "&amp;C10</f>
        <v>CPA Compra Divisas 0 T/C 0</v>
      </c>
      <c r="K18" s="3">
        <f>+B10</f>
        <v>0</v>
      </c>
      <c r="L18" s="10"/>
      <c r="Q18" s="1">
        <v>45582</v>
      </c>
      <c r="R18" s="26" t="str">
        <f>HLOOKUP(Q18,Hoja2!$R$2:$AV$8,7,FALSE)</f>
        <v>-</v>
      </c>
      <c r="T18" s="21"/>
      <c r="U18" s="15">
        <v>45452</v>
      </c>
      <c r="V18" s="8">
        <v>110204</v>
      </c>
      <c r="W18" s="8" t="s">
        <v>51</v>
      </c>
      <c r="X18" s="8" t="str">
        <f>"CPA LIQ CORRESPONSAL GC BICE "</f>
        <v xml:space="preserve">CPA LIQ CORRESPONSAL GC BICE </v>
      </c>
      <c r="Y18" s="16" t="str">
        <f>+R10</f>
        <v>-</v>
      </c>
      <c r="Z18" s="17"/>
      <c r="AD18" s="1">
        <v>45582</v>
      </c>
      <c r="AE18" s="26">
        <f>HLOOKUP(AD18,Hoja2!$R$2:$AV$121,120,FALSE)</f>
        <v>0</v>
      </c>
      <c r="AG18" s="21"/>
      <c r="AH18" s="15">
        <v>45452</v>
      </c>
      <c r="AI18" s="8">
        <v>110295</v>
      </c>
      <c r="AJ18" s="8" t="s">
        <v>220</v>
      </c>
      <c r="AK18" t="str">
        <f>"CPA Traspaso de Fondos Bco. Bice a MBI CLP"</f>
        <v>CPA Traspaso de Fondos Bco. Bice a MBI CLP</v>
      </c>
      <c r="AL18" s="16">
        <f>+AE10</f>
        <v>0</v>
      </c>
      <c r="AM18" s="17"/>
    </row>
    <row r="19" spans="1:39" x14ac:dyDescent="0.25">
      <c r="A19" s="1">
        <v>45583</v>
      </c>
      <c r="B19" s="26">
        <f>HLOOKUP(A19,Hoja2!$R$2:$AV$15,14,FALSE)</f>
        <v>664090000</v>
      </c>
      <c r="C19" s="77">
        <f>HLOOKUP(A19,Hoja2!$R$2:$AV$16,15,FALSE)</f>
        <v>948.7</v>
      </c>
      <c r="D19" s="26" t="str">
        <f>HLOOKUP(A19,Hoja2!$R$2:$AV$17,16,FALSE)</f>
        <v>700K</v>
      </c>
      <c r="E19" s="26"/>
      <c r="F19" s="21"/>
      <c r="G19" s="11"/>
      <c r="H19" s="12">
        <v>110204</v>
      </c>
      <c r="I19" s="12" t="s">
        <v>51</v>
      </c>
      <c r="J19" s="12" t="str">
        <f>+J18</f>
        <v>CPA Compra Divisas 0 T/C 0</v>
      </c>
      <c r="K19" s="13"/>
      <c r="L19" s="18">
        <f t="shared" ref="L19" si="7">+K18</f>
        <v>0</v>
      </c>
      <c r="Q19" s="1">
        <v>45583</v>
      </c>
      <c r="R19" s="26">
        <f>HLOOKUP(Q19,Hoja2!$R$2:$AV$8,7,FALSE)</f>
        <v>428911274</v>
      </c>
      <c r="T19" s="21"/>
      <c r="U19" s="11"/>
      <c r="V19" s="12">
        <v>110608</v>
      </c>
      <c r="W19" s="12" t="s">
        <v>62</v>
      </c>
      <c r="X19" s="12" t="str">
        <f>X18</f>
        <v xml:space="preserve">CPA LIQ CORRESPONSAL GC BICE </v>
      </c>
      <c r="Y19" s="13"/>
      <c r="Z19" s="18" t="str">
        <f>Y18</f>
        <v>-</v>
      </c>
      <c r="AD19" s="1">
        <v>45583</v>
      </c>
      <c r="AE19" s="26">
        <f>HLOOKUP(AD19,Hoja2!$R$2:$AV$121,120,FALSE)</f>
        <v>0</v>
      </c>
      <c r="AG19" s="21"/>
      <c r="AH19" s="11"/>
      <c r="AI19" s="12">
        <v>110608</v>
      </c>
      <c r="AJ19" s="12" t="s">
        <v>62</v>
      </c>
      <c r="AK19" s="12" t="str">
        <f>AK18</f>
        <v>CPA Traspaso de Fondos Bco. Bice a MBI CLP</v>
      </c>
      <c r="AL19" s="13"/>
      <c r="AM19" s="18">
        <f>AL18</f>
        <v>0</v>
      </c>
    </row>
    <row r="20" spans="1:39" x14ac:dyDescent="0.25">
      <c r="A20" s="1">
        <v>45584</v>
      </c>
      <c r="B20" s="26">
        <f>HLOOKUP(A20,Hoja2!$R$2:$AV$15,14,FALSE)</f>
        <v>0</v>
      </c>
      <c r="C20" s="77">
        <f>HLOOKUP(A20,Hoja2!$R$2:$AV$16,15,FALSE)</f>
        <v>0</v>
      </c>
      <c r="D20" s="26">
        <f>HLOOKUP(A20,Hoja2!$R$2:$AV$17,16,FALSE)</f>
        <v>0</v>
      </c>
      <c r="E20" s="26"/>
      <c r="F20" s="21"/>
      <c r="G20" s="15">
        <v>45453</v>
      </c>
      <c r="H20">
        <v>110205</v>
      </c>
      <c r="I20" t="s">
        <v>59</v>
      </c>
      <c r="J20" t="str">
        <f>"CPA Compra Divisas " &amp;D11&amp;" T/C "&amp;C11</f>
        <v>CPA Compra Divisas 0 T/C 0</v>
      </c>
      <c r="K20" s="3">
        <f>+B11</f>
        <v>0</v>
      </c>
      <c r="L20" s="10"/>
      <c r="Q20" s="1">
        <v>45584</v>
      </c>
      <c r="R20" s="26" t="str">
        <f>HLOOKUP(Q20,Hoja2!$R$2:$AV$8,7,FALSE)</f>
        <v>-</v>
      </c>
      <c r="T20" s="21"/>
      <c r="U20" s="15">
        <v>45453</v>
      </c>
      <c r="V20" s="8">
        <v>110204</v>
      </c>
      <c r="W20" s="8" t="s">
        <v>51</v>
      </c>
      <c r="X20" s="8" t="str">
        <f>"CPA LIQ CORRESPONSAL GC BICE "</f>
        <v xml:space="preserve">CPA LIQ CORRESPONSAL GC BICE </v>
      </c>
      <c r="Y20" s="16" t="str">
        <f>+R11</f>
        <v>-</v>
      </c>
      <c r="Z20" s="17"/>
      <c r="AD20" s="1">
        <v>45584</v>
      </c>
      <c r="AE20" s="26">
        <f>HLOOKUP(AD20,Hoja2!$R$2:$AV$121,120,FALSE)</f>
        <v>0</v>
      </c>
      <c r="AG20" s="21"/>
      <c r="AH20" s="15">
        <v>45453</v>
      </c>
      <c r="AI20" s="8">
        <v>110295</v>
      </c>
      <c r="AJ20" s="8" t="s">
        <v>220</v>
      </c>
      <c r="AK20" t="str">
        <f>"CPA Traspaso de Fondos Bco. Bice a MBI CLP"</f>
        <v>CPA Traspaso de Fondos Bco. Bice a MBI CLP</v>
      </c>
      <c r="AL20" s="16">
        <f>+AE11</f>
        <v>0</v>
      </c>
      <c r="AM20" s="17"/>
    </row>
    <row r="21" spans="1:39" x14ac:dyDescent="0.25">
      <c r="A21" s="1">
        <v>45585</v>
      </c>
      <c r="B21" s="26">
        <f>HLOOKUP(A21,Hoja2!$R$2:$AV$15,14,FALSE)</f>
        <v>0</v>
      </c>
      <c r="C21" s="77">
        <f>HLOOKUP(A21,Hoja2!$R$2:$AV$16,15,FALSE)</f>
        <v>0</v>
      </c>
      <c r="D21" s="26">
        <f>HLOOKUP(A21,Hoja2!$R$2:$AV$17,16,FALSE)</f>
        <v>0</v>
      </c>
      <c r="E21" s="26"/>
      <c r="F21" s="21"/>
      <c r="G21" s="9"/>
      <c r="H21" s="12">
        <v>110204</v>
      </c>
      <c r="I21" s="12" t="s">
        <v>51</v>
      </c>
      <c r="J21" s="12" t="str">
        <f>+J20</f>
        <v>CPA Compra Divisas 0 T/C 0</v>
      </c>
      <c r="K21" s="13"/>
      <c r="L21" s="18">
        <f t="shared" ref="L21" si="8">+K20</f>
        <v>0</v>
      </c>
      <c r="Q21" s="1">
        <v>45585</v>
      </c>
      <c r="R21" s="26" t="str">
        <f>HLOOKUP(Q21,Hoja2!$R$2:$AV$8,7,FALSE)</f>
        <v>-</v>
      </c>
      <c r="T21" s="21"/>
      <c r="U21" s="9"/>
      <c r="V21">
        <v>110608</v>
      </c>
      <c r="W21" t="s">
        <v>62</v>
      </c>
      <c r="X21" t="str">
        <f>X20</f>
        <v xml:space="preserve">CPA LIQ CORRESPONSAL GC BICE </v>
      </c>
      <c r="Y21" s="3"/>
      <c r="Z21" s="10" t="str">
        <f>Y20</f>
        <v>-</v>
      </c>
      <c r="AD21" s="1">
        <v>45585</v>
      </c>
      <c r="AE21" s="26">
        <f>HLOOKUP(AD21,Hoja2!$R$2:$AV$121,120,FALSE)</f>
        <v>0</v>
      </c>
      <c r="AG21" s="21"/>
      <c r="AH21" s="11"/>
      <c r="AI21" s="12">
        <v>110608</v>
      </c>
      <c r="AJ21" s="12" t="s">
        <v>62</v>
      </c>
      <c r="AK21" s="12" t="str">
        <f>AK20</f>
        <v>CPA Traspaso de Fondos Bco. Bice a MBI CLP</v>
      </c>
      <c r="AL21" s="13"/>
      <c r="AM21" s="18">
        <f>AL20</f>
        <v>0</v>
      </c>
    </row>
    <row r="22" spans="1:39" x14ac:dyDescent="0.25">
      <c r="A22" s="1">
        <v>45586</v>
      </c>
      <c r="B22" s="26">
        <f>HLOOKUP(A22,Hoja2!$R$2:$AV$15,14,FALSE)</f>
        <v>0</v>
      </c>
      <c r="C22" s="77">
        <f>HLOOKUP(A22,Hoja2!$R$2:$AV$16,15,FALSE)</f>
        <v>0</v>
      </c>
      <c r="D22" s="26">
        <f>HLOOKUP(A22,Hoja2!$R$2:$AV$17,16,FALSE)</f>
        <v>0</v>
      </c>
      <c r="E22" s="26"/>
      <c r="F22" s="21"/>
      <c r="G22" s="15">
        <v>45454</v>
      </c>
      <c r="H22">
        <v>110205</v>
      </c>
      <c r="I22" t="s">
        <v>59</v>
      </c>
      <c r="J22" t="str">
        <f>"CPA Compra Divisas " &amp;D12&amp;" T/C "&amp;C12</f>
        <v>CPA Compra Divisas 750K T/C 926,7</v>
      </c>
      <c r="K22" s="3">
        <f>+B12</f>
        <v>695025000</v>
      </c>
      <c r="L22" s="10"/>
      <c r="Q22" s="1">
        <v>45586</v>
      </c>
      <c r="R22" s="26" t="str">
        <f>HLOOKUP(Q22,Hoja2!$R$2:$AV$8,7,FALSE)</f>
        <v>-</v>
      </c>
      <c r="T22" s="21"/>
      <c r="U22" s="15">
        <v>45454</v>
      </c>
      <c r="V22" s="8">
        <v>110204</v>
      </c>
      <c r="W22" s="8" t="s">
        <v>51</v>
      </c>
      <c r="X22" s="8" t="str">
        <f>"CPA LIQ CORRESPONSAL GC BICE "</f>
        <v xml:space="preserve">CPA LIQ CORRESPONSAL GC BICE </v>
      </c>
      <c r="Y22" s="16">
        <f>+R12</f>
        <v>354093937</v>
      </c>
      <c r="Z22" s="17"/>
      <c r="AD22" s="1">
        <v>45586</v>
      </c>
      <c r="AE22" s="26">
        <f>HLOOKUP(AD22,Hoja2!$R$2:$AV$121,120,FALSE)</f>
        <v>0</v>
      </c>
      <c r="AG22" s="21"/>
      <c r="AH22" s="15">
        <v>45454</v>
      </c>
      <c r="AI22" s="8">
        <v>110295</v>
      </c>
      <c r="AJ22" s="8" t="s">
        <v>220</v>
      </c>
      <c r="AK22" t="str">
        <f>"CPA Traspaso de Fondos Bco. Bice a MBI CLP"</f>
        <v>CPA Traspaso de Fondos Bco. Bice a MBI CLP</v>
      </c>
      <c r="AL22" s="16">
        <f>+AE12</f>
        <v>0</v>
      </c>
      <c r="AM22" s="17"/>
    </row>
    <row r="23" spans="1:39" x14ac:dyDescent="0.25">
      <c r="A23" s="1">
        <v>45587</v>
      </c>
      <c r="B23" s="26">
        <f>HLOOKUP(A23,Hoja2!$R$2:$AV$15,14,FALSE)</f>
        <v>0</v>
      </c>
      <c r="C23" s="77">
        <f>HLOOKUP(A23,Hoja2!$R$2:$AV$16,15,FALSE)</f>
        <v>0</v>
      </c>
      <c r="D23" s="26">
        <f>HLOOKUP(A23,Hoja2!$R$2:$AV$17,16,FALSE)</f>
        <v>0</v>
      </c>
      <c r="E23" s="26"/>
      <c r="F23" s="21"/>
      <c r="G23" s="9"/>
      <c r="H23" s="12">
        <v>110204</v>
      </c>
      <c r="I23" s="12" t="s">
        <v>51</v>
      </c>
      <c r="J23" s="12" t="str">
        <f>+J22</f>
        <v>CPA Compra Divisas 750K T/C 926,7</v>
      </c>
      <c r="K23" s="13"/>
      <c r="L23" s="18">
        <f t="shared" ref="L23" si="9">+K22</f>
        <v>695025000</v>
      </c>
      <c r="Q23" s="1">
        <v>45587</v>
      </c>
      <c r="R23" s="26" t="str">
        <f>HLOOKUP(Q23,Hoja2!$R$2:$AV$8,7,FALSE)</f>
        <v>-</v>
      </c>
      <c r="T23" s="21"/>
      <c r="U23" s="9"/>
      <c r="V23">
        <v>110608</v>
      </c>
      <c r="W23" t="s">
        <v>62</v>
      </c>
      <c r="X23" t="str">
        <f>X22</f>
        <v xml:space="preserve">CPA LIQ CORRESPONSAL GC BICE </v>
      </c>
      <c r="Y23" s="3"/>
      <c r="Z23" s="10">
        <f>Y22</f>
        <v>354093937</v>
      </c>
      <c r="AD23" s="1">
        <v>45587</v>
      </c>
      <c r="AE23" s="26">
        <f>HLOOKUP(AD23,Hoja2!$R$2:$AV$121,120,FALSE)</f>
        <v>0</v>
      </c>
      <c r="AG23" s="21"/>
      <c r="AH23" s="11"/>
      <c r="AI23" s="12">
        <v>110608</v>
      </c>
      <c r="AJ23" s="12" t="s">
        <v>62</v>
      </c>
      <c r="AK23" s="12" t="str">
        <f>AK22</f>
        <v>CPA Traspaso de Fondos Bco. Bice a MBI CLP</v>
      </c>
      <c r="AL23" s="13"/>
      <c r="AM23" s="18">
        <f>AL22</f>
        <v>0</v>
      </c>
    </row>
    <row r="24" spans="1:39" x14ac:dyDescent="0.25">
      <c r="A24" s="1">
        <v>45588</v>
      </c>
      <c r="B24" s="26">
        <f>HLOOKUP(A24,Hoja2!$R$2:$AV$15,14,FALSE)</f>
        <v>0</v>
      </c>
      <c r="C24" s="77">
        <f>HLOOKUP(A24,Hoja2!$R$2:$AV$16,15,FALSE)</f>
        <v>0</v>
      </c>
      <c r="D24" s="26">
        <f>HLOOKUP(A24,Hoja2!$R$2:$AV$17,16,FALSE)</f>
        <v>0</v>
      </c>
      <c r="E24" s="26"/>
      <c r="F24" s="21"/>
      <c r="G24" s="15">
        <v>45455</v>
      </c>
      <c r="H24">
        <v>110205</v>
      </c>
      <c r="I24" t="s">
        <v>59</v>
      </c>
      <c r="J24" t="str">
        <f>"CPA Compra Divisas " &amp;D13&amp;" T/C "&amp;C13</f>
        <v>CPA Compra Divisas 0 T/C 0</v>
      </c>
      <c r="K24" s="3">
        <f>+B13</f>
        <v>0</v>
      </c>
      <c r="L24" s="10"/>
      <c r="Q24" s="1">
        <v>45588</v>
      </c>
      <c r="R24" s="26" t="str">
        <f>HLOOKUP(Q24,Hoja2!$R$2:$AV$8,7,FALSE)</f>
        <v>-</v>
      </c>
      <c r="T24" s="21"/>
      <c r="U24" s="15">
        <v>45455</v>
      </c>
      <c r="V24" s="8">
        <v>110204</v>
      </c>
      <c r="W24" s="8" t="s">
        <v>51</v>
      </c>
      <c r="X24" s="8" t="str">
        <f>"CPA LIQ CORRESPONSAL GC BICE "</f>
        <v xml:space="preserve">CPA LIQ CORRESPONSAL GC BICE </v>
      </c>
      <c r="Y24" s="16" t="str">
        <f>+R13</f>
        <v>-</v>
      </c>
      <c r="Z24" s="17"/>
      <c r="AD24" s="1">
        <v>45588</v>
      </c>
      <c r="AE24" s="26">
        <f>HLOOKUP(AD24,Hoja2!$R$2:$AV$121,120,FALSE)</f>
        <v>0</v>
      </c>
      <c r="AG24" s="21"/>
      <c r="AH24" s="15">
        <v>45455</v>
      </c>
      <c r="AI24" s="8">
        <v>110295</v>
      </c>
      <c r="AJ24" s="8" t="s">
        <v>220</v>
      </c>
      <c r="AK24" t="str">
        <f>"CPA Traspaso de Fondos Bco. Bice a MBI CLP"</f>
        <v>CPA Traspaso de Fondos Bco. Bice a MBI CLP</v>
      </c>
      <c r="AL24" s="16">
        <f>+AE13</f>
        <v>0</v>
      </c>
      <c r="AM24" s="17"/>
    </row>
    <row r="25" spans="1:39" x14ac:dyDescent="0.25">
      <c r="A25" s="1">
        <v>45589</v>
      </c>
      <c r="B25" s="26">
        <f>HLOOKUP(A25,Hoja2!$R$2:$AV$15,14,FALSE)</f>
        <v>0</v>
      </c>
      <c r="C25" s="77">
        <f>HLOOKUP(A25,Hoja2!$R$2:$AV$16,15,FALSE)</f>
        <v>0</v>
      </c>
      <c r="D25" s="26">
        <f>HLOOKUP(A25,Hoja2!$R$2:$AV$17,16,FALSE)</f>
        <v>0</v>
      </c>
      <c r="E25" s="26"/>
      <c r="F25" s="21"/>
      <c r="G25" s="9"/>
      <c r="H25" s="12">
        <v>110204</v>
      </c>
      <c r="I25" s="12" t="s">
        <v>51</v>
      </c>
      <c r="J25" s="12" t="str">
        <f>+J24</f>
        <v>CPA Compra Divisas 0 T/C 0</v>
      </c>
      <c r="K25" s="13"/>
      <c r="L25" s="18">
        <f t="shared" ref="L25" si="10">+K24</f>
        <v>0</v>
      </c>
      <c r="Q25" s="1">
        <v>45589</v>
      </c>
      <c r="R25" s="26" t="str">
        <f>HLOOKUP(Q25,Hoja2!$R$2:$AV$8,7,FALSE)</f>
        <v>-</v>
      </c>
      <c r="T25" s="21"/>
      <c r="U25" s="9"/>
      <c r="V25">
        <v>110608</v>
      </c>
      <c r="W25" t="s">
        <v>62</v>
      </c>
      <c r="X25" t="str">
        <f>X24</f>
        <v xml:space="preserve">CPA LIQ CORRESPONSAL GC BICE </v>
      </c>
      <c r="Y25" s="3"/>
      <c r="Z25" s="10" t="str">
        <f>Y24</f>
        <v>-</v>
      </c>
      <c r="AD25" s="1">
        <v>45589</v>
      </c>
      <c r="AE25" s="26">
        <f>HLOOKUP(AD25,Hoja2!$R$2:$AV$121,120,FALSE)</f>
        <v>0</v>
      </c>
      <c r="AG25" s="21"/>
      <c r="AH25" s="11"/>
      <c r="AI25" s="12">
        <v>110608</v>
      </c>
      <c r="AJ25" s="12" t="s">
        <v>62</v>
      </c>
      <c r="AK25" s="12" t="str">
        <f>AK24</f>
        <v>CPA Traspaso de Fondos Bco. Bice a MBI CLP</v>
      </c>
      <c r="AL25" s="13"/>
      <c r="AM25" s="18">
        <f>AL24</f>
        <v>0</v>
      </c>
    </row>
    <row r="26" spans="1:39" x14ac:dyDescent="0.25">
      <c r="A26" s="1">
        <v>45590</v>
      </c>
      <c r="B26" s="26">
        <f>HLOOKUP(A26,Hoja2!$R$2:$AV$15,14,FALSE)</f>
        <v>427275000</v>
      </c>
      <c r="C26" s="77">
        <f>HLOOKUP(A26,Hoja2!$R$2:$AV$16,15,FALSE)</f>
        <v>949.5</v>
      </c>
      <c r="D26" s="26" t="str">
        <f>HLOOKUP(A26,Hoja2!$R$2:$AV$17,16,FALSE)</f>
        <v>450K</v>
      </c>
      <c r="E26" s="26"/>
      <c r="F26" s="21"/>
      <c r="G26" s="15">
        <v>45456</v>
      </c>
      <c r="H26">
        <v>110205</v>
      </c>
      <c r="I26" t="s">
        <v>59</v>
      </c>
      <c r="J26" t="str">
        <f>"CPA Compra Divisas " &amp;D14&amp;" T/C "&amp;C14</f>
        <v>CPA Compra Divisas 0 T/C 0</v>
      </c>
      <c r="K26" s="3">
        <f>+B14</f>
        <v>0</v>
      </c>
      <c r="L26" s="10"/>
      <c r="Q26" s="1">
        <v>45590</v>
      </c>
      <c r="R26" s="26">
        <f>HLOOKUP(Q26,Hoja2!$R$2:$AV$8,7,FALSE)</f>
        <v>239668653</v>
      </c>
      <c r="T26" s="21"/>
      <c r="U26" s="15">
        <v>45456</v>
      </c>
      <c r="V26" s="8">
        <v>110204</v>
      </c>
      <c r="W26" s="8" t="s">
        <v>51</v>
      </c>
      <c r="X26" s="8" t="str">
        <f>"CPA LIQ CORRESPONSAL GC BICE "</f>
        <v xml:space="preserve">CPA LIQ CORRESPONSAL GC BICE </v>
      </c>
      <c r="Y26" s="16" t="str">
        <f>+R14</f>
        <v>-</v>
      </c>
      <c r="Z26" s="17"/>
      <c r="AD26" s="1">
        <v>45590</v>
      </c>
      <c r="AE26" s="26">
        <f>HLOOKUP(AD26,Hoja2!$R$2:$AV$121,120,FALSE)</f>
        <v>0</v>
      </c>
      <c r="AG26" s="21"/>
      <c r="AH26" s="15">
        <v>45456</v>
      </c>
      <c r="AI26" s="8">
        <v>110295</v>
      </c>
      <c r="AJ26" s="8" t="s">
        <v>220</v>
      </c>
      <c r="AK26" t="str">
        <f>"CPA Traspaso de Fondos Bco. Bice a MBI CLP"</f>
        <v>CPA Traspaso de Fondos Bco. Bice a MBI CLP</v>
      </c>
      <c r="AL26" s="16">
        <f>+AE14</f>
        <v>0</v>
      </c>
      <c r="AM26" s="17"/>
    </row>
    <row r="27" spans="1:39" x14ac:dyDescent="0.25">
      <c r="A27" s="1">
        <v>45591</v>
      </c>
      <c r="B27" s="26">
        <f>HLOOKUP(A27,Hoja2!$R$2:$AV$15,14,FALSE)</f>
        <v>0</v>
      </c>
      <c r="C27" s="77">
        <f>HLOOKUP(A27,Hoja2!$R$2:$AV$16,15,FALSE)</f>
        <v>0</v>
      </c>
      <c r="D27" s="26">
        <f>HLOOKUP(A27,Hoja2!$R$2:$AV$17,16,FALSE)</f>
        <v>0</v>
      </c>
      <c r="E27" s="26"/>
      <c r="F27" s="21"/>
      <c r="G27" s="9"/>
      <c r="H27" s="12">
        <v>110204</v>
      </c>
      <c r="I27" s="12" t="s">
        <v>51</v>
      </c>
      <c r="J27" s="12" t="str">
        <f>+J26</f>
        <v>CPA Compra Divisas 0 T/C 0</v>
      </c>
      <c r="K27" s="13"/>
      <c r="L27" s="18">
        <f t="shared" ref="L27" si="11">+K26</f>
        <v>0</v>
      </c>
      <c r="Q27" s="1">
        <v>45591</v>
      </c>
      <c r="R27" s="26" t="str">
        <f>HLOOKUP(Q27,Hoja2!$R$2:$AV$8,7,FALSE)</f>
        <v>-</v>
      </c>
      <c r="T27" s="21"/>
      <c r="U27" s="9"/>
      <c r="V27">
        <v>110608</v>
      </c>
      <c r="W27" t="s">
        <v>62</v>
      </c>
      <c r="X27" t="str">
        <f>X26</f>
        <v xml:space="preserve">CPA LIQ CORRESPONSAL GC BICE </v>
      </c>
      <c r="Y27" s="3"/>
      <c r="Z27" s="10" t="str">
        <f>Y26</f>
        <v>-</v>
      </c>
      <c r="AD27" s="1">
        <v>45591</v>
      </c>
      <c r="AE27" s="26">
        <f>HLOOKUP(AD27,Hoja2!$R$2:$AV$121,120,FALSE)</f>
        <v>0</v>
      </c>
      <c r="AG27" s="21"/>
      <c r="AH27" s="11"/>
      <c r="AI27" s="12">
        <v>110608</v>
      </c>
      <c r="AJ27" s="12" t="s">
        <v>62</v>
      </c>
      <c r="AK27" s="12" t="str">
        <f>AK26</f>
        <v>CPA Traspaso de Fondos Bco. Bice a MBI CLP</v>
      </c>
      <c r="AL27" s="13"/>
      <c r="AM27" s="18">
        <f>AL26</f>
        <v>0</v>
      </c>
    </row>
    <row r="28" spans="1:39" x14ac:dyDescent="0.25">
      <c r="A28" s="1">
        <v>45592</v>
      </c>
      <c r="B28" s="26">
        <f>HLOOKUP(A28,Hoja2!$R$2:$AV$15,14,FALSE)</f>
        <v>0</v>
      </c>
      <c r="C28" s="77">
        <f>HLOOKUP(A28,Hoja2!$R$2:$AV$16,15,FALSE)</f>
        <v>0</v>
      </c>
      <c r="D28" s="26">
        <f>HLOOKUP(A28,Hoja2!$R$2:$AV$17,16,FALSE)</f>
        <v>0</v>
      </c>
      <c r="E28" s="26"/>
      <c r="G28" s="15">
        <v>45457</v>
      </c>
      <c r="H28">
        <v>110205</v>
      </c>
      <c r="I28" t="s">
        <v>59</v>
      </c>
      <c r="J28" t="str">
        <f>"CPA Compra Divisas " &amp;D15&amp;" T/C "&amp;C15</f>
        <v>CPA Compra Divisas 700K T/C 928,3</v>
      </c>
      <c r="K28" s="3">
        <f>+B15</f>
        <v>649810000</v>
      </c>
      <c r="L28" s="10"/>
      <c r="Q28" s="1">
        <v>45592</v>
      </c>
      <c r="R28" s="26" t="str">
        <f>HLOOKUP(Q28,Hoja2!$R$2:$AV$8,7,FALSE)</f>
        <v>-</v>
      </c>
      <c r="U28" s="15">
        <v>45457</v>
      </c>
      <c r="V28" s="8">
        <v>110204</v>
      </c>
      <c r="W28" s="8" t="s">
        <v>51</v>
      </c>
      <c r="X28" s="8" t="str">
        <f>"CPA LIQ CORRESPONSAL GC BICE "</f>
        <v xml:space="preserve">CPA LIQ CORRESPONSAL GC BICE </v>
      </c>
      <c r="Y28" s="16">
        <f>+R15</f>
        <v>319315650</v>
      </c>
      <c r="Z28" s="17"/>
      <c r="AD28" s="1">
        <v>45592</v>
      </c>
      <c r="AE28" s="26">
        <f>HLOOKUP(AD28,Hoja2!$R$2:$AV$121,120,FALSE)</f>
        <v>0</v>
      </c>
      <c r="AH28" s="15">
        <v>45457</v>
      </c>
      <c r="AI28" s="8">
        <v>110295</v>
      </c>
      <c r="AJ28" s="8" t="s">
        <v>220</v>
      </c>
      <c r="AK28" t="str">
        <f>"CPA Traspaso de Fondos Bco. Bice a MBI CLP"</f>
        <v>CPA Traspaso de Fondos Bco. Bice a MBI CLP</v>
      </c>
      <c r="AL28" s="16">
        <f>+AE15</f>
        <v>0</v>
      </c>
      <c r="AM28" s="17"/>
    </row>
    <row r="29" spans="1:39" x14ac:dyDescent="0.25">
      <c r="A29" s="1">
        <v>45593</v>
      </c>
      <c r="B29" s="26">
        <f>HLOOKUP(A29,Hoja2!$R$2:$AV$15,14,FALSE)</f>
        <v>614510000</v>
      </c>
      <c r="C29" s="77">
        <f>HLOOKUP(A29,Hoja2!$R$2:$AV$16,15,FALSE)</f>
        <v>945.4</v>
      </c>
      <c r="D29" s="26" t="str">
        <f>HLOOKUP(A29,Hoja2!$R$2:$AV$17,16,FALSE)</f>
        <v>650K</v>
      </c>
      <c r="E29" s="26"/>
      <c r="F29" s="39"/>
      <c r="G29" s="9"/>
      <c r="H29" s="12">
        <v>110204</v>
      </c>
      <c r="I29" s="12" t="s">
        <v>51</v>
      </c>
      <c r="J29" s="12" t="str">
        <f>+J28</f>
        <v>CPA Compra Divisas 700K T/C 928,3</v>
      </c>
      <c r="K29" s="13"/>
      <c r="L29" s="18">
        <f t="shared" ref="L29" si="12">+K28</f>
        <v>649810000</v>
      </c>
      <c r="Q29" s="1">
        <v>45593</v>
      </c>
      <c r="R29" s="26">
        <f>HLOOKUP(Q29,Hoja2!$R$2:$AV$8,7,FALSE)</f>
        <v>1523309168</v>
      </c>
      <c r="T29" s="39"/>
      <c r="U29" s="9"/>
      <c r="V29">
        <v>110608</v>
      </c>
      <c r="W29" t="s">
        <v>62</v>
      </c>
      <c r="X29" t="str">
        <f>X28</f>
        <v xml:space="preserve">CPA LIQ CORRESPONSAL GC BICE </v>
      </c>
      <c r="Y29" s="3"/>
      <c r="Z29" s="10">
        <f>Y28</f>
        <v>319315650</v>
      </c>
      <c r="AD29" s="1">
        <v>45593</v>
      </c>
      <c r="AE29" s="26">
        <f>HLOOKUP(AD29,Hoja2!$R$2:$AV$121,120,FALSE)</f>
        <v>910000000</v>
      </c>
      <c r="AG29" s="39"/>
      <c r="AH29" s="11"/>
      <c r="AI29" s="12">
        <v>110608</v>
      </c>
      <c r="AJ29" s="12" t="s">
        <v>62</v>
      </c>
      <c r="AK29" s="12" t="str">
        <f>AK28</f>
        <v>CPA Traspaso de Fondos Bco. Bice a MBI CLP</v>
      </c>
      <c r="AL29" s="13"/>
      <c r="AM29" s="18">
        <f>AL28</f>
        <v>0</v>
      </c>
    </row>
    <row r="30" spans="1:39" x14ac:dyDescent="0.25">
      <c r="A30" s="1">
        <v>45594</v>
      </c>
      <c r="B30" s="26">
        <f>HLOOKUP(A30,Hoja2!$R$2:$AV$15,14,FALSE)</f>
        <v>0</v>
      </c>
      <c r="C30" s="77">
        <f>HLOOKUP(A30,Hoja2!$R$2:$AV$16,15,FALSE)</f>
        <v>0</v>
      </c>
      <c r="D30" s="26">
        <f>HLOOKUP(A30,Hoja2!$R$2:$AV$17,16,FALSE)</f>
        <v>0</v>
      </c>
      <c r="E30" s="26"/>
      <c r="G30" s="15">
        <v>45458</v>
      </c>
      <c r="H30">
        <v>110205</v>
      </c>
      <c r="I30" t="s">
        <v>59</v>
      </c>
      <c r="J30" t="str">
        <f>"CPA Compra Divisas " &amp;D16&amp;" T/C "&amp;C16</f>
        <v>CPA Compra Divisas 0 T/C 0</v>
      </c>
      <c r="K30" s="3">
        <f>+B16</f>
        <v>0</v>
      </c>
      <c r="L30" s="10"/>
      <c r="Q30" s="1">
        <v>45594</v>
      </c>
      <c r="R30" s="26" t="str">
        <f>HLOOKUP(Q30,Hoja2!$R$2:$AV$8,7,FALSE)</f>
        <v>-</v>
      </c>
      <c r="U30" s="15">
        <v>45458</v>
      </c>
      <c r="V30" s="8">
        <v>110204</v>
      </c>
      <c r="W30" s="8" t="s">
        <v>51</v>
      </c>
      <c r="X30" s="8" t="str">
        <f>"CPA LIQ CORRESPONSAL GC BICE "</f>
        <v xml:space="preserve">CPA LIQ CORRESPONSAL GC BICE </v>
      </c>
      <c r="Y30" s="16" t="str">
        <f>+R16</f>
        <v>-</v>
      </c>
      <c r="Z30" s="17"/>
      <c r="AD30" s="1">
        <v>45594</v>
      </c>
      <c r="AE30" s="26">
        <f>HLOOKUP(AD30,Hoja2!$R$2:$AV$121,120,FALSE)</f>
        <v>0</v>
      </c>
      <c r="AH30" s="15">
        <v>45458</v>
      </c>
      <c r="AI30" s="8">
        <v>110295</v>
      </c>
      <c r="AJ30" s="8" t="s">
        <v>220</v>
      </c>
      <c r="AK30" t="str">
        <f>"CPA Traspaso de Fondos Bco. Bice a MBI CLP"</f>
        <v>CPA Traspaso de Fondos Bco. Bice a MBI CLP</v>
      </c>
      <c r="AL30" s="16">
        <f>+AE16</f>
        <v>0</v>
      </c>
      <c r="AM30" s="17"/>
    </row>
    <row r="31" spans="1:39" x14ac:dyDescent="0.25">
      <c r="A31" s="1">
        <v>45595</v>
      </c>
      <c r="B31" s="26">
        <f>HLOOKUP(A31,Hoja2!$R$2:$AV$15,14,FALSE)</f>
        <v>0</v>
      </c>
      <c r="C31" s="77">
        <f>HLOOKUP(A31,Hoja2!$R$2:$AV$16,15,FALSE)</f>
        <v>0</v>
      </c>
      <c r="D31" s="26">
        <f>HLOOKUP(A31,Hoja2!$R$2:$AV$17,16,FALSE)</f>
        <v>0</v>
      </c>
      <c r="E31" s="26"/>
      <c r="G31" s="11"/>
      <c r="H31" s="12">
        <v>110204</v>
      </c>
      <c r="I31" s="12" t="s">
        <v>51</v>
      </c>
      <c r="J31" s="12" t="str">
        <f>+J30</f>
        <v>CPA Compra Divisas 0 T/C 0</v>
      </c>
      <c r="K31" s="13"/>
      <c r="L31" s="18">
        <f t="shared" ref="L31" si="13">+K30</f>
        <v>0</v>
      </c>
      <c r="Q31" s="1">
        <v>45595</v>
      </c>
      <c r="R31" s="26" t="str">
        <f>HLOOKUP(Q31,Hoja2!$R$2:$AV$8,7,FALSE)</f>
        <v>-</v>
      </c>
      <c r="U31" s="11"/>
      <c r="V31" s="12">
        <v>110608</v>
      </c>
      <c r="W31" s="12" t="s">
        <v>62</v>
      </c>
      <c r="X31" s="12" t="str">
        <f>X30</f>
        <v xml:space="preserve">CPA LIQ CORRESPONSAL GC BICE </v>
      </c>
      <c r="Y31" s="13"/>
      <c r="Z31" s="18" t="str">
        <f>Y30</f>
        <v>-</v>
      </c>
      <c r="AD31" s="1">
        <v>45595</v>
      </c>
      <c r="AE31" s="26">
        <f>HLOOKUP(AD31,Hoja2!$R$2:$AV$121,120,FALSE)</f>
        <v>0</v>
      </c>
      <c r="AH31" s="11"/>
      <c r="AI31" s="12">
        <v>110608</v>
      </c>
      <c r="AJ31" s="12" t="s">
        <v>62</v>
      </c>
      <c r="AK31" s="12" t="str">
        <f>AK30</f>
        <v>CPA Traspaso de Fondos Bco. Bice a MBI CLP</v>
      </c>
      <c r="AL31" s="13"/>
      <c r="AM31" s="18">
        <f>AL30</f>
        <v>0</v>
      </c>
    </row>
    <row r="32" spans="1:39" x14ac:dyDescent="0.25">
      <c r="A32" s="1">
        <v>45596</v>
      </c>
      <c r="B32" s="26">
        <f>HLOOKUP(A32,Hoja2!$R$2:$AV$15,14,FALSE)</f>
        <v>0</v>
      </c>
      <c r="C32" s="77">
        <f>HLOOKUP(A32,Hoja2!$R$2:$AV$16,15,FALSE)</f>
        <v>0</v>
      </c>
      <c r="D32" s="26">
        <f>HLOOKUP(A32,Hoja2!$R$2:$AV$17,16,FALSE)</f>
        <v>0</v>
      </c>
      <c r="E32" s="26"/>
      <c r="G32" s="15">
        <v>45459</v>
      </c>
      <c r="H32">
        <v>110205</v>
      </c>
      <c r="I32" t="s">
        <v>59</v>
      </c>
      <c r="J32" t="str">
        <f>"CPA Compra Divisas " &amp;D17&amp;" T/C "&amp;C17</f>
        <v>CPA Compra Divisas 0 T/C 0</v>
      </c>
      <c r="K32" s="3">
        <f>+B17</f>
        <v>0</v>
      </c>
      <c r="L32" s="10"/>
      <c r="M32" s="3"/>
      <c r="Q32" s="1">
        <v>45596</v>
      </c>
      <c r="R32" s="26" t="str">
        <f>HLOOKUP(Q32,Hoja2!$R$2:$AV$8,7,FALSE)</f>
        <v>-</v>
      </c>
      <c r="U32" s="15">
        <v>45459</v>
      </c>
      <c r="V32" s="8">
        <v>110204</v>
      </c>
      <c r="W32" s="8" t="s">
        <v>51</v>
      </c>
      <c r="X32" s="8" t="str">
        <f>"CPA LIQ CORRESPONSAL GC BICE "</f>
        <v xml:space="preserve">CPA LIQ CORRESPONSAL GC BICE </v>
      </c>
      <c r="Y32" s="16">
        <f>+R17</f>
        <v>465289318</v>
      </c>
      <c r="Z32" s="17"/>
      <c r="AD32" s="1">
        <v>45596</v>
      </c>
      <c r="AE32" s="26">
        <f>HLOOKUP(AD32,Hoja2!$R$2:$AV$121,120,FALSE)</f>
        <v>0</v>
      </c>
      <c r="AH32" s="15">
        <v>45459</v>
      </c>
      <c r="AI32" s="8">
        <v>110295</v>
      </c>
      <c r="AJ32" s="8" t="s">
        <v>220</v>
      </c>
      <c r="AK32" t="str">
        <f>"CPA Traspaso de Fondos Bco. Bice a MBI CLP"</f>
        <v>CPA Traspaso de Fondos Bco. Bice a MBI CLP</v>
      </c>
      <c r="AL32" s="16">
        <f>+AE17</f>
        <v>478000000</v>
      </c>
      <c r="AM32" s="17"/>
    </row>
    <row r="33" spans="1:39" x14ac:dyDescent="0.25">
      <c r="B33" s="3">
        <f>SUM(B2:B32)</f>
        <v>6496805000</v>
      </c>
      <c r="G33" s="11"/>
      <c r="H33" s="12">
        <v>110204</v>
      </c>
      <c r="I33" s="12" t="s">
        <v>51</v>
      </c>
      <c r="J33" s="12" t="str">
        <f>+J32</f>
        <v>CPA Compra Divisas 0 T/C 0</v>
      </c>
      <c r="K33" s="13"/>
      <c r="L33" s="18">
        <f t="shared" ref="L33" si="14">+K32</f>
        <v>0</v>
      </c>
      <c r="R33" s="26"/>
      <c r="U33" s="11"/>
      <c r="V33" s="12">
        <v>110608</v>
      </c>
      <c r="W33" s="12" t="s">
        <v>62</v>
      </c>
      <c r="X33" s="12" t="str">
        <f>X32</f>
        <v xml:space="preserve">CPA LIQ CORRESPONSAL GC BICE </v>
      </c>
      <c r="Y33" s="13"/>
      <c r="Z33" s="18">
        <f>Y32</f>
        <v>465289318</v>
      </c>
      <c r="AE33" s="26"/>
      <c r="AH33" s="11"/>
      <c r="AI33" s="12">
        <v>110608</v>
      </c>
      <c r="AJ33" s="12" t="s">
        <v>62</v>
      </c>
      <c r="AK33" s="12" t="str">
        <f>AK32</f>
        <v>CPA Traspaso de Fondos Bco. Bice a MBI CLP</v>
      </c>
      <c r="AL33" s="13"/>
      <c r="AM33" s="18">
        <f>AL32</f>
        <v>478000000</v>
      </c>
    </row>
    <row r="34" spans="1:39" x14ac:dyDescent="0.25">
      <c r="G34" s="15">
        <v>45460</v>
      </c>
      <c r="H34">
        <v>110205</v>
      </c>
      <c r="I34" t="s">
        <v>59</v>
      </c>
      <c r="J34" t="str">
        <f>"CPA Compra Divisas " &amp;D18&amp;" T/C "&amp;C18</f>
        <v>CPA Compra Divisas 0 T/C 0</v>
      </c>
      <c r="K34" s="3">
        <f>+B18</f>
        <v>0</v>
      </c>
      <c r="L34" s="10"/>
      <c r="R34" s="26"/>
      <c r="U34" s="15">
        <v>45460</v>
      </c>
      <c r="V34" s="8">
        <v>110204</v>
      </c>
      <c r="W34" s="8" t="s">
        <v>51</v>
      </c>
      <c r="X34" s="8" t="str">
        <f>"CPA LIQ CORRESPONSAL GC BICE "</f>
        <v xml:space="preserve">CPA LIQ CORRESPONSAL GC BICE </v>
      </c>
      <c r="Y34" s="16" t="str">
        <f>+R18</f>
        <v>-</v>
      </c>
      <c r="Z34" s="17"/>
      <c r="AE34" s="26"/>
      <c r="AH34" s="15">
        <v>45460</v>
      </c>
      <c r="AI34" s="8">
        <v>110295</v>
      </c>
      <c r="AJ34" s="8" t="s">
        <v>220</v>
      </c>
      <c r="AK34" t="str">
        <f>"CPA Traspaso de Fondos Bco. Bice a MBI CLP"</f>
        <v>CPA Traspaso de Fondos Bco. Bice a MBI CLP</v>
      </c>
      <c r="AL34" s="16">
        <f>+AE18</f>
        <v>0</v>
      </c>
      <c r="AM34" s="17"/>
    </row>
    <row r="35" spans="1:39" x14ac:dyDescent="0.25">
      <c r="G35" s="11"/>
      <c r="H35" s="12">
        <v>110204</v>
      </c>
      <c r="I35" s="12" t="s">
        <v>51</v>
      </c>
      <c r="J35" s="12" t="str">
        <f>+J34</f>
        <v>CPA Compra Divisas 0 T/C 0</v>
      </c>
      <c r="K35" s="13"/>
      <c r="L35" s="18">
        <f t="shared" ref="L35" si="15">+K34</f>
        <v>0</v>
      </c>
      <c r="R35" s="26"/>
      <c r="U35" s="11"/>
      <c r="V35" s="12">
        <v>110608</v>
      </c>
      <c r="W35" s="12" t="s">
        <v>62</v>
      </c>
      <c r="X35" s="12" t="str">
        <f>X34</f>
        <v xml:space="preserve">CPA LIQ CORRESPONSAL GC BICE </v>
      </c>
      <c r="Y35" s="13"/>
      <c r="Z35" s="18" t="str">
        <f>Y34</f>
        <v>-</v>
      </c>
      <c r="AE35" s="26"/>
      <c r="AH35" s="11"/>
      <c r="AI35" s="12">
        <v>110608</v>
      </c>
      <c r="AJ35" s="12" t="s">
        <v>62</v>
      </c>
      <c r="AK35" s="12" t="str">
        <f>AK34</f>
        <v>CPA Traspaso de Fondos Bco. Bice a MBI CLP</v>
      </c>
      <c r="AL35" s="13"/>
      <c r="AM35" s="18">
        <f>AL34</f>
        <v>0</v>
      </c>
    </row>
    <row r="36" spans="1:39" x14ac:dyDescent="0.25">
      <c r="G36" s="15">
        <v>45461</v>
      </c>
      <c r="H36">
        <v>110205</v>
      </c>
      <c r="I36" t="s">
        <v>59</v>
      </c>
      <c r="J36" t="str">
        <f>"CPA Compra Divisas " &amp;D19&amp;" T/C "&amp;C19</f>
        <v>CPA Compra Divisas 700K T/C 948,7</v>
      </c>
      <c r="K36" s="3">
        <f>+B19</f>
        <v>664090000</v>
      </c>
      <c r="L36" s="10"/>
      <c r="U36" s="15">
        <v>45461</v>
      </c>
      <c r="V36" s="8">
        <v>110204</v>
      </c>
      <c r="W36" s="8" t="s">
        <v>51</v>
      </c>
      <c r="X36" s="8" t="str">
        <f>"CPA LIQ CORRESPONSAL GC BICE "</f>
        <v xml:space="preserve">CPA LIQ CORRESPONSAL GC BICE </v>
      </c>
      <c r="Y36" s="16">
        <f>+R19</f>
        <v>428911274</v>
      </c>
      <c r="Z36" s="17"/>
      <c r="AH36" s="15">
        <v>45461</v>
      </c>
      <c r="AI36" s="8">
        <v>110295</v>
      </c>
      <c r="AJ36" s="8" t="s">
        <v>220</v>
      </c>
      <c r="AK36" t="str">
        <f>"CPA Traspaso de Fondos Bco. Bice a MBI CLP"</f>
        <v>CPA Traspaso de Fondos Bco. Bice a MBI CLP</v>
      </c>
      <c r="AL36" s="16">
        <f>+AE19</f>
        <v>0</v>
      </c>
      <c r="AM36" s="17"/>
    </row>
    <row r="37" spans="1:39" x14ac:dyDescent="0.25">
      <c r="G37" s="11"/>
      <c r="H37" s="12">
        <v>110204</v>
      </c>
      <c r="I37" s="12" t="s">
        <v>51</v>
      </c>
      <c r="J37" s="12" t="str">
        <f>+J36</f>
        <v>CPA Compra Divisas 700K T/C 948,7</v>
      </c>
      <c r="K37" s="13"/>
      <c r="L37" s="18">
        <f t="shared" ref="L37" si="16">+K36</f>
        <v>664090000</v>
      </c>
      <c r="U37" s="11"/>
      <c r="V37" s="12">
        <v>110608</v>
      </c>
      <c r="W37" s="12" t="s">
        <v>62</v>
      </c>
      <c r="X37" s="12" t="str">
        <f>X36</f>
        <v xml:space="preserve">CPA LIQ CORRESPONSAL GC BICE </v>
      </c>
      <c r="Y37" s="13"/>
      <c r="Z37" s="18">
        <f>Y36</f>
        <v>428911274</v>
      </c>
      <c r="AH37" s="11"/>
      <c r="AI37" s="12">
        <v>110608</v>
      </c>
      <c r="AJ37" s="12" t="s">
        <v>62</v>
      </c>
      <c r="AK37" s="12" t="str">
        <f>AK36</f>
        <v>CPA Traspaso de Fondos Bco. Bice a MBI CLP</v>
      </c>
      <c r="AL37" s="13"/>
      <c r="AM37" s="18">
        <f>AL36</f>
        <v>0</v>
      </c>
    </row>
    <row r="38" spans="1:39" x14ac:dyDescent="0.25">
      <c r="G38" s="15">
        <v>45462</v>
      </c>
      <c r="H38">
        <v>110205</v>
      </c>
      <c r="I38" t="s">
        <v>59</v>
      </c>
      <c r="J38" t="str">
        <f>"CPA Compra Divisas " &amp;D20&amp;" T/C "&amp;C20</f>
        <v>CPA Compra Divisas 0 T/C 0</v>
      </c>
      <c r="K38" s="3">
        <f>+B20</f>
        <v>0</v>
      </c>
      <c r="L38" s="10"/>
      <c r="U38" s="15">
        <v>45462</v>
      </c>
      <c r="V38" s="8">
        <v>110204</v>
      </c>
      <c r="W38" s="8" t="s">
        <v>51</v>
      </c>
      <c r="X38" s="8" t="str">
        <f>"CPA LIQ CORRESPONSAL GC BICE "</f>
        <v xml:space="preserve">CPA LIQ CORRESPONSAL GC BICE </v>
      </c>
      <c r="Y38" s="16" t="str">
        <f>+R20</f>
        <v>-</v>
      </c>
      <c r="Z38" s="17"/>
      <c r="AH38" s="15">
        <v>45462</v>
      </c>
      <c r="AI38" s="8">
        <v>110295</v>
      </c>
      <c r="AJ38" s="8" t="s">
        <v>220</v>
      </c>
      <c r="AK38" t="str">
        <f>"CPA Traspaso de Fondos Bco. Bice a MBI CLP"</f>
        <v>CPA Traspaso de Fondos Bco. Bice a MBI CLP</v>
      </c>
      <c r="AL38" s="16">
        <f>+AE20</f>
        <v>0</v>
      </c>
      <c r="AM38" s="17"/>
    </row>
    <row r="39" spans="1:39" x14ac:dyDescent="0.25">
      <c r="G39" s="11"/>
      <c r="H39" s="12">
        <v>110204</v>
      </c>
      <c r="I39" s="12" t="s">
        <v>51</v>
      </c>
      <c r="J39" s="12" t="str">
        <f>+J38</f>
        <v>CPA Compra Divisas 0 T/C 0</v>
      </c>
      <c r="K39" s="13"/>
      <c r="L39" s="18">
        <f t="shared" ref="L39" si="17">+K38</f>
        <v>0</v>
      </c>
      <c r="U39" s="11"/>
      <c r="V39" s="12">
        <v>110608</v>
      </c>
      <c r="W39" s="12" t="s">
        <v>62</v>
      </c>
      <c r="X39" s="12" t="str">
        <f>X38</f>
        <v xml:space="preserve">CPA LIQ CORRESPONSAL GC BICE </v>
      </c>
      <c r="Y39" s="13"/>
      <c r="Z39" s="18" t="str">
        <f>Y38</f>
        <v>-</v>
      </c>
      <c r="AH39" s="11"/>
      <c r="AI39" s="12">
        <v>110608</v>
      </c>
      <c r="AJ39" s="12" t="s">
        <v>62</v>
      </c>
      <c r="AK39" s="12" t="str">
        <f>AK38</f>
        <v>CPA Traspaso de Fondos Bco. Bice a MBI CLP</v>
      </c>
      <c r="AL39" s="13"/>
      <c r="AM39" s="18">
        <f>AL38</f>
        <v>0</v>
      </c>
    </row>
    <row r="40" spans="1:39" x14ac:dyDescent="0.25">
      <c r="G40" s="15">
        <v>45463</v>
      </c>
      <c r="H40">
        <v>110205</v>
      </c>
      <c r="I40" t="s">
        <v>59</v>
      </c>
      <c r="J40" t="str">
        <f>"CPA Compra Divisas " &amp;D21&amp;" T/C "&amp;C21</f>
        <v>CPA Compra Divisas 0 T/C 0</v>
      </c>
      <c r="K40" s="3">
        <f>+B21</f>
        <v>0</v>
      </c>
      <c r="L40" s="10"/>
      <c r="U40" s="15">
        <v>45463</v>
      </c>
      <c r="V40" s="8">
        <v>110204</v>
      </c>
      <c r="W40" s="8" t="s">
        <v>51</v>
      </c>
      <c r="X40" s="8" t="str">
        <f>"CPA LIQ CORRESPONSAL GC BICE "</f>
        <v xml:space="preserve">CPA LIQ CORRESPONSAL GC BICE </v>
      </c>
      <c r="Y40" s="16" t="str">
        <f>+R21</f>
        <v>-</v>
      </c>
      <c r="Z40" s="17"/>
      <c r="AH40" s="15">
        <v>45463</v>
      </c>
      <c r="AI40" s="8">
        <v>110295</v>
      </c>
      <c r="AJ40" s="8" t="s">
        <v>220</v>
      </c>
      <c r="AK40" t="str">
        <f>"CPA Traspaso de Fondos Bco. Bice a MBI CLP"</f>
        <v>CPA Traspaso de Fondos Bco. Bice a MBI CLP</v>
      </c>
      <c r="AL40" s="16">
        <f>+AE21</f>
        <v>0</v>
      </c>
      <c r="AM40" s="17"/>
    </row>
    <row r="41" spans="1:39" x14ac:dyDescent="0.25">
      <c r="A41" s="42"/>
      <c r="G41" s="11"/>
      <c r="H41" s="12">
        <v>110204</v>
      </c>
      <c r="I41" s="12" t="s">
        <v>51</v>
      </c>
      <c r="J41" s="12" t="str">
        <f>+J40</f>
        <v>CPA Compra Divisas 0 T/C 0</v>
      </c>
      <c r="K41" s="13"/>
      <c r="L41" s="18">
        <f t="shared" ref="L41" si="18">+K40</f>
        <v>0</v>
      </c>
      <c r="Q41" s="42"/>
      <c r="U41" s="11"/>
      <c r="V41" s="12">
        <v>110608</v>
      </c>
      <c r="W41" s="12" t="s">
        <v>62</v>
      </c>
      <c r="X41" s="12" t="str">
        <f>X40</f>
        <v xml:space="preserve">CPA LIQ CORRESPONSAL GC BICE </v>
      </c>
      <c r="Y41" s="13"/>
      <c r="Z41" s="18" t="str">
        <f>Y40</f>
        <v>-</v>
      </c>
      <c r="AD41" s="42"/>
      <c r="AH41" s="11"/>
      <c r="AI41" s="12">
        <v>110608</v>
      </c>
      <c r="AJ41" s="12" t="s">
        <v>62</v>
      </c>
      <c r="AK41" s="12" t="str">
        <f>AK40</f>
        <v>CPA Traspaso de Fondos Bco. Bice a MBI CLP</v>
      </c>
      <c r="AL41" s="13"/>
      <c r="AM41" s="18">
        <f>AL40</f>
        <v>0</v>
      </c>
    </row>
    <row r="42" spans="1:39" x14ac:dyDescent="0.25">
      <c r="A42" s="42"/>
      <c r="G42" s="15">
        <v>45464</v>
      </c>
      <c r="H42">
        <v>110205</v>
      </c>
      <c r="I42" t="s">
        <v>59</v>
      </c>
      <c r="J42" t="str">
        <f>"CPA Compra Divisas " &amp;D22&amp;" T/C "&amp;C22</f>
        <v>CPA Compra Divisas 0 T/C 0</v>
      </c>
      <c r="K42" s="3">
        <f>+B22</f>
        <v>0</v>
      </c>
      <c r="L42" s="10"/>
      <c r="Q42" s="42"/>
      <c r="U42" s="15">
        <v>45464</v>
      </c>
      <c r="V42" s="8">
        <v>110204</v>
      </c>
      <c r="W42" s="8" t="s">
        <v>51</v>
      </c>
      <c r="X42" s="8" t="str">
        <f>"CPA LIQ CORRESPONSAL GC BICE "</f>
        <v xml:space="preserve">CPA LIQ CORRESPONSAL GC BICE </v>
      </c>
      <c r="Y42" s="16" t="str">
        <f>+R22</f>
        <v>-</v>
      </c>
      <c r="Z42" s="17"/>
      <c r="AD42" s="42"/>
      <c r="AH42" s="15">
        <v>45464</v>
      </c>
      <c r="AI42" s="8">
        <v>110295</v>
      </c>
      <c r="AJ42" s="8" t="s">
        <v>220</v>
      </c>
      <c r="AK42" t="str">
        <f>"CPA Traspaso de Fondos Bco. Bice a MBI CLP"</f>
        <v>CPA Traspaso de Fondos Bco. Bice a MBI CLP</v>
      </c>
      <c r="AL42" s="16">
        <f>+AE22</f>
        <v>0</v>
      </c>
      <c r="AM42" s="17"/>
    </row>
    <row r="43" spans="1:39" x14ac:dyDescent="0.25">
      <c r="A43" s="42"/>
      <c r="G43" s="11"/>
      <c r="H43" s="12">
        <v>110204</v>
      </c>
      <c r="I43" s="12" t="s">
        <v>51</v>
      </c>
      <c r="J43" s="12" t="str">
        <f>+J42</f>
        <v>CPA Compra Divisas 0 T/C 0</v>
      </c>
      <c r="K43" s="13"/>
      <c r="L43" s="18">
        <f t="shared" ref="L43" si="19">+K42</f>
        <v>0</v>
      </c>
      <c r="Q43" s="42"/>
      <c r="U43" s="11"/>
      <c r="V43" s="12">
        <v>110608</v>
      </c>
      <c r="W43" s="12" t="s">
        <v>62</v>
      </c>
      <c r="X43" s="12" t="str">
        <f>X42</f>
        <v xml:space="preserve">CPA LIQ CORRESPONSAL GC BICE </v>
      </c>
      <c r="Y43" s="13"/>
      <c r="Z43" s="18" t="str">
        <f>Y42</f>
        <v>-</v>
      </c>
      <c r="AD43" s="42"/>
      <c r="AH43" s="11"/>
      <c r="AI43" s="12">
        <v>110608</v>
      </c>
      <c r="AJ43" s="12" t="s">
        <v>62</v>
      </c>
      <c r="AK43" s="12" t="str">
        <f>AK42</f>
        <v>CPA Traspaso de Fondos Bco. Bice a MBI CLP</v>
      </c>
      <c r="AL43" s="13"/>
      <c r="AM43" s="18">
        <f>AL42</f>
        <v>0</v>
      </c>
    </row>
    <row r="44" spans="1:39" x14ac:dyDescent="0.25">
      <c r="G44" s="15">
        <v>45465</v>
      </c>
      <c r="H44">
        <v>110205</v>
      </c>
      <c r="I44" t="s">
        <v>59</v>
      </c>
      <c r="J44" t="str">
        <f>"CPA Compra Divisas " &amp;D23&amp;" T/C "&amp;C23</f>
        <v>CPA Compra Divisas 0 T/C 0</v>
      </c>
      <c r="K44" s="3">
        <f>+B23</f>
        <v>0</v>
      </c>
      <c r="L44" s="10"/>
      <c r="U44" s="15">
        <v>45465</v>
      </c>
      <c r="V44" s="8">
        <v>110204</v>
      </c>
      <c r="W44" s="8" t="s">
        <v>51</v>
      </c>
      <c r="X44" s="8" t="str">
        <f>"CPA LIQ CORRESPONSAL GC BICE "</f>
        <v xml:space="preserve">CPA LIQ CORRESPONSAL GC BICE </v>
      </c>
      <c r="Y44" s="16" t="str">
        <f>+R23</f>
        <v>-</v>
      </c>
      <c r="Z44" s="17"/>
      <c r="AH44" s="15">
        <v>45465</v>
      </c>
      <c r="AI44" s="8">
        <v>110295</v>
      </c>
      <c r="AJ44" s="8" t="s">
        <v>220</v>
      </c>
      <c r="AK44" t="str">
        <f>"CPA Traspaso de Fondos Bco. Bice a MBI CLP"</f>
        <v>CPA Traspaso de Fondos Bco. Bice a MBI CLP</v>
      </c>
      <c r="AL44" s="16">
        <f>+AE23</f>
        <v>0</v>
      </c>
      <c r="AM44" s="17"/>
    </row>
    <row r="45" spans="1:39" x14ac:dyDescent="0.25">
      <c r="G45" s="11"/>
      <c r="H45" s="12">
        <v>110204</v>
      </c>
      <c r="I45" s="12" t="s">
        <v>51</v>
      </c>
      <c r="J45" s="12" t="str">
        <f>+J44</f>
        <v>CPA Compra Divisas 0 T/C 0</v>
      </c>
      <c r="K45" s="13"/>
      <c r="L45" s="18">
        <f t="shared" ref="L45" si="20">+K44</f>
        <v>0</v>
      </c>
      <c r="U45" s="11"/>
      <c r="V45" s="12">
        <v>110608</v>
      </c>
      <c r="W45" s="12" t="s">
        <v>62</v>
      </c>
      <c r="X45" s="12" t="str">
        <f>X44</f>
        <v xml:space="preserve">CPA LIQ CORRESPONSAL GC BICE </v>
      </c>
      <c r="Y45" s="13"/>
      <c r="Z45" s="18" t="str">
        <f>Y44</f>
        <v>-</v>
      </c>
      <c r="AH45" s="11"/>
      <c r="AI45" s="12">
        <v>110608</v>
      </c>
      <c r="AJ45" s="12" t="s">
        <v>62</v>
      </c>
      <c r="AK45" s="12" t="str">
        <f>AK44</f>
        <v>CPA Traspaso de Fondos Bco. Bice a MBI CLP</v>
      </c>
      <c r="AL45" s="13"/>
      <c r="AM45" s="18">
        <f>AL44</f>
        <v>0</v>
      </c>
    </row>
    <row r="46" spans="1:39" x14ac:dyDescent="0.25">
      <c r="G46" s="15">
        <v>45466</v>
      </c>
      <c r="H46">
        <v>110205</v>
      </c>
      <c r="I46" t="s">
        <v>59</v>
      </c>
      <c r="J46" t="str">
        <f>"CPA Compra Divisas " &amp;D24&amp;" T/C "&amp;C24</f>
        <v>CPA Compra Divisas 0 T/C 0</v>
      </c>
      <c r="K46" s="3">
        <f>+B24</f>
        <v>0</v>
      </c>
      <c r="L46" s="10"/>
      <c r="U46" s="15">
        <v>45466</v>
      </c>
      <c r="V46" s="8">
        <v>110204</v>
      </c>
      <c r="W46" s="8" t="s">
        <v>51</v>
      </c>
      <c r="X46" s="8" t="str">
        <f>"CPA LIQ CORRESPONSAL GC BICE "</f>
        <v xml:space="preserve">CPA LIQ CORRESPONSAL GC BICE </v>
      </c>
      <c r="Y46" s="16" t="str">
        <f>+R24</f>
        <v>-</v>
      </c>
      <c r="Z46" s="17"/>
      <c r="AH46" s="15">
        <v>45466</v>
      </c>
      <c r="AI46" s="8">
        <v>110295</v>
      </c>
      <c r="AJ46" s="8" t="s">
        <v>220</v>
      </c>
      <c r="AK46" t="str">
        <f>"CPA Traspaso de Fondos Bco. Bice a MBI CLP"</f>
        <v>CPA Traspaso de Fondos Bco. Bice a MBI CLP</v>
      </c>
      <c r="AL46" s="16">
        <f>+AE24</f>
        <v>0</v>
      </c>
      <c r="AM46" s="17"/>
    </row>
    <row r="47" spans="1:39" x14ac:dyDescent="0.25">
      <c r="G47" s="11"/>
      <c r="H47" s="12">
        <v>110204</v>
      </c>
      <c r="I47" s="12" t="s">
        <v>51</v>
      </c>
      <c r="J47" s="12" t="str">
        <f>+J46</f>
        <v>CPA Compra Divisas 0 T/C 0</v>
      </c>
      <c r="K47" s="13"/>
      <c r="L47" s="18">
        <f t="shared" ref="L47" si="21">+K46</f>
        <v>0</v>
      </c>
      <c r="U47" s="11"/>
      <c r="V47" s="12">
        <v>110608</v>
      </c>
      <c r="W47" s="12" t="s">
        <v>62</v>
      </c>
      <c r="X47" s="12" t="str">
        <f>X46</f>
        <v xml:space="preserve">CPA LIQ CORRESPONSAL GC BICE </v>
      </c>
      <c r="Y47" s="13"/>
      <c r="Z47" s="18" t="str">
        <f>Y46</f>
        <v>-</v>
      </c>
      <c r="AH47" s="11"/>
      <c r="AI47" s="12">
        <v>110608</v>
      </c>
      <c r="AJ47" s="12" t="s">
        <v>62</v>
      </c>
      <c r="AK47" s="12" t="str">
        <f>AK46</f>
        <v>CPA Traspaso de Fondos Bco. Bice a MBI CLP</v>
      </c>
      <c r="AL47" s="13"/>
      <c r="AM47" s="18">
        <f>AL46</f>
        <v>0</v>
      </c>
    </row>
    <row r="48" spans="1:39" x14ac:dyDescent="0.25">
      <c r="G48" s="15">
        <v>45467</v>
      </c>
      <c r="H48">
        <v>110205</v>
      </c>
      <c r="I48" t="s">
        <v>59</v>
      </c>
      <c r="J48" t="str">
        <f>"CPA Compra Divisas " &amp;D25&amp;" T/C "&amp;C25</f>
        <v>CPA Compra Divisas 0 T/C 0</v>
      </c>
      <c r="K48" s="3">
        <f>+B25</f>
        <v>0</v>
      </c>
      <c r="L48" s="10"/>
      <c r="U48" s="15">
        <v>45467</v>
      </c>
      <c r="V48" s="8">
        <v>110204</v>
      </c>
      <c r="W48" s="8" t="s">
        <v>51</v>
      </c>
      <c r="X48" s="8" t="str">
        <f>"CPA LIQ CORRESPONSAL GC BICE "</f>
        <v xml:space="preserve">CPA LIQ CORRESPONSAL GC BICE </v>
      </c>
      <c r="Y48" s="16" t="str">
        <f>+R25</f>
        <v>-</v>
      </c>
      <c r="Z48" s="17"/>
      <c r="AH48" s="15">
        <v>45467</v>
      </c>
      <c r="AI48" s="8">
        <v>110295</v>
      </c>
      <c r="AJ48" s="8" t="s">
        <v>220</v>
      </c>
      <c r="AK48" t="str">
        <f>"CPA Traspaso de Fondos Bco. Bice a MBI CLP"</f>
        <v>CPA Traspaso de Fondos Bco. Bice a MBI CLP</v>
      </c>
      <c r="AL48" s="16">
        <f>+AE25</f>
        <v>0</v>
      </c>
      <c r="AM48" s="17"/>
    </row>
    <row r="49" spans="7:39" x14ac:dyDescent="0.25">
      <c r="G49" s="11"/>
      <c r="H49" s="12">
        <v>110204</v>
      </c>
      <c r="I49" s="12" t="s">
        <v>51</v>
      </c>
      <c r="J49" s="12" t="str">
        <f>+J48</f>
        <v>CPA Compra Divisas 0 T/C 0</v>
      </c>
      <c r="K49" s="13"/>
      <c r="L49" s="18">
        <f t="shared" ref="L49" si="22">+K48</f>
        <v>0</v>
      </c>
      <c r="U49" s="11"/>
      <c r="V49" s="12">
        <v>110608</v>
      </c>
      <c r="W49" s="12" t="s">
        <v>62</v>
      </c>
      <c r="X49" s="12" t="str">
        <f>X48</f>
        <v xml:space="preserve">CPA LIQ CORRESPONSAL GC BICE </v>
      </c>
      <c r="Y49" s="13"/>
      <c r="Z49" s="18" t="str">
        <f>Y48</f>
        <v>-</v>
      </c>
      <c r="AH49" s="11"/>
      <c r="AI49" s="12">
        <v>110608</v>
      </c>
      <c r="AJ49" s="12" t="s">
        <v>62</v>
      </c>
      <c r="AK49" s="12" t="str">
        <f>AK48</f>
        <v>CPA Traspaso de Fondos Bco. Bice a MBI CLP</v>
      </c>
      <c r="AL49" s="13"/>
      <c r="AM49" s="18">
        <f>AL48</f>
        <v>0</v>
      </c>
    </row>
    <row r="50" spans="7:39" x14ac:dyDescent="0.25">
      <c r="G50" s="15">
        <v>45468</v>
      </c>
      <c r="H50">
        <v>110205</v>
      </c>
      <c r="I50" t="s">
        <v>59</v>
      </c>
      <c r="J50" t="str">
        <f>"CPA Compra Divisas " &amp;D26&amp;" T/C "&amp;C26</f>
        <v>CPA Compra Divisas 450K T/C 949,5</v>
      </c>
      <c r="K50" s="3">
        <f>+B26</f>
        <v>427275000</v>
      </c>
      <c r="L50" s="10"/>
      <c r="U50" s="15">
        <v>45468</v>
      </c>
      <c r="V50" s="8">
        <v>110204</v>
      </c>
      <c r="W50" s="8" t="s">
        <v>51</v>
      </c>
      <c r="X50" s="8" t="str">
        <f>"CPA LIQ CORRESPONSAL GC BICE "</f>
        <v xml:space="preserve">CPA LIQ CORRESPONSAL GC BICE </v>
      </c>
      <c r="Y50" s="16">
        <f>+R26</f>
        <v>239668653</v>
      </c>
      <c r="Z50" s="17"/>
      <c r="AH50" s="15">
        <v>45468</v>
      </c>
      <c r="AI50" s="8">
        <v>110295</v>
      </c>
      <c r="AJ50" s="8" t="s">
        <v>220</v>
      </c>
      <c r="AK50" t="str">
        <f>"CPA Traspaso de Fondos Bco. Bice a MBI CLP"</f>
        <v>CPA Traspaso de Fondos Bco. Bice a MBI CLP</v>
      </c>
      <c r="AL50" s="16">
        <f>+AE26</f>
        <v>0</v>
      </c>
      <c r="AM50" s="17"/>
    </row>
    <row r="51" spans="7:39" x14ac:dyDescent="0.25">
      <c r="G51" s="11"/>
      <c r="H51" s="12">
        <v>110204</v>
      </c>
      <c r="I51" s="12" t="s">
        <v>51</v>
      </c>
      <c r="J51" s="12" t="str">
        <f>+J50</f>
        <v>CPA Compra Divisas 450K T/C 949,5</v>
      </c>
      <c r="K51" s="13"/>
      <c r="L51" s="18">
        <f t="shared" ref="L51" si="23">+K50</f>
        <v>427275000</v>
      </c>
      <c r="U51" s="11"/>
      <c r="V51" s="12">
        <v>110608</v>
      </c>
      <c r="W51" s="12" t="s">
        <v>62</v>
      </c>
      <c r="X51" s="12" t="str">
        <f>X50</f>
        <v xml:space="preserve">CPA LIQ CORRESPONSAL GC BICE </v>
      </c>
      <c r="Y51" s="13"/>
      <c r="Z51" s="18">
        <f>Y50</f>
        <v>239668653</v>
      </c>
      <c r="AH51" s="11"/>
      <c r="AI51" s="12">
        <v>110608</v>
      </c>
      <c r="AJ51" s="12" t="s">
        <v>62</v>
      </c>
      <c r="AK51" s="12" t="str">
        <f>AK50</f>
        <v>CPA Traspaso de Fondos Bco. Bice a MBI CLP</v>
      </c>
      <c r="AL51" s="13"/>
      <c r="AM51" s="18">
        <f>AL50</f>
        <v>0</v>
      </c>
    </row>
    <row r="52" spans="7:39" x14ac:dyDescent="0.25">
      <c r="G52" s="15">
        <v>45469</v>
      </c>
      <c r="H52">
        <v>110205</v>
      </c>
      <c r="I52" t="s">
        <v>59</v>
      </c>
      <c r="J52" t="str">
        <f>"CPA Compra Divisas " &amp;D27&amp;" T/C "&amp;C27</f>
        <v>CPA Compra Divisas 0 T/C 0</v>
      </c>
      <c r="K52" s="3">
        <f>+B27</f>
        <v>0</v>
      </c>
      <c r="L52" s="10"/>
      <c r="U52" s="15">
        <v>45469</v>
      </c>
      <c r="V52" s="8">
        <v>110204</v>
      </c>
      <c r="W52" s="8" t="s">
        <v>51</v>
      </c>
      <c r="X52" s="8" t="str">
        <f>"CPA LIQ CORRESPONSAL GC BICE "</f>
        <v xml:space="preserve">CPA LIQ CORRESPONSAL GC BICE </v>
      </c>
      <c r="Y52" s="16" t="str">
        <f>+R27</f>
        <v>-</v>
      </c>
      <c r="Z52" s="17"/>
      <c r="AH52" s="15">
        <v>45469</v>
      </c>
      <c r="AI52" s="8">
        <v>110295</v>
      </c>
      <c r="AJ52" s="8" t="s">
        <v>220</v>
      </c>
      <c r="AK52" t="str">
        <f>"CPA Traspaso de Fondos Bco. Bice a MBI CLP"</f>
        <v>CPA Traspaso de Fondos Bco. Bice a MBI CLP</v>
      </c>
      <c r="AL52" s="16">
        <f>+AE27</f>
        <v>0</v>
      </c>
      <c r="AM52" s="17"/>
    </row>
    <row r="53" spans="7:39" x14ac:dyDescent="0.25">
      <c r="G53" s="11"/>
      <c r="H53" s="12">
        <v>110204</v>
      </c>
      <c r="I53" s="12" t="s">
        <v>51</v>
      </c>
      <c r="J53" s="12" t="str">
        <f>+J52</f>
        <v>CPA Compra Divisas 0 T/C 0</v>
      </c>
      <c r="K53" s="13"/>
      <c r="L53" s="18">
        <f t="shared" ref="L53" si="24">+K52</f>
        <v>0</v>
      </c>
      <c r="U53" s="11"/>
      <c r="V53" s="12">
        <v>110608</v>
      </c>
      <c r="W53" s="12" t="s">
        <v>62</v>
      </c>
      <c r="X53" s="12" t="str">
        <f>X52</f>
        <v xml:space="preserve">CPA LIQ CORRESPONSAL GC BICE </v>
      </c>
      <c r="Y53" s="13"/>
      <c r="Z53" s="18" t="str">
        <f>Y52</f>
        <v>-</v>
      </c>
      <c r="AH53" s="11"/>
      <c r="AI53" s="12">
        <v>110608</v>
      </c>
      <c r="AJ53" s="12" t="s">
        <v>62</v>
      </c>
      <c r="AK53" s="12" t="str">
        <f>AK52</f>
        <v>CPA Traspaso de Fondos Bco. Bice a MBI CLP</v>
      </c>
      <c r="AL53" s="13"/>
      <c r="AM53" s="18">
        <f>AL52</f>
        <v>0</v>
      </c>
    </row>
    <row r="54" spans="7:39" x14ac:dyDescent="0.25">
      <c r="G54" s="15">
        <v>45470</v>
      </c>
      <c r="H54">
        <v>110205</v>
      </c>
      <c r="I54" t="s">
        <v>59</v>
      </c>
      <c r="J54" t="str">
        <f>"CPA Compra Divisas " &amp;D28&amp;" T/C "&amp;C28</f>
        <v>CPA Compra Divisas 0 T/C 0</v>
      </c>
      <c r="K54" s="3">
        <f>+B28</f>
        <v>0</v>
      </c>
      <c r="L54" s="10"/>
      <c r="U54" s="15">
        <v>45470</v>
      </c>
      <c r="V54" s="8">
        <v>110204</v>
      </c>
      <c r="W54" s="8" t="s">
        <v>51</v>
      </c>
      <c r="X54" s="8" t="str">
        <f>"CPA LIQ CORRESPONSAL GC BICE "</f>
        <v xml:space="preserve">CPA LIQ CORRESPONSAL GC BICE </v>
      </c>
      <c r="Y54" s="16" t="str">
        <f>+R28</f>
        <v>-</v>
      </c>
      <c r="Z54" s="17"/>
      <c r="AH54" s="15">
        <v>45470</v>
      </c>
      <c r="AI54" s="8">
        <v>110295</v>
      </c>
      <c r="AJ54" s="8" t="s">
        <v>220</v>
      </c>
      <c r="AK54" t="str">
        <f>"CPA Traspaso de Fondos Bco. Bice a MBI CLP"</f>
        <v>CPA Traspaso de Fondos Bco. Bice a MBI CLP</v>
      </c>
      <c r="AL54" s="16">
        <f>+AE28</f>
        <v>0</v>
      </c>
      <c r="AM54" s="17"/>
    </row>
    <row r="55" spans="7:39" x14ac:dyDescent="0.25">
      <c r="G55" s="11"/>
      <c r="H55" s="12">
        <v>110204</v>
      </c>
      <c r="I55" s="12" t="s">
        <v>51</v>
      </c>
      <c r="J55" s="12" t="str">
        <f>+J54</f>
        <v>CPA Compra Divisas 0 T/C 0</v>
      </c>
      <c r="K55" s="13"/>
      <c r="L55" s="18">
        <f t="shared" ref="L55" si="25">+K54</f>
        <v>0</v>
      </c>
      <c r="U55" s="11"/>
      <c r="V55" s="12">
        <v>110608</v>
      </c>
      <c r="W55" s="12" t="s">
        <v>62</v>
      </c>
      <c r="X55" s="12" t="str">
        <f>X54</f>
        <v xml:space="preserve">CPA LIQ CORRESPONSAL GC BICE </v>
      </c>
      <c r="Y55" s="13"/>
      <c r="Z55" s="18" t="str">
        <f>Y54</f>
        <v>-</v>
      </c>
      <c r="AH55" s="11"/>
      <c r="AI55" s="12">
        <v>110608</v>
      </c>
      <c r="AJ55" s="12" t="s">
        <v>62</v>
      </c>
      <c r="AK55" s="12" t="str">
        <f>AK54</f>
        <v>CPA Traspaso de Fondos Bco. Bice a MBI CLP</v>
      </c>
      <c r="AL55" s="13"/>
      <c r="AM55" s="18">
        <f>AL54</f>
        <v>0</v>
      </c>
    </row>
    <row r="56" spans="7:39" x14ac:dyDescent="0.25">
      <c r="G56" s="15">
        <v>45471</v>
      </c>
      <c r="H56">
        <v>110205</v>
      </c>
      <c r="I56" t="s">
        <v>59</v>
      </c>
      <c r="J56" t="str">
        <f>"CPA Compra Divisas " &amp;D29&amp;" T/C "&amp;C29</f>
        <v>CPA Compra Divisas 650K T/C 945,4</v>
      </c>
      <c r="K56" s="3">
        <f>+B29</f>
        <v>614510000</v>
      </c>
      <c r="L56" s="10"/>
      <c r="U56" s="15">
        <v>45471</v>
      </c>
      <c r="V56" s="8">
        <v>110204</v>
      </c>
      <c r="W56" s="8" t="s">
        <v>51</v>
      </c>
      <c r="X56" s="8" t="str">
        <f>"CPA LIQ CORRESPONSAL GC BICE "</f>
        <v xml:space="preserve">CPA LIQ CORRESPONSAL GC BICE </v>
      </c>
      <c r="Y56" s="16">
        <f>+R29</f>
        <v>1523309168</v>
      </c>
      <c r="Z56" s="17"/>
      <c r="AH56" s="15">
        <v>45471</v>
      </c>
      <c r="AI56" s="8">
        <v>110295</v>
      </c>
      <c r="AJ56" s="8" t="s">
        <v>220</v>
      </c>
      <c r="AK56" t="str">
        <f>"CPA Traspaso de Fondos Bco. Bice a MBI CLP"</f>
        <v>CPA Traspaso de Fondos Bco. Bice a MBI CLP</v>
      </c>
      <c r="AL56" s="16">
        <f>+AE29</f>
        <v>910000000</v>
      </c>
      <c r="AM56" s="17"/>
    </row>
    <row r="57" spans="7:39" x14ac:dyDescent="0.25">
      <c r="G57" s="11"/>
      <c r="H57" s="12">
        <v>110204</v>
      </c>
      <c r="I57" s="12" t="s">
        <v>51</v>
      </c>
      <c r="J57" s="12" t="str">
        <f>+J56</f>
        <v>CPA Compra Divisas 650K T/C 945,4</v>
      </c>
      <c r="K57" s="13"/>
      <c r="L57" s="18">
        <f t="shared" ref="L57" si="26">+K56</f>
        <v>614510000</v>
      </c>
      <c r="U57" s="11"/>
      <c r="V57" s="12">
        <v>110608</v>
      </c>
      <c r="W57" s="12" t="s">
        <v>62</v>
      </c>
      <c r="X57" s="12" t="str">
        <f>X56</f>
        <v xml:space="preserve">CPA LIQ CORRESPONSAL GC BICE </v>
      </c>
      <c r="Y57" s="13"/>
      <c r="Z57" s="18">
        <f>Y56</f>
        <v>1523309168</v>
      </c>
      <c r="AH57" s="11"/>
      <c r="AI57" s="12">
        <v>110608</v>
      </c>
      <c r="AJ57" s="12" t="s">
        <v>62</v>
      </c>
      <c r="AK57" s="12" t="str">
        <f>AK56</f>
        <v>CPA Traspaso de Fondos Bco. Bice a MBI CLP</v>
      </c>
      <c r="AL57" s="13"/>
      <c r="AM57" s="18">
        <f>AL56</f>
        <v>910000000</v>
      </c>
    </row>
    <row r="58" spans="7:39" x14ac:dyDescent="0.25">
      <c r="G58" s="15">
        <v>45472</v>
      </c>
      <c r="H58">
        <v>110205</v>
      </c>
      <c r="I58" t="s">
        <v>59</v>
      </c>
      <c r="J58" t="str">
        <f>"CPA Compra Divisas " &amp;D30&amp;" T/C "&amp;C30</f>
        <v>CPA Compra Divisas 0 T/C 0</v>
      </c>
      <c r="K58" s="3">
        <f>+B30</f>
        <v>0</v>
      </c>
      <c r="L58" s="10"/>
      <c r="U58" s="15">
        <v>45472</v>
      </c>
      <c r="V58" s="8">
        <v>110204</v>
      </c>
      <c r="W58" s="8" t="s">
        <v>51</v>
      </c>
      <c r="X58" s="8" t="str">
        <f>"CPA LIQ CORRESPONSAL GC BICE "</f>
        <v xml:space="preserve">CPA LIQ CORRESPONSAL GC BICE </v>
      </c>
      <c r="Y58" s="16" t="str">
        <f>+R30</f>
        <v>-</v>
      </c>
      <c r="Z58" s="17"/>
      <c r="AH58" s="15">
        <v>45472</v>
      </c>
      <c r="AI58" s="8">
        <v>110295</v>
      </c>
      <c r="AJ58" s="8" t="s">
        <v>220</v>
      </c>
      <c r="AK58" t="str">
        <f>"CPA Traspaso de Fondos Bco. Bice a MBI CLP"</f>
        <v>CPA Traspaso de Fondos Bco. Bice a MBI CLP</v>
      </c>
      <c r="AL58" s="16">
        <f>+AE30</f>
        <v>0</v>
      </c>
      <c r="AM58" s="17"/>
    </row>
    <row r="59" spans="7:39" x14ac:dyDescent="0.25">
      <c r="G59" s="11"/>
      <c r="H59" s="12">
        <v>110204</v>
      </c>
      <c r="I59" s="12" t="s">
        <v>51</v>
      </c>
      <c r="J59" s="12" t="str">
        <f>+J58</f>
        <v>CPA Compra Divisas 0 T/C 0</v>
      </c>
      <c r="K59" s="13"/>
      <c r="L59" s="18">
        <f t="shared" ref="L59" si="27">+K58</f>
        <v>0</v>
      </c>
      <c r="U59" s="11"/>
      <c r="V59" s="12">
        <v>110608</v>
      </c>
      <c r="W59" s="12" t="s">
        <v>62</v>
      </c>
      <c r="X59" s="12" t="str">
        <f>X58</f>
        <v xml:space="preserve">CPA LIQ CORRESPONSAL GC BICE </v>
      </c>
      <c r="Y59" s="13"/>
      <c r="Z59" s="18" t="str">
        <f>Y58</f>
        <v>-</v>
      </c>
      <c r="AH59" s="11"/>
      <c r="AI59" s="12">
        <v>110608</v>
      </c>
      <c r="AJ59" s="12" t="s">
        <v>62</v>
      </c>
      <c r="AK59" s="12" t="str">
        <f>AK58</f>
        <v>CPA Traspaso de Fondos Bco. Bice a MBI CLP</v>
      </c>
      <c r="AL59" s="13"/>
      <c r="AM59" s="18">
        <f>AL58</f>
        <v>0</v>
      </c>
    </row>
    <row r="60" spans="7:39" x14ac:dyDescent="0.25">
      <c r="G60" s="15">
        <v>45473</v>
      </c>
      <c r="H60">
        <v>110205</v>
      </c>
      <c r="I60" t="s">
        <v>59</v>
      </c>
      <c r="J60" t="str">
        <f>"CPA Compra Divisas " &amp;D31&amp;" T/C "&amp;C31</f>
        <v>CPA Compra Divisas 0 T/C 0</v>
      </c>
      <c r="K60" s="3">
        <f>+B31</f>
        <v>0</v>
      </c>
      <c r="L60" s="10"/>
      <c r="U60" s="15">
        <v>45473</v>
      </c>
      <c r="V60" s="8">
        <v>110204</v>
      </c>
      <c r="W60" s="8" t="s">
        <v>51</v>
      </c>
      <c r="X60" s="8" t="str">
        <f>"CPA LIQ CORRESPONSAL GC BICE "</f>
        <v xml:space="preserve">CPA LIQ CORRESPONSAL GC BICE </v>
      </c>
      <c r="Y60" s="16" t="str">
        <f>+R31</f>
        <v>-</v>
      </c>
      <c r="Z60" s="17"/>
      <c r="AH60" s="15">
        <v>45473</v>
      </c>
      <c r="AI60" s="8">
        <v>110295</v>
      </c>
      <c r="AJ60" s="8" t="s">
        <v>220</v>
      </c>
      <c r="AK60" t="str">
        <f>"CPA Traspaso de Fondos Bco. Bice a MBI CLP"</f>
        <v>CPA Traspaso de Fondos Bco. Bice a MBI CLP</v>
      </c>
      <c r="AL60" s="16">
        <f>+AE31</f>
        <v>0</v>
      </c>
      <c r="AM60" s="17"/>
    </row>
    <row r="61" spans="7:39" x14ac:dyDescent="0.25">
      <c r="G61" s="11"/>
      <c r="H61" s="12">
        <v>110204</v>
      </c>
      <c r="I61" s="12" t="s">
        <v>51</v>
      </c>
      <c r="J61" s="12" t="str">
        <f>+J60</f>
        <v>CPA Compra Divisas 0 T/C 0</v>
      </c>
      <c r="K61" s="13"/>
      <c r="L61" s="18">
        <f t="shared" ref="L61" si="28">+K60</f>
        <v>0</v>
      </c>
      <c r="U61" s="11"/>
      <c r="V61" s="12">
        <v>110608</v>
      </c>
      <c r="W61" s="12" t="s">
        <v>62</v>
      </c>
      <c r="X61" s="12" t="str">
        <f>X60</f>
        <v xml:space="preserve">CPA LIQ CORRESPONSAL GC BICE </v>
      </c>
      <c r="Y61" s="13"/>
      <c r="Z61" s="18" t="str">
        <f>Y60</f>
        <v>-</v>
      </c>
      <c r="AH61" s="11"/>
      <c r="AI61" s="12">
        <v>110608</v>
      </c>
      <c r="AJ61" s="12" t="s">
        <v>62</v>
      </c>
      <c r="AK61" s="12" t="str">
        <f>AK60</f>
        <v>CPA Traspaso de Fondos Bco. Bice a MBI CLP</v>
      </c>
      <c r="AL61" s="13"/>
      <c r="AM61" s="18">
        <f>AL60</f>
        <v>0</v>
      </c>
    </row>
    <row r="62" spans="7:39" x14ac:dyDescent="0.25">
      <c r="G62" s="15" t="s">
        <v>143</v>
      </c>
      <c r="H62">
        <v>110205</v>
      </c>
      <c r="I62" t="s">
        <v>59</v>
      </c>
      <c r="J62" t="str">
        <f>"CPA Compra Divisas " &amp;D32&amp;" T/C "&amp;C32</f>
        <v>CPA Compra Divisas 0 T/C 0</v>
      </c>
      <c r="K62" s="3">
        <f>+B32</f>
        <v>0</v>
      </c>
      <c r="L62" s="10"/>
      <c r="U62" s="15" t="s">
        <v>143</v>
      </c>
      <c r="V62" s="8">
        <v>110204</v>
      </c>
      <c r="W62" s="8" t="s">
        <v>51</v>
      </c>
      <c r="X62" s="8" t="str">
        <f>"CPA LIQ CORRESPONSAL GC BICE "</f>
        <v xml:space="preserve">CPA LIQ CORRESPONSAL GC BICE </v>
      </c>
      <c r="Y62" s="16" t="str">
        <f>+R32</f>
        <v>-</v>
      </c>
      <c r="Z62" s="17"/>
      <c r="AH62" s="15" t="s">
        <v>143</v>
      </c>
      <c r="AI62" s="8">
        <v>110295</v>
      </c>
      <c r="AJ62" s="8" t="s">
        <v>220</v>
      </c>
      <c r="AK62" t="str">
        <f>"CPA Traspaso de Fondos Bco. Bice a MBI CLP"</f>
        <v>CPA Traspaso de Fondos Bco. Bice a MBI CLP</v>
      </c>
      <c r="AL62" s="16">
        <f>+AE32</f>
        <v>0</v>
      </c>
      <c r="AM62" s="17"/>
    </row>
    <row r="63" spans="7:39" x14ac:dyDescent="0.25">
      <c r="G63" s="11"/>
      <c r="H63" s="12">
        <v>110204</v>
      </c>
      <c r="I63" s="12" t="s">
        <v>51</v>
      </c>
      <c r="J63" s="12" t="str">
        <f>+J62</f>
        <v>CPA Compra Divisas 0 T/C 0</v>
      </c>
      <c r="K63" s="13"/>
      <c r="L63" s="18">
        <f t="shared" ref="L63" si="29">+K62</f>
        <v>0</v>
      </c>
      <c r="U63" s="11"/>
      <c r="V63" s="12">
        <v>110608</v>
      </c>
      <c r="W63" s="12" t="s">
        <v>62</v>
      </c>
      <c r="X63" s="12" t="str">
        <f>X62</f>
        <v xml:space="preserve">CPA LIQ CORRESPONSAL GC BICE </v>
      </c>
      <c r="Y63" s="13"/>
      <c r="Z63" s="18" t="str">
        <f>Y62</f>
        <v>-</v>
      </c>
      <c r="AH63" s="11"/>
      <c r="AI63" s="12">
        <v>110608</v>
      </c>
      <c r="AJ63" s="12" t="s">
        <v>62</v>
      </c>
      <c r="AK63" s="12" t="str">
        <f>AK62</f>
        <v>CPA Traspaso de Fondos Bco. Bice a MBI CLP</v>
      </c>
      <c r="AL63" s="13"/>
      <c r="AM63" s="18">
        <f>AL62</f>
        <v>0</v>
      </c>
    </row>
  </sheetData>
  <autoFilter ref="AH1:AM63" xr:uid="{A59CB557-53FF-4987-BF2B-8F1D211F05E9}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6E447-EF11-452A-A67B-F6EF9070379E}">
  <dimension ref="A1:DR125"/>
  <sheetViews>
    <sheetView showGridLines="0" topLeftCell="BB1" workbookViewId="0">
      <selection activeCell="BH2" sqref="BH2:BH32"/>
    </sheetView>
  </sheetViews>
  <sheetFormatPr baseColWidth="10" defaultRowHeight="15" outlineLevelCol="1" x14ac:dyDescent="0.25"/>
  <cols>
    <col min="1" max="1" width="11.5703125" customWidth="1" outlineLevel="1"/>
    <col min="2" max="2" width="13.5703125" customWidth="1" outlineLevel="1"/>
    <col min="3" max="4" width="12" customWidth="1" outlineLevel="1"/>
    <col min="5" max="5" width="13.5703125" customWidth="1" outlineLevel="1"/>
    <col min="6" max="8" width="11.42578125" customWidth="1" outlineLevel="1"/>
    <col min="9" max="9" width="23.140625" customWidth="1" outlineLevel="1"/>
    <col min="10" max="10" width="61.42578125" customWidth="1" outlineLevel="1"/>
    <col min="11" max="12" width="13.5703125" customWidth="1" outlineLevel="1"/>
    <col min="16" max="16" width="11.5703125" customWidth="1" outlineLevel="1"/>
    <col min="17" max="17" width="13.5703125" customWidth="1" outlineLevel="1"/>
    <col min="18" max="19" width="12" customWidth="1" outlineLevel="1"/>
    <col min="20" max="20" width="16.85546875" customWidth="1" outlineLevel="1"/>
    <col min="21" max="23" width="11.42578125" customWidth="1" outlineLevel="1"/>
    <col min="24" max="24" width="25.5703125" customWidth="1" outlineLevel="1"/>
    <col min="25" max="25" width="61.42578125" customWidth="1" outlineLevel="1"/>
    <col min="26" max="27" width="13.5703125" customWidth="1" outlineLevel="1"/>
    <col min="30" max="30" width="11.5703125" customWidth="1" outlineLevel="1"/>
    <col min="31" max="31" width="13.5703125" customWidth="1" outlineLevel="1"/>
    <col min="32" max="33" width="12" customWidth="1" outlineLevel="1"/>
    <col min="34" max="34" width="16.85546875" customWidth="1" outlineLevel="1"/>
    <col min="35" max="37" width="11.42578125" customWidth="1" outlineLevel="1"/>
    <col min="38" max="38" width="25.5703125" customWidth="1" outlineLevel="1"/>
    <col min="39" max="39" width="61.42578125" customWidth="1" outlineLevel="1"/>
    <col min="40" max="41" width="13.5703125" customWidth="1" outlineLevel="1"/>
    <col min="45" max="45" width="11.5703125" customWidth="1" outlineLevel="1"/>
    <col min="46" max="46" width="13.5703125" customWidth="1" outlineLevel="1"/>
    <col min="47" max="48" width="12" customWidth="1" outlineLevel="1"/>
    <col min="49" max="49" width="16.85546875" customWidth="1" outlineLevel="1"/>
    <col min="50" max="52" width="11.42578125" customWidth="1" outlineLevel="1"/>
    <col min="53" max="53" width="25.5703125" customWidth="1" outlineLevel="1"/>
    <col min="54" max="54" width="65.28515625" customWidth="1" outlineLevel="1"/>
    <col min="55" max="56" width="13.5703125" customWidth="1" outlineLevel="1"/>
    <col min="60" max="60" width="11.5703125" customWidth="1" outlineLevel="1"/>
    <col min="61" max="61" width="13.5703125" customWidth="1" outlineLevel="1"/>
    <col min="62" max="63" width="12" customWidth="1" outlineLevel="1"/>
    <col min="64" max="64" width="13.5703125" customWidth="1" outlineLevel="1"/>
    <col min="65" max="67" width="11.42578125" customWidth="1" outlineLevel="1"/>
    <col min="68" max="68" width="30.140625" customWidth="1" outlineLevel="1"/>
    <col min="69" max="69" width="61.42578125" customWidth="1" outlineLevel="1"/>
    <col min="70" max="71" width="13.5703125" customWidth="1" outlineLevel="1"/>
    <col min="75" max="75" width="11.5703125" customWidth="1" outlineLevel="1"/>
    <col min="76" max="76" width="13.5703125" customWidth="1" outlineLevel="1"/>
    <col min="77" max="77" width="12" customWidth="1" outlineLevel="1"/>
    <col min="78" max="78" width="12.5703125" customWidth="1" outlineLevel="1"/>
    <col min="79" max="79" width="13.5703125" customWidth="1" outlineLevel="1"/>
    <col min="80" max="80" width="9" customWidth="1" outlineLevel="1"/>
    <col min="81" max="81" width="7.42578125" bestFit="1" customWidth="1" outlineLevel="1"/>
    <col min="82" max="84" width="11.42578125" customWidth="1" outlineLevel="1"/>
    <col min="85" max="85" width="36.28515625" customWidth="1" outlineLevel="1"/>
    <col min="86" max="86" width="69.28515625" customWidth="1" outlineLevel="1"/>
    <col min="87" max="88" width="13.5703125" customWidth="1" outlineLevel="1"/>
    <col min="92" max="92" width="11.5703125" hidden="1" customWidth="1" outlineLevel="1"/>
    <col min="93" max="93" width="13.5703125" hidden="1" customWidth="1" outlineLevel="1"/>
    <col min="94" max="94" width="12" hidden="1" customWidth="1" outlineLevel="1"/>
    <col min="95" max="95" width="12.5703125" hidden="1" customWidth="1" outlineLevel="1"/>
    <col min="96" max="96" width="13.5703125" hidden="1" customWidth="1" outlineLevel="1"/>
    <col min="97" max="97" width="9" hidden="1" customWidth="1" outlineLevel="1"/>
    <col min="98" max="98" width="6.42578125" hidden="1" customWidth="1" outlineLevel="1"/>
    <col min="99" max="101" width="11.42578125" hidden="1" customWidth="1" outlineLevel="1"/>
    <col min="102" max="102" width="36.28515625" hidden="1" customWidth="1" outlineLevel="1"/>
    <col min="103" max="103" width="69.28515625" hidden="1" customWidth="1" outlineLevel="1"/>
    <col min="104" max="105" width="13.5703125" hidden="1" customWidth="1" outlineLevel="1"/>
    <col min="106" max="106" width="11.42578125" collapsed="1"/>
    <col min="109" max="109" width="11.5703125" customWidth="1" outlineLevel="1"/>
    <col min="110" max="110" width="13.5703125" customWidth="1" outlineLevel="1"/>
    <col min="111" max="111" width="12" customWidth="1" outlineLevel="1"/>
    <col min="112" max="112" width="12.5703125" customWidth="1" outlineLevel="1"/>
    <col min="113" max="113" width="13.5703125" customWidth="1" outlineLevel="1"/>
    <col min="114" max="114" width="9" customWidth="1" outlineLevel="1"/>
    <col min="115" max="115" width="7.42578125" bestFit="1" customWidth="1" outlineLevel="1"/>
    <col min="116" max="118" width="11.42578125" customWidth="1" outlineLevel="1"/>
    <col min="119" max="119" width="36.28515625" customWidth="1" outlineLevel="1"/>
    <col min="120" max="120" width="69.28515625" customWidth="1" outlineLevel="1"/>
    <col min="121" max="122" width="13.5703125" customWidth="1" outlineLevel="1"/>
  </cols>
  <sheetData>
    <row r="1" spans="1:122" x14ac:dyDescent="0.25">
      <c r="A1" s="4" t="s">
        <v>0</v>
      </c>
      <c r="B1" s="4"/>
      <c r="C1" s="75"/>
      <c r="E1" t="s">
        <v>79</v>
      </c>
      <c r="G1" s="22" t="s">
        <v>0</v>
      </c>
      <c r="H1" s="23"/>
      <c r="I1" s="23"/>
      <c r="J1" s="23" t="s">
        <v>56</v>
      </c>
      <c r="K1" s="23" t="s">
        <v>5</v>
      </c>
      <c r="L1" s="24" t="s">
        <v>6</v>
      </c>
      <c r="P1" s="4" t="s">
        <v>0</v>
      </c>
      <c r="Q1" s="4"/>
      <c r="R1" s="75"/>
      <c r="T1" t="s">
        <v>83</v>
      </c>
      <c r="V1" s="22" t="s">
        <v>0</v>
      </c>
      <c r="W1" s="23"/>
      <c r="X1" s="23"/>
      <c r="Y1" s="23" t="s">
        <v>56</v>
      </c>
      <c r="Z1" s="23" t="s">
        <v>5</v>
      </c>
      <c r="AA1" s="24" t="s">
        <v>6</v>
      </c>
      <c r="AD1" s="4" t="s">
        <v>0</v>
      </c>
      <c r="AE1" s="4"/>
      <c r="AF1" s="75"/>
      <c r="AH1" t="s">
        <v>88</v>
      </c>
      <c r="AJ1" s="22" t="s">
        <v>0</v>
      </c>
      <c r="AK1" s="23"/>
      <c r="AL1" s="23"/>
      <c r="AM1" s="23" t="s">
        <v>56</v>
      </c>
      <c r="AN1" s="23" t="s">
        <v>5</v>
      </c>
      <c r="AO1" s="24" t="s">
        <v>6</v>
      </c>
      <c r="AS1" s="4" t="s">
        <v>0</v>
      </c>
      <c r="AT1" s="4"/>
      <c r="AU1" s="75"/>
      <c r="AW1" t="s">
        <v>96</v>
      </c>
      <c r="AY1" s="22" t="s">
        <v>0</v>
      </c>
      <c r="AZ1" s="23"/>
      <c r="BA1" s="23"/>
      <c r="BB1" s="23" t="s">
        <v>56</v>
      </c>
      <c r="BC1" s="23" t="s">
        <v>5</v>
      </c>
      <c r="BD1" s="24" t="s">
        <v>6</v>
      </c>
      <c r="BH1" s="4" t="s">
        <v>0</v>
      </c>
      <c r="BI1" s="4"/>
      <c r="BJ1" s="75"/>
      <c r="BL1" t="s">
        <v>79</v>
      </c>
      <c r="BN1" s="22" t="s">
        <v>0</v>
      </c>
      <c r="BO1" s="23"/>
      <c r="BP1" s="23"/>
      <c r="BQ1" s="23" t="s">
        <v>56</v>
      </c>
      <c r="BR1" s="23" t="s">
        <v>5</v>
      </c>
      <c r="BS1" s="24" t="s">
        <v>6</v>
      </c>
      <c r="BW1" s="4" t="s">
        <v>0</v>
      </c>
      <c r="BX1" s="4"/>
      <c r="BY1" s="75"/>
      <c r="CA1" t="s">
        <v>163</v>
      </c>
      <c r="CE1" s="22" t="s">
        <v>0</v>
      </c>
      <c r="CF1" s="23"/>
      <c r="CG1" s="23"/>
      <c r="CH1" s="23" t="s">
        <v>56</v>
      </c>
      <c r="CI1" s="23" t="s">
        <v>5</v>
      </c>
      <c r="CJ1" s="24" t="s">
        <v>6</v>
      </c>
      <c r="CN1" s="4" t="s">
        <v>0</v>
      </c>
      <c r="CO1" s="4"/>
      <c r="CP1" s="75"/>
      <c r="CR1" t="s">
        <v>163</v>
      </c>
      <c r="CV1" s="22" t="s">
        <v>0</v>
      </c>
      <c r="CW1" s="23"/>
      <c r="CX1" s="23"/>
      <c r="CY1" s="23" t="s">
        <v>56</v>
      </c>
      <c r="CZ1" s="23" t="s">
        <v>5</v>
      </c>
      <c r="DA1" s="24" t="s">
        <v>6</v>
      </c>
      <c r="DE1" s="4" t="s">
        <v>0</v>
      </c>
      <c r="DF1" s="4"/>
      <c r="DG1" s="75"/>
      <c r="DI1" t="s">
        <v>163</v>
      </c>
      <c r="DM1" s="22" t="s">
        <v>0</v>
      </c>
      <c r="DN1" s="23"/>
      <c r="DO1" s="23"/>
      <c r="DP1" s="23" t="s">
        <v>56</v>
      </c>
      <c r="DQ1" s="23" t="s">
        <v>5</v>
      </c>
      <c r="DR1" s="24" t="s">
        <v>6</v>
      </c>
    </row>
    <row r="2" spans="1:122" x14ac:dyDescent="0.25">
      <c r="A2" s="1">
        <v>45566</v>
      </c>
      <c r="B2" s="26">
        <f>HLOOKUP(A2,Hoja2!$R$2:$AV$18,17,FALSE)</f>
        <v>650000</v>
      </c>
      <c r="C2" s="77">
        <f>HLOOKUP(A2,Hoja2!$R$2:$AV$19,18,FALSE)</f>
        <v>897.68</v>
      </c>
      <c r="D2" s="26" t="str">
        <f>HLOOKUP(A2,Hoja2!$R$2:$AV$20,19,FALSE)</f>
        <v>650K</v>
      </c>
      <c r="E2" s="79">
        <f>HLOOKUP(A2,Hoja2!$R$2:$AV$21,20,FALSE)</f>
        <v>583492000</v>
      </c>
      <c r="G2" s="9">
        <v>45444</v>
      </c>
      <c r="H2">
        <v>110275</v>
      </c>
      <c r="I2" t="s">
        <v>82</v>
      </c>
      <c r="J2" t="str">
        <f>"CPA Fondeo Bice USD a NIUM "&amp;D2&amp;" USD T/C "&amp;C2</f>
        <v>CPA Fondeo Bice USD a NIUM 650K USD T/C 897,68</v>
      </c>
      <c r="K2" s="3">
        <f>+E2</f>
        <v>583492000</v>
      </c>
      <c r="L2" s="10"/>
      <c r="M2" s="3"/>
      <c r="P2" s="1">
        <v>45566</v>
      </c>
      <c r="Q2" s="26">
        <f>HLOOKUP(P2,Hoja2!$R$2:$AV$22,21,FALSE)</f>
        <v>0</v>
      </c>
      <c r="R2" s="77">
        <f>HLOOKUP(P2,Hoja2!$R$2:$AV$23,22,FALSE)</f>
        <v>897.68</v>
      </c>
      <c r="S2" s="26">
        <f>HLOOKUP(P2,Hoja2!$R$2:$AV$24,23,FALSE)</f>
        <v>0</v>
      </c>
      <c r="T2" s="79">
        <f>HLOOKUP(P2,Hoja2!$R$2:$AV$25,24,FALSE)</f>
        <v>0</v>
      </c>
      <c r="V2" s="9">
        <v>45444</v>
      </c>
      <c r="W2">
        <v>110274</v>
      </c>
      <c r="X2" t="s">
        <v>84</v>
      </c>
      <c r="Y2" t="str">
        <f>"CPA Fondeo Bice USD a Facilita Pay " &amp;S2&amp;" USD T/C "&amp;R2</f>
        <v>CPA Fondeo Bice USD a Facilita Pay 0 USD T/C 897,68</v>
      </c>
      <c r="Z2" s="3">
        <f>+T2</f>
        <v>0</v>
      </c>
      <c r="AA2" s="10"/>
      <c r="AD2" s="1">
        <v>45566</v>
      </c>
      <c r="AE2" s="26">
        <f>HLOOKUP(AD2,Hoja2!$R$2:$AV$26,25,FALSE)</f>
        <v>715000</v>
      </c>
      <c r="AF2" s="77">
        <f>HLOOKUP(AD2,Hoja2!$R$2:$AV$27,26,FALSE)</f>
        <v>897.68</v>
      </c>
      <c r="AG2" s="26" t="str">
        <f>HLOOKUP(AD2,Hoja2!$R$2:$AV$28,27,FALSE)</f>
        <v>715K</v>
      </c>
      <c r="AH2" s="79">
        <f>HLOOKUP(AD2,Hoja2!$R$2:$AV$29,28,FALSE)</f>
        <v>641841200</v>
      </c>
      <c r="AJ2" s="9">
        <v>45444</v>
      </c>
      <c r="AK2">
        <v>110820</v>
      </c>
      <c r="AL2" t="s">
        <v>92</v>
      </c>
      <c r="AM2" t="str">
        <f>"CPA Fondeo Bice USD a JPM COL " &amp;AG2&amp;" USD T/C "&amp;AF2&amp;".- "</f>
        <v xml:space="preserve">CPA Fondeo Bice USD a JPM COL 715K USD T/C 897,68.- </v>
      </c>
      <c r="AN2" s="3">
        <f>+AH2</f>
        <v>641841200</v>
      </c>
      <c r="AO2" s="10"/>
      <c r="AS2" s="1">
        <v>45566</v>
      </c>
      <c r="AT2" s="26">
        <f>HLOOKUP(AS2,Hoja2!$R$2:$AV$30,29,FALSE)</f>
        <v>0</v>
      </c>
      <c r="AU2" s="77">
        <f>HLOOKUP(AS2,Hoja2!$R$2:$AV$31,30,FALSE)</f>
        <v>0</v>
      </c>
      <c r="AV2" s="26">
        <f>HLOOKUP(AS2,Hoja2!$R$2:$AV$32,31,FALSE)</f>
        <v>0</v>
      </c>
      <c r="AW2" s="79">
        <f>HLOOKUP(AS2,Hoja2!$R$2:$AV$33,32,FALSE)</f>
        <v>0</v>
      </c>
      <c r="AY2" s="9">
        <v>45444</v>
      </c>
      <c r="AZ2">
        <v>110205</v>
      </c>
      <c r="BA2" t="s">
        <v>59</v>
      </c>
      <c r="BB2" t="str">
        <f>"CPA Rescate DLocal a Bco.Bice USD " &amp;AV2&amp;" USD T/C "&amp;AU2&amp;".- "&amp;TEXT($G2,"dd-mm-aaa")</f>
        <v>CPA Rescate DLocal a Bco.Bice USD 0 USD T/C 0.- 01-06-2024</v>
      </c>
      <c r="BC2" s="3">
        <f>+AW2</f>
        <v>0</v>
      </c>
      <c r="BD2" s="10"/>
      <c r="BH2" s="1">
        <v>45566</v>
      </c>
      <c r="BI2" s="26">
        <f>HLOOKUP(BH2,Hoja2!$R$2:$AV$35,34,FALSE)</f>
        <v>400000</v>
      </c>
      <c r="BJ2" s="77">
        <f>HLOOKUP(BH2,Hoja2!$R$2:$AV$36,35,FALSE)</f>
        <v>897.68</v>
      </c>
      <c r="BK2" s="26" t="str">
        <f>HLOOKUP(BH2,Hoja2!$R$2:$AV$37,36,FALSE)</f>
        <v>400K</v>
      </c>
      <c r="BL2" s="79">
        <f>HLOOKUP(BH2,Hoja2!$R$2:$AV$38,37,FALSE)</f>
        <v>359072000</v>
      </c>
      <c r="BN2" s="9">
        <v>45444</v>
      </c>
      <c r="BO2">
        <v>110292</v>
      </c>
      <c r="BP2" t="s">
        <v>142</v>
      </c>
      <c r="BQ2" t="str">
        <f>"CPA Fondeo Bice USD a OZ CAMBIO USD "&amp;BK2&amp;" USD T/C "&amp;BJ2</f>
        <v>CPA Fondeo Bice USD a OZ CAMBIO USD 400K USD T/C 897,68</v>
      </c>
      <c r="BR2" s="3">
        <f>+BL2</f>
        <v>359072000</v>
      </c>
      <c r="BS2" s="10"/>
      <c r="BW2" s="1">
        <v>45566</v>
      </c>
      <c r="BX2" s="26">
        <f>HLOOKUP(BW2,Hoja2!$R$2:$AV$46,45,FALSE)</f>
        <v>711532.25</v>
      </c>
      <c r="BY2" s="77">
        <f>HLOOKUP(BW2,Hoja2!$R$2:$AV$48,47,FALSE)</f>
        <v>897.68</v>
      </c>
      <c r="BZ2" s="77">
        <f>HLOOKUP(BW2,Hoja2!$R$2:$AV$49,48,FALSE)</f>
        <v>711532.25</v>
      </c>
      <c r="CA2" s="79">
        <f>HLOOKUP(BW2,Hoja2!$R$2:$AV$52,51,FALSE)</f>
        <v>638728270.17999995</v>
      </c>
      <c r="CB2" s="79" t="str">
        <f>HLOOKUP(BW2,Hoja2!$R$2:$AV$50,49,FALSE)</f>
        <v>USD SET</v>
      </c>
      <c r="CC2" s="79">
        <f>HLOOKUP(BW2,Hoja2!$R$2:$AV$51,50,FALSE)</f>
        <v>0</v>
      </c>
      <c r="CE2" s="9">
        <v>45444</v>
      </c>
      <c r="CF2">
        <v>110205</v>
      </c>
      <c r="CG2" t="s">
        <v>59</v>
      </c>
      <c r="CH2" t="str">
        <f>"CPA Rescate LOCALPAYMENT " &amp; CB2 &amp; " a Bco.Bice USD " &amp; TEXT(BZ2,"#.##0,00") &amp; " T/C " &amp; BY2</f>
        <v>CPA Rescate LOCALPAYMENT USD SET a Bco.Bice USD 711.532,25 T/C 897,68</v>
      </c>
      <c r="CI2" s="3">
        <f>+CA2</f>
        <v>638728270.17999995</v>
      </c>
      <c r="CJ2" s="10"/>
      <c r="CN2" s="1">
        <v>45566</v>
      </c>
      <c r="CO2" s="26">
        <f>HLOOKUP(CN2,Hoja2!$R$2:$AV$46,45,FALSE)</f>
        <v>711532.25</v>
      </c>
      <c r="CP2" s="77">
        <f>HLOOKUP(CN2,Hoja2!$R$2:$AV$48,47,FALSE)</f>
        <v>897.68</v>
      </c>
      <c r="CQ2" s="77">
        <f>HLOOKUP(CN2,Hoja2!$R$2:$AV$49,48,FALSE)</f>
        <v>711532.25</v>
      </c>
      <c r="CR2" s="79">
        <f>HLOOKUP(CN2,Hoja2!$R$2:$AV$52,51,FALSE)</f>
        <v>638728270.17999995</v>
      </c>
      <c r="CS2" s="79" t="str">
        <f>HLOOKUP(CN2,Hoja2!$R$2:$AV$50,49,FALSE)</f>
        <v>USD SET</v>
      </c>
      <c r="CT2" s="79">
        <f>HLOOKUP(CN2,Hoja2!$R$2:$AV$51,50,FALSE)</f>
        <v>0</v>
      </c>
      <c r="CV2" s="9">
        <v>45444</v>
      </c>
      <c r="CW2">
        <v>110205</v>
      </c>
      <c r="CX2" t="s">
        <v>59</v>
      </c>
      <c r="CY2" t="str">
        <f>"CPA Rescate LOCALPAYMENT " &amp; CS2 &amp; " a Bco.Bice USD " &amp; TEXT(CQ2,"#.##0,00") &amp; " T/C " &amp; CP2</f>
        <v>CPA Rescate LOCALPAYMENT USD SET a Bco.Bice USD 711.532,25 T/C 897,68</v>
      </c>
      <c r="CZ2" s="3">
        <f>+CR2</f>
        <v>638728270.17999995</v>
      </c>
      <c r="DA2" s="10"/>
      <c r="DE2" s="1">
        <v>45566</v>
      </c>
      <c r="DF2" s="26">
        <f>HLOOKUP(DE2,Hoja2!$R$2:$AV$53,52,FALSE)</f>
        <v>0</v>
      </c>
      <c r="DG2" s="77">
        <f>HLOOKUP(DE2,Hoja2!$R$2:$AV$56,55,FALSE)</f>
        <v>0</v>
      </c>
      <c r="DH2" s="77">
        <f>HLOOKUP(DE2,Hoja2!$R$2:$AV$57,56,FALSE)</f>
        <v>0</v>
      </c>
      <c r="DI2" s="79">
        <f>HLOOKUP(DE2,Hoja2!$R$2:$AV$60,59,FALSE)</f>
        <v>0</v>
      </c>
      <c r="DJ2" s="79" t="str">
        <f>HLOOKUP(DE2,Hoja2!$R$2:$AV$58,57,FALSE)</f>
        <v>USD SET</v>
      </c>
      <c r="DK2" s="79">
        <f>HLOOKUP(DE2,Hoja2!$R$2:$AV$59,58,FALSE)</f>
        <v>0</v>
      </c>
      <c r="DM2" s="9">
        <v>45444</v>
      </c>
      <c r="DN2">
        <v>110205</v>
      </c>
      <c r="DO2" t="s">
        <v>59</v>
      </c>
      <c r="DP2" t="str">
        <f>"CPA Rescate LOCALPAYMENT " &amp; DJ2 &amp; " a Bco.Bice USD " &amp; TEXT(DH2,"#.##0,00") &amp; " T/C " &amp; DG2</f>
        <v>CPA Rescate LOCALPAYMENT USD SET a Bco.Bice USD 0,00 T/C 0</v>
      </c>
      <c r="DQ2" s="3">
        <f>+DI2</f>
        <v>0</v>
      </c>
      <c r="DR2" s="10"/>
    </row>
    <row r="3" spans="1:122" x14ac:dyDescent="0.25">
      <c r="A3" s="1">
        <v>45567</v>
      </c>
      <c r="B3" s="26">
        <f>HLOOKUP(A3,Hoja2!$R$2:$AV$18,17,FALSE)</f>
        <v>2000000</v>
      </c>
      <c r="C3" s="77">
        <f>HLOOKUP(A3,Hoja2!$R$2:$AV$19,18,FALSE)</f>
        <v>901.13</v>
      </c>
      <c r="D3" s="26" t="str">
        <f>HLOOKUP(A3,Hoja2!$R$2:$AV$20,19,FALSE)</f>
        <v>2 M</v>
      </c>
      <c r="E3" s="79">
        <f>HLOOKUP(A3,Hoja2!$R$2:$AV$21,20,FALSE)</f>
        <v>1802260000</v>
      </c>
      <c r="G3" s="11"/>
      <c r="H3" s="12">
        <v>110205</v>
      </c>
      <c r="I3" s="12" t="s">
        <v>59</v>
      </c>
      <c r="J3" s="12" t="str">
        <f>+J2</f>
        <v>CPA Fondeo Bice USD a NIUM 650K USD T/C 897,68</v>
      </c>
      <c r="K3" s="13"/>
      <c r="L3" s="18">
        <f>+K2</f>
        <v>583492000</v>
      </c>
      <c r="P3" s="1">
        <v>45567</v>
      </c>
      <c r="Q3" s="26">
        <f>HLOOKUP(P3,Hoja2!$R$2:$AV$22,21,FALSE)</f>
        <v>0</v>
      </c>
      <c r="R3" s="77">
        <f>HLOOKUP(P3,Hoja2!$R$2:$AV$23,22,FALSE)</f>
        <v>901.13</v>
      </c>
      <c r="S3" s="26">
        <f>HLOOKUP(P3,Hoja2!$R$2:$AV$24,23,FALSE)</f>
        <v>0</v>
      </c>
      <c r="T3" s="79">
        <f>HLOOKUP(P3,Hoja2!$R$2:$AV$25,24,FALSE)</f>
        <v>0</v>
      </c>
      <c r="V3" s="11"/>
      <c r="W3" s="12">
        <v>110205</v>
      </c>
      <c r="X3" s="12" t="s">
        <v>59</v>
      </c>
      <c r="Y3" s="12" t="str">
        <f>+Y2</f>
        <v>CPA Fondeo Bice USD a Facilita Pay 0 USD T/C 897,68</v>
      </c>
      <c r="Z3" s="13"/>
      <c r="AA3" s="18">
        <f>+Z2</f>
        <v>0</v>
      </c>
      <c r="AD3" s="1">
        <v>45567</v>
      </c>
      <c r="AE3" s="26">
        <f>HLOOKUP(AD3,Hoja2!$R$2:$AV$26,25,FALSE)</f>
        <v>0</v>
      </c>
      <c r="AF3" s="77">
        <f>HLOOKUP(AD3,Hoja2!$R$2:$AV$27,26,FALSE)</f>
        <v>901.13</v>
      </c>
      <c r="AG3" s="26">
        <f>HLOOKUP(AD3,Hoja2!$R$2:$AV$28,27,FALSE)</f>
        <v>0</v>
      </c>
      <c r="AH3" s="79">
        <f>HLOOKUP(AD3,Hoja2!$R$2:$AV$29,28,FALSE)</f>
        <v>0</v>
      </c>
      <c r="AJ3" s="11"/>
      <c r="AK3" s="12">
        <v>110205</v>
      </c>
      <c r="AL3" s="12" t="s">
        <v>59</v>
      </c>
      <c r="AM3" s="12" t="str">
        <f>+AM2</f>
        <v xml:space="preserve">CPA Fondeo Bice USD a JPM COL 715K USD T/C 897,68.- </v>
      </c>
      <c r="AN3" s="13"/>
      <c r="AO3" s="18">
        <f>+AN2</f>
        <v>641841200</v>
      </c>
      <c r="AS3" s="1">
        <v>45567</v>
      </c>
      <c r="AT3" s="26">
        <f>HLOOKUP(AS3,Hoja2!$R$2:$AV$30,29,FALSE)</f>
        <v>500000</v>
      </c>
      <c r="AU3" s="77">
        <f>HLOOKUP(AS3,Hoja2!$R$2:$AV$31,30,FALSE)</f>
        <v>897.68</v>
      </c>
      <c r="AV3" s="26" t="str">
        <f>HLOOKUP(AS3,Hoja2!$R$2:$AV$32,31,FALSE)</f>
        <v>500K</v>
      </c>
      <c r="AW3" s="79">
        <f>HLOOKUP(AS3,Hoja2!$R$2:$AV$33,32,FALSE)</f>
        <v>448840000</v>
      </c>
      <c r="AY3" s="11"/>
      <c r="AZ3" s="12">
        <v>110276</v>
      </c>
      <c r="BA3" s="12" t="s">
        <v>97</v>
      </c>
      <c r="BB3" s="12" t="str">
        <f>+BB2</f>
        <v>CPA Rescate DLocal a Bco.Bice USD 0 USD T/C 0.- 01-06-2024</v>
      </c>
      <c r="BC3" s="13"/>
      <c r="BD3" s="18">
        <f>+BC2</f>
        <v>0</v>
      </c>
      <c r="BH3" s="1">
        <v>45567</v>
      </c>
      <c r="BI3" s="26">
        <f>HLOOKUP(BH3,Hoja2!$R$2:$AV$35,34,FALSE)</f>
        <v>0</v>
      </c>
      <c r="BJ3" s="77">
        <f>HLOOKUP(BH3,Hoja2!$R$2:$AV$36,35,FALSE)</f>
        <v>901.13</v>
      </c>
      <c r="BK3" s="26">
        <f>HLOOKUP(BH3,Hoja2!$R$2:$AV$37,36,FALSE)</f>
        <v>0</v>
      </c>
      <c r="BL3" s="79">
        <f>HLOOKUP(BH3,Hoja2!$R$2:$AV$38,37,FALSE)</f>
        <v>0</v>
      </c>
      <c r="BN3" s="11"/>
      <c r="BO3" s="12">
        <v>110205</v>
      </c>
      <c r="BP3" s="12" t="s">
        <v>59</v>
      </c>
      <c r="BQ3" s="12" t="str">
        <f>+BQ2</f>
        <v>CPA Fondeo Bice USD a OZ CAMBIO USD 400K USD T/C 897,68</v>
      </c>
      <c r="BR3" s="13"/>
      <c r="BS3" s="18">
        <f>+BR2</f>
        <v>359072000</v>
      </c>
      <c r="BW3" s="1">
        <v>45567</v>
      </c>
      <c r="BX3" s="26">
        <f>HLOOKUP(BW3,Hoja2!$R$2:$AV$46,45,FALSE)</f>
        <v>0</v>
      </c>
      <c r="BY3" s="77">
        <f>HLOOKUP(BW3,Hoja2!$R$2:$AV$48,47,FALSE)</f>
        <v>0</v>
      </c>
      <c r="BZ3" s="77">
        <f>HLOOKUP(BW3,Hoja2!$R$2:$AV$49,48,FALSE)</f>
        <v>0</v>
      </c>
      <c r="CA3" s="79">
        <f>HLOOKUP(BW3,Hoja2!$R$2:$AV$52,51,FALSE)</f>
        <v>0</v>
      </c>
      <c r="CB3" s="79" t="str">
        <f>HLOOKUP(BW3,Hoja2!$R$2:$AV$50,49,FALSE)</f>
        <v>USD SET</v>
      </c>
      <c r="CC3" s="79">
        <f>HLOOKUP(BW3,Hoja2!$R$2:$AV$51,50,FALSE)</f>
        <v>0</v>
      </c>
      <c r="CE3" s="20"/>
      <c r="CF3">
        <v>420604</v>
      </c>
      <c r="CG3" t="s">
        <v>164</v>
      </c>
      <c r="CH3" t="str">
        <f>"CPA Comisión bancaria rescate LOCALPAYMENT a Bco.Bice USD"</f>
        <v>CPA Comisión bancaria rescate LOCALPAYMENT a Bco.Bice USD</v>
      </c>
      <c r="CI3" s="3">
        <f>+CC2</f>
        <v>0</v>
      </c>
      <c r="CJ3" s="10"/>
      <c r="CN3" s="1">
        <v>45567</v>
      </c>
      <c r="CO3" s="26">
        <f>HLOOKUP(CN3,Hoja2!$R$2:$AV$46,45,FALSE)</f>
        <v>0</v>
      </c>
      <c r="CP3" s="77">
        <f>HLOOKUP(CN3,Hoja2!$R$2:$AV$48,47,FALSE)</f>
        <v>0</v>
      </c>
      <c r="CQ3" s="77">
        <f>HLOOKUP(CN3,Hoja2!$R$2:$AV$49,48,FALSE)</f>
        <v>0</v>
      </c>
      <c r="CR3" s="79">
        <f>HLOOKUP(CN3,Hoja2!$R$2:$AV$52,51,FALSE)</f>
        <v>0</v>
      </c>
      <c r="CS3" s="79" t="str">
        <f>HLOOKUP(CN3,Hoja2!$R$2:$AV$50,49,FALSE)</f>
        <v>USD SET</v>
      </c>
      <c r="CT3" s="79">
        <f>HLOOKUP(CN3,Hoja2!$R$2:$AV$51,50,FALSE)</f>
        <v>0</v>
      </c>
      <c r="CV3" s="20"/>
      <c r="CW3">
        <v>420604</v>
      </c>
      <c r="CX3" t="s">
        <v>164</v>
      </c>
      <c r="CY3" t="str">
        <f>"CPA Comisión bancaria rescate LOCALPAYMENT a Bco.Bice USD"</f>
        <v>CPA Comisión bancaria rescate LOCALPAYMENT a Bco.Bice USD</v>
      </c>
      <c r="CZ3" s="3">
        <f>+CT2</f>
        <v>0</v>
      </c>
      <c r="DA3" s="10"/>
      <c r="DE3" s="1">
        <v>45567</v>
      </c>
      <c r="DF3" s="26">
        <f>HLOOKUP(DE3,Hoja2!$R$2:$AV$53,52,FALSE)</f>
        <v>0</v>
      </c>
      <c r="DG3" s="77">
        <f>HLOOKUP(DE3,Hoja2!$R$2:$AV$56,55,FALSE)</f>
        <v>0</v>
      </c>
      <c r="DH3" s="77">
        <f>HLOOKUP(DE3,Hoja2!$R$2:$AV$57,56,FALSE)</f>
        <v>0</v>
      </c>
      <c r="DI3" s="79">
        <f>HLOOKUP(DE3,Hoja2!$R$2:$AV$60,59,FALSE)</f>
        <v>0</v>
      </c>
      <c r="DJ3" s="79" t="str">
        <f>HLOOKUP(DE3,Hoja2!$R$2:$AV$58,57,FALSE)</f>
        <v>USD SET</v>
      </c>
      <c r="DK3" s="79">
        <f>HLOOKUP(DE3,Hoja2!$R$2:$AV$59,58,FALSE)</f>
        <v>0</v>
      </c>
      <c r="DM3" s="20"/>
      <c r="DN3">
        <v>420604</v>
      </c>
      <c r="DO3" t="s">
        <v>164</v>
      </c>
      <c r="DP3" t="str">
        <f>"CPA Comisión bancaria rescate LOCALPAYMENT a Bco.Bice USD"</f>
        <v>CPA Comisión bancaria rescate LOCALPAYMENT a Bco.Bice USD</v>
      </c>
      <c r="DQ3" s="3">
        <f>+DK2</f>
        <v>0</v>
      </c>
      <c r="DR3" s="10"/>
    </row>
    <row r="4" spans="1:122" x14ac:dyDescent="0.25">
      <c r="A4" s="1">
        <v>45568</v>
      </c>
      <c r="B4" s="26">
        <f>HLOOKUP(A4,Hoja2!$R$2:$AV$18,17,FALSE)</f>
        <v>815000</v>
      </c>
      <c r="C4" s="77">
        <f>HLOOKUP(A4,Hoja2!$R$2:$AV$19,18,FALSE)</f>
        <v>908.23</v>
      </c>
      <c r="D4" s="26" t="str">
        <f>HLOOKUP(A4,Hoja2!$R$2:$AV$20,19,FALSE)</f>
        <v>815K</v>
      </c>
      <c r="E4" s="79">
        <f>HLOOKUP(A4,Hoja2!$R$2:$AV$21,20,FALSE)</f>
        <v>740207450</v>
      </c>
      <c r="G4" s="15">
        <v>45445</v>
      </c>
      <c r="H4">
        <v>110275</v>
      </c>
      <c r="I4" t="s">
        <v>82</v>
      </c>
      <c r="J4" t="str">
        <f>"CPA Fondeo Bice USD a NIUM " &amp;D3&amp;" USD T/C "&amp;C3</f>
        <v>CPA Fondeo Bice USD a NIUM 2 M USD T/C 901,13</v>
      </c>
      <c r="K4" s="3">
        <f>+E3</f>
        <v>1802260000</v>
      </c>
      <c r="L4" s="10"/>
      <c r="P4" s="1">
        <v>45568</v>
      </c>
      <c r="Q4" s="26">
        <f>HLOOKUP(P4,Hoja2!$R$2:$AV$22,21,FALSE)</f>
        <v>0</v>
      </c>
      <c r="R4" s="77">
        <f>HLOOKUP(P4,Hoja2!$R$2:$AV$23,22,FALSE)</f>
        <v>908.23</v>
      </c>
      <c r="S4" s="26">
        <f>HLOOKUP(P4,Hoja2!$R$2:$AV$24,23,FALSE)</f>
        <v>0</v>
      </c>
      <c r="T4" s="79">
        <f>HLOOKUP(P4,Hoja2!$R$2:$AV$25,24,FALSE)</f>
        <v>0</v>
      </c>
      <c r="V4" s="15">
        <v>45445</v>
      </c>
      <c r="W4">
        <v>110274</v>
      </c>
      <c r="X4" t="s">
        <v>84</v>
      </c>
      <c r="Y4" t="str">
        <f>"CPA Fondeo Bice USD a Facilita Pay " &amp;S3&amp;" USD T/C "&amp;R3</f>
        <v>CPA Fondeo Bice USD a Facilita Pay 0 USD T/C 901,13</v>
      </c>
      <c r="Z4" s="3">
        <f>+T3</f>
        <v>0</v>
      </c>
      <c r="AA4" s="10"/>
      <c r="AD4" s="1">
        <v>45568</v>
      </c>
      <c r="AE4" s="26">
        <f>HLOOKUP(AD4,Hoja2!$R$2:$AV$26,25,FALSE)</f>
        <v>0</v>
      </c>
      <c r="AF4" s="77">
        <f>HLOOKUP(AD4,Hoja2!$R$2:$AV$27,26,FALSE)</f>
        <v>908.23</v>
      </c>
      <c r="AG4" s="26">
        <f>HLOOKUP(AD4,Hoja2!$R$2:$AV$28,27,FALSE)</f>
        <v>0</v>
      </c>
      <c r="AH4" s="79">
        <f>HLOOKUP(AD4,Hoja2!$R$2:$AV$29,28,FALSE)</f>
        <v>0</v>
      </c>
      <c r="AJ4" s="15">
        <v>45445</v>
      </c>
      <c r="AK4">
        <v>110820</v>
      </c>
      <c r="AL4" t="s">
        <v>92</v>
      </c>
      <c r="AM4" t="str">
        <f>"CPA Fondeo Bice USD a JPM COL " &amp;AG3&amp;" USD T/C "&amp;AF3&amp;".- "&amp;TEXT($G4,"dd-mm-aaa")</f>
        <v>CPA Fondeo Bice USD a JPM COL 0 USD T/C 901,13.- 02-06-2024</v>
      </c>
      <c r="AN4" s="3">
        <f>+AH3</f>
        <v>0</v>
      </c>
      <c r="AO4" s="10"/>
      <c r="AS4" s="1">
        <v>45568</v>
      </c>
      <c r="AT4" s="26">
        <f>HLOOKUP(AS4,Hoja2!$R$2:$AV$30,29,FALSE)</f>
        <v>0</v>
      </c>
      <c r="AU4" s="77">
        <f>HLOOKUP(AS4,Hoja2!$R$2:$AV$31,30,FALSE)</f>
        <v>0</v>
      </c>
      <c r="AV4" s="26">
        <f>HLOOKUP(AS4,Hoja2!$R$2:$AV$32,31,FALSE)</f>
        <v>0</v>
      </c>
      <c r="AW4" s="79">
        <f>HLOOKUP(AS4,Hoja2!$R$2:$AV$33,32,FALSE)</f>
        <v>0</v>
      </c>
      <c r="AY4" s="15">
        <v>45445</v>
      </c>
      <c r="AZ4">
        <v>110205</v>
      </c>
      <c r="BA4" t="s">
        <v>59</v>
      </c>
      <c r="BB4" t="str">
        <f>"CPA Rescate DLocal a Bco.Bice USD " &amp;AV3&amp;" USD T/C "&amp;AU3&amp;".- "&amp;TEXT($G4,"dd-mm-aaa")</f>
        <v>CPA Rescate DLocal a Bco.Bice USD 500K USD T/C 897,68.- 02-06-2024</v>
      </c>
      <c r="BC4" s="3">
        <f>+AW3</f>
        <v>448840000</v>
      </c>
      <c r="BD4" s="10"/>
      <c r="BH4" s="1">
        <v>45568</v>
      </c>
      <c r="BI4" s="26">
        <f>HLOOKUP(BH4,Hoja2!$R$2:$AV$35,34,FALSE)</f>
        <v>200000</v>
      </c>
      <c r="BJ4" s="77">
        <f>HLOOKUP(BH4,Hoja2!$R$2:$AV$36,35,FALSE)</f>
        <v>908.23</v>
      </c>
      <c r="BK4" s="26" t="str">
        <f>HLOOKUP(BH4,Hoja2!$R$2:$AV$37,36,FALSE)</f>
        <v>200K</v>
      </c>
      <c r="BL4" s="79">
        <f>HLOOKUP(BH4,Hoja2!$R$2:$AV$38,37,FALSE)</f>
        <v>181646000</v>
      </c>
      <c r="BN4" s="15">
        <v>45445</v>
      </c>
      <c r="BO4">
        <v>110292</v>
      </c>
      <c r="BP4" t="s">
        <v>142</v>
      </c>
      <c r="BQ4" t="str">
        <f>"CPA Fondeo Bice USD a OZ CAMBIO USD " &amp;BK3&amp;" USD T/C "&amp;BJ3</f>
        <v>CPA Fondeo Bice USD a OZ CAMBIO USD 0 USD T/C 901,13</v>
      </c>
      <c r="BR4" s="3">
        <f>+BL3</f>
        <v>0</v>
      </c>
      <c r="BS4" s="10"/>
      <c r="BW4" s="1">
        <v>45568</v>
      </c>
      <c r="BX4" s="26">
        <f>HLOOKUP(BW4,Hoja2!$R$2:$AV$46,45,FALSE)</f>
        <v>1012060.2</v>
      </c>
      <c r="BY4" s="77">
        <f>HLOOKUP(BW4,Hoja2!$R$2:$AV$48,47,FALSE)</f>
        <v>901.13</v>
      </c>
      <c r="BZ4" s="77">
        <f>HLOOKUP(BW4,Hoja2!$R$2:$AV$49,48,FALSE)</f>
        <v>1012060.2</v>
      </c>
      <c r="CA4" s="79">
        <f>HLOOKUP(BW4,Hoja2!$R$2:$AV$52,51,FALSE)</f>
        <v>911997808.0259999</v>
      </c>
      <c r="CB4" s="79" t="str">
        <f>HLOOKUP(BW4,Hoja2!$R$2:$AV$50,49,FALSE)</f>
        <v>USD SET</v>
      </c>
      <c r="CC4" s="79">
        <f>HLOOKUP(BW4,Hoja2!$R$2:$AV$51,50,FALSE)</f>
        <v>0</v>
      </c>
      <c r="CE4" s="20"/>
      <c r="CF4">
        <v>110316</v>
      </c>
      <c r="CG4" t="s">
        <v>165</v>
      </c>
      <c r="CH4" t="str">
        <f>+CH3</f>
        <v>CPA Comisión bancaria rescate LOCALPAYMENT a Bco.Bice USD</v>
      </c>
      <c r="CI4" s="3"/>
      <c r="CJ4" s="10">
        <f>+CI3</f>
        <v>0</v>
      </c>
      <c r="CN4" s="1">
        <v>45568</v>
      </c>
      <c r="CO4" s="26">
        <f>HLOOKUP(CN4,Hoja2!$R$2:$AV$46,45,FALSE)</f>
        <v>1012060.2</v>
      </c>
      <c r="CP4" s="77">
        <f>HLOOKUP(CN4,Hoja2!$R$2:$AV$48,47,FALSE)</f>
        <v>901.13</v>
      </c>
      <c r="CQ4" s="77">
        <f>HLOOKUP(CN4,Hoja2!$R$2:$AV$49,48,FALSE)</f>
        <v>1012060.2</v>
      </c>
      <c r="CR4" s="79">
        <f>HLOOKUP(CN4,Hoja2!$R$2:$AV$52,51,FALSE)</f>
        <v>911997808.0259999</v>
      </c>
      <c r="CS4" s="79" t="str">
        <f>HLOOKUP(CN4,Hoja2!$R$2:$AV$50,49,FALSE)</f>
        <v>USD SET</v>
      </c>
      <c r="CT4" s="79">
        <f>HLOOKUP(CN4,Hoja2!$R$2:$AV$51,50,FALSE)</f>
        <v>0</v>
      </c>
      <c r="CV4" s="20"/>
      <c r="CW4">
        <v>110316</v>
      </c>
      <c r="CX4" t="s">
        <v>165</v>
      </c>
      <c r="CY4" t="str">
        <f>+CY3</f>
        <v>CPA Comisión bancaria rescate LOCALPAYMENT a Bco.Bice USD</v>
      </c>
      <c r="CZ4" s="3"/>
      <c r="DA4" s="10">
        <f>+CZ3</f>
        <v>0</v>
      </c>
      <c r="DE4" s="1">
        <v>45568</v>
      </c>
      <c r="DF4" s="26">
        <f>HLOOKUP(DE4,Hoja2!$R$2:$AV$53,52,FALSE)</f>
        <v>0</v>
      </c>
      <c r="DG4" s="77">
        <f>HLOOKUP(DE4,Hoja2!$R$2:$AV$56,55,FALSE)</f>
        <v>0</v>
      </c>
      <c r="DH4" s="77">
        <f>HLOOKUP(DE4,Hoja2!$R$2:$AV$57,56,FALSE)</f>
        <v>0</v>
      </c>
      <c r="DI4" s="79">
        <f>HLOOKUP(DE4,Hoja2!$R$2:$AV$60,59,FALSE)</f>
        <v>0</v>
      </c>
      <c r="DJ4" s="79" t="str">
        <f>HLOOKUP(DE4,Hoja2!$R$2:$AV$58,57,FALSE)</f>
        <v>USD SET</v>
      </c>
      <c r="DK4" s="79">
        <f>HLOOKUP(DE4,Hoja2!$R$2:$AV$59,58,FALSE)</f>
        <v>0</v>
      </c>
      <c r="DM4" s="20"/>
      <c r="DN4">
        <v>110316</v>
      </c>
      <c r="DO4" t="s">
        <v>165</v>
      </c>
      <c r="DP4" t="str">
        <f>+DP3</f>
        <v>CPA Comisión bancaria rescate LOCALPAYMENT a Bco.Bice USD</v>
      </c>
      <c r="DQ4" s="3"/>
      <c r="DR4" s="10">
        <f>+DQ3</f>
        <v>0</v>
      </c>
    </row>
    <row r="5" spans="1:122" x14ac:dyDescent="0.25">
      <c r="A5" s="1">
        <v>45569</v>
      </c>
      <c r="B5" s="26">
        <f>HLOOKUP(A5,Hoja2!$R$2:$AV$18,17,FALSE)</f>
        <v>722900</v>
      </c>
      <c r="C5" s="77">
        <f>HLOOKUP(A5,Hoja2!$R$2:$AV$19,18,FALSE)</f>
        <v>919.49</v>
      </c>
      <c r="D5" s="26">
        <f>HLOOKUP(A5,Hoja2!$R$2:$AV$20,19,FALSE)</f>
        <v>722900</v>
      </c>
      <c r="E5" s="79">
        <f>HLOOKUP(A5,Hoja2!$R$2:$AV$21,20,FALSE)</f>
        <v>664699321</v>
      </c>
      <c r="G5" s="11"/>
      <c r="H5" s="12">
        <v>110205</v>
      </c>
      <c r="I5" s="12" t="s">
        <v>59</v>
      </c>
      <c r="J5" s="12" t="str">
        <f>+J4</f>
        <v>CPA Fondeo Bice USD a NIUM 2 M USD T/C 901,13</v>
      </c>
      <c r="K5" s="13"/>
      <c r="L5" s="18">
        <f t="shared" ref="L5" si="0">+K4</f>
        <v>1802260000</v>
      </c>
      <c r="P5" s="1">
        <v>45569</v>
      </c>
      <c r="Q5" s="26">
        <f>HLOOKUP(P5,Hoja2!$R$2:$AV$22,21,FALSE)</f>
        <v>0</v>
      </c>
      <c r="R5" s="77">
        <f>HLOOKUP(P5,Hoja2!$R$2:$AV$23,22,FALSE)</f>
        <v>919.49</v>
      </c>
      <c r="S5" s="26">
        <f>HLOOKUP(P5,Hoja2!$R$2:$AV$24,23,FALSE)</f>
        <v>0</v>
      </c>
      <c r="T5" s="79">
        <f>HLOOKUP(P5,Hoja2!$R$2:$AV$25,24,FALSE)</f>
        <v>0</v>
      </c>
      <c r="V5" s="11"/>
      <c r="W5" s="12">
        <v>110205</v>
      </c>
      <c r="X5" s="12" t="s">
        <v>59</v>
      </c>
      <c r="Y5" s="12" t="str">
        <f>+Y4</f>
        <v>CPA Fondeo Bice USD a Facilita Pay 0 USD T/C 901,13</v>
      </c>
      <c r="Z5" s="13"/>
      <c r="AA5" s="18">
        <f t="shared" ref="AA5" si="1">+Z4</f>
        <v>0</v>
      </c>
      <c r="AD5" s="1">
        <v>45569</v>
      </c>
      <c r="AE5" s="26">
        <f>HLOOKUP(AD5,Hoja2!$R$2:$AV$26,25,FALSE)</f>
        <v>0</v>
      </c>
      <c r="AF5" s="77">
        <f>HLOOKUP(AD5,Hoja2!$R$2:$AV$27,26,FALSE)</f>
        <v>919.49</v>
      </c>
      <c r="AG5" s="26">
        <f>HLOOKUP(AD5,Hoja2!$R$2:$AV$28,27,FALSE)</f>
        <v>0</v>
      </c>
      <c r="AH5" s="79">
        <f>HLOOKUP(AD5,Hoja2!$R$2:$AV$29,28,FALSE)</f>
        <v>0</v>
      </c>
      <c r="AJ5" s="11"/>
      <c r="AK5" s="12">
        <v>110205</v>
      </c>
      <c r="AL5" s="12" t="s">
        <v>59</v>
      </c>
      <c r="AM5" s="12" t="str">
        <f>+AM4</f>
        <v>CPA Fondeo Bice USD a JPM COL 0 USD T/C 901,13.- 02-06-2024</v>
      </c>
      <c r="AN5" s="13"/>
      <c r="AO5" s="18">
        <f t="shared" ref="AO5" si="2">+AN4</f>
        <v>0</v>
      </c>
      <c r="AS5" s="1">
        <v>45569</v>
      </c>
      <c r="AT5" s="26">
        <f>HLOOKUP(AS5,Hoja2!$R$2:$AV$30,29,FALSE)</f>
        <v>0</v>
      </c>
      <c r="AU5" s="77">
        <f>HLOOKUP(AS5,Hoja2!$R$2:$AV$31,30,FALSE)</f>
        <v>0</v>
      </c>
      <c r="AV5" s="26">
        <f>HLOOKUP(AS5,Hoja2!$R$2:$AV$32,31,FALSE)</f>
        <v>0</v>
      </c>
      <c r="AW5" s="79">
        <f>HLOOKUP(AS5,Hoja2!$R$2:$AV$33,32,FALSE)</f>
        <v>0</v>
      </c>
      <c r="AY5" s="11"/>
      <c r="AZ5" s="12">
        <v>110276</v>
      </c>
      <c r="BA5" s="12" t="s">
        <v>97</v>
      </c>
      <c r="BB5" s="12" t="str">
        <f>+BB4</f>
        <v>CPA Rescate DLocal a Bco.Bice USD 500K USD T/C 897,68.- 02-06-2024</v>
      </c>
      <c r="BC5" s="13"/>
      <c r="BD5" s="18">
        <f t="shared" ref="BD5" si="3">+BC4</f>
        <v>448840000</v>
      </c>
      <c r="BH5" s="1">
        <v>45569</v>
      </c>
      <c r="BI5" s="26">
        <f>HLOOKUP(BH5,Hoja2!$R$2:$AV$35,34,FALSE)</f>
        <v>0</v>
      </c>
      <c r="BJ5" s="77">
        <f>HLOOKUP(BH5,Hoja2!$R$2:$AV$36,35,FALSE)</f>
        <v>919.49</v>
      </c>
      <c r="BK5" s="26">
        <f>HLOOKUP(BH5,Hoja2!$R$2:$AV$37,36,FALSE)</f>
        <v>0</v>
      </c>
      <c r="BL5" s="79">
        <f>HLOOKUP(BH5,Hoja2!$R$2:$AV$38,37,FALSE)</f>
        <v>0</v>
      </c>
      <c r="BN5" s="11"/>
      <c r="BO5" s="12">
        <v>110205</v>
      </c>
      <c r="BP5" s="12" t="s">
        <v>59</v>
      </c>
      <c r="BQ5" s="12" t="str">
        <f>+BQ4</f>
        <v>CPA Fondeo Bice USD a OZ CAMBIO USD 0 USD T/C 901,13</v>
      </c>
      <c r="BR5" s="13"/>
      <c r="BS5" s="18">
        <f t="shared" ref="BS5" si="4">+BR4</f>
        <v>0</v>
      </c>
      <c r="BW5" s="1">
        <v>45569</v>
      </c>
      <c r="BX5" s="26">
        <f>HLOOKUP(BW5,Hoja2!$R$2:$AV$46,45,FALSE)</f>
        <v>718000</v>
      </c>
      <c r="BY5" s="77">
        <f>HLOOKUP(BW5,Hoja2!$R$2:$AV$48,47,FALSE)</f>
        <v>908.23</v>
      </c>
      <c r="BZ5" s="77">
        <f>HLOOKUP(BW5,Hoja2!$R$2:$AV$49,48,FALSE)</f>
        <v>718000</v>
      </c>
      <c r="CA5" s="79">
        <f>HLOOKUP(BW5,Hoja2!$R$2:$AV$52,51,FALSE)</f>
        <v>652109140</v>
      </c>
      <c r="CB5" s="79" t="str">
        <f>HLOOKUP(BW5,Hoja2!$R$2:$AV$50,49,FALSE)</f>
        <v>USD SET</v>
      </c>
      <c r="CC5" s="79">
        <f>HLOOKUP(BW5,Hoja2!$R$2:$AV$51,50,FALSE)</f>
        <v>0</v>
      </c>
      <c r="CE5" s="11"/>
      <c r="CF5" s="12">
        <v>110316</v>
      </c>
      <c r="CG5" s="12" t="s">
        <v>165</v>
      </c>
      <c r="CH5" s="12" t="str">
        <f>+CH2</f>
        <v>CPA Rescate LOCALPAYMENT USD SET a Bco.Bice USD 711.532,25 T/C 897,68</v>
      </c>
      <c r="CI5" s="13"/>
      <c r="CJ5" s="18">
        <f>+CI2</f>
        <v>638728270.17999995</v>
      </c>
      <c r="CN5" s="1">
        <v>45569</v>
      </c>
      <c r="CO5" s="26">
        <f>HLOOKUP(CN5,Hoja2!$R$2:$AV$46,45,FALSE)</f>
        <v>718000</v>
      </c>
      <c r="CP5" s="77">
        <f>HLOOKUP(CN5,Hoja2!$R$2:$AV$48,47,FALSE)</f>
        <v>908.23</v>
      </c>
      <c r="CQ5" s="77">
        <f>HLOOKUP(CN5,Hoja2!$R$2:$AV$49,48,FALSE)</f>
        <v>718000</v>
      </c>
      <c r="CR5" s="79">
        <f>HLOOKUP(CN5,Hoja2!$R$2:$AV$52,51,FALSE)</f>
        <v>652109140</v>
      </c>
      <c r="CS5" s="79" t="str">
        <f>HLOOKUP(CN5,Hoja2!$R$2:$AV$50,49,FALSE)</f>
        <v>USD SET</v>
      </c>
      <c r="CT5" s="79">
        <f>HLOOKUP(CN5,Hoja2!$R$2:$AV$51,50,FALSE)</f>
        <v>0</v>
      </c>
      <c r="CV5" s="11"/>
      <c r="CW5" s="12">
        <v>110316</v>
      </c>
      <c r="CX5" s="12" t="s">
        <v>165</v>
      </c>
      <c r="CY5" s="12" t="str">
        <f>+CY2</f>
        <v>CPA Rescate LOCALPAYMENT USD SET a Bco.Bice USD 711.532,25 T/C 897,68</v>
      </c>
      <c r="CZ5" s="13"/>
      <c r="DA5" s="18">
        <f>+CZ2</f>
        <v>638728270.17999995</v>
      </c>
      <c r="DE5" s="1">
        <v>45569</v>
      </c>
      <c r="DF5" s="26">
        <f>HLOOKUP(DE5,Hoja2!$R$2:$AV$53,52,FALSE)</f>
        <v>0</v>
      </c>
      <c r="DG5" s="77">
        <f>HLOOKUP(DE5,Hoja2!$R$2:$AV$56,55,FALSE)</f>
        <v>0</v>
      </c>
      <c r="DH5" s="77">
        <f>HLOOKUP(DE5,Hoja2!$R$2:$AV$57,56,FALSE)</f>
        <v>0</v>
      </c>
      <c r="DI5" s="79">
        <f>HLOOKUP(DE5,Hoja2!$R$2:$AV$60,59,FALSE)</f>
        <v>0</v>
      </c>
      <c r="DJ5" s="79" t="str">
        <f>HLOOKUP(DE5,Hoja2!$R$2:$AV$58,57,FALSE)</f>
        <v>USD SET</v>
      </c>
      <c r="DK5" s="79">
        <f>HLOOKUP(DE5,Hoja2!$R$2:$AV$59,58,FALSE)</f>
        <v>0</v>
      </c>
      <c r="DM5" s="11"/>
      <c r="DN5" s="12">
        <v>110316</v>
      </c>
      <c r="DO5" s="12" t="s">
        <v>165</v>
      </c>
      <c r="DP5" s="12" t="str">
        <f>+DP2</f>
        <v>CPA Rescate LOCALPAYMENT USD SET a Bco.Bice USD 0,00 T/C 0</v>
      </c>
      <c r="DQ5" s="13"/>
      <c r="DR5" s="18">
        <f>+DQ2</f>
        <v>0</v>
      </c>
    </row>
    <row r="6" spans="1:122" x14ac:dyDescent="0.25">
      <c r="A6" s="1">
        <v>45570</v>
      </c>
      <c r="B6" s="26">
        <f>HLOOKUP(A6,Hoja2!$R$2:$AV$18,17,FALSE)</f>
        <v>0</v>
      </c>
      <c r="C6" s="77">
        <f>HLOOKUP(A6,Hoja2!$R$2:$AV$19,18,FALSE)</f>
        <v>919.49</v>
      </c>
      <c r="D6" s="26">
        <f>HLOOKUP(A6,Hoja2!$R$2:$AV$20,19,FALSE)</f>
        <v>0</v>
      </c>
      <c r="E6" s="79">
        <f>HLOOKUP(A6,Hoja2!$R$2:$AV$21,20,FALSE)</f>
        <v>0</v>
      </c>
      <c r="G6" s="15">
        <v>45446</v>
      </c>
      <c r="H6">
        <v>110275</v>
      </c>
      <c r="I6" t="s">
        <v>82</v>
      </c>
      <c r="J6" t="str">
        <f>"CPA Fondeo Bice USD a NIUM " &amp;D4&amp;" USD T/C "&amp;C4</f>
        <v>CPA Fondeo Bice USD a NIUM 815K USD T/C 908,23</v>
      </c>
      <c r="K6" s="3">
        <f>+E4</f>
        <v>740207450</v>
      </c>
      <c r="L6" s="10"/>
      <c r="P6" s="1">
        <v>45570</v>
      </c>
      <c r="Q6" s="26">
        <f>HLOOKUP(P6,Hoja2!$R$2:$AV$22,21,FALSE)</f>
        <v>0</v>
      </c>
      <c r="R6" s="77">
        <f>HLOOKUP(P6,Hoja2!$R$2:$AV$23,22,FALSE)</f>
        <v>919.49</v>
      </c>
      <c r="S6" s="26">
        <f>HLOOKUP(P6,Hoja2!$R$2:$AV$24,23,FALSE)</f>
        <v>0</v>
      </c>
      <c r="T6" s="79">
        <f>HLOOKUP(P6,Hoja2!$R$2:$AV$25,24,FALSE)</f>
        <v>0</v>
      </c>
      <c r="V6" s="15">
        <v>45446</v>
      </c>
      <c r="W6">
        <v>110274</v>
      </c>
      <c r="X6" t="s">
        <v>84</v>
      </c>
      <c r="Y6" t="str">
        <f>"CPA Fondeo Bice USD a Facilita Pay " &amp;S4&amp;" USD T/C "&amp;R4</f>
        <v>CPA Fondeo Bice USD a Facilita Pay 0 USD T/C 908,23</v>
      </c>
      <c r="Z6" s="3">
        <f>+T4</f>
        <v>0</v>
      </c>
      <c r="AA6" s="10"/>
      <c r="AD6" s="1">
        <v>45570</v>
      </c>
      <c r="AE6" s="26">
        <f>HLOOKUP(AD6,Hoja2!$R$2:$AV$26,25,FALSE)</f>
        <v>0</v>
      </c>
      <c r="AF6" s="77">
        <f>HLOOKUP(AD6,Hoja2!$R$2:$AV$27,26,FALSE)</f>
        <v>919.49</v>
      </c>
      <c r="AG6" s="26">
        <f>HLOOKUP(AD6,Hoja2!$R$2:$AV$28,27,FALSE)</f>
        <v>0</v>
      </c>
      <c r="AH6" s="79">
        <f>HLOOKUP(AD6,Hoja2!$R$2:$AV$29,28,FALSE)</f>
        <v>0</v>
      </c>
      <c r="AJ6" s="15">
        <v>45446</v>
      </c>
      <c r="AK6">
        <v>110820</v>
      </c>
      <c r="AL6" t="s">
        <v>92</v>
      </c>
      <c r="AM6" t="str">
        <f>"CPA Fondeo Bice USD a JPM COL " &amp;AG4&amp;" USD T/C "&amp;AF4&amp;".- "&amp;TEXT($G6,"dd-mm-aaa")</f>
        <v>CPA Fondeo Bice USD a JPM COL 0 USD T/C 908,23.- 03-06-2024</v>
      </c>
      <c r="AN6" s="3">
        <f>+AH4</f>
        <v>0</v>
      </c>
      <c r="AO6" s="10"/>
      <c r="AS6" s="1">
        <v>45570</v>
      </c>
      <c r="AT6" s="26">
        <f>HLOOKUP(AS6,Hoja2!$R$2:$AV$30,29,FALSE)</f>
        <v>0</v>
      </c>
      <c r="AU6" s="77">
        <f>HLOOKUP(AS6,Hoja2!$R$2:$AV$31,30,FALSE)</f>
        <v>0</v>
      </c>
      <c r="AV6" s="26">
        <f>HLOOKUP(AS6,Hoja2!$R$2:$AV$32,31,FALSE)</f>
        <v>0</v>
      </c>
      <c r="AW6" s="79">
        <f>HLOOKUP(AS6,Hoja2!$R$2:$AV$33,32,FALSE)</f>
        <v>0</v>
      </c>
      <c r="AY6" s="15">
        <v>45446</v>
      </c>
      <c r="AZ6">
        <v>110205</v>
      </c>
      <c r="BA6" t="s">
        <v>59</v>
      </c>
      <c r="BB6" t="str">
        <f>"CPA Rescate DLocal a Bco.Bice USD " &amp;AV4&amp;" USD T/C "&amp;AU4&amp;".- "&amp;TEXT($G6,"dd-mm-aaa")</f>
        <v>CPA Rescate DLocal a Bco.Bice USD 0 USD T/C 0.- 03-06-2024</v>
      </c>
      <c r="BC6" s="3">
        <f>+AW4</f>
        <v>0</v>
      </c>
      <c r="BD6" s="10"/>
      <c r="BH6" s="1">
        <v>45570</v>
      </c>
      <c r="BI6" s="26">
        <f>HLOOKUP(BH6,Hoja2!$R$2:$AV$35,34,FALSE)</f>
        <v>0</v>
      </c>
      <c r="BJ6" s="77">
        <f>HLOOKUP(BH6,Hoja2!$R$2:$AV$36,35,FALSE)</f>
        <v>919.49</v>
      </c>
      <c r="BK6" s="26">
        <f>HLOOKUP(BH6,Hoja2!$R$2:$AV$37,36,FALSE)</f>
        <v>0</v>
      </c>
      <c r="BL6" s="79">
        <f>HLOOKUP(BH6,Hoja2!$R$2:$AV$38,37,FALSE)</f>
        <v>0</v>
      </c>
      <c r="BN6" s="15">
        <v>45446</v>
      </c>
      <c r="BO6">
        <v>110292</v>
      </c>
      <c r="BP6" t="s">
        <v>142</v>
      </c>
      <c r="BQ6" t="str">
        <f>"CPA Fondeo Bice USD a OZ CAMBIO USD " &amp;BK4&amp;" USD T/C "&amp;BJ4</f>
        <v>CPA Fondeo Bice USD a OZ CAMBIO USD 200K USD T/C 908,23</v>
      </c>
      <c r="BR6" s="3">
        <f>+BL4</f>
        <v>181646000</v>
      </c>
      <c r="BS6" s="10"/>
      <c r="BW6" s="1">
        <v>45570</v>
      </c>
      <c r="BX6" s="26">
        <f>HLOOKUP(BW6,Hoja2!$R$2:$AV$46,45,FALSE)</f>
        <v>0</v>
      </c>
      <c r="BY6" s="77">
        <f>HLOOKUP(BW6,Hoja2!$R$2:$AV$48,47,FALSE)</f>
        <v>0</v>
      </c>
      <c r="BZ6" s="77">
        <f>HLOOKUP(BW6,Hoja2!$R$2:$AV$49,48,FALSE)</f>
        <v>0</v>
      </c>
      <c r="CA6" s="79">
        <f>HLOOKUP(BW6,Hoja2!$R$2:$AV$52,51,FALSE)</f>
        <v>0</v>
      </c>
      <c r="CB6" s="79" t="str">
        <f>HLOOKUP(BW6,Hoja2!$R$2:$AV$50,49,FALSE)</f>
        <v>USD SET</v>
      </c>
      <c r="CC6" s="79">
        <f>HLOOKUP(BW6,Hoja2!$R$2:$AV$51,50,FALSE)</f>
        <v>0</v>
      </c>
      <c r="CE6" s="9">
        <v>45445</v>
      </c>
      <c r="CF6">
        <v>110205</v>
      </c>
      <c r="CG6" t="s">
        <v>59</v>
      </c>
      <c r="CH6" t="str">
        <f>"CPA Rescate LOCALPAYMENT " &amp; CB3 &amp; " a Bco.Bice USD " &amp; TEXT(BZ3,"#.##0,00") &amp; " T/C " &amp; BY3</f>
        <v>CPA Rescate LOCALPAYMENT USD SET a Bco.Bice USD 0,00 T/C 0</v>
      </c>
      <c r="CI6" s="3">
        <f>+CA3</f>
        <v>0</v>
      </c>
      <c r="CJ6" s="10"/>
      <c r="CN6" s="1">
        <v>45570</v>
      </c>
      <c r="CO6" s="26">
        <f>HLOOKUP(CN6,Hoja2!$R$2:$AV$46,45,FALSE)</f>
        <v>0</v>
      </c>
      <c r="CP6" s="77">
        <f>HLOOKUP(CN6,Hoja2!$R$2:$AV$48,47,FALSE)</f>
        <v>0</v>
      </c>
      <c r="CQ6" s="77">
        <f>HLOOKUP(CN6,Hoja2!$R$2:$AV$49,48,FALSE)</f>
        <v>0</v>
      </c>
      <c r="CR6" s="79">
        <f>HLOOKUP(CN6,Hoja2!$R$2:$AV$52,51,FALSE)</f>
        <v>0</v>
      </c>
      <c r="CS6" s="79" t="str">
        <f>HLOOKUP(CN6,Hoja2!$R$2:$AV$50,49,FALSE)</f>
        <v>USD SET</v>
      </c>
      <c r="CT6" s="79">
        <f>HLOOKUP(CN6,Hoja2!$R$2:$AV$51,50,FALSE)</f>
        <v>0</v>
      </c>
      <c r="CV6" s="9">
        <v>45445</v>
      </c>
      <c r="CW6">
        <v>110205</v>
      </c>
      <c r="CX6" t="s">
        <v>59</v>
      </c>
      <c r="CY6" t="str">
        <f>"CPA Rescate LOCALPAYMENT " &amp; CS3 &amp; " a Bco.Bice USD " &amp; TEXT(CQ3,"#.##0,00") &amp; " T/C " &amp; CP3</f>
        <v>CPA Rescate LOCALPAYMENT USD SET a Bco.Bice USD 0,00 T/C 0</v>
      </c>
      <c r="CZ6" s="3">
        <f>+CR3</f>
        <v>0</v>
      </c>
      <c r="DA6" s="10"/>
      <c r="DE6" s="1">
        <v>45570</v>
      </c>
      <c r="DF6" s="26">
        <f>HLOOKUP(DE6,Hoja2!$R$2:$AV$53,52,FALSE)</f>
        <v>0</v>
      </c>
      <c r="DG6" s="77">
        <f>HLOOKUP(DE6,Hoja2!$R$2:$AV$56,55,FALSE)</f>
        <v>0</v>
      </c>
      <c r="DH6" s="77">
        <f>HLOOKUP(DE6,Hoja2!$R$2:$AV$57,56,FALSE)</f>
        <v>0</v>
      </c>
      <c r="DI6" s="79">
        <f>HLOOKUP(DE6,Hoja2!$R$2:$AV$60,59,FALSE)</f>
        <v>0</v>
      </c>
      <c r="DJ6" s="79" t="str">
        <f>HLOOKUP(DE6,Hoja2!$R$2:$AV$58,57,FALSE)</f>
        <v>USD SET</v>
      </c>
      <c r="DK6" s="79">
        <f>HLOOKUP(DE6,Hoja2!$R$2:$AV$59,58,FALSE)</f>
        <v>0</v>
      </c>
      <c r="DM6" s="9">
        <v>45445</v>
      </c>
      <c r="DN6">
        <v>110205</v>
      </c>
      <c r="DO6" t="s">
        <v>59</v>
      </c>
      <c r="DP6" t="str">
        <f>"CPA Rescate LOCALPAYMENT " &amp; DJ3 &amp; " a Bco.Bice USD " &amp; TEXT(DH3,"#.##0,00") &amp; " T/C " &amp; DG3</f>
        <v>CPA Rescate LOCALPAYMENT USD SET a Bco.Bice USD 0,00 T/C 0</v>
      </c>
      <c r="DQ6" s="3">
        <f>+DI3</f>
        <v>0</v>
      </c>
      <c r="DR6" s="10"/>
    </row>
    <row r="7" spans="1:122" x14ac:dyDescent="0.25">
      <c r="A7" s="1">
        <v>45571</v>
      </c>
      <c r="B7" s="26">
        <f>HLOOKUP(A7,Hoja2!$R$2:$AV$18,17,FALSE)</f>
        <v>0</v>
      </c>
      <c r="C7" s="77">
        <f>HLOOKUP(A7,Hoja2!$R$2:$AV$19,18,FALSE)</f>
        <v>919.49</v>
      </c>
      <c r="D7" s="26">
        <f>HLOOKUP(A7,Hoja2!$R$2:$AV$20,19,FALSE)</f>
        <v>0</v>
      </c>
      <c r="E7" s="79">
        <f>HLOOKUP(A7,Hoja2!$R$2:$AV$21,20,FALSE)</f>
        <v>0</v>
      </c>
      <c r="G7" s="11"/>
      <c r="H7" s="12">
        <v>110205</v>
      </c>
      <c r="I7" s="12" t="s">
        <v>59</v>
      </c>
      <c r="J7" s="12" t="str">
        <f>+J6</f>
        <v>CPA Fondeo Bice USD a NIUM 815K USD T/C 908,23</v>
      </c>
      <c r="K7" s="13"/>
      <c r="L7" s="18">
        <f t="shared" ref="L7:L63" si="5">+K6</f>
        <v>740207450</v>
      </c>
      <c r="P7" s="1">
        <v>45571</v>
      </c>
      <c r="Q7" s="26">
        <f>HLOOKUP(P7,Hoja2!$R$2:$AV$22,21,FALSE)</f>
        <v>0</v>
      </c>
      <c r="R7" s="77">
        <f>HLOOKUP(P7,Hoja2!$R$2:$AV$23,22,FALSE)</f>
        <v>919.49</v>
      </c>
      <c r="S7" s="26">
        <f>HLOOKUP(P7,Hoja2!$R$2:$AV$24,23,FALSE)</f>
        <v>0</v>
      </c>
      <c r="T7" s="79">
        <f>HLOOKUP(P7,Hoja2!$R$2:$AV$25,24,FALSE)</f>
        <v>0</v>
      </c>
      <c r="V7" s="11"/>
      <c r="W7" s="12">
        <v>110205</v>
      </c>
      <c r="X7" s="12" t="s">
        <v>59</v>
      </c>
      <c r="Y7" s="12" t="str">
        <f>+Y6</f>
        <v>CPA Fondeo Bice USD a Facilita Pay 0 USD T/C 908,23</v>
      </c>
      <c r="Z7" s="13"/>
      <c r="AA7" s="18">
        <f t="shared" ref="AA7:AA63" si="6">+Z6</f>
        <v>0</v>
      </c>
      <c r="AD7" s="1">
        <v>45571</v>
      </c>
      <c r="AE7" s="26">
        <f>HLOOKUP(AD7,Hoja2!$R$2:$AV$26,25,FALSE)</f>
        <v>0</v>
      </c>
      <c r="AF7" s="77">
        <f>HLOOKUP(AD7,Hoja2!$R$2:$AV$27,26,FALSE)</f>
        <v>919.49</v>
      </c>
      <c r="AG7" s="26">
        <f>HLOOKUP(AD7,Hoja2!$R$2:$AV$28,27,FALSE)</f>
        <v>0</v>
      </c>
      <c r="AH7" s="79">
        <f>HLOOKUP(AD7,Hoja2!$R$2:$AV$29,28,FALSE)</f>
        <v>0</v>
      </c>
      <c r="AJ7" s="11"/>
      <c r="AK7" s="12">
        <v>110205</v>
      </c>
      <c r="AL7" s="12" t="s">
        <v>59</v>
      </c>
      <c r="AM7" s="12" t="str">
        <f>+AM6</f>
        <v>CPA Fondeo Bice USD a JPM COL 0 USD T/C 908,23.- 03-06-2024</v>
      </c>
      <c r="AN7" s="13"/>
      <c r="AO7" s="18">
        <f t="shared" ref="AO7:AO63" si="7">+AN6</f>
        <v>0</v>
      </c>
      <c r="AS7" s="1">
        <v>45571</v>
      </c>
      <c r="AT7" s="26">
        <f>HLOOKUP(AS7,Hoja2!$R$2:$AV$30,29,FALSE)</f>
        <v>0</v>
      </c>
      <c r="AU7" s="77">
        <f>HLOOKUP(AS7,Hoja2!$R$2:$AV$31,30,FALSE)</f>
        <v>0</v>
      </c>
      <c r="AV7" s="26">
        <f>HLOOKUP(AS7,Hoja2!$R$2:$AV$32,31,FALSE)</f>
        <v>0</v>
      </c>
      <c r="AW7" s="79">
        <f>HLOOKUP(AS7,Hoja2!$R$2:$AV$33,32,FALSE)</f>
        <v>0</v>
      </c>
      <c r="AY7" s="11"/>
      <c r="AZ7" s="12">
        <v>110276</v>
      </c>
      <c r="BA7" s="12" t="s">
        <v>97</v>
      </c>
      <c r="BB7" s="12" t="str">
        <f>+BB6</f>
        <v>CPA Rescate DLocal a Bco.Bice USD 0 USD T/C 0.- 03-06-2024</v>
      </c>
      <c r="BC7" s="13"/>
      <c r="BD7" s="18">
        <f t="shared" ref="BD7:BD63" si="8">+BC6</f>
        <v>0</v>
      </c>
      <c r="BH7" s="1">
        <v>45571</v>
      </c>
      <c r="BI7" s="26">
        <f>HLOOKUP(BH7,Hoja2!$R$2:$AV$35,34,FALSE)</f>
        <v>0</v>
      </c>
      <c r="BJ7" s="77">
        <f>HLOOKUP(BH7,Hoja2!$R$2:$AV$36,35,FALSE)</f>
        <v>919.49</v>
      </c>
      <c r="BK7" s="26">
        <f>HLOOKUP(BH7,Hoja2!$R$2:$AV$37,36,FALSE)</f>
        <v>0</v>
      </c>
      <c r="BL7" s="79">
        <f>HLOOKUP(BH7,Hoja2!$R$2:$AV$38,37,FALSE)</f>
        <v>0</v>
      </c>
      <c r="BN7" s="11"/>
      <c r="BO7" s="12">
        <v>110205</v>
      </c>
      <c r="BP7" s="12" t="s">
        <v>59</v>
      </c>
      <c r="BQ7" s="12" t="str">
        <f>+BQ6</f>
        <v>CPA Fondeo Bice USD a OZ CAMBIO USD 200K USD T/C 908,23</v>
      </c>
      <c r="BR7" s="13"/>
      <c r="BS7" s="18">
        <f t="shared" ref="BS7" si="9">+BR6</f>
        <v>181646000</v>
      </c>
      <c r="BW7" s="1">
        <v>45571</v>
      </c>
      <c r="BX7" s="26">
        <f>HLOOKUP(BW7,Hoja2!$R$2:$AV$46,45,FALSE)</f>
        <v>0</v>
      </c>
      <c r="BY7" s="77">
        <f>HLOOKUP(BW7,Hoja2!$R$2:$AV$48,47,FALSE)</f>
        <v>0</v>
      </c>
      <c r="BZ7" s="77">
        <f>HLOOKUP(BW7,Hoja2!$R$2:$AV$49,48,FALSE)</f>
        <v>0</v>
      </c>
      <c r="CA7" s="79">
        <f>HLOOKUP(BW7,Hoja2!$R$2:$AV$52,51,FALSE)</f>
        <v>0</v>
      </c>
      <c r="CB7" s="79" t="str">
        <f>HLOOKUP(BW7,Hoja2!$R$2:$AV$50,49,FALSE)</f>
        <v>USD SET</v>
      </c>
      <c r="CC7" s="79">
        <f>HLOOKUP(BW7,Hoja2!$R$2:$AV$51,50,FALSE)</f>
        <v>0</v>
      </c>
      <c r="CE7" s="20"/>
      <c r="CF7">
        <v>420604</v>
      </c>
      <c r="CG7" t="s">
        <v>164</v>
      </c>
      <c r="CH7" t="str">
        <f t="shared" ref="CH7" si="10">"CPA Comisión bancaria rescate LOCALPAYMENT a Bco.Bice USD"</f>
        <v>CPA Comisión bancaria rescate LOCALPAYMENT a Bco.Bice USD</v>
      </c>
      <c r="CI7" s="3">
        <f>+CC3</f>
        <v>0</v>
      </c>
      <c r="CJ7" s="10"/>
      <c r="CN7" s="1">
        <v>45571</v>
      </c>
      <c r="CO7" s="26">
        <f>HLOOKUP(CN7,Hoja2!$R$2:$AV$46,45,FALSE)</f>
        <v>0</v>
      </c>
      <c r="CP7" s="77">
        <f>HLOOKUP(CN7,Hoja2!$R$2:$AV$48,47,FALSE)</f>
        <v>0</v>
      </c>
      <c r="CQ7" s="77">
        <f>HLOOKUP(CN7,Hoja2!$R$2:$AV$49,48,FALSE)</f>
        <v>0</v>
      </c>
      <c r="CR7" s="79">
        <f>HLOOKUP(CN7,Hoja2!$R$2:$AV$52,51,FALSE)</f>
        <v>0</v>
      </c>
      <c r="CS7" s="79" t="str">
        <f>HLOOKUP(CN7,Hoja2!$R$2:$AV$50,49,FALSE)</f>
        <v>USD SET</v>
      </c>
      <c r="CT7" s="79">
        <f>HLOOKUP(CN7,Hoja2!$R$2:$AV$51,50,FALSE)</f>
        <v>0</v>
      </c>
      <c r="CV7" s="20"/>
      <c r="CW7">
        <v>420604</v>
      </c>
      <c r="CX7" t="s">
        <v>164</v>
      </c>
      <c r="CY7" t="str">
        <f t="shared" ref="CY7" si="11">"CPA Comisión bancaria rescate LOCALPAYMENT a Bco.Bice USD"</f>
        <v>CPA Comisión bancaria rescate LOCALPAYMENT a Bco.Bice USD</v>
      </c>
      <c r="CZ7" s="3">
        <f>+CT3</f>
        <v>0</v>
      </c>
      <c r="DA7" s="10"/>
      <c r="DE7" s="1">
        <v>45571</v>
      </c>
      <c r="DF7" s="26">
        <f>HLOOKUP(DE7,Hoja2!$R$2:$AV$53,52,FALSE)</f>
        <v>0</v>
      </c>
      <c r="DG7" s="77">
        <f>HLOOKUP(DE7,Hoja2!$R$2:$AV$56,55,FALSE)</f>
        <v>0</v>
      </c>
      <c r="DH7" s="77">
        <f>HLOOKUP(DE7,Hoja2!$R$2:$AV$57,56,FALSE)</f>
        <v>0</v>
      </c>
      <c r="DI7" s="79">
        <f>HLOOKUP(DE7,Hoja2!$R$2:$AV$60,59,FALSE)</f>
        <v>0</v>
      </c>
      <c r="DJ7" s="79" t="str">
        <f>HLOOKUP(DE7,Hoja2!$R$2:$AV$58,57,FALSE)</f>
        <v>USD SET</v>
      </c>
      <c r="DK7" s="79">
        <f>HLOOKUP(DE7,Hoja2!$R$2:$AV$59,58,FALSE)</f>
        <v>0</v>
      </c>
      <c r="DM7" s="20"/>
      <c r="DN7">
        <v>420604</v>
      </c>
      <c r="DO7" t="s">
        <v>164</v>
      </c>
      <c r="DP7" t="str">
        <f t="shared" ref="DP7" si="12">"CPA Comisión bancaria rescate LOCALPAYMENT a Bco.Bice USD"</f>
        <v>CPA Comisión bancaria rescate LOCALPAYMENT a Bco.Bice USD</v>
      </c>
      <c r="DQ7" s="3">
        <f>+DK3</f>
        <v>0</v>
      </c>
      <c r="DR7" s="10"/>
    </row>
    <row r="8" spans="1:122" x14ac:dyDescent="0.25">
      <c r="A8" s="1">
        <v>45572</v>
      </c>
      <c r="B8" s="26">
        <f>HLOOKUP(A8,Hoja2!$R$2:$AV$18,17,FALSE)</f>
        <v>1620000</v>
      </c>
      <c r="C8" s="77">
        <f>HLOOKUP(A8,Hoja2!$R$2:$AV$19,18,FALSE)</f>
        <v>923.74</v>
      </c>
      <c r="D8" s="26" t="str">
        <f>HLOOKUP(A8,Hoja2!$R$2:$AV$20,19,FALSE)</f>
        <v>1.62 M</v>
      </c>
      <c r="E8" s="79">
        <f>HLOOKUP(A8,Hoja2!$R$2:$AV$21,20,FALSE)</f>
        <v>1496458800</v>
      </c>
      <c r="G8" s="15">
        <v>45447</v>
      </c>
      <c r="H8">
        <v>110275</v>
      </c>
      <c r="I8" t="s">
        <v>82</v>
      </c>
      <c r="J8" t="str">
        <f>"CPA Fondeo Bice USD a NIUM " &amp;D5&amp;" USD T/C "&amp;C5</f>
        <v>CPA Fondeo Bice USD a NIUM 722900 USD T/C 919,49</v>
      </c>
      <c r="K8" s="3">
        <f>+E5</f>
        <v>664699321</v>
      </c>
      <c r="L8" s="10"/>
      <c r="P8" s="1">
        <v>45572</v>
      </c>
      <c r="Q8" s="26">
        <f>HLOOKUP(P8,Hoja2!$R$2:$AV$22,21,FALSE)</f>
        <v>0</v>
      </c>
      <c r="R8" s="77">
        <f>HLOOKUP(P8,Hoja2!$R$2:$AV$23,22,FALSE)</f>
        <v>923.74</v>
      </c>
      <c r="S8" s="26">
        <f>HLOOKUP(P8,Hoja2!$R$2:$AV$24,23,FALSE)</f>
        <v>0</v>
      </c>
      <c r="T8" s="79">
        <f>HLOOKUP(P8,Hoja2!$R$2:$AV$25,24,FALSE)</f>
        <v>0</v>
      </c>
      <c r="V8" s="15">
        <v>45447</v>
      </c>
      <c r="W8">
        <v>110274</v>
      </c>
      <c r="X8" t="s">
        <v>84</v>
      </c>
      <c r="Y8" t="str">
        <f>"CPA Fondeo Bice USD a Facilita Pay " &amp;S5&amp;" USD T/C "&amp;R5</f>
        <v>CPA Fondeo Bice USD a Facilita Pay 0 USD T/C 919,49</v>
      </c>
      <c r="Z8" s="3">
        <f>+T5</f>
        <v>0</v>
      </c>
      <c r="AA8" s="10"/>
      <c r="AD8" s="1">
        <v>45572</v>
      </c>
      <c r="AE8" s="26">
        <f>HLOOKUP(AD8,Hoja2!$R$2:$AV$26,25,FALSE)</f>
        <v>0</v>
      </c>
      <c r="AF8" s="77">
        <f>HLOOKUP(AD8,Hoja2!$R$2:$AV$27,26,FALSE)</f>
        <v>923.74</v>
      </c>
      <c r="AG8" s="26">
        <f>HLOOKUP(AD8,Hoja2!$R$2:$AV$28,27,FALSE)</f>
        <v>0</v>
      </c>
      <c r="AH8" s="79">
        <f>HLOOKUP(AD8,Hoja2!$R$2:$AV$29,28,FALSE)</f>
        <v>0</v>
      </c>
      <c r="AJ8" s="15">
        <v>45447</v>
      </c>
      <c r="AK8">
        <v>110820</v>
      </c>
      <c r="AL8" t="s">
        <v>92</v>
      </c>
      <c r="AM8" t="str">
        <f>"CPA Fondeo Bice USD a JPM COL " &amp;AG5&amp;" USD T/C "&amp;AF5&amp;".- "&amp;TEXT($G8,"dd-mm-aaa")</f>
        <v>CPA Fondeo Bice USD a JPM COL 0 USD T/C 919,49.- 04-06-2024</v>
      </c>
      <c r="AN8" s="3">
        <f>+AH5</f>
        <v>0</v>
      </c>
      <c r="AO8" s="10"/>
      <c r="AS8" s="1">
        <v>45572</v>
      </c>
      <c r="AT8" s="26">
        <f>HLOOKUP(AS8,Hoja2!$R$2:$AV$30,29,FALSE)</f>
        <v>0</v>
      </c>
      <c r="AU8" s="77">
        <f>HLOOKUP(AS8,Hoja2!$R$2:$AV$31,30,FALSE)</f>
        <v>0</v>
      </c>
      <c r="AV8" s="26">
        <f>HLOOKUP(AS8,Hoja2!$R$2:$AV$32,31,FALSE)</f>
        <v>0</v>
      </c>
      <c r="AW8" s="79">
        <f>HLOOKUP(AS8,Hoja2!$R$2:$AV$33,32,FALSE)</f>
        <v>0</v>
      </c>
      <c r="AY8" s="15">
        <v>45447</v>
      </c>
      <c r="AZ8">
        <v>110205</v>
      </c>
      <c r="BA8" t="s">
        <v>59</v>
      </c>
      <c r="BB8" t="str">
        <f>"CPA Rescate DLocal a Bco.Bice USD " &amp;AV5&amp;" USD T/C "&amp;AU5&amp;".- "&amp;TEXT($G8,"dd-mm-aaa")</f>
        <v>CPA Rescate DLocal a Bco.Bice USD 0 USD T/C 0.- 04-06-2024</v>
      </c>
      <c r="BC8" s="3">
        <f>+AW5</f>
        <v>0</v>
      </c>
      <c r="BD8" s="10"/>
      <c r="BH8" s="1">
        <v>45572</v>
      </c>
      <c r="BI8" s="26">
        <f>HLOOKUP(BH8,Hoja2!$R$2:$AV$35,34,FALSE)</f>
        <v>250000</v>
      </c>
      <c r="BJ8" s="77">
        <f>HLOOKUP(BH8,Hoja2!$R$2:$AV$36,35,FALSE)</f>
        <v>923.74</v>
      </c>
      <c r="BK8" s="26" t="str">
        <f>HLOOKUP(BH8,Hoja2!$R$2:$AV$37,36,FALSE)</f>
        <v>250K</v>
      </c>
      <c r="BL8" s="79">
        <f>HLOOKUP(BH8,Hoja2!$R$2:$AV$38,37,FALSE)</f>
        <v>230935000</v>
      </c>
      <c r="BN8" s="15">
        <v>45447</v>
      </c>
      <c r="BO8">
        <v>110292</v>
      </c>
      <c r="BP8" t="s">
        <v>142</v>
      </c>
      <c r="BQ8" t="str">
        <f>"CPA Fondeo Bice USD a OZ CAMBIO USD " &amp;BK5&amp;" USD T/C "&amp;BJ5</f>
        <v>CPA Fondeo Bice USD a OZ CAMBIO USD 0 USD T/C 919,49</v>
      </c>
      <c r="BR8" s="3">
        <f>+BL5</f>
        <v>0</v>
      </c>
      <c r="BS8" s="10"/>
      <c r="BW8" s="1">
        <v>45572</v>
      </c>
      <c r="BX8" s="26">
        <f>HLOOKUP(BW8,Hoja2!$R$2:$AV$46,45,FALSE)</f>
        <v>973382.37</v>
      </c>
      <c r="BY8" s="77">
        <f>HLOOKUP(BW8,Hoja2!$R$2:$AV$48,47,FALSE)</f>
        <v>919.49</v>
      </c>
      <c r="BZ8" s="77">
        <f>HLOOKUP(BW8,Hoja2!$R$2:$AV$49,48,FALSE)</f>
        <v>973382.37</v>
      </c>
      <c r="CA8" s="79">
        <f>HLOOKUP(BW8,Hoja2!$R$2:$AV$52,51,FALSE)</f>
        <v>895015355.39129996</v>
      </c>
      <c r="CB8" s="79" t="str">
        <f>HLOOKUP(BW8,Hoja2!$R$2:$AV$50,49,FALSE)</f>
        <v>USD SET</v>
      </c>
      <c r="CC8" s="79">
        <f>HLOOKUP(BW8,Hoja2!$R$2:$AV$51,50,FALSE)</f>
        <v>9194.9</v>
      </c>
      <c r="CE8" s="20"/>
      <c r="CF8">
        <v>110316</v>
      </c>
      <c r="CG8" t="s">
        <v>165</v>
      </c>
      <c r="CH8" t="str">
        <f t="shared" ref="CH8" si="13">+CH7</f>
        <v>CPA Comisión bancaria rescate LOCALPAYMENT a Bco.Bice USD</v>
      </c>
      <c r="CI8" s="3"/>
      <c r="CJ8" s="10">
        <f t="shared" ref="CJ8" si="14">+CI7</f>
        <v>0</v>
      </c>
      <c r="CN8" s="1">
        <v>45572</v>
      </c>
      <c r="CO8" s="26">
        <f>HLOOKUP(CN8,Hoja2!$R$2:$AV$46,45,FALSE)</f>
        <v>973382.37</v>
      </c>
      <c r="CP8" s="77">
        <f>HLOOKUP(CN8,Hoja2!$R$2:$AV$48,47,FALSE)</f>
        <v>919.49</v>
      </c>
      <c r="CQ8" s="77">
        <f>HLOOKUP(CN8,Hoja2!$R$2:$AV$49,48,FALSE)</f>
        <v>973382.37</v>
      </c>
      <c r="CR8" s="79">
        <f>HLOOKUP(CN8,Hoja2!$R$2:$AV$52,51,FALSE)</f>
        <v>895015355.39129996</v>
      </c>
      <c r="CS8" s="79" t="str">
        <f>HLOOKUP(CN8,Hoja2!$R$2:$AV$50,49,FALSE)</f>
        <v>USD SET</v>
      </c>
      <c r="CT8" s="79">
        <f>HLOOKUP(CN8,Hoja2!$R$2:$AV$51,50,FALSE)</f>
        <v>9194.9</v>
      </c>
      <c r="CV8" s="20"/>
      <c r="CW8">
        <v>110316</v>
      </c>
      <c r="CX8" t="s">
        <v>165</v>
      </c>
      <c r="CY8" t="str">
        <f t="shared" ref="CY8" si="15">+CY7</f>
        <v>CPA Comisión bancaria rescate LOCALPAYMENT a Bco.Bice USD</v>
      </c>
      <c r="CZ8" s="3"/>
      <c r="DA8" s="10">
        <f t="shared" ref="DA8" si="16">+CZ7</f>
        <v>0</v>
      </c>
      <c r="DE8" s="1">
        <v>45572</v>
      </c>
      <c r="DF8" s="26">
        <f>HLOOKUP(DE8,Hoja2!$R$2:$AV$53,52,FALSE)</f>
        <v>0</v>
      </c>
      <c r="DG8" s="77">
        <f>HLOOKUP(DE8,Hoja2!$R$2:$AV$56,55,FALSE)</f>
        <v>0</v>
      </c>
      <c r="DH8" s="77">
        <f>HLOOKUP(DE8,Hoja2!$R$2:$AV$57,56,FALSE)</f>
        <v>0</v>
      </c>
      <c r="DI8" s="79">
        <f>HLOOKUP(DE8,Hoja2!$R$2:$AV$60,59,FALSE)</f>
        <v>0</v>
      </c>
      <c r="DJ8" s="79" t="str">
        <f>HLOOKUP(DE8,Hoja2!$R$2:$AV$58,57,FALSE)</f>
        <v>USD SET</v>
      </c>
      <c r="DK8" s="79">
        <f>HLOOKUP(DE8,Hoja2!$R$2:$AV$59,58,FALSE)</f>
        <v>0</v>
      </c>
      <c r="DM8" s="20"/>
      <c r="DN8">
        <v>110316</v>
      </c>
      <c r="DO8" t="s">
        <v>165</v>
      </c>
      <c r="DP8" t="str">
        <f t="shared" ref="DP8" si="17">+DP7</f>
        <v>CPA Comisión bancaria rescate LOCALPAYMENT a Bco.Bice USD</v>
      </c>
      <c r="DQ8" s="3"/>
      <c r="DR8" s="10">
        <f t="shared" ref="DR8" si="18">+DQ7</f>
        <v>0</v>
      </c>
    </row>
    <row r="9" spans="1:122" x14ac:dyDescent="0.25">
      <c r="A9" s="1">
        <v>45573</v>
      </c>
      <c r="B9" s="26">
        <f>HLOOKUP(A9,Hoja2!$R$2:$AV$18,17,FALSE)</f>
        <v>1300000</v>
      </c>
      <c r="C9" s="77">
        <f>HLOOKUP(A9,Hoja2!$R$2:$AV$19,18,FALSE)</f>
        <v>925.86</v>
      </c>
      <c r="D9" s="26" t="str">
        <f>HLOOKUP(A9,Hoja2!$R$2:$AV$20,19,FALSE)</f>
        <v>1.3 M</v>
      </c>
      <c r="E9" s="79">
        <f>HLOOKUP(A9,Hoja2!$R$2:$AV$21,20,FALSE)</f>
        <v>1203618000</v>
      </c>
      <c r="G9" s="20"/>
      <c r="H9" s="12">
        <v>110205</v>
      </c>
      <c r="I9" s="12" t="s">
        <v>59</v>
      </c>
      <c r="J9" s="12" t="str">
        <f>+J8</f>
        <v>CPA Fondeo Bice USD a NIUM 722900 USD T/C 919,49</v>
      </c>
      <c r="K9" s="13"/>
      <c r="L9" s="18">
        <f t="shared" si="5"/>
        <v>664699321</v>
      </c>
      <c r="P9" s="1">
        <v>45573</v>
      </c>
      <c r="Q9" s="26">
        <f>HLOOKUP(P9,Hoja2!$R$2:$AV$22,21,FALSE)</f>
        <v>150000</v>
      </c>
      <c r="R9" s="77">
        <f>HLOOKUP(P9,Hoja2!$R$2:$AV$23,22,FALSE)</f>
        <v>925.86</v>
      </c>
      <c r="S9" s="26" t="str">
        <f>HLOOKUP(P9,Hoja2!$R$2:$AV$24,23,FALSE)</f>
        <v>150K</v>
      </c>
      <c r="T9" s="79">
        <f>HLOOKUP(P9,Hoja2!$R$2:$AV$25,24,FALSE)</f>
        <v>138879000</v>
      </c>
      <c r="V9" s="20"/>
      <c r="W9" s="12">
        <v>110205</v>
      </c>
      <c r="X9" s="12" t="s">
        <v>59</v>
      </c>
      <c r="Y9" s="12" t="str">
        <f>+Y8</f>
        <v>CPA Fondeo Bice USD a Facilita Pay 0 USD T/C 919,49</v>
      </c>
      <c r="Z9" s="13"/>
      <c r="AA9" s="18">
        <f t="shared" si="6"/>
        <v>0</v>
      </c>
      <c r="AD9" s="1">
        <v>45573</v>
      </c>
      <c r="AE9" s="26">
        <f>HLOOKUP(AD9,Hoja2!$R$2:$AV$26,25,FALSE)</f>
        <v>0</v>
      </c>
      <c r="AF9" s="77">
        <f>HLOOKUP(AD9,Hoja2!$R$2:$AV$27,26,FALSE)</f>
        <v>925.86</v>
      </c>
      <c r="AG9" s="26">
        <f>HLOOKUP(AD9,Hoja2!$R$2:$AV$28,27,FALSE)</f>
        <v>0</v>
      </c>
      <c r="AH9" s="79">
        <f>HLOOKUP(AD9,Hoja2!$R$2:$AV$29,28,FALSE)</f>
        <v>0</v>
      </c>
      <c r="AJ9" s="20"/>
      <c r="AK9" s="12">
        <v>110205</v>
      </c>
      <c r="AL9" s="12" t="s">
        <v>59</v>
      </c>
      <c r="AM9" s="12" t="str">
        <f>+AM8</f>
        <v>CPA Fondeo Bice USD a JPM COL 0 USD T/C 919,49.- 04-06-2024</v>
      </c>
      <c r="AN9" s="13"/>
      <c r="AO9" s="18">
        <f t="shared" si="7"/>
        <v>0</v>
      </c>
      <c r="AS9" s="1">
        <v>45573</v>
      </c>
      <c r="AT9" s="26">
        <f>HLOOKUP(AS9,Hoja2!$R$2:$AV$30,29,FALSE)</f>
        <v>450000</v>
      </c>
      <c r="AU9" s="77">
        <f>HLOOKUP(AS9,Hoja2!$R$2:$AV$31,30,FALSE)</f>
        <v>923.74</v>
      </c>
      <c r="AV9" s="26" t="str">
        <f>HLOOKUP(AS9,Hoja2!$R$2:$AV$32,31,FALSE)</f>
        <v>450K</v>
      </c>
      <c r="AW9" s="79">
        <f>HLOOKUP(AS9,Hoja2!$R$2:$AV$33,32,FALSE)</f>
        <v>415683000</v>
      </c>
      <c r="AY9" s="20"/>
      <c r="AZ9" s="12">
        <v>110276</v>
      </c>
      <c r="BA9" s="12" t="s">
        <v>97</v>
      </c>
      <c r="BB9" s="12" t="str">
        <f>+BB8</f>
        <v>CPA Rescate DLocal a Bco.Bice USD 0 USD T/C 0.- 04-06-2024</v>
      </c>
      <c r="BC9" s="13"/>
      <c r="BD9" s="18">
        <f t="shared" si="8"/>
        <v>0</v>
      </c>
      <c r="BH9" s="1">
        <v>45573</v>
      </c>
      <c r="BI9" s="26">
        <f>HLOOKUP(BH9,Hoja2!$R$2:$AV$35,34,FALSE)</f>
        <v>0</v>
      </c>
      <c r="BJ9" s="77">
        <f>HLOOKUP(BH9,Hoja2!$R$2:$AV$36,35,FALSE)</f>
        <v>925.86</v>
      </c>
      <c r="BK9" s="26">
        <f>HLOOKUP(BH9,Hoja2!$R$2:$AV$37,36,FALSE)</f>
        <v>0</v>
      </c>
      <c r="BL9" s="79">
        <f>HLOOKUP(BH9,Hoja2!$R$2:$AV$38,37,FALSE)</f>
        <v>0</v>
      </c>
      <c r="BN9" s="20"/>
      <c r="BO9" s="12">
        <v>110205</v>
      </c>
      <c r="BP9" s="12" t="s">
        <v>59</v>
      </c>
      <c r="BQ9" s="12" t="str">
        <f>+BQ8</f>
        <v>CPA Fondeo Bice USD a OZ CAMBIO USD 0 USD T/C 919,49</v>
      </c>
      <c r="BR9" s="13"/>
      <c r="BS9" s="18">
        <f t="shared" ref="BS9" si="19">+BR8</f>
        <v>0</v>
      </c>
      <c r="BW9" s="1">
        <v>45573</v>
      </c>
      <c r="BX9" s="26">
        <f>HLOOKUP(BW9,Hoja2!$R$2:$AV$46,45,FALSE)</f>
        <v>1767973.2</v>
      </c>
      <c r="BY9" s="77">
        <f>HLOOKUP(BW9,Hoja2!$R$2:$AV$48,47,FALSE)</f>
        <v>925.86</v>
      </c>
      <c r="BZ9" s="77">
        <f>HLOOKUP(BW9,Hoja2!$R$2:$AV$49,48,FALSE)</f>
        <v>1767973.2</v>
      </c>
      <c r="CA9" s="79">
        <f>HLOOKUP(BW9,Hoja2!$R$2:$AV$52,51,FALSE)</f>
        <v>1636895666.9519999</v>
      </c>
      <c r="CB9" s="79" t="str">
        <f>HLOOKUP(BW9,Hoja2!$R$2:$AV$50,49,FALSE)</f>
        <v>USD SET</v>
      </c>
      <c r="CC9" s="79">
        <f>HLOOKUP(BW9,Hoja2!$R$2:$AV$51,50,FALSE)</f>
        <v>0</v>
      </c>
      <c r="CE9" s="11"/>
      <c r="CF9" s="12">
        <v>110316</v>
      </c>
      <c r="CG9" s="12" t="s">
        <v>165</v>
      </c>
      <c r="CH9" s="12" t="str">
        <f t="shared" ref="CH9" si="20">+CH6</f>
        <v>CPA Rescate LOCALPAYMENT USD SET a Bco.Bice USD 0,00 T/C 0</v>
      </c>
      <c r="CI9" s="13"/>
      <c r="CJ9" s="18">
        <f t="shared" ref="CJ9" si="21">+CI6</f>
        <v>0</v>
      </c>
      <c r="CN9" s="1">
        <v>45573</v>
      </c>
      <c r="CO9" s="26">
        <f>HLOOKUP(CN9,Hoja2!$R$2:$AV$46,45,FALSE)</f>
        <v>1767973.2</v>
      </c>
      <c r="CP9" s="77">
        <f>HLOOKUP(CN9,Hoja2!$R$2:$AV$48,47,FALSE)</f>
        <v>925.86</v>
      </c>
      <c r="CQ9" s="77">
        <f>HLOOKUP(CN9,Hoja2!$R$2:$AV$49,48,FALSE)</f>
        <v>1767973.2</v>
      </c>
      <c r="CR9" s="79">
        <f>HLOOKUP(CN9,Hoja2!$R$2:$AV$52,51,FALSE)</f>
        <v>1636895666.9519999</v>
      </c>
      <c r="CS9" s="79" t="str">
        <f>HLOOKUP(CN9,Hoja2!$R$2:$AV$50,49,FALSE)</f>
        <v>USD SET</v>
      </c>
      <c r="CT9" s="79">
        <f>HLOOKUP(CN9,Hoja2!$R$2:$AV$51,50,FALSE)</f>
        <v>0</v>
      </c>
      <c r="CV9" s="11"/>
      <c r="CW9" s="12">
        <v>110316</v>
      </c>
      <c r="CX9" s="12" t="s">
        <v>165</v>
      </c>
      <c r="CY9" s="12" t="str">
        <f t="shared" ref="CY9" si="22">+CY6</f>
        <v>CPA Rescate LOCALPAYMENT USD SET a Bco.Bice USD 0,00 T/C 0</v>
      </c>
      <c r="CZ9" s="13"/>
      <c r="DA9" s="18">
        <f t="shared" ref="DA9" si="23">+CZ6</f>
        <v>0</v>
      </c>
      <c r="DE9" s="1">
        <v>45573</v>
      </c>
      <c r="DF9" s="26">
        <f>HLOOKUP(DE9,Hoja2!$R$2:$AV$53,52,FALSE)</f>
        <v>0</v>
      </c>
      <c r="DG9" s="77">
        <f>HLOOKUP(DE9,Hoja2!$R$2:$AV$56,55,FALSE)</f>
        <v>0</v>
      </c>
      <c r="DH9" s="77">
        <f>HLOOKUP(DE9,Hoja2!$R$2:$AV$57,56,FALSE)</f>
        <v>0</v>
      </c>
      <c r="DI9" s="79">
        <f>HLOOKUP(DE9,Hoja2!$R$2:$AV$60,59,FALSE)</f>
        <v>0</v>
      </c>
      <c r="DJ9" s="79" t="str">
        <f>HLOOKUP(DE9,Hoja2!$R$2:$AV$58,57,FALSE)</f>
        <v>USD SET</v>
      </c>
      <c r="DK9" s="79">
        <f>HLOOKUP(DE9,Hoja2!$R$2:$AV$59,58,FALSE)</f>
        <v>0</v>
      </c>
      <c r="DM9" s="11"/>
      <c r="DN9" s="12">
        <v>110316</v>
      </c>
      <c r="DO9" s="12" t="s">
        <v>165</v>
      </c>
      <c r="DP9" s="12" t="str">
        <f t="shared" ref="DP9" si="24">+DP6</f>
        <v>CPA Rescate LOCALPAYMENT USD SET a Bco.Bice USD 0,00 T/C 0</v>
      </c>
      <c r="DQ9" s="13"/>
      <c r="DR9" s="18">
        <f t="shared" ref="DR9" si="25">+DQ6</f>
        <v>0</v>
      </c>
    </row>
    <row r="10" spans="1:122" x14ac:dyDescent="0.25">
      <c r="A10" s="1">
        <v>45574</v>
      </c>
      <c r="B10" s="26">
        <f>HLOOKUP(A10,Hoja2!$R$2:$AV$18,17,FALSE)</f>
        <v>770000</v>
      </c>
      <c r="C10" s="77">
        <f>HLOOKUP(A10,Hoja2!$R$2:$AV$19,18,FALSE)</f>
        <v>933.62</v>
      </c>
      <c r="D10" s="26" t="str">
        <f>HLOOKUP(A10,Hoja2!$R$2:$AV$20,19,FALSE)</f>
        <v>770K</v>
      </c>
      <c r="E10" s="79">
        <f>HLOOKUP(A10,Hoja2!$R$2:$AV$21,20,FALSE)</f>
        <v>718887400</v>
      </c>
      <c r="G10" s="15">
        <v>45448</v>
      </c>
      <c r="H10">
        <v>110275</v>
      </c>
      <c r="I10" t="s">
        <v>82</v>
      </c>
      <c r="J10" t="str">
        <f>"CPA Fondeo Bice USD a NIUM " &amp;D6&amp;" USD T/C "&amp;C6</f>
        <v>CPA Fondeo Bice USD a NIUM 0 USD T/C 919,49</v>
      </c>
      <c r="K10" s="3">
        <f>+E6</f>
        <v>0</v>
      </c>
      <c r="L10" s="10"/>
      <c r="P10" s="1">
        <v>45574</v>
      </c>
      <c r="Q10" s="26">
        <f>HLOOKUP(P10,Hoja2!$R$2:$AV$22,21,FALSE)</f>
        <v>100000</v>
      </c>
      <c r="R10" s="77">
        <f>HLOOKUP(P10,Hoja2!$R$2:$AV$23,22,FALSE)</f>
        <v>933.62</v>
      </c>
      <c r="S10" s="26" t="str">
        <f>HLOOKUP(P10,Hoja2!$R$2:$AV$24,23,FALSE)</f>
        <v>100K</v>
      </c>
      <c r="T10" s="79">
        <f>HLOOKUP(P10,Hoja2!$R$2:$AV$25,24,FALSE)</f>
        <v>93362000</v>
      </c>
      <c r="V10" s="15">
        <v>45448</v>
      </c>
      <c r="W10">
        <v>110274</v>
      </c>
      <c r="X10" t="s">
        <v>84</v>
      </c>
      <c r="Y10" t="str">
        <f>"CPA Fondeo Bice USD a Facilita Pay " &amp;S6&amp;" USD T/C "&amp;R6&amp;".- "&amp;TEXT($G10,"dd-mm-aaa")</f>
        <v>CPA Fondeo Bice USD a Facilita Pay 0 USD T/C 919,49.- 05-06-2024</v>
      </c>
      <c r="Z10" s="3">
        <f>+T6</f>
        <v>0</v>
      </c>
      <c r="AA10" s="10"/>
      <c r="AD10" s="1">
        <v>45574</v>
      </c>
      <c r="AE10" s="26">
        <f>HLOOKUP(AD10,Hoja2!$R$2:$AV$26,25,FALSE)</f>
        <v>600000</v>
      </c>
      <c r="AF10" s="77">
        <f>HLOOKUP(AD10,Hoja2!$R$2:$AV$27,26,FALSE)</f>
        <v>933.62</v>
      </c>
      <c r="AG10" s="26" t="str">
        <f>HLOOKUP(AD10,Hoja2!$R$2:$AV$28,27,FALSE)</f>
        <v>600K</v>
      </c>
      <c r="AH10" s="79">
        <f>HLOOKUP(AD10,Hoja2!$R$2:$AV$29,28,FALSE)</f>
        <v>560172000</v>
      </c>
      <c r="AJ10" s="15">
        <v>45448</v>
      </c>
      <c r="AK10">
        <v>110820</v>
      </c>
      <c r="AL10" t="s">
        <v>92</v>
      </c>
      <c r="AM10" t="str">
        <f>"CPA Fondeo Bice USD a JPM COL " &amp;AG6&amp;" USD T/C "&amp;AF6&amp;".- "&amp;TEXT($G10,"dd-mm-aaa")</f>
        <v>CPA Fondeo Bice USD a JPM COL 0 USD T/C 919,49.- 05-06-2024</v>
      </c>
      <c r="AN10" s="3">
        <f>+AH6</f>
        <v>0</v>
      </c>
      <c r="AO10" s="10"/>
      <c r="AS10" s="1">
        <v>45574</v>
      </c>
      <c r="AT10" s="26">
        <f>HLOOKUP(AS10,Hoja2!$R$2:$AV$30,29,FALSE)</f>
        <v>0</v>
      </c>
      <c r="AU10" s="77">
        <f>HLOOKUP(AS10,Hoja2!$R$2:$AV$31,30,FALSE)</f>
        <v>0</v>
      </c>
      <c r="AV10" s="26">
        <f>HLOOKUP(AS10,Hoja2!$R$2:$AV$32,31,FALSE)</f>
        <v>0</v>
      </c>
      <c r="AW10" s="79">
        <f>HLOOKUP(AS10,Hoja2!$R$2:$AV$33,32,FALSE)</f>
        <v>0</v>
      </c>
      <c r="AY10" s="15">
        <v>45448</v>
      </c>
      <c r="AZ10">
        <v>110205</v>
      </c>
      <c r="BA10" t="s">
        <v>59</v>
      </c>
      <c r="BB10" t="str">
        <f>"CPA Rescate DLocal a Bco.Bice USD " &amp;AV6&amp;" USD T/C "&amp;AU6&amp;".- "&amp;TEXT($G10,"dd-mm-aaa")</f>
        <v>CPA Rescate DLocal a Bco.Bice USD 0 USD T/C 0.- 05-06-2024</v>
      </c>
      <c r="BC10" s="3">
        <f>+AW6</f>
        <v>0</v>
      </c>
      <c r="BD10" s="10"/>
      <c r="BH10" s="1">
        <v>45574</v>
      </c>
      <c r="BI10" s="26">
        <f>HLOOKUP(BH10,Hoja2!$R$2:$AV$35,34,FALSE)</f>
        <v>300000</v>
      </c>
      <c r="BJ10" s="77">
        <f>HLOOKUP(BH10,Hoja2!$R$2:$AV$36,35,FALSE)</f>
        <v>933.62</v>
      </c>
      <c r="BK10" s="26" t="str">
        <f>HLOOKUP(BH10,Hoja2!$R$2:$AV$37,36,FALSE)</f>
        <v>300K</v>
      </c>
      <c r="BL10" s="79">
        <f>HLOOKUP(BH10,Hoja2!$R$2:$AV$38,37,FALSE)</f>
        <v>280086000</v>
      </c>
      <c r="BN10" s="15">
        <v>45448</v>
      </c>
      <c r="BO10">
        <v>110292</v>
      </c>
      <c r="BP10" t="s">
        <v>142</v>
      </c>
      <c r="BQ10" t="str">
        <f>"CPA Fondeo Bice USD a OZ CAMBIO USD " &amp;BK6&amp;" USD T/C "&amp;BJ6</f>
        <v>CPA Fondeo Bice USD a OZ CAMBIO USD 0 USD T/C 919,49</v>
      </c>
      <c r="BR10" s="3">
        <f>+BL6</f>
        <v>0</v>
      </c>
      <c r="BS10" s="10"/>
      <c r="BW10" s="1">
        <v>45574</v>
      </c>
      <c r="BX10" s="26">
        <f>HLOOKUP(BW10,Hoja2!$R$2:$AV$46,45,FALSE)</f>
        <v>0</v>
      </c>
      <c r="BY10" s="77">
        <f>HLOOKUP(BW10,Hoja2!$R$2:$AV$48,47,FALSE)</f>
        <v>0</v>
      </c>
      <c r="BZ10" s="77">
        <f>HLOOKUP(BW10,Hoja2!$R$2:$AV$49,48,FALSE)</f>
        <v>0</v>
      </c>
      <c r="CA10" s="79">
        <f>HLOOKUP(BW10,Hoja2!$R$2:$AV$52,51,FALSE)</f>
        <v>0</v>
      </c>
      <c r="CB10" s="79" t="str">
        <f>HLOOKUP(BW10,Hoja2!$R$2:$AV$50,49,FALSE)</f>
        <v>USD SET</v>
      </c>
      <c r="CC10" s="79">
        <f>HLOOKUP(BW10,Hoja2!$R$2:$AV$51,50,FALSE)</f>
        <v>0</v>
      </c>
      <c r="CE10" s="9">
        <v>45446</v>
      </c>
      <c r="CF10">
        <v>110205</v>
      </c>
      <c r="CG10" t="s">
        <v>59</v>
      </c>
      <c r="CH10" t="str">
        <f>"CPA Rescate LOCALPAYMENT " &amp; CB4 &amp; " a Bco.Bice USD " &amp; TEXT(BZ4,"#.##0,00") &amp; " T/C " &amp; BY4</f>
        <v>CPA Rescate LOCALPAYMENT USD SET a Bco.Bice USD 1.012.060,20 T/C 901,13</v>
      </c>
      <c r="CI10" s="3">
        <f>+CA4</f>
        <v>911997808.0259999</v>
      </c>
      <c r="CJ10" s="10"/>
      <c r="CN10" s="1">
        <v>45574</v>
      </c>
      <c r="CO10" s="26">
        <f>HLOOKUP(CN10,Hoja2!$R$2:$AV$46,45,FALSE)</f>
        <v>0</v>
      </c>
      <c r="CP10" s="77">
        <f>HLOOKUP(CN10,Hoja2!$R$2:$AV$48,47,FALSE)</f>
        <v>0</v>
      </c>
      <c r="CQ10" s="77">
        <f>HLOOKUP(CN10,Hoja2!$R$2:$AV$49,48,FALSE)</f>
        <v>0</v>
      </c>
      <c r="CR10" s="79">
        <f>HLOOKUP(CN10,Hoja2!$R$2:$AV$52,51,FALSE)</f>
        <v>0</v>
      </c>
      <c r="CS10" s="79" t="str">
        <f>HLOOKUP(CN10,Hoja2!$R$2:$AV$50,49,FALSE)</f>
        <v>USD SET</v>
      </c>
      <c r="CT10" s="79">
        <f>HLOOKUP(CN10,Hoja2!$R$2:$AV$51,50,FALSE)</f>
        <v>0</v>
      </c>
      <c r="CV10" s="9">
        <v>45446</v>
      </c>
      <c r="CW10">
        <v>110205</v>
      </c>
      <c r="CX10" t="s">
        <v>59</v>
      </c>
      <c r="CY10" t="str">
        <f>"CPA Rescate LOCALPAYMENT " &amp; CS4 &amp; " a Bco.Bice USD " &amp; TEXT(CQ4,"#.##0,00") &amp; " T/C " &amp; CP4</f>
        <v>CPA Rescate LOCALPAYMENT USD SET a Bco.Bice USD 1.012.060,20 T/C 901,13</v>
      </c>
      <c r="CZ10" s="3">
        <f>+CR4</f>
        <v>911997808.0259999</v>
      </c>
      <c r="DA10" s="10"/>
      <c r="DE10" s="1">
        <v>45574</v>
      </c>
      <c r="DF10" s="26">
        <f>HLOOKUP(DE10,Hoja2!$R$2:$AV$53,52,FALSE)</f>
        <v>0</v>
      </c>
      <c r="DG10" s="77">
        <f>HLOOKUP(DE10,Hoja2!$R$2:$AV$56,55,FALSE)</f>
        <v>0</v>
      </c>
      <c r="DH10" s="77">
        <f>HLOOKUP(DE10,Hoja2!$R$2:$AV$57,56,FALSE)</f>
        <v>0</v>
      </c>
      <c r="DI10" s="79">
        <f>HLOOKUP(DE10,Hoja2!$R$2:$AV$60,59,FALSE)</f>
        <v>0</v>
      </c>
      <c r="DJ10" s="79" t="str">
        <f>HLOOKUP(DE10,Hoja2!$R$2:$AV$58,57,FALSE)</f>
        <v>USD SET</v>
      </c>
      <c r="DK10" s="79">
        <f>HLOOKUP(DE10,Hoja2!$R$2:$AV$59,58,FALSE)</f>
        <v>0</v>
      </c>
      <c r="DM10" s="9">
        <v>45446</v>
      </c>
      <c r="DN10">
        <v>110205</v>
      </c>
      <c r="DO10" t="s">
        <v>59</v>
      </c>
      <c r="DP10" t="str">
        <f>"CPA Rescate LOCALPAYMENT " &amp; DJ4 &amp; " a Bco.Bice USD " &amp; TEXT(DH4,"#.##0,00") &amp; " T/C " &amp; DG4</f>
        <v>CPA Rescate LOCALPAYMENT USD SET a Bco.Bice USD 0,00 T/C 0</v>
      </c>
      <c r="DQ10" s="3">
        <f>+DI4</f>
        <v>0</v>
      </c>
      <c r="DR10" s="10"/>
    </row>
    <row r="11" spans="1:122" x14ac:dyDescent="0.25">
      <c r="A11" s="1">
        <v>45575</v>
      </c>
      <c r="B11" s="26">
        <f>HLOOKUP(A11,Hoja2!$R$2:$AV$18,17,FALSE)</f>
        <v>0</v>
      </c>
      <c r="C11" s="77">
        <f>HLOOKUP(A11,Hoja2!$R$2:$AV$19,18,FALSE)</f>
        <v>934.84</v>
      </c>
      <c r="D11" s="26">
        <f>HLOOKUP(A11,Hoja2!$R$2:$AV$20,19,FALSE)</f>
        <v>0</v>
      </c>
      <c r="E11" s="79">
        <f>HLOOKUP(A11,Hoja2!$R$2:$AV$21,20,FALSE)</f>
        <v>0</v>
      </c>
      <c r="G11" s="20"/>
      <c r="H11" s="12">
        <v>110205</v>
      </c>
      <c r="I11" s="12" t="s">
        <v>59</v>
      </c>
      <c r="J11" s="12" t="str">
        <f>+J10</f>
        <v>CPA Fondeo Bice USD a NIUM 0 USD T/C 919,49</v>
      </c>
      <c r="K11" s="13"/>
      <c r="L11" s="18">
        <f t="shared" si="5"/>
        <v>0</v>
      </c>
      <c r="P11" s="1">
        <v>45575</v>
      </c>
      <c r="Q11" s="26">
        <f>HLOOKUP(P11,Hoja2!$R$2:$AV$22,21,FALSE)</f>
        <v>0</v>
      </c>
      <c r="R11" s="77">
        <f>HLOOKUP(P11,Hoja2!$R$2:$AV$23,22,FALSE)</f>
        <v>934.84</v>
      </c>
      <c r="S11" s="26">
        <f>HLOOKUP(P11,Hoja2!$R$2:$AV$24,23,FALSE)</f>
        <v>0</v>
      </c>
      <c r="T11" s="79">
        <f>HLOOKUP(P11,Hoja2!$R$2:$AV$25,24,FALSE)</f>
        <v>0</v>
      </c>
      <c r="V11" s="20"/>
      <c r="W11" s="12">
        <v>110205</v>
      </c>
      <c r="X11" s="12" t="s">
        <v>59</v>
      </c>
      <c r="Y11" s="12" t="str">
        <f>+Y10</f>
        <v>CPA Fondeo Bice USD a Facilita Pay 0 USD T/C 919,49.- 05-06-2024</v>
      </c>
      <c r="Z11" s="13"/>
      <c r="AA11" s="18">
        <f t="shared" si="6"/>
        <v>0</v>
      </c>
      <c r="AD11" s="1">
        <v>45575</v>
      </c>
      <c r="AE11" s="26">
        <f>HLOOKUP(AD11,Hoja2!$R$2:$AV$26,25,FALSE)</f>
        <v>650000</v>
      </c>
      <c r="AF11" s="77">
        <f>HLOOKUP(AD11,Hoja2!$R$2:$AV$27,26,FALSE)</f>
        <v>934.84</v>
      </c>
      <c r="AG11" s="26" t="str">
        <f>HLOOKUP(AD11,Hoja2!$R$2:$AV$28,27,FALSE)</f>
        <v>650K</v>
      </c>
      <c r="AH11" s="79">
        <f>HLOOKUP(AD11,Hoja2!$R$2:$AV$29,28,FALSE)</f>
        <v>607646000</v>
      </c>
      <c r="AJ11" s="20"/>
      <c r="AK11" s="12">
        <v>110205</v>
      </c>
      <c r="AL11" s="12" t="s">
        <v>59</v>
      </c>
      <c r="AM11" s="12" t="str">
        <f>+AM10</f>
        <v>CPA Fondeo Bice USD a JPM COL 0 USD T/C 919,49.- 05-06-2024</v>
      </c>
      <c r="AN11" s="13"/>
      <c r="AO11" s="18">
        <f t="shared" si="7"/>
        <v>0</v>
      </c>
      <c r="AS11" s="1">
        <v>45575</v>
      </c>
      <c r="AT11" s="26">
        <f>HLOOKUP(AS11,Hoja2!$R$2:$AV$30,29,FALSE)</f>
        <v>300000</v>
      </c>
      <c r="AU11" s="77">
        <f>HLOOKUP(AS11,Hoja2!$R$2:$AV$31,30,FALSE)</f>
        <v>933.62</v>
      </c>
      <c r="AV11" s="26" t="str">
        <f>HLOOKUP(AS11,Hoja2!$R$2:$AV$32,31,FALSE)</f>
        <v>300K</v>
      </c>
      <c r="AW11" s="79">
        <f>HLOOKUP(AS11,Hoja2!$R$2:$AV$33,32,FALSE)</f>
        <v>280086000</v>
      </c>
      <c r="AY11" s="20"/>
      <c r="AZ11" s="12">
        <v>110276</v>
      </c>
      <c r="BA11" s="12" t="s">
        <v>97</v>
      </c>
      <c r="BB11" s="12" t="str">
        <f>+BB10</f>
        <v>CPA Rescate DLocal a Bco.Bice USD 0 USD T/C 0.- 05-06-2024</v>
      </c>
      <c r="BC11" s="13"/>
      <c r="BD11" s="18">
        <f t="shared" si="8"/>
        <v>0</v>
      </c>
      <c r="BH11" s="1">
        <v>45575</v>
      </c>
      <c r="BI11" s="26">
        <f>HLOOKUP(BH11,Hoja2!$R$2:$AV$35,34,FALSE)</f>
        <v>200000</v>
      </c>
      <c r="BJ11" s="77">
        <f>HLOOKUP(BH11,Hoja2!$R$2:$AV$36,35,FALSE)</f>
        <v>934.84</v>
      </c>
      <c r="BK11" s="26" t="str">
        <f>HLOOKUP(BH11,Hoja2!$R$2:$AV$37,36,FALSE)</f>
        <v>200K</v>
      </c>
      <c r="BL11" s="79">
        <f>HLOOKUP(BH11,Hoja2!$R$2:$AV$38,37,FALSE)</f>
        <v>186968000</v>
      </c>
      <c r="BN11" s="20"/>
      <c r="BO11" s="12">
        <v>110205</v>
      </c>
      <c r="BP11" s="12" t="s">
        <v>59</v>
      </c>
      <c r="BQ11" s="12" t="str">
        <f>+BQ10</f>
        <v>CPA Fondeo Bice USD a OZ CAMBIO USD 0 USD T/C 919,49</v>
      </c>
      <c r="BR11" s="13"/>
      <c r="BS11" s="18">
        <f t="shared" ref="BS11" si="26">+BR10</f>
        <v>0</v>
      </c>
      <c r="BW11" s="1">
        <v>45575</v>
      </c>
      <c r="BX11" s="26">
        <f>HLOOKUP(BW11,Hoja2!$R$2:$AV$46,45,FALSE)</f>
        <v>226493.44</v>
      </c>
      <c r="BY11" s="77">
        <f>HLOOKUP(BW11,Hoja2!$R$2:$AV$48,47,FALSE)</f>
        <v>933.62</v>
      </c>
      <c r="BZ11" s="77">
        <f>HLOOKUP(BW11,Hoja2!$R$2:$AV$49,48,FALSE)</f>
        <v>226493.44</v>
      </c>
      <c r="CA11" s="79">
        <f>HLOOKUP(BW11,Hoja2!$R$2:$AV$52,51,FALSE)</f>
        <v>211458805.45280001</v>
      </c>
      <c r="CB11" s="79" t="str">
        <f>HLOOKUP(BW11,Hoja2!$R$2:$AV$50,49,FALSE)</f>
        <v>USD SET</v>
      </c>
      <c r="CC11" s="79">
        <f>HLOOKUP(BW11,Hoja2!$R$2:$AV$51,50,FALSE)</f>
        <v>0</v>
      </c>
      <c r="CE11" s="20"/>
      <c r="CF11">
        <v>420604</v>
      </c>
      <c r="CG11" t="s">
        <v>164</v>
      </c>
      <c r="CH11" t="str">
        <f t="shared" ref="CH11" si="27">"CPA Comisión bancaria rescate LOCALPAYMENT a Bco.Bice USD"</f>
        <v>CPA Comisión bancaria rescate LOCALPAYMENT a Bco.Bice USD</v>
      </c>
      <c r="CI11" s="3">
        <f>+CC4</f>
        <v>0</v>
      </c>
      <c r="CJ11" s="10"/>
      <c r="CN11" s="1">
        <v>45575</v>
      </c>
      <c r="CO11" s="26">
        <f>HLOOKUP(CN11,Hoja2!$R$2:$AV$46,45,FALSE)</f>
        <v>226493.44</v>
      </c>
      <c r="CP11" s="77">
        <f>HLOOKUP(CN11,Hoja2!$R$2:$AV$48,47,FALSE)</f>
        <v>933.62</v>
      </c>
      <c r="CQ11" s="77">
        <f>HLOOKUP(CN11,Hoja2!$R$2:$AV$49,48,FALSE)</f>
        <v>226493.44</v>
      </c>
      <c r="CR11" s="79">
        <f>HLOOKUP(CN11,Hoja2!$R$2:$AV$52,51,FALSE)</f>
        <v>211458805.45280001</v>
      </c>
      <c r="CS11" s="79" t="str">
        <f>HLOOKUP(CN11,Hoja2!$R$2:$AV$50,49,FALSE)</f>
        <v>USD SET</v>
      </c>
      <c r="CT11" s="79">
        <f>HLOOKUP(CN11,Hoja2!$R$2:$AV$51,50,FALSE)</f>
        <v>0</v>
      </c>
      <c r="CV11" s="20"/>
      <c r="CW11">
        <v>420604</v>
      </c>
      <c r="CX11" t="s">
        <v>164</v>
      </c>
      <c r="CY11" t="str">
        <f t="shared" ref="CY11" si="28">"CPA Comisión bancaria rescate LOCALPAYMENT a Bco.Bice USD"</f>
        <v>CPA Comisión bancaria rescate LOCALPAYMENT a Bco.Bice USD</v>
      </c>
      <c r="CZ11" s="3">
        <f>+CT4</f>
        <v>0</v>
      </c>
      <c r="DA11" s="10"/>
      <c r="DE11" s="1">
        <v>45575</v>
      </c>
      <c r="DF11" s="26">
        <f>HLOOKUP(DE11,Hoja2!$R$2:$AV$53,52,FALSE)</f>
        <v>725213.86</v>
      </c>
      <c r="DG11" s="77">
        <f>HLOOKUP(DE11,Hoja2!$R$2:$AV$56,55,FALSE)</f>
        <v>933.62</v>
      </c>
      <c r="DH11" s="77">
        <f>HLOOKUP(DE11,Hoja2!$R$2:$AV$57,56,FALSE)</f>
        <v>725213.86</v>
      </c>
      <c r="DI11" s="79">
        <f>HLOOKUP(DE11,Hoja2!$R$2:$AV$60,59,FALSE)</f>
        <v>677074163.97319996</v>
      </c>
      <c r="DJ11" s="79" t="str">
        <f>HLOOKUP(DE11,Hoja2!$R$2:$AV$58,57,FALSE)</f>
        <v>USD SET</v>
      </c>
      <c r="DK11" s="79">
        <f>HLOOKUP(DE11,Hoja2!$R$2:$AV$59,58,FALSE)</f>
        <v>0</v>
      </c>
      <c r="DM11" s="20"/>
      <c r="DN11">
        <v>420604</v>
      </c>
      <c r="DO11" t="s">
        <v>164</v>
      </c>
      <c r="DP11" t="str">
        <f t="shared" ref="DP11" si="29">"CPA Comisión bancaria rescate LOCALPAYMENT a Bco.Bice USD"</f>
        <v>CPA Comisión bancaria rescate LOCALPAYMENT a Bco.Bice USD</v>
      </c>
      <c r="DQ11" s="3">
        <f>+DK4</f>
        <v>0</v>
      </c>
      <c r="DR11" s="10"/>
    </row>
    <row r="12" spans="1:122" x14ac:dyDescent="0.25">
      <c r="A12" s="1">
        <v>45576</v>
      </c>
      <c r="B12" s="26">
        <f>HLOOKUP(A12,Hoja2!$R$2:$AV$18,17,FALSE)</f>
        <v>845000</v>
      </c>
      <c r="C12" s="77">
        <f>HLOOKUP(A12,Hoja2!$R$2:$AV$19,18,FALSE)</f>
        <v>931.26</v>
      </c>
      <c r="D12" s="26" t="str">
        <f>HLOOKUP(A12,Hoja2!$R$2:$AV$20,19,FALSE)</f>
        <v>845K</v>
      </c>
      <c r="E12" s="79">
        <f>HLOOKUP(A12,Hoja2!$R$2:$AV$21,20,FALSE)</f>
        <v>786914700</v>
      </c>
      <c r="G12" s="15">
        <v>45449</v>
      </c>
      <c r="H12">
        <v>110275</v>
      </c>
      <c r="I12" t="s">
        <v>82</v>
      </c>
      <c r="J12" t="str">
        <f>"CPA Fondeo Bice USD a NIUM " &amp;D7&amp;" USD T/C "&amp;C7</f>
        <v>CPA Fondeo Bice USD a NIUM 0 USD T/C 919,49</v>
      </c>
      <c r="K12" s="3">
        <f>+E7</f>
        <v>0</v>
      </c>
      <c r="L12" s="10"/>
      <c r="P12" s="1">
        <v>45576</v>
      </c>
      <c r="Q12" s="26">
        <f>HLOOKUP(P12,Hoja2!$R$2:$AV$22,21,FALSE)</f>
        <v>0</v>
      </c>
      <c r="R12" s="77">
        <f>HLOOKUP(P12,Hoja2!$R$2:$AV$23,22,FALSE)</f>
        <v>931.26</v>
      </c>
      <c r="S12" s="26">
        <f>HLOOKUP(P12,Hoja2!$R$2:$AV$24,23,FALSE)</f>
        <v>0</v>
      </c>
      <c r="T12" s="79">
        <f>HLOOKUP(P12,Hoja2!$R$2:$AV$25,24,FALSE)</f>
        <v>0</v>
      </c>
      <c r="V12" s="15">
        <v>45449</v>
      </c>
      <c r="W12">
        <v>110274</v>
      </c>
      <c r="X12" t="s">
        <v>84</v>
      </c>
      <c r="Y12" t="str">
        <f>"CPA Fondeo Bice USD a Facilita Pay " &amp;S7&amp;" USD T/C "&amp;R7&amp;".- "&amp;TEXT($G12,"dd-mm-aaa")</f>
        <v>CPA Fondeo Bice USD a Facilita Pay 0 USD T/C 919,49.- 06-06-2024</v>
      </c>
      <c r="Z12" s="3">
        <f>+T7</f>
        <v>0</v>
      </c>
      <c r="AA12" s="10"/>
      <c r="AD12" s="1">
        <v>45576</v>
      </c>
      <c r="AE12" s="26">
        <f>HLOOKUP(AD12,Hoja2!$R$2:$AV$26,25,FALSE)</f>
        <v>650000</v>
      </c>
      <c r="AF12" s="77">
        <f>HLOOKUP(AD12,Hoja2!$R$2:$AV$27,26,FALSE)</f>
        <v>931.26</v>
      </c>
      <c r="AG12" s="26" t="str">
        <f>HLOOKUP(AD12,Hoja2!$R$2:$AV$28,27,FALSE)</f>
        <v>650K</v>
      </c>
      <c r="AH12" s="79">
        <f>HLOOKUP(AD12,Hoja2!$R$2:$AV$29,28,FALSE)</f>
        <v>605319000</v>
      </c>
      <c r="AJ12" s="15">
        <v>45449</v>
      </c>
      <c r="AK12">
        <v>110820</v>
      </c>
      <c r="AL12" t="s">
        <v>92</v>
      </c>
      <c r="AM12" t="str">
        <f>"CPA Fondeo Bice USD a JPM COL " &amp;AG7&amp;" USD T/C "&amp;AF7&amp;".- "&amp;TEXT($G12,"dd-mm-aaa")</f>
        <v>CPA Fondeo Bice USD a JPM COL 0 USD T/C 919,49.- 06-06-2024</v>
      </c>
      <c r="AN12" s="3">
        <f>+AH7</f>
        <v>0</v>
      </c>
      <c r="AO12" s="10"/>
      <c r="AS12" s="1">
        <v>45576</v>
      </c>
      <c r="AT12" s="26">
        <f>HLOOKUP(AS12,Hoja2!$R$2:$AV$30,29,FALSE)</f>
        <v>0</v>
      </c>
      <c r="AU12" s="77">
        <f>HLOOKUP(AS12,Hoja2!$R$2:$AV$31,30,FALSE)</f>
        <v>0</v>
      </c>
      <c r="AV12" s="26">
        <f>HLOOKUP(AS12,Hoja2!$R$2:$AV$32,31,FALSE)</f>
        <v>0</v>
      </c>
      <c r="AW12" s="79">
        <f>HLOOKUP(AS12,Hoja2!$R$2:$AV$33,32,FALSE)</f>
        <v>0</v>
      </c>
      <c r="AY12" s="15">
        <v>45449</v>
      </c>
      <c r="AZ12">
        <v>110205</v>
      </c>
      <c r="BA12" t="s">
        <v>59</v>
      </c>
      <c r="BB12" t="str">
        <f>"CPA Rescate DLocal a Bco.Bice USD " &amp;AV7&amp;" USD T/C "&amp;AU7&amp;".- "&amp;TEXT($G12,"dd-mm-aaa")</f>
        <v>CPA Rescate DLocal a Bco.Bice USD 0 USD T/C 0.- 06-06-2024</v>
      </c>
      <c r="BC12" s="3">
        <f>+AW7</f>
        <v>0</v>
      </c>
      <c r="BD12" s="10"/>
      <c r="BH12" s="1">
        <v>45576</v>
      </c>
      <c r="BI12" s="26">
        <f>HLOOKUP(BH12,Hoja2!$R$2:$AV$35,34,FALSE)</f>
        <v>0</v>
      </c>
      <c r="BJ12" s="77">
        <f>HLOOKUP(BH12,Hoja2!$R$2:$AV$36,35,FALSE)</f>
        <v>931.26</v>
      </c>
      <c r="BK12" s="26">
        <f>HLOOKUP(BH12,Hoja2!$R$2:$AV$37,36,FALSE)</f>
        <v>0</v>
      </c>
      <c r="BL12" s="79">
        <f>HLOOKUP(BH12,Hoja2!$R$2:$AV$38,37,FALSE)</f>
        <v>0</v>
      </c>
      <c r="BN12" s="15">
        <v>45449</v>
      </c>
      <c r="BO12">
        <v>110292</v>
      </c>
      <c r="BP12" t="s">
        <v>142</v>
      </c>
      <c r="BQ12" t="str">
        <f>"CPA Fondeo Bice USD a OZ CAMBIO USD " &amp;BK7&amp;" USD T/C "&amp;BJ7</f>
        <v>CPA Fondeo Bice USD a OZ CAMBIO USD 0 USD T/C 919,49</v>
      </c>
      <c r="BR12" s="3">
        <f>+BL7</f>
        <v>0</v>
      </c>
      <c r="BS12" s="10"/>
      <c r="BW12" s="1">
        <v>45576</v>
      </c>
      <c r="BX12" s="26">
        <f>HLOOKUP(BW12,Hoja2!$R$2:$AV$46,45,FALSE)</f>
        <v>0</v>
      </c>
      <c r="BY12" s="77">
        <f>HLOOKUP(BW12,Hoja2!$R$2:$AV$48,47,FALSE)</f>
        <v>0</v>
      </c>
      <c r="BZ12" s="77">
        <f>HLOOKUP(BW12,Hoja2!$R$2:$AV$49,48,FALSE)</f>
        <v>0</v>
      </c>
      <c r="CA12" s="79">
        <f>HLOOKUP(BW12,Hoja2!$R$2:$AV$52,51,FALSE)</f>
        <v>0</v>
      </c>
      <c r="CB12" s="79" t="str">
        <f>HLOOKUP(BW12,Hoja2!$R$2:$AV$50,49,FALSE)</f>
        <v>USD SET</v>
      </c>
      <c r="CC12" s="79">
        <f>HLOOKUP(BW12,Hoja2!$R$2:$AV$51,50,FALSE)</f>
        <v>0</v>
      </c>
      <c r="CE12" s="20"/>
      <c r="CF12">
        <v>110316</v>
      </c>
      <c r="CG12" t="s">
        <v>165</v>
      </c>
      <c r="CH12" t="str">
        <f t="shared" ref="CH12" si="30">+CH11</f>
        <v>CPA Comisión bancaria rescate LOCALPAYMENT a Bco.Bice USD</v>
      </c>
      <c r="CI12" s="3"/>
      <c r="CJ12" s="10">
        <f t="shared" ref="CJ12" si="31">+CI11</f>
        <v>0</v>
      </c>
      <c r="CN12" s="1">
        <v>45576</v>
      </c>
      <c r="CO12" s="26">
        <f>HLOOKUP(CN12,Hoja2!$R$2:$AV$46,45,FALSE)</f>
        <v>0</v>
      </c>
      <c r="CP12" s="77">
        <f>HLOOKUP(CN12,Hoja2!$R$2:$AV$48,47,FALSE)</f>
        <v>0</v>
      </c>
      <c r="CQ12" s="77">
        <f>HLOOKUP(CN12,Hoja2!$R$2:$AV$49,48,FALSE)</f>
        <v>0</v>
      </c>
      <c r="CR12" s="79">
        <f>HLOOKUP(CN12,Hoja2!$R$2:$AV$52,51,FALSE)</f>
        <v>0</v>
      </c>
      <c r="CS12" s="79" t="str">
        <f>HLOOKUP(CN12,Hoja2!$R$2:$AV$50,49,FALSE)</f>
        <v>USD SET</v>
      </c>
      <c r="CT12" s="79">
        <f>HLOOKUP(CN12,Hoja2!$R$2:$AV$51,50,FALSE)</f>
        <v>0</v>
      </c>
      <c r="CV12" s="20"/>
      <c r="CW12">
        <v>110316</v>
      </c>
      <c r="CX12" t="s">
        <v>165</v>
      </c>
      <c r="CY12" t="str">
        <f t="shared" ref="CY12" si="32">+CY11</f>
        <v>CPA Comisión bancaria rescate LOCALPAYMENT a Bco.Bice USD</v>
      </c>
      <c r="CZ12" s="3"/>
      <c r="DA12" s="10">
        <f t="shared" ref="DA12" si="33">+CZ11</f>
        <v>0</v>
      </c>
      <c r="DE12" s="1">
        <v>45576</v>
      </c>
      <c r="DF12" s="26">
        <f>HLOOKUP(DE12,Hoja2!$R$2:$AV$53,52,FALSE)</f>
        <v>0</v>
      </c>
      <c r="DG12" s="77">
        <f>HLOOKUP(DE12,Hoja2!$R$2:$AV$56,55,FALSE)</f>
        <v>0</v>
      </c>
      <c r="DH12" s="77">
        <f>HLOOKUP(DE12,Hoja2!$R$2:$AV$57,56,FALSE)</f>
        <v>0</v>
      </c>
      <c r="DI12" s="79">
        <f>HLOOKUP(DE12,Hoja2!$R$2:$AV$60,59,FALSE)</f>
        <v>0</v>
      </c>
      <c r="DJ12" s="79" t="str">
        <f>HLOOKUP(DE12,Hoja2!$R$2:$AV$58,57,FALSE)</f>
        <v>USD SET</v>
      </c>
      <c r="DK12" s="79">
        <f>HLOOKUP(DE12,Hoja2!$R$2:$AV$59,58,FALSE)</f>
        <v>0</v>
      </c>
      <c r="DM12" s="20"/>
      <c r="DN12">
        <v>110316</v>
      </c>
      <c r="DO12" t="s">
        <v>165</v>
      </c>
      <c r="DP12" t="str">
        <f t="shared" ref="DP12" si="34">+DP11</f>
        <v>CPA Comisión bancaria rescate LOCALPAYMENT a Bco.Bice USD</v>
      </c>
      <c r="DQ12" s="3"/>
      <c r="DR12" s="10">
        <f t="shared" ref="DR12" si="35">+DQ11</f>
        <v>0</v>
      </c>
    </row>
    <row r="13" spans="1:122" x14ac:dyDescent="0.25">
      <c r="A13" s="1">
        <v>45577</v>
      </c>
      <c r="B13" s="26">
        <f>HLOOKUP(A13,Hoja2!$R$2:$AV$18,17,FALSE)</f>
        <v>0</v>
      </c>
      <c r="C13" s="77">
        <f>HLOOKUP(A13,Hoja2!$R$2:$AV$19,18,FALSE)</f>
        <v>931.26</v>
      </c>
      <c r="D13" s="26">
        <f>HLOOKUP(A13,Hoja2!$R$2:$AV$20,19,FALSE)</f>
        <v>0</v>
      </c>
      <c r="E13" s="79">
        <f>HLOOKUP(A13,Hoja2!$R$2:$AV$21,20,FALSE)</f>
        <v>0</v>
      </c>
      <c r="F13" s="39"/>
      <c r="G13" s="20"/>
      <c r="H13" s="12">
        <v>110205</v>
      </c>
      <c r="I13" s="12" t="s">
        <v>59</v>
      </c>
      <c r="J13" s="12" t="str">
        <f>+J12</f>
        <v>CPA Fondeo Bice USD a NIUM 0 USD T/C 919,49</v>
      </c>
      <c r="K13" s="13"/>
      <c r="L13" s="18">
        <f t="shared" si="5"/>
        <v>0</v>
      </c>
      <c r="P13" s="1">
        <v>45577</v>
      </c>
      <c r="Q13" s="26">
        <f>HLOOKUP(P13,Hoja2!$R$2:$AV$22,21,FALSE)</f>
        <v>0</v>
      </c>
      <c r="R13" s="77">
        <f>HLOOKUP(P13,Hoja2!$R$2:$AV$23,22,FALSE)</f>
        <v>931.26</v>
      </c>
      <c r="S13" s="26">
        <f>HLOOKUP(P13,Hoja2!$R$2:$AV$24,23,FALSE)</f>
        <v>0</v>
      </c>
      <c r="T13" s="79">
        <f>HLOOKUP(P13,Hoja2!$R$2:$AV$25,24,FALSE)</f>
        <v>0</v>
      </c>
      <c r="U13" s="39"/>
      <c r="V13" s="20"/>
      <c r="W13" s="12">
        <v>110205</v>
      </c>
      <c r="X13" s="12" t="s">
        <v>59</v>
      </c>
      <c r="Y13" s="12" t="str">
        <f>+Y12</f>
        <v>CPA Fondeo Bice USD a Facilita Pay 0 USD T/C 919,49.- 06-06-2024</v>
      </c>
      <c r="Z13" s="13"/>
      <c r="AA13" s="18">
        <f t="shared" si="6"/>
        <v>0</v>
      </c>
      <c r="AD13" s="1">
        <v>45577</v>
      </c>
      <c r="AE13" s="26">
        <f>HLOOKUP(AD13,Hoja2!$R$2:$AV$26,25,FALSE)</f>
        <v>0</v>
      </c>
      <c r="AF13" s="77">
        <f>HLOOKUP(AD13,Hoja2!$R$2:$AV$27,26,FALSE)</f>
        <v>931.26</v>
      </c>
      <c r="AG13" s="26">
        <f>HLOOKUP(AD13,Hoja2!$R$2:$AV$28,27,FALSE)</f>
        <v>0</v>
      </c>
      <c r="AH13" s="79">
        <f>HLOOKUP(AD13,Hoja2!$R$2:$AV$29,28,FALSE)</f>
        <v>0</v>
      </c>
      <c r="AI13" s="39"/>
      <c r="AJ13" s="20"/>
      <c r="AK13" s="12">
        <v>110205</v>
      </c>
      <c r="AL13" s="12" t="s">
        <v>59</v>
      </c>
      <c r="AM13" s="12" t="str">
        <f>+AM12</f>
        <v>CPA Fondeo Bice USD a JPM COL 0 USD T/C 919,49.- 06-06-2024</v>
      </c>
      <c r="AN13" s="13"/>
      <c r="AO13" s="18">
        <f t="shared" si="7"/>
        <v>0</v>
      </c>
      <c r="AS13" s="1">
        <v>45577</v>
      </c>
      <c r="AT13" s="26">
        <f>HLOOKUP(AS13,Hoja2!$R$2:$AV$30,29,FALSE)</f>
        <v>0</v>
      </c>
      <c r="AU13" s="77">
        <f>HLOOKUP(AS13,Hoja2!$R$2:$AV$31,30,FALSE)</f>
        <v>0</v>
      </c>
      <c r="AV13" s="26">
        <f>HLOOKUP(AS13,Hoja2!$R$2:$AV$32,31,FALSE)</f>
        <v>0</v>
      </c>
      <c r="AW13" s="79">
        <f>HLOOKUP(AS13,Hoja2!$R$2:$AV$33,32,FALSE)</f>
        <v>0</v>
      </c>
      <c r="AX13" s="39"/>
      <c r="AY13" s="20"/>
      <c r="AZ13" s="12">
        <v>110276</v>
      </c>
      <c r="BA13" s="12" t="s">
        <v>97</v>
      </c>
      <c r="BB13" s="12" t="str">
        <f>+BB12</f>
        <v>CPA Rescate DLocal a Bco.Bice USD 0 USD T/C 0.- 06-06-2024</v>
      </c>
      <c r="BC13" s="13"/>
      <c r="BD13" s="18">
        <f t="shared" si="8"/>
        <v>0</v>
      </c>
      <c r="BH13" s="1">
        <v>45577</v>
      </c>
      <c r="BI13" s="26">
        <f>HLOOKUP(BH13,Hoja2!$R$2:$AV$35,34,FALSE)</f>
        <v>0</v>
      </c>
      <c r="BJ13" s="77">
        <f>HLOOKUP(BH13,Hoja2!$R$2:$AV$36,35,FALSE)</f>
        <v>931.26</v>
      </c>
      <c r="BK13" s="26">
        <f>HLOOKUP(BH13,Hoja2!$R$2:$AV$37,36,FALSE)</f>
        <v>0</v>
      </c>
      <c r="BL13" s="79">
        <f>HLOOKUP(BH13,Hoja2!$R$2:$AV$38,37,FALSE)</f>
        <v>0</v>
      </c>
      <c r="BM13" s="39"/>
      <c r="BN13" s="20"/>
      <c r="BO13" s="12">
        <v>110205</v>
      </c>
      <c r="BP13" s="12" t="s">
        <v>59</v>
      </c>
      <c r="BQ13" s="12" t="str">
        <f>+BQ12</f>
        <v>CPA Fondeo Bice USD a OZ CAMBIO USD 0 USD T/C 919,49</v>
      </c>
      <c r="BR13" s="13"/>
      <c r="BS13" s="18">
        <f t="shared" ref="BS13" si="36">+BR12</f>
        <v>0</v>
      </c>
      <c r="BW13" s="1">
        <v>45577</v>
      </c>
      <c r="BX13" s="26">
        <f>HLOOKUP(BW13,Hoja2!$R$2:$AV$46,45,FALSE)</f>
        <v>0</v>
      </c>
      <c r="BY13" s="77">
        <f>HLOOKUP(BW13,Hoja2!$R$2:$AV$48,47,FALSE)</f>
        <v>0</v>
      </c>
      <c r="BZ13" s="77">
        <f>HLOOKUP(BW13,Hoja2!$R$2:$AV$49,48,FALSE)</f>
        <v>0</v>
      </c>
      <c r="CA13" s="79">
        <f>HLOOKUP(BW13,Hoja2!$R$2:$AV$52,51,FALSE)</f>
        <v>0</v>
      </c>
      <c r="CB13" s="79" t="str">
        <f>HLOOKUP(BW13,Hoja2!$R$2:$AV$50,49,FALSE)</f>
        <v>USD SET</v>
      </c>
      <c r="CC13" s="79">
        <f>HLOOKUP(BW13,Hoja2!$R$2:$AV$51,50,FALSE)</f>
        <v>0</v>
      </c>
      <c r="CD13" s="39"/>
      <c r="CE13" s="11"/>
      <c r="CF13" s="12">
        <v>110316</v>
      </c>
      <c r="CG13" s="12" t="s">
        <v>165</v>
      </c>
      <c r="CH13" s="12" t="str">
        <f t="shared" ref="CH13" si="37">+CH10</f>
        <v>CPA Rescate LOCALPAYMENT USD SET a Bco.Bice USD 1.012.060,20 T/C 901,13</v>
      </c>
      <c r="CI13" s="13"/>
      <c r="CJ13" s="18">
        <f t="shared" ref="CJ13" si="38">+CI10</f>
        <v>911997808.0259999</v>
      </c>
      <c r="CN13" s="1">
        <v>45577</v>
      </c>
      <c r="CO13" s="26">
        <f>HLOOKUP(CN13,Hoja2!$R$2:$AV$46,45,FALSE)</f>
        <v>0</v>
      </c>
      <c r="CP13" s="77">
        <f>HLOOKUP(CN13,Hoja2!$R$2:$AV$48,47,FALSE)</f>
        <v>0</v>
      </c>
      <c r="CQ13" s="77">
        <f>HLOOKUP(CN13,Hoja2!$R$2:$AV$49,48,FALSE)</f>
        <v>0</v>
      </c>
      <c r="CR13" s="79">
        <f>HLOOKUP(CN13,Hoja2!$R$2:$AV$52,51,FALSE)</f>
        <v>0</v>
      </c>
      <c r="CS13" s="79" t="str">
        <f>HLOOKUP(CN13,Hoja2!$R$2:$AV$50,49,FALSE)</f>
        <v>USD SET</v>
      </c>
      <c r="CT13" s="79">
        <f>HLOOKUP(CN13,Hoja2!$R$2:$AV$51,50,FALSE)</f>
        <v>0</v>
      </c>
      <c r="CU13" s="39"/>
      <c r="CV13" s="11"/>
      <c r="CW13" s="12">
        <v>110316</v>
      </c>
      <c r="CX13" s="12" t="s">
        <v>165</v>
      </c>
      <c r="CY13" s="12" t="str">
        <f t="shared" ref="CY13" si="39">+CY10</f>
        <v>CPA Rescate LOCALPAYMENT USD SET a Bco.Bice USD 1.012.060,20 T/C 901,13</v>
      </c>
      <c r="CZ13" s="13"/>
      <c r="DA13" s="18">
        <f t="shared" ref="DA13" si="40">+CZ10</f>
        <v>911997808.0259999</v>
      </c>
      <c r="DE13" s="1">
        <v>45577</v>
      </c>
      <c r="DF13" s="26">
        <f>HLOOKUP(DE13,Hoja2!$R$2:$AV$53,52,FALSE)</f>
        <v>0</v>
      </c>
      <c r="DG13" s="77">
        <f>HLOOKUP(DE13,Hoja2!$R$2:$AV$56,55,FALSE)</f>
        <v>0</v>
      </c>
      <c r="DH13" s="77">
        <f>HLOOKUP(DE13,Hoja2!$R$2:$AV$57,56,FALSE)</f>
        <v>0</v>
      </c>
      <c r="DI13" s="79">
        <f>HLOOKUP(DE13,Hoja2!$R$2:$AV$60,59,FALSE)</f>
        <v>0</v>
      </c>
      <c r="DJ13" s="79" t="str">
        <f>HLOOKUP(DE13,Hoja2!$R$2:$AV$58,57,FALSE)</f>
        <v>USD SET</v>
      </c>
      <c r="DK13" s="79">
        <f>HLOOKUP(DE13,Hoja2!$R$2:$AV$59,58,FALSE)</f>
        <v>0</v>
      </c>
      <c r="DL13" s="39"/>
      <c r="DM13" s="11"/>
      <c r="DN13" s="12">
        <v>110316</v>
      </c>
      <c r="DO13" s="12" t="s">
        <v>165</v>
      </c>
      <c r="DP13" s="12" t="str">
        <f t="shared" ref="DP13" si="41">+DP10</f>
        <v>CPA Rescate LOCALPAYMENT USD SET a Bco.Bice USD 0,00 T/C 0</v>
      </c>
      <c r="DQ13" s="13"/>
      <c r="DR13" s="18">
        <f t="shared" ref="DR13" si="42">+DQ10</f>
        <v>0</v>
      </c>
    </row>
    <row r="14" spans="1:122" x14ac:dyDescent="0.25">
      <c r="A14" s="1">
        <v>45578</v>
      </c>
      <c r="B14" s="26">
        <f>HLOOKUP(A14,Hoja2!$R$2:$AV$18,17,FALSE)</f>
        <v>0</v>
      </c>
      <c r="C14" s="77">
        <f>HLOOKUP(A14,Hoja2!$R$2:$AV$19,18,FALSE)</f>
        <v>931.26</v>
      </c>
      <c r="D14" s="26">
        <f>HLOOKUP(A14,Hoja2!$R$2:$AV$20,19,FALSE)</f>
        <v>0</v>
      </c>
      <c r="E14" s="79">
        <f>HLOOKUP(A14,Hoja2!$R$2:$AV$21,20,FALSE)</f>
        <v>0</v>
      </c>
      <c r="F14" s="21"/>
      <c r="G14" s="15">
        <v>45450</v>
      </c>
      <c r="H14">
        <v>110275</v>
      </c>
      <c r="I14" t="s">
        <v>82</v>
      </c>
      <c r="J14" t="str">
        <f>"CPA Fondeo Bice USD a NIUM " &amp;D8&amp;" USD T/C "&amp;C8</f>
        <v>CPA Fondeo Bice USD a NIUM 1.62 M USD T/C 923,74</v>
      </c>
      <c r="K14" s="3">
        <f>+E8</f>
        <v>1496458800</v>
      </c>
      <c r="L14" s="10"/>
      <c r="P14" s="1">
        <v>45578</v>
      </c>
      <c r="Q14" s="26">
        <f>HLOOKUP(P14,Hoja2!$R$2:$AV$22,21,FALSE)</f>
        <v>0</v>
      </c>
      <c r="R14" s="77">
        <f>HLOOKUP(P14,Hoja2!$R$2:$AV$23,22,FALSE)</f>
        <v>931.26</v>
      </c>
      <c r="S14" s="26">
        <f>HLOOKUP(P14,Hoja2!$R$2:$AV$24,23,FALSE)</f>
        <v>0</v>
      </c>
      <c r="T14" s="79">
        <f>HLOOKUP(P14,Hoja2!$R$2:$AV$25,24,FALSE)</f>
        <v>0</v>
      </c>
      <c r="U14" s="21"/>
      <c r="V14" s="15">
        <v>45450</v>
      </c>
      <c r="W14">
        <v>110274</v>
      </c>
      <c r="X14" t="s">
        <v>84</v>
      </c>
      <c r="Y14" t="str">
        <f>"CPA Fondeo Bice USD a Facilita Pay " &amp;S8&amp;" USD T/C "&amp;R8&amp;".- "&amp;TEXT($G14,"dd-mm-aaa")</f>
        <v>CPA Fondeo Bice USD a Facilita Pay 0 USD T/C 923,74.- 07-06-2024</v>
      </c>
      <c r="Z14" s="3">
        <f>+T8</f>
        <v>0</v>
      </c>
      <c r="AA14" s="10"/>
      <c r="AD14" s="1">
        <v>45578</v>
      </c>
      <c r="AE14" s="26">
        <f>HLOOKUP(AD14,Hoja2!$R$2:$AV$26,25,FALSE)</f>
        <v>0</v>
      </c>
      <c r="AF14" s="77">
        <f>HLOOKUP(AD14,Hoja2!$R$2:$AV$27,26,FALSE)</f>
        <v>931.26</v>
      </c>
      <c r="AG14" s="26">
        <f>HLOOKUP(AD14,Hoja2!$R$2:$AV$28,27,FALSE)</f>
        <v>0</v>
      </c>
      <c r="AH14" s="79">
        <f>HLOOKUP(AD14,Hoja2!$R$2:$AV$29,28,FALSE)</f>
        <v>0</v>
      </c>
      <c r="AI14" s="21"/>
      <c r="AJ14" s="15">
        <v>45450</v>
      </c>
      <c r="AK14">
        <v>110820</v>
      </c>
      <c r="AL14" t="s">
        <v>92</v>
      </c>
      <c r="AM14" t="str">
        <f>"CPA Fondeo Bice USD a JPM COL " &amp;AG8&amp;" USD T/C "&amp;AF8&amp;".- "&amp;TEXT($G14,"dd-mm-aaa")</f>
        <v>CPA Fondeo Bice USD a JPM COL 0 USD T/C 923,74.- 07-06-2024</v>
      </c>
      <c r="AN14" s="3">
        <f>+AH8</f>
        <v>0</v>
      </c>
      <c r="AO14" s="10"/>
      <c r="AS14" s="1">
        <v>45578</v>
      </c>
      <c r="AT14" s="26">
        <f>HLOOKUP(AS14,Hoja2!$R$2:$AV$30,29,FALSE)</f>
        <v>0</v>
      </c>
      <c r="AU14" s="77">
        <f>HLOOKUP(AS14,Hoja2!$R$2:$AV$31,30,FALSE)</f>
        <v>0</v>
      </c>
      <c r="AV14" s="26">
        <f>HLOOKUP(AS14,Hoja2!$R$2:$AV$32,31,FALSE)</f>
        <v>0</v>
      </c>
      <c r="AW14" s="79">
        <f>HLOOKUP(AS14,Hoja2!$R$2:$AV$33,32,FALSE)</f>
        <v>0</v>
      </c>
      <c r="AX14" s="21"/>
      <c r="AY14" s="15">
        <v>45450</v>
      </c>
      <c r="AZ14">
        <v>110205</v>
      </c>
      <c r="BA14" t="s">
        <v>59</v>
      </c>
      <c r="BB14" t="str">
        <f>"CPA Rescate DLocal a Bco.Bice USD " &amp;AV8&amp;" USD T/C "&amp;AU8&amp;".- "&amp;TEXT($G14,"dd-mm-aaa")</f>
        <v>CPA Rescate DLocal a Bco.Bice USD 0 USD T/C 0.- 07-06-2024</v>
      </c>
      <c r="BC14" s="3">
        <f>+AW8</f>
        <v>0</v>
      </c>
      <c r="BD14" s="10"/>
      <c r="BH14" s="1">
        <v>45578</v>
      </c>
      <c r="BI14" s="26">
        <f>HLOOKUP(BH14,Hoja2!$R$2:$AV$35,34,FALSE)</f>
        <v>0</v>
      </c>
      <c r="BJ14" s="77">
        <f>HLOOKUP(BH14,Hoja2!$R$2:$AV$36,35,FALSE)</f>
        <v>931.26</v>
      </c>
      <c r="BK14" s="26">
        <f>HLOOKUP(BH14,Hoja2!$R$2:$AV$37,36,FALSE)</f>
        <v>0</v>
      </c>
      <c r="BL14" s="79">
        <f>HLOOKUP(BH14,Hoja2!$R$2:$AV$38,37,FALSE)</f>
        <v>0</v>
      </c>
      <c r="BM14" s="21"/>
      <c r="BN14" s="15">
        <v>45450</v>
      </c>
      <c r="BO14">
        <v>110292</v>
      </c>
      <c r="BP14" t="s">
        <v>142</v>
      </c>
      <c r="BQ14" t="str">
        <f>"CPA Fondeo Bice USD a OZ CAMBIO USD " &amp;BK8&amp;" USD T/C "&amp;BJ8</f>
        <v>CPA Fondeo Bice USD a OZ CAMBIO USD 250K USD T/C 923,74</v>
      </c>
      <c r="BR14" s="3">
        <f>+BL8</f>
        <v>230935000</v>
      </c>
      <c r="BS14" s="10"/>
      <c r="BW14" s="1">
        <v>45578</v>
      </c>
      <c r="BX14" s="26">
        <f>HLOOKUP(BW14,Hoja2!$R$2:$AV$46,45,FALSE)</f>
        <v>0</v>
      </c>
      <c r="BY14" s="77">
        <f>HLOOKUP(BW14,Hoja2!$R$2:$AV$48,47,FALSE)</f>
        <v>0</v>
      </c>
      <c r="BZ14" s="77">
        <f>HLOOKUP(BW14,Hoja2!$R$2:$AV$49,48,FALSE)</f>
        <v>0</v>
      </c>
      <c r="CA14" s="79">
        <f>HLOOKUP(BW14,Hoja2!$R$2:$AV$52,51,FALSE)</f>
        <v>0</v>
      </c>
      <c r="CB14" s="79" t="str">
        <f>HLOOKUP(BW14,Hoja2!$R$2:$AV$50,49,FALSE)</f>
        <v>USD SET</v>
      </c>
      <c r="CC14" s="79">
        <f>HLOOKUP(BW14,Hoja2!$R$2:$AV$51,50,FALSE)</f>
        <v>0</v>
      </c>
      <c r="CD14" s="21"/>
      <c r="CE14" s="9">
        <v>45447</v>
      </c>
      <c r="CF14">
        <v>110205</v>
      </c>
      <c r="CG14" t="s">
        <v>59</v>
      </c>
      <c r="CH14" t="str">
        <f>"CPA Rescate LOCALPAYMENT " &amp; CB5 &amp; " a Bco.Bice USD " &amp; TEXT(BZ5,"#.##0,00") &amp; " T/C " &amp; BY5</f>
        <v>CPA Rescate LOCALPAYMENT USD SET a Bco.Bice USD 718.000,00 T/C 908,23</v>
      </c>
      <c r="CI14" s="3">
        <f>+CA5</f>
        <v>652109140</v>
      </c>
      <c r="CJ14" s="10"/>
      <c r="CN14" s="1">
        <v>45578</v>
      </c>
      <c r="CO14" s="26">
        <f>HLOOKUP(CN14,Hoja2!$R$2:$AV$46,45,FALSE)</f>
        <v>0</v>
      </c>
      <c r="CP14" s="77">
        <f>HLOOKUP(CN14,Hoja2!$R$2:$AV$48,47,FALSE)</f>
        <v>0</v>
      </c>
      <c r="CQ14" s="77">
        <f>HLOOKUP(CN14,Hoja2!$R$2:$AV$49,48,FALSE)</f>
        <v>0</v>
      </c>
      <c r="CR14" s="79">
        <f>HLOOKUP(CN14,Hoja2!$R$2:$AV$52,51,FALSE)</f>
        <v>0</v>
      </c>
      <c r="CS14" s="79" t="str">
        <f>HLOOKUP(CN14,Hoja2!$R$2:$AV$50,49,FALSE)</f>
        <v>USD SET</v>
      </c>
      <c r="CT14" s="79">
        <f>HLOOKUP(CN14,Hoja2!$R$2:$AV$51,50,FALSE)</f>
        <v>0</v>
      </c>
      <c r="CU14" s="21"/>
      <c r="CV14" s="9">
        <v>45447</v>
      </c>
      <c r="CW14">
        <v>110205</v>
      </c>
      <c r="CX14" t="s">
        <v>59</v>
      </c>
      <c r="CY14" t="str">
        <f>"CPA Rescate LOCALPAYMENT " &amp; CS5 &amp; " a Bco.Bice USD " &amp; TEXT(CQ5,"#.##0,00") &amp; " T/C " &amp; CP5</f>
        <v>CPA Rescate LOCALPAYMENT USD SET a Bco.Bice USD 718.000,00 T/C 908,23</v>
      </c>
      <c r="CZ14" s="3">
        <f>+CR5</f>
        <v>652109140</v>
      </c>
      <c r="DA14" s="10"/>
      <c r="DE14" s="1">
        <v>45578</v>
      </c>
      <c r="DF14" s="26">
        <f>HLOOKUP(DE14,Hoja2!$R$2:$AV$53,52,FALSE)</f>
        <v>0</v>
      </c>
      <c r="DG14" s="77">
        <f>HLOOKUP(DE14,Hoja2!$R$2:$AV$56,55,FALSE)</f>
        <v>0</v>
      </c>
      <c r="DH14" s="77">
        <f>HLOOKUP(DE14,Hoja2!$R$2:$AV$57,56,FALSE)</f>
        <v>0</v>
      </c>
      <c r="DI14" s="79">
        <f>HLOOKUP(DE14,Hoja2!$R$2:$AV$60,59,FALSE)</f>
        <v>0</v>
      </c>
      <c r="DJ14" s="79" t="str">
        <f>HLOOKUP(DE14,Hoja2!$R$2:$AV$58,57,FALSE)</f>
        <v>USD SET</v>
      </c>
      <c r="DK14" s="79">
        <f>HLOOKUP(DE14,Hoja2!$R$2:$AV$59,58,FALSE)</f>
        <v>0</v>
      </c>
      <c r="DL14" s="21"/>
      <c r="DM14" s="9">
        <v>45447</v>
      </c>
      <c r="DN14">
        <v>110205</v>
      </c>
      <c r="DO14" t="s">
        <v>59</v>
      </c>
      <c r="DP14" t="str">
        <f>"CPA Rescate LOCALPAYMENT " &amp; DJ5 &amp; " a Bco.Bice USD " &amp; TEXT(DH5,"#.##0,00") &amp; " T/C " &amp; DG5</f>
        <v>CPA Rescate LOCALPAYMENT USD SET a Bco.Bice USD 0,00 T/C 0</v>
      </c>
      <c r="DQ14" s="3">
        <f>+DI5</f>
        <v>0</v>
      </c>
      <c r="DR14" s="10"/>
    </row>
    <row r="15" spans="1:122" x14ac:dyDescent="0.25">
      <c r="A15" s="1">
        <v>45579</v>
      </c>
      <c r="B15" s="26">
        <f>HLOOKUP(A15,Hoja2!$R$2:$AV$18,17,FALSE)</f>
        <v>1735000</v>
      </c>
      <c r="C15" s="77">
        <f>HLOOKUP(A15,Hoja2!$R$2:$AV$19,18,FALSE)</f>
        <v>926.07</v>
      </c>
      <c r="D15" s="26" t="str">
        <f>HLOOKUP(A15,Hoja2!$R$2:$AV$20,19,FALSE)</f>
        <v>1.735 M</v>
      </c>
      <c r="E15" s="79">
        <f>HLOOKUP(A15,Hoja2!$R$2:$AV$21,20,FALSE)</f>
        <v>1606731450</v>
      </c>
      <c r="F15" s="40"/>
      <c r="G15" s="20"/>
      <c r="H15" s="12">
        <v>110205</v>
      </c>
      <c r="I15" s="12" t="s">
        <v>59</v>
      </c>
      <c r="J15" s="12" t="str">
        <f>+J14</f>
        <v>CPA Fondeo Bice USD a NIUM 1.62 M USD T/C 923,74</v>
      </c>
      <c r="K15" s="13"/>
      <c r="L15" s="18">
        <f t="shared" si="5"/>
        <v>1496458800</v>
      </c>
      <c r="P15" s="1">
        <v>45579</v>
      </c>
      <c r="Q15" s="26">
        <f>HLOOKUP(P15,Hoja2!$R$2:$AV$22,21,FALSE)</f>
        <v>0</v>
      </c>
      <c r="R15" s="77">
        <f>HLOOKUP(P15,Hoja2!$R$2:$AV$23,22,FALSE)</f>
        <v>926.07</v>
      </c>
      <c r="S15" s="26">
        <f>HLOOKUP(P15,Hoja2!$R$2:$AV$24,23,FALSE)</f>
        <v>0</v>
      </c>
      <c r="T15" s="79">
        <f>HLOOKUP(P15,Hoja2!$R$2:$AV$25,24,FALSE)</f>
        <v>0</v>
      </c>
      <c r="U15" s="40"/>
      <c r="V15" s="20"/>
      <c r="W15" s="12">
        <v>110205</v>
      </c>
      <c r="X15" s="12" t="s">
        <v>59</v>
      </c>
      <c r="Y15" s="12" t="str">
        <f>+Y14</f>
        <v>CPA Fondeo Bice USD a Facilita Pay 0 USD T/C 923,74.- 07-06-2024</v>
      </c>
      <c r="Z15" s="13"/>
      <c r="AA15" s="18">
        <f t="shared" si="6"/>
        <v>0</v>
      </c>
      <c r="AD15" s="1">
        <v>45579</v>
      </c>
      <c r="AE15" s="26">
        <f>HLOOKUP(AD15,Hoja2!$R$2:$AV$26,25,FALSE)</f>
        <v>0</v>
      </c>
      <c r="AF15" s="77">
        <f>HLOOKUP(AD15,Hoja2!$R$2:$AV$27,26,FALSE)</f>
        <v>926.07</v>
      </c>
      <c r="AG15" s="26">
        <f>HLOOKUP(AD15,Hoja2!$R$2:$AV$28,27,FALSE)</f>
        <v>0</v>
      </c>
      <c r="AH15" s="79">
        <f>HLOOKUP(AD15,Hoja2!$R$2:$AV$29,28,FALSE)</f>
        <v>0</v>
      </c>
      <c r="AI15" s="40"/>
      <c r="AJ15" s="20"/>
      <c r="AK15" s="12">
        <v>110205</v>
      </c>
      <c r="AL15" s="12" t="s">
        <v>59</v>
      </c>
      <c r="AM15" s="12" t="str">
        <f>+AM14</f>
        <v>CPA Fondeo Bice USD a JPM COL 0 USD T/C 923,74.- 07-06-2024</v>
      </c>
      <c r="AN15" s="13"/>
      <c r="AO15" s="18">
        <f t="shared" si="7"/>
        <v>0</v>
      </c>
      <c r="AS15" s="1">
        <v>45579</v>
      </c>
      <c r="AT15" s="26">
        <f>HLOOKUP(AS15,Hoja2!$R$2:$AV$30,29,FALSE)</f>
        <v>0</v>
      </c>
      <c r="AU15" s="77">
        <f>HLOOKUP(AS15,Hoja2!$R$2:$AV$31,30,FALSE)</f>
        <v>0</v>
      </c>
      <c r="AV15" s="26">
        <f>HLOOKUP(AS15,Hoja2!$R$2:$AV$32,31,FALSE)</f>
        <v>0</v>
      </c>
      <c r="AW15" s="79">
        <f>HLOOKUP(AS15,Hoja2!$R$2:$AV$33,32,FALSE)</f>
        <v>0</v>
      </c>
      <c r="AX15" s="40"/>
      <c r="AY15" s="20"/>
      <c r="AZ15" s="12">
        <v>110276</v>
      </c>
      <c r="BA15" s="12" t="s">
        <v>97</v>
      </c>
      <c r="BB15" s="12" t="str">
        <f>+BB14</f>
        <v>CPA Rescate DLocal a Bco.Bice USD 0 USD T/C 0.- 07-06-2024</v>
      </c>
      <c r="BC15" s="13"/>
      <c r="BD15" s="18">
        <f t="shared" si="8"/>
        <v>0</v>
      </c>
      <c r="BH15" s="1">
        <v>45579</v>
      </c>
      <c r="BI15" s="26">
        <f>HLOOKUP(BH15,Hoja2!$R$2:$AV$35,34,FALSE)</f>
        <v>300000</v>
      </c>
      <c r="BJ15" s="77">
        <f>HLOOKUP(BH15,Hoja2!$R$2:$AV$36,35,FALSE)</f>
        <v>926.07</v>
      </c>
      <c r="BK15" s="26" t="str">
        <f>HLOOKUP(BH15,Hoja2!$R$2:$AV$37,36,FALSE)</f>
        <v>300K</v>
      </c>
      <c r="BL15" s="79">
        <f>HLOOKUP(BH15,Hoja2!$R$2:$AV$38,37,FALSE)</f>
        <v>277821000</v>
      </c>
      <c r="BM15" s="40"/>
      <c r="BN15" s="20"/>
      <c r="BO15" s="12">
        <v>110205</v>
      </c>
      <c r="BP15" s="12" t="s">
        <v>59</v>
      </c>
      <c r="BQ15" s="12" t="str">
        <f>+BQ14</f>
        <v>CPA Fondeo Bice USD a OZ CAMBIO USD 250K USD T/C 923,74</v>
      </c>
      <c r="BR15" s="13"/>
      <c r="BS15" s="18">
        <f t="shared" ref="BS15" si="43">+BR14</f>
        <v>230935000</v>
      </c>
      <c r="BW15" s="1">
        <v>45579</v>
      </c>
      <c r="BX15" s="26">
        <f>HLOOKUP(BW15,Hoja2!$R$2:$AV$46,45,FALSE)</f>
        <v>616359</v>
      </c>
      <c r="BY15" s="77">
        <f>HLOOKUP(BW15,Hoja2!$R$2:$AV$48,47,FALSE)</f>
        <v>931.26</v>
      </c>
      <c r="BZ15" s="77">
        <f>HLOOKUP(BW15,Hoja2!$R$2:$AV$49,48,FALSE)</f>
        <v>616359</v>
      </c>
      <c r="CA15" s="79">
        <f>HLOOKUP(BW15,Hoja2!$R$2:$AV$52,51,FALSE)</f>
        <v>573990482.34000003</v>
      </c>
      <c r="CB15" s="79" t="str">
        <f>HLOOKUP(BW15,Hoja2!$R$2:$AV$50,49,FALSE)</f>
        <v>USD SET</v>
      </c>
      <c r="CC15" s="79">
        <f>HLOOKUP(BW15,Hoja2!$R$2:$AV$51,50,FALSE)</f>
        <v>0</v>
      </c>
      <c r="CD15" s="40"/>
      <c r="CE15" s="20"/>
      <c r="CF15">
        <v>420604</v>
      </c>
      <c r="CG15" t="s">
        <v>164</v>
      </c>
      <c r="CH15" t="str">
        <f t="shared" ref="CH15" si="44">"CPA Comisión bancaria rescate LOCALPAYMENT a Bco.Bice USD"</f>
        <v>CPA Comisión bancaria rescate LOCALPAYMENT a Bco.Bice USD</v>
      </c>
      <c r="CI15" s="3">
        <f>+CC5</f>
        <v>0</v>
      </c>
      <c r="CJ15" s="10"/>
      <c r="CN15" s="1">
        <v>45579</v>
      </c>
      <c r="CO15" s="26">
        <f>HLOOKUP(CN15,Hoja2!$R$2:$AV$46,45,FALSE)</f>
        <v>616359</v>
      </c>
      <c r="CP15" s="77">
        <f>HLOOKUP(CN15,Hoja2!$R$2:$AV$48,47,FALSE)</f>
        <v>931.26</v>
      </c>
      <c r="CQ15" s="77">
        <f>HLOOKUP(CN15,Hoja2!$R$2:$AV$49,48,FALSE)</f>
        <v>616359</v>
      </c>
      <c r="CR15" s="79">
        <f>HLOOKUP(CN15,Hoja2!$R$2:$AV$52,51,FALSE)</f>
        <v>573990482.34000003</v>
      </c>
      <c r="CS15" s="79" t="str">
        <f>HLOOKUP(CN15,Hoja2!$R$2:$AV$50,49,FALSE)</f>
        <v>USD SET</v>
      </c>
      <c r="CT15" s="79">
        <f>HLOOKUP(CN15,Hoja2!$R$2:$AV$51,50,FALSE)</f>
        <v>0</v>
      </c>
      <c r="CU15" s="40"/>
      <c r="CV15" s="20"/>
      <c r="CW15">
        <v>420604</v>
      </c>
      <c r="CX15" t="s">
        <v>164</v>
      </c>
      <c r="CY15" t="str">
        <f t="shared" ref="CY15" si="45">"CPA Comisión bancaria rescate LOCALPAYMENT a Bco.Bice USD"</f>
        <v>CPA Comisión bancaria rescate LOCALPAYMENT a Bco.Bice USD</v>
      </c>
      <c r="CZ15" s="3">
        <f>+CT5</f>
        <v>0</v>
      </c>
      <c r="DA15" s="10"/>
      <c r="DE15" s="1">
        <v>45579</v>
      </c>
      <c r="DF15" s="26">
        <f>HLOOKUP(DE15,Hoja2!$R$2:$AV$53,52,FALSE)</f>
        <v>716807.02</v>
      </c>
      <c r="DG15" s="77">
        <f>HLOOKUP(DE15,Hoja2!$R$2:$AV$56,55,FALSE)</f>
        <v>931.26</v>
      </c>
      <c r="DH15" s="77">
        <f>HLOOKUP(DE15,Hoja2!$R$2:$AV$57,56,FALSE)</f>
        <v>716797.02</v>
      </c>
      <c r="DI15" s="79">
        <f>HLOOKUP(DE15,Hoja2!$R$2:$AV$60,59,FALSE)</f>
        <v>667524392.84520006</v>
      </c>
      <c r="DJ15" s="79" t="str">
        <f>HLOOKUP(DE15,Hoja2!$R$2:$AV$58,57,FALSE)</f>
        <v>USD SET</v>
      </c>
      <c r="DK15" s="79">
        <f>HLOOKUP(DE15,Hoja2!$R$2:$AV$59,58,FALSE)</f>
        <v>9312.6</v>
      </c>
      <c r="DL15" s="40"/>
      <c r="DM15" s="20"/>
      <c r="DN15">
        <v>420604</v>
      </c>
      <c r="DO15" t="s">
        <v>164</v>
      </c>
      <c r="DP15" t="str">
        <f t="shared" ref="DP15" si="46">"CPA Comisión bancaria rescate LOCALPAYMENT a Bco.Bice USD"</f>
        <v>CPA Comisión bancaria rescate LOCALPAYMENT a Bco.Bice USD</v>
      </c>
      <c r="DQ15" s="3">
        <f>+DK5</f>
        <v>0</v>
      </c>
      <c r="DR15" s="10"/>
    </row>
    <row r="16" spans="1:122" x14ac:dyDescent="0.25">
      <c r="A16" s="1">
        <v>45580</v>
      </c>
      <c r="B16" s="26">
        <f>HLOOKUP(A16,Hoja2!$R$2:$AV$18,17,FALSE)</f>
        <v>0</v>
      </c>
      <c r="C16" s="77">
        <f>HLOOKUP(A16,Hoja2!$R$2:$AV$19,18,FALSE)</f>
        <v>928.37</v>
      </c>
      <c r="D16" s="26">
        <f>HLOOKUP(A16,Hoja2!$R$2:$AV$20,19,FALSE)</f>
        <v>0</v>
      </c>
      <c r="E16" s="79">
        <f>HLOOKUP(A16,Hoja2!$R$2:$AV$21,20,FALSE)</f>
        <v>0</v>
      </c>
      <c r="F16" s="21"/>
      <c r="G16" s="15">
        <v>45451</v>
      </c>
      <c r="H16">
        <v>110275</v>
      </c>
      <c r="I16" t="s">
        <v>82</v>
      </c>
      <c r="J16" t="str">
        <f>"CPA Fondeo Bice USD a NIUM " &amp;D9&amp;" USD T/C "&amp;C9</f>
        <v>CPA Fondeo Bice USD a NIUM 1.3 M USD T/C 925,86</v>
      </c>
      <c r="K16" s="3">
        <f>+E9</f>
        <v>1203618000</v>
      </c>
      <c r="L16" s="10"/>
      <c r="P16" s="1">
        <v>45580</v>
      </c>
      <c r="Q16" s="26">
        <f>HLOOKUP(P16,Hoja2!$R$2:$AV$22,21,FALSE)</f>
        <v>0</v>
      </c>
      <c r="R16" s="77">
        <f>HLOOKUP(P16,Hoja2!$R$2:$AV$23,22,FALSE)</f>
        <v>928.37</v>
      </c>
      <c r="S16" s="26">
        <f>HLOOKUP(P16,Hoja2!$R$2:$AV$24,23,FALSE)</f>
        <v>0</v>
      </c>
      <c r="T16" s="79">
        <f>HLOOKUP(P16,Hoja2!$R$2:$AV$25,24,FALSE)</f>
        <v>0</v>
      </c>
      <c r="U16" s="21"/>
      <c r="V16" s="15">
        <v>45451</v>
      </c>
      <c r="W16">
        <v>110274</v>
      </c>
      <c r="X16" t="s">
        <v>84</v>
      </c>
      <c r="Y16" t="str">
        <f>"CPA Fondeo Bice USD a Facilita Pay " &amp;S9&amp;" USD T/C "&amp;R9&amp;".- "&amp;TEXT($G16,"dd-mm-aaa")</f>
        <v>CPA Fondeo Bice USD a Facilita Pay 150K USD T/C 925,86.- 08-06-2024</v>
      </c>
      <c r="Z16" s="3">
        <f>+T9</f>
        <v>138879000</v>
      </c>
      <c r="AA16" s="10"/>
      <c r="AD16" s="1">
        <v>45580</v>
      </c>
      <c r="AE16" s="26">
        <f>HLOOKUP(AD16,Hoja2!$R$2:$AV$26,25,FALSE)</f>
        <v>950000</v>
      </c>
      <c r="AF16" s="77">
        <f>HLOOKUP(AD16,Hoja2!$R$2:$AV$27,26,FALSE)</f>
        <v>928.37</v>
      </c>
      <c r="AG16" s="26" t="str">
        <f>HLOOKUP(AD16,Hoja2!$R$2:$AV$28,27,FALSE)</f>
        <v>950K</v>
      </c>
      <c r="AH16" s="79">
        <f>HLOOKUP(AD16,Hoja2!$R$2:$AV$29,28,FALSE)</f>
        <v>881951500</v>
      </c>
      <c r="AI16" s="21"/>
      <c r="AJ16" s="15">
        <v>45451</v>
      </c>
      <c r="AK16">
        <v>110820</v>
      </c>
      <c r="AL16" t="s">
        <v>92</v>
      </c>
      <c r="AM16" t="str">
        <f>"CPA Fondeo Bice USD a JPM COL " &amp;AG9&amp;" USD T/C "&amp;AF9&amp;".- "&amp;TEXT($G16,"dd-mm-aaa")</f>
        <v>CPA Fondeo Bice USD a JPM COL 0 USD T/C 925,86.- 08-06-2024</v>
      </c>
      <c r="AN16" s="3">
        <f>+AH9</f>
        <v>0</v>
      </c>
      <c r="AO16" s="10"/>
      <c r="AS16" s="1">
        <v>45580</v>
      </c>
      <c r="AT16" s="26">
        <f>HLOOKUP(AS16,Hoja2!$R$2:$AV$30,29,FALSE)</f>
        <v>350000</v>
      </c>
      <c r="AU16" s="77">
        <f>HLOOKUP(AS16,Hoja2!$R$2:$AV$31,30,FALSE)</f>
        <v>931.26</v>
      </c>
      <c r="AV16" s="26" t="str">
        <f>HLOOKUP(AS16,Hoja2!$R$2:$AV$32,31,FALSE)</f>
        <v>350K</v>
      </c>
      <c r="AW16" s="79">
        <f>HLOOKUP(AS16,Hoja2!$R$2:$AV$33,32,FALSE)</f>
        <v>325941000</v>
      </c>
      <c r="AX16" s="21"/>
      <c r="AY16" s="15">
        <v>45451</v>
      </c>
      <c r="AZ16">
        <v>110205</v>
      </c>
      <c r="BA16" t="s">
        <v>59</v>
      </c>
      <c r="BB16" t="str">
        <f>"CPA Rescate DLocal a Bco.Bice USD " &amp;AV9&amp;" USD T/C "&amp;AU9&amp;".- "&amp;TEXT($G16,"dd-mm-aaa")</f>
        <v>CPA Rescate DLocal a Bco.Bice USD 450K USD T/C 923,74.- 08-06-2024</v>
      </c>
      <c r="BC16" s="3">
        <f>+AW9</f>
        <v>415683000</v>
      </c>
      <c r="BD16" s="10"/>
      <c r="BH16" s="1">
        <v>45580</v>
      </c>
      <c r="BI16" s="26">
        <f>HLOOKUP(BH16,Hoja2!$R$2:$AV$35,34,FALSE)</f>
        <v>0</v>
      </c>
      <c r="BJ16" s="77">
        <f>HLOOKUP(BH16,Hoja2!$R$2:$AV$36,35,FALSE)</f>
        <v>928.37</v>
      </c>
      <c r="BK16" s="26">
        <f>HLOOKUP(BH16,Hoja2!$R$2:$AV$37,36,FALSE)</f>
        <v>0</v>
      </c>
      <c r="BL16" s="79">
        <f>HLOOKUP(BH16,Hoja2!$R$2:$AV$38,37,FALSE)</f>
        <v>0</v>
      </c>
      <c r="BM16" s="21"/>
      <c r="BN16" s="15">
        <v>45451</v>
      </c>
      <c r="BO16">
        <v>110292</v>
      </c>
      <c r="BP16" t="s">
        <v>142</v>
      </c>
      <c r="BQ16" t="str">
        <f>"CPA Fondeo Bice USD a OZ CAMBIO USD " &amp;BK9&amp;" USD T/C "&amp;BJ9</f>
        <v>CPA Fondeo Bice USD a OZ CAMBIO USD 0 USD T/C 925,86</v>
      </c>
      <c r="BR16" s="3">
        <f>+BL9</f>
        <v>0</v>
      </c>
      <c r="BS16" s="10"/>
      <c r="BW16" s="1">
        <v>45580</v>
      </c>
      <c r="BX16" s="26">
        <f>HLOOKUP(BW16,Hoja2!$R$2:$AV$46,45,FALSE)</f>
        <v>0</v>
      </c>
      <c r="BY16" s="77">
        <f>HLOOKUP(BW16,Hoja2!$R$2:$AV$48,47,FALSE)</f>
        <v>0</v>
      </c>
      <c r="BZ16" s="77">
        <f>HLOOKUP(BW16,Hoja2!$R$2:$AV$49,48,FALSE)</f>
        <v>0</v>
      </c>
      <c r="CA16" s="79">
        <f>HLOOKUP(BW16,Hoja2!$R$2:$AV$52,51,FALSE)</f>
        <v>0</v>
      </c>
      <c r="CB16" s="79" t="str">
        <f>HLOOKUP(BW16,Hoja2!$R$2:$AV$50,49,FALSE)</f>
        <v>USD SET</v>
      </c>
      <c r="CC16" s="79">
        <f>HLOOKUP(BW16,Hoja2!$R$2:$AV$51,50,FALSE)</f>
        <v>0</v>
      </c>
      <c r="CD16" s="21"/>
      <c r="CE16" s="20"/>
      <c r="CF16">
        <v>110316</v>
      </c>
      <c r="CG16" t="s">
        <v>165</v>
      </c>
      <c r="CH16" t="str">
        <f t="shared" ref="CH16" si="47">+CH15</f>
        <v>CPA Comisión bancaria rescate LOCALPAYMENT a Bco.Bice USD</v>
      </c>
      <c r="CI16" s="3"/>
      <c r="CJ16" s="10">
        <f t="shared" ref="CJ16" si="48">+CI15</f>
        <v>0</v>
      </c>
      <c r="CN16" s="1">
        <v>45580</v>
      </c>
      <c r="CO16" s="26">
        <f>HLOOKUP(CN16,Hoja2!$R$2:$AV$46,45,FALSE)</f>
        <v>0</v>
      </c>
      <c r="CP16" s="77">
        <f>HLOOKUP(CN16,Hoja2!$R$2:$AV$48,47,FALSE)</f>
        <v>0</v>
      </c>
      <c r="CQ16" s="77">
        <f>HLOOKUP(CN16,Hoja2!$R$2:$AV$49,48,FALSE)</f>
        <v>0</v>
      </c>
      <c r="CR16" s="79">
        <f>HLOOKUP(CN16,Hoja2!$R$2:$AV$52,51,FALSE)</f>
        <v>0</v>
      </c>
      <c r="CS16" s="79" t="str">
        <f>HLOOKUP(CN16,Hoja2!$R$2:$AV$50,49,FALSE)</f>
        <v>USD SET</v>
      </c>
      <c r="CT16" s="79">
        <f>HLOOKUP(CN16,Hoja2!$R$2:$AV$51,50,FALSE)</f>
        <v>0</v>
      </c>
      <c r="CU16" s="21"/>
      <c r="CV16" s="20"/>
      <c r="CW16">
        <v>110316</v>
      </c>
      <c r="CX16" t="s">
        <v>165</v>
      </c>
      <c r="CY16" t="str">
        <f t="shared" ref="CY16" si="49">+CY15</f>
        <v>CPA Comisión bancaria rescate LOCALPAYMENT a Bco.Bice USD</v>
      </c>
      <c r="CZ16" s="3"/>
      <c r="DA16" s="10">
        <f t="shared" ref="DA16" si="50">+CZ15</f>
        <v>0</v>
      </c>
      <c r="DE16" s="1">
        <v>45580</v>
      </c>
      <c r="DF16" s="26">
        <f>HLOOKUP(DE16,Hoja2!$R$2:$AV$53,52,FALSE)</f>
        <v>773226.95</v>
      </c>
      <c r="DG16" s="77">
        <f>HLOOKUP(DE16,Hoja2!$R$2:$AV$56,55,FALSE)</f>
        <v>928.37</v>
      </c>
      <c r="DH16" s="77">
        <f>HLOOKUP(DE16,Hoja2!$R$2:$AV$57,56,FALSE)</f>
        <v>773196.95</v>
      </c>
      <c r="DI16" s="79">
        <f>HLOOKUP(DE16,Hoja2!$R$2:$AV$60,59,FALSE)</f>
        <v>717812852.47149992</v>
      </c>
      <c r="DJ16" s="79" t="str">
        <f>HLOOKUP(DE16,Hoja2!$R$2:$AV$58,57,FALSE)</f>
        <v>USD SET</v>
      </c>
      <c r="DK16" s="79">
        <f>HLOOKUP(DE16,Hoja2!$R$2:$AV$59,58,FALSE)</f>
        <v>27851.1</v>
      </c>
      <c r="DL16" s="21"/>
      <c r="DM16" s="20"/>
      <c r="DN16">
        <v>110316</v>
      </c>
      <c r="DO16" t="s">
        <v>165</v>
      </c>
      <c r="DP16" t="str">
        <f t="shared" ref="DP16" si="51">+DP15</f>
        <v>CPA Comisión bancaria rescate LOCALPAYMENT a Bco.Bice USD</v>
      </c>
      <c r="DQ16" s="3"/>
      <c r="DR16" s="10">
        <f t="shared" ref="DR16" si="52">+DQ15</f>
        <v>0</v>
      </c>
    </row>
    <row r="17" spans="1:122" x14ac:dyDescent="0.25">
      <c r="A17" s="1">
        <v>45581</v>
      </c>
      <c r="B17" s="26">
        <f>HLOOKUP(A17,Hoja2!$R$2:$AV$18,17,FALSE)</f>
        <v>1280000</v>
      </c>
      <c r="C17" s="77">
        <f>HLOOKUP(A17,Hoja2!$R$2:$AV$19,18,FALSE)</f>
        <v>937.29</v>
      </c>
      <c r="D17" s="26" t="str">
        <f>HLOOKUP(A17,Hoja2!$R$2:$AV$20,19,FALSE)</f>
        <v>1.28 M</v>
      </c>
      <c r="E17" s="79">
        <f>HLOOKUP(A17,Hoja2!$R$2:$AV$21,20,FALSE)</f>
        <v>1199731200</v>
      </c>
      <c r="F17" s="21"/>
      <c r="G17" s="11"/>
      <c r="H17" s="12">
        <v>110205</v>
      </c>
      <c r="I17" s="12" t="s">
        <v>59</v>
      </c>
      <c r="J17" s="12" t="str">
        <f>+J16</f>
        <v>CPA Fondeo Bice USD a NIUM 1.3 M USD T/C 925,86</v>
      </c>
      <c r="K17" s="13"/>
      <c r="L17" s="18">
        <f t="shared" si="5"/>
        <v>1203618000</v>
      </c>
      <c r="P17" s="1">
        <v>45581</v>
      </c>
      <c r="Q17" s="26">
        <f>HLOOKUP(P17,Hoja2!$R$2:$AV$22,21,FALSE)</f>
        <v>0</v>
      </c>
      <c r="R17" s="77">
        <f>HLOOKUP(P17,Hoja2!$R$2:$AV$23,22,FALSE)</f>
        <v>937.29</v>
      </c>
      <c r="S17" s="26">
        <f>HLOOKUP(P17,Hoja2!$R$2:$AV$24,23,FALSE)</f>
        <v>0</v>
      </c>
      <c r="T17" s="79">
        <f>HLOOKUP(P17,Hoja2!$R$2:$AV$25,24,FALSE)</f>
        <v>0</v>
      </c>
      <c r="U17" s="21"/>
      <c r="V17" s="11"/>
      <c r="W17" s="12">
        <v>110205</v>
      </c>
      <c r="X17" s="12" t="s">
        <v>59</v>
      </c>
      <c r="Y17" s="12" t="str">
        <f>+Y16</f>
        <v>CPA Fondeo Bice USD a Facilita Pay 150K USD T/C 925,86.- 08-06-2024</v>
      </c>
      <c r="Z17" s="13"/>
      <c r="AA17" s="18">
        <f t="shared" si="6"/>
        <v>138879000</v>
      </c>
      <c r="AD17" s="1">
        <v>45581</v>
      </c>
      <c r="AE17" s="26">
        <f>HLOOKUP(AD17,Hoja2!$R$2:$AV$26,25,FALSE)</f>
        <v>0</v>
      </c>
      <c r="AF17" s="77">
        <f>HLOOKUP(AD17,Hoja2!$R$2:$AV$27,26,FALSE)</f>
        <v>937.29</v>
      </c>
      <c r="AG17" s="26">
        <f>HLOOKUP(AD17,Hoja2!$R$2:$AV$28,27,FALSE)</f>
        <v>0</v>
      </c>
      <c r="AH17" s="79">
        <f>HLOOKUP(AD17,Hoja2!$R$2:$AV$29,28,FALSE)</f>
        <v>0</v>
      </c>
      <c r="AI17" s="21"/>
      <c r="AJ17" s="11"/>
      <c r="AK17" s="12">
        <v>110205</v>
      </c>
      <c r="AL17" s="12" t="s">
        <v>59</v>
      </c>
      <c r="AM17" s="12" t="str">
        <f>+AM16</f>
        <v>CPA Fondeo Bice USD a JPM COL 0 USD T/C 925,86.- 08-06-2024</v>
      </c>
      <c r="AN17" s="13"/>
      <c r="AO17" s="18">
        <f t="shared" si="7"/>
        <v>0</v>
      </c>
      <c r="AS17" s="1">
        <v>45581</v>
      </c>
      <c r="AT17" s="26">
        <f>HLOOKUP(AS17,Hoja2!$R$2:$AV$30,29,FALSE)</f>
        <v>0</v>
      </c>
      <c r="AU17" s="77">
        <f>HLOOKUP(AS17,Hoja2!$R$2:$AV$31,30,FALSE)</f>
        <v>0</v>
      </c>
      <c r="AV17" s="26">
        <f>HLOOKUP(AS17,Hoja2!$R$2:$AV$32,31,FALSE)</f>
        <v>0</v>
      </c>
      <c r="AW17" s="79">
        <f>HLOOKUP(AS17,Hoja2!$R$2:$AV$33,32,FALSE)</f>
        <v>0</v>
      </c>
      <c r="AX17" s="21"/>
      <c r="AY17" s="11"/>
      <c r="AZ17" s="12">
        <v>110276</v>
      </c>
      <c r="BA17" s="12" t="s">
        <v>97</v>
      </c>
      <c r="BB17" s="12" t="str">
        <f>+BB16</f>
        <v>CPA Rescate DLocal a Bco.Bice USD 450K USD T/C 923,74.- 08-06-2024</v>
      </c>
      <c r="BC17" s="13"/>
      <c r="BD17" s="18">
        <f t="shared" si="8"/>
        <v>415683000</v>
      </c>
      <c r="BH17" s="1">
        <v>45581</v>
      </c>
      <c r="BI17" s="26">
        <f>HLOOKUP(BH17,Hoja2!$R$2:$AV$35,34,FALSE)</f>
        <v>0</v>
      </c>
      <c r="BJ17" s="77">
        <f>HLOOKUP(BH17,Hoja2!$R$2:$AV$36,35,FALSE)</f>
        <v>937.29</v>
      </c>
      <c r="BK17" s="26">
        <f>HLOOKUP(BH17,Hoja2!$R$2:$AV$37,36,FALSE)</f>
        <v>0</v>
      </c>
      <c r="BL17" s="79">
        <f>HLOOKUP(BH17,Hoja2!$R$2:$AV$38,37,FALSE)</f>
        <v>0</v>
      </c>
      <c r="BM17" s="21"/>
      <c r="BN17" s="11"/>
      <c r="BO17" s="12">
        <v>110205</v>
      </c>
      <c r="BP17" s="12" t="s">
        <v>59</v>
      </c>
      <c r="BQ17" s="12" t="str">
        <f>+BQ16</f>
        <v>CPA Fondeo Bice USD a OZ CAMBIO USD 0 USD T/C 925,86</v>
      </c>
      <c r="BR17" s="13"/>
      <c r="BS17" s="18">
        <f t="shared" ref="BS17" si="53">+BR16</f>
        <v>0</v>
      </c>
      <c r="BW17" s="1">
        <v>45581</v>
      </c>
      <c r="BX17" s="26">
        <f>HLOOKUP(BW17,Hoja2!$R$2:$AV$46,45,FALSE)</f>
        <v>510566.74</v>
      </c>
      <c r="BY17" s="77">
        <f>HLOOKUP(BW17,Hoja2!$R$2:$AV$48,47,FALSE)</f>
        <v>937.29</v>
      </c>
      <c r="BZ17" s="77">
        <f>HLOOKUP(BW17,Hoja2!$R$2:$AV$49,48,FALSE)</f>
        <v>510566.74</v>
      </c>
      <c r="CA17" s="79">
        <f>HLOOKUP(BW17,Hoja2!$R$2:$AV$52,51,FALSE)</f>
        <v>478549099.73459995</v>
      </c>
      <c r="CB17" s="79" t="str">
        <f>HLOOKUP(BW17,Hoja2!$R$2:$AV$50,49,FALSE)</f>
        <v>USD SET</v>
      </c>
      <c r="CC17" s="79">
        <f>HLOOKUP(BW17,Hoja2!$R$2:$AV$51,50,FALSE)</f>
        <v>9372.9</v>
      </c>
      <c r="CD17" s="21"/>
      <c r="CE17" s="11"/>
      <c r="CF17" s="12">
        <v>110316</v>
      </c>
      <c r="CG17" s="12" t="s">
        <v>165</v>
      </c>
      <c r="CH17" s="12" t="str">
        <f t="shared" ref="CH17" si="54">+CH14</f>
        <v>CPA Rescate LOCALPAYMENT USD SET a Bco.Bice USD 718.000,00 T/C 908,23</v>
      </c>
      <c r="CI17" s="13"/>
      <c r="CJ17" s="18">
        <f t="shared" ref="CJ17" si="55">+CI14</f>
        <v>652109140</v>
      </c>
      <c r="CN17" s="1">
        <v>45581</v>
      </c>
      <c r="CO17" s="26">
        <f>HLOOKUP(CN17,Hoja2!$R$2:$AV$46,45,FALSE)</f>
        <v>510566.74</v>
      </c>
      <c r="CP17" s="77">
        <f>HLOOKUP(CN17,Hoja2!$R$2:$AV$48,47,FALSE)</f>
        <v>937.29</v>
      </c>
      <c r="CQ17" s="77">
        <f>HLOOKUP(CN17,Hoja2!$R$2:$AV$49,48,FALSE)</f>
        <v>510566.74</v>
      </c>
      <c r="CR17" s="79">
        <f>HLOOKUP(CN17,Hoja2!$R$2:$AV$52,51,FALSE)</f>
        <v>478549099.73459995</v>
      </c>
      <c r="CS17" s="79" t="str">
        <f>HLOOKUP(CN17,Hoja2!$R$2:$AV$50,49,FALSE)</f>
        <v>USD SET</v>
      </c>
      <c r="CT17" s="79">
        <f>HLOOKUP(CN17,Hoja2!$R$2:$AV$51,50,FALSE)</f>
        <v>9372.9</v>
      </c>
      <c r="CU17" s="21"/>
      <c r="CV17" s="11"/>
      <c r="CW17" s="12">
        <v>110316</v>
      </c>
      <c r="CX17" s="12" t="s">
        <v>165</v>
      </c>
      <c r="CY17" s="12" t="str">
        <f t="shared" ref="CY17" si="56">+CY14</f>
        <v>CPA Rescate LOCALPAYMENT USD SET a Bco.Bice USD 718.000,00 T/C 908,23</v>
      </c>
      <c r="CZ17" s="13"/>
      <c r="DA17" s="18">
        <f t="shared" ref="DA17" si="57">+CZ14</f>
        <v>652109140</v>
      </c>
      <c r="DE17" s="1">
        <v>45581</v>
      </c>
      <c r="DF17" s="26">
        <f>HLOOKUP(DE17,Hoja2!$R$2:$AV$53,52,FALSE)</f>
        <v>202727.46</v>
      </c>
      <c r="DG17" s="77">
        <f>HLOOKUP(DE17,Hoja2!$R$2:$AV$56,55,FALSE)</f>
        <v>928.37</v>
      </c>
      <c r="DH17" s="77">
        <f>HLOOKUP(DE17,Hoja2!$R$2:$AV$57,56,FALSE)</f>
        <v>202657.46</v>
      </c>
      <c r="DI17" s="79">
        <f>HLOOKUP(DE17,Hoja2!$R$2:$AV$60,59,FALSE)</f>
        <v>188141106.14019999</v>
      </c>
      <c r="DJ17" s="79" t="str">
        <f>HLOOKUP(DE17,Hoja2!$R$2:$AV$58,57,FALSE)</f>
        <v>USD SET</v>
      </c>
      <c r="DK17" s="79">
        <f>HLOOKUP(DE17,Hoja2!$R$2:$AV$59,58,FALSE)</f>
        <v>64985.9</v>
      </c>
      <c r="DL17" s="21"/>
      <c r="DM17" s="11"/>
      <c r="DN17" s="12">
        <v>110316</v>
      </c>
      <c r="DO17" s="12" t="s">
        <v>165</v>
      </c>
      <c r="DP17" s="12" t="str">
        <f t="shared" ref="DP17" si="58">+DP14</f>
        <v>CPA Rescate LOCALPAYMENT USD SET a Bco.Bice USD 0,00 T/C 0</v>
      </c>
      <c r="DQ17" s="13"/>
      <c r="DR17" s="18">
        <f t="shared" ref="DR17" si="59">+DQ14</f>
        <v>0</v>
      </c>
    </row>
    <row r="18" spans="1:122" x14ac:dyDescent="0.25">
      <c r="A18" s="1">
        <v>45582</v>
      </c>
      <c r="B18" s="26">
        <f>HLOOKUP(A18,Hoja2!$R$2:$AV$18,17,FALSE)</f>
        <v>0</v>
      </c>
      <c r="C18" s="77">
        <f>HLOOKUP(A18,Hoja2!$R$2:$AV$19,18,FALSE)</f>
        <v>941.3</v>
      </c>
      <c r="D18" s="26">
        <f>HLOOKUP(A18,Hoja2!$R$2:$AV$20,19,FALSE)</f>
        <v>0</v>
      </c>
      <c r="E18" s="79">
        <f>HLOOKUP(A18,Hoja2!$R$2:$AV$21,20,FALSE)</f>
        <v>0</v>
      </c>
      <c r="F18" s="21"/>
      <c r="G18" s="15">
        <v>45452</v>
      </c>
      <c r="H18">
        <v>110275</v>
      </c>
      <c r="I18" t="s">
        <v>82</v>
      </c>
      <c r="J18" t="str">
        <f>"CPA Fondeo Bice USD a NIUM " &amp;D10&amp;" USD T/C "&amp;C10</f>
        <v>CPA Fondeo Bice USD a NIUM 770K USD T/C 933,62</v>
      </c>
      <c r="K18" s="3">
        <f>+E10</f>
        <v>718887400</v>
      </c>
      <c r="L18" s="10"/>
      <c r="P18" s="1">
        <v>45582</v>
      </c>
      <c r="Q18" s="26">
        <f>HLOOKUP(P18,Hoja2!$R$2:$AV$22,21,FALSE)</f>
        <v>0</v>
      </c>
      <c r="R18" s="77">
        <f>HLOOKUP(P18,Hoja2!$R$2:$AV$23,22,FALSE)</f>
        <v>941.3</v>
      </c>
      <c r="S18" s="26">
        <f>HLOOKUP(P18,Hoja2!$R$2:$AV$24,23,FALSE)</f>
        <v>0</v>
      </c>
      <c r="T18" s="79">
        <f>HLOOKUP(P18,Hoja2!$R$2:$AV$25,24,FALSE)</f>
        <v>0</v>
      </c>
      <c r="U18" s="21"/>
      <c r="V18" s="15">
        <v>45452</v>
      </c>
      <c r="W18">
        <v>110274</v>
      </c>
      <c r="X18" t="s">
        <v>84</v>
      </c>
      <c r="Y18" t="str">
        <f>"CPA Fondeo Bice USD a Facilita Pay " &amp;S10&amp;" USD T/C "&amp;R10&amp;".- "&amp;TEXT($G18,"dd-mm-aaa")</f>
        <v>CPA Fondeo Bice USD a Facilita Pay 100K USD T/C 933,62.- 09-06-2024</v>
      </c>
      <c r="Z18" s="3">
        <f>+T10</f>
        <v>93362000</v>
      </c>
      <c r="AA18" s="10"/>
      <c r="AD18" s="1">
        <v>45582</v>
      </c>
      <c r="AE18" s="26">
        <f>HLOOKUP(AD18,Hoja2!$R$2:$AV$26,25,FALSE)</f>
        <v>205000</v>
      </c>
      <c r="AF18" s="77">
        <f>HLOOKUP(AD18,Hoja2!$R$2:$AV$27,26,FALSE)</f>
        <v>941.3</v>
      </c>
      <c r="AG18" s="26" t="str">
        <f>HLOOKUP(AD18,Hoja2!$R$2:$AV$28,27,FALSE)</f>
        <v>205K</v>
      </c>
      <c r="AH18" s="79">
        <f>HLOOKUP(AD18,Hoja2!$R$2:$AV$29,28,FALSE)</f>
        <v>192966500</v>
      </c>
      <c r="AI18" s="21"/>
      <c r="AJ18" s="15">
        <v>45452</v>
      </c>
      <c r="AK18">
        <v>110820</v>
      </c>
      <c r="AL18" t="s">
        <v>92</v>
      </c>
      <c r="AM18" t="str">
        <f>"CPA Fondeo Bice USD a JPM COL " &amp;AG10&amp;" USD T/C "&amp;AF10&amp;".- "&amp;TEXT($G18,"dd-mm-aaa")</f>
        <v>CPA Fondeo Bice USD a JPM COL 600K USD T/C 933,62.- 09-06-2024</v>
      </c>
      <c r="AN18" s="3">
        <f>+AH10</f>
        <v>560172000</v>
      </c>
      <c r="AO18" s="10"/>
      <c r="AS18" s="1">
        <v>45582</v>
      </c>
      <c r="AT18" s="26">
        <f>HLOOKUP(AS18,Hoja2!$R$2:$AV$30,29,FALSE)</f>
        <v>0</v>
      </c>
      <c r="AU18" s="77">
        <f>HLOOKUP(AS18,Hoja2!$R$2:$AV$31,30,FALSE)</f>
        <v>0</v>
      </c>
      <c r="AV18" s="26">
        <f>HLOOKUP(AS18,Hoja2!$R$2:$AV$32,31,FALSE)</f>
        <v>0</v>
      </c>
      <c r="AW18" s="79">
        <f>HLOOKUP(AS18,Hoja2!$R$2:$AV$33,32,FALSE)</f>
        <v>0</v>
      </c>
      <c r="AX18" s="21"/>
      <c r="AY18" s="15">
        <v>45452</v>
      </c>
      <c r="AZ18">
        <v>110205</v>
      </c>
      <c r="BA18" t="s">
        <v>59</v>
      </c>
      <c r="BB18" t="str">
        <f>"CPA Rescate DLocal a Bco.Bice USD " &amp;AV10&amp;" USD T/C "&amp;AU10&amp;".- "&amp;TEXT($G18,"dd-mm-aaa")</f>
        <v>CPA Rescate DLocal a Bco.Bice USD 0 USD T/C 0.- 09-06-2024</v>
      </c>
      <c r="BC18" s="3">
        <f>+AW10</f>
        <v>0</v>
      </c>
      <c r="BD18" s="10"/>
      <c r="BH18" s="1">
        <v>45582</v>
      </c>
      <c r="BI18" s="26">
        <f>HLOOKUP(BH18,Hoja2!$R$2:$AV$35,34,FALSE)</f>
        <v>0</v>
      </c>
      <c r="BJ18" s="77">
        <f>HLOOKUP(BH18,Hoja2!$R$2:$AV$36,35,FALSE)</f>
        <v>941.3</v>
      </c>
      <c r="BK18" s="26">
        <f>HLOOKUP(BH18,Hoja2!$R$2:$AV$37,36,FALSE)</f>
        <v>0</v>
      </c>
      <c r="BL18" s="79">
        <f>HLOOKUP(BH18,Hoja2!$R$2:$AV$38,37,FALSE)</f>
        <v>0</v>
      </c>
      <c r="BM18" s="21"/>
      <c r="BN18" s="15">
        <v>45452</v>
      </c>
      <c r="BO18">
        <v>110292</v>
      </c>
      <c r="BP18" t="s">
        <v>142</v>
      </c>
      <c r="BQ18" t="str">
        <f>"CPA Fondeo Bice USD a OZ CAMBIO USD " &amp;BK10&amp;" USD T/C "&amp;BJ10</f>
        <v>CPA Fondeo Bice USD a OZ CAMBIO USD 300K USD T/C 933,62</v>
      </c>
      <c r="BR18" s="3">
        <f>+BL10</f>
        <v>280086000</v>
      </c>
      <c r="BS18" s="10"/>
      <c r="BW18" s="1">
        <v>45582</v>
      </c>
      <c r="BX18" s="26">
        <f>HLOOKUP(BW18,Hoja2!$R$2:$AV$46,45,FALSE)</f>
        <v>350890.6</v>
      </c>
      <c r="BY18" s="77">
        <f>HLOOKUP(BW18,Hoja2!$R$2:$AV$48,47,FALSE)</f>
        <v>941.3</v>
      </c>
      <c r="BZ18" s="77">
        <f>HLOOKUP(BW18,Hoja2!$R$2:$AV$49,48,FALSE)</f>
        <v>350890.6</v>
      </c>
      <c r="CA18" s="79">
        <f>HLOOKUP(BW18,Hoja2!$R$2:$AV$52,51,FALSE)</f>
        <v>330293321.77999997</v>
      </c>
      <c r="CB18" s="79" t="str">
        <f>HLOOKUP(BW18,Hoja2!$R$2:$AV$50,49,FALSE)</f>
        <v>USD SET</v>
      </c>
      <c r="CC18" s="79">
        <f>HLOOKUP(BW18,Hoja2!$R$2:$AV$51,50,FALSE)</f>
        <v>65891</v>
      </c>
      <c r="CD18" s="21"/>
      <c r="CE18" s="9">
        <v>45448</v>
      </c>
      <c r="CF18">
        <v>110205</v>
      </c>
      <c r="CG18" t="s">
        <v>59</v>
      </c>
      <c r="CH18" t="str">
        <f>"CPA Rescate LOCALPAYMENT " &amp; CB6 &amp; " a Bco.Bice USD " &amp; TEXT(BZ6,"#.##0,00") &amp; " T/C " &amp; BY6</f>
        <v>CPA Rescate LOCALPAYMENT USD SET a Bco.Bice USD 0,00 T/C 0</v>
      </c>
      <c r="CI18" s="3">
        <f>+CA6</f>
        <v>0</v>
      </c>
      <c r="CJ18" s="10"/>
      <c r="CN18" s="1">
        <v>45582</v>
      </c>
      <c r="CO18" s="26">
        <f>HLOOKUP(CN18,Hoja2!$R$2:$AV$46,45,FALSE)</f>
        <v>350890.6</v>
      </c>
      <c r="CP18" s="77">
        <f>HLOOKUP(CN18,Hoja2!$R$2:$AV$48,47,FALSE)</f>
        <v>941.3</v>
      </c>
      <c r="CQ18" s="77">
        <f>HLOOKUP(CN18,Hoja2!$R$2:$AV$49,48,FALSE)</f>
        <v>350890.6</v>
      </c>
      <c r="CR18" s="79">
        <f>HLOOKUP(CN18,Hoja2!$R$2:$AV$52,51,FALSE)</f>
        <v>330293321.77999997</v>
      </c>
      <c r="CS18" s="79" t="str">
        <f>HLOOKUP(CN18,Hoja2!$R$2:$AV$50,49,FALSE)</f>
        <v>USD SET</v>
      </c>
      <c r="CT18" s="79">
        <f>HLOOKUP(CN18,Hoja2!$R$2:$AV$51,50,FALSE)</f>
        <v>65891</v>
      </c>
      <c r="CU18" s="21"/>
      <c r="CV18" s="9">
        <v>45448</v>
      </c>
      <c r="CW18">
        <v>110205</v>
      </c>
      <c r="CX18" t="s">
        <v>59</v>
      </c>
      <c r="CY18" t="str">
        <f>"CPA Rescate LOCALPAYMENT " &amp; CS6 &amp; " a Bco.Bice USD " &amp; TEXT(CQ6,"#.##0,00") &amp; " T/C " &amp; CP6</f>
        <v>CPA Rescate LOCALPAYMENT USD SET a Bco.Bice USD 0,00 T/C 0</v>
      </c>
      <c r="CZ18" s="3">
        <f>+CR6</f>
        <v>0</v>
      </c>
      <c r="DA18" s="10"/>
      <c r="DE18" s="1">
        <v>45582</v>
      </c>
      <c r="DF18" s="26">
        <f>HLOOKUP(DE18,Hoja2!$R$2:$AV$53,52,FALSE)</f>
        <v>0</v>
      </c>
      <c r="DG18" s="77">
        <f>HLOOKUP(DE18,Hoja2!$R$2:$AV$56,55,FALSE)</f>
        <v>0</v>
      </c>
      <c r="DH18" s="77">
        <f>HLOOKUP(DE18,Hoja2!$R$2:$AV$57,56,FALSE)</f>
        <v>0</v>
      </c>
      <c r="DI18" s="79">
        <f>HLOOKUP(DE18,Hoja2!$R$2:$AV$60,59,FALSE)</f>
        <v>0</v>
      </c>
      <c r="DJ18" s="79" t="str">
        <f>HLOOKUP(DE18,Hoja2!$R$2:$AV$58,57,FALSE)</f>
        <v>USD SET</v>
      </c>
      <c r="DK18" s="79">
        <f>HLOOKUP(DE18,Hoja2!$R$2:$AV$59,58,FALSE)</f>
        <v>0</v>
      </c>
      <c r="DL18" s="21"/>
      <c r="DM18" s="9">
        <v>45448</v>
      </c>
      <c r="DN18">
        <v>110205</v>
      </c>
      <c r="DO18" t="s">
        <v>59</v>
      </c>
      <c r="DP18" t="str">
        <f>"CPA Rescate LOCALPAYMENT " &amp; DJ6 &amp; " a Bco.Bice USD " &amp; TEXT(DH6,"#.##0,00") &amp; " T/C " &amp; DG6</f>
        <v>CPA Rescate LOCALPAYMENT USD SET a Bco.Bice USD 0,00 T/C 0</v>
      </c>
      <c r="DQ18" s="3">
        <f>+DI6</f>
        <v>0</v>
      </c>
      <c r="DR18" s="10"/>
    </row>
    <row r="19" spans="1:122" x14ac:dyDescent="0.25">
      <c r="A19" s="1">
        <v>45583</v>
      </c>
      <c r="B19" s="26">
        <f>HLOOKUP(A19,Hoja2!$R$2:$AV$18,17,FALSE)</f>
        <v>550000</v>
      </c>
      <c r="C19" s="77">
        <f>HLOOKUP(A19,Hoja2!$R$2:$AV$19,18,FALSE)</f>
        <v>945.01</v>
      </c>
      <c r="D19" s="26" t="str">
        <f>HLOOKUP(A19,Hoja2!$R$2:$AV$20,19,FALSE)</f>
        <v>550K</v>
      </c>
      <c r="E19" s="79">
        <f>HLOOKUP(A19,Hoja2!$R$2:$AV$21,20,FALSE)</f>
        <v>519755500</v>
      </c>
      <c r="F19" s="21"/>
      <c r="G19" s="11"/>
      <c r="H19" s="12">
        <v>110205</v>
      </c>
      <c r="I19" s="12" t="s">
        <v>59</v>
      </c>
      <c r="J19" s="12" t="str">
        <f>+J18</f>
        <v>CPA Fondeo Bice USD a NIUM 770K USD T/C 933,62</v>
      </c>
      <c r="K19" s="13"/>
      <c r="L19" s="18">
        <f t="shared" si="5"/>
        <v>718887400</v>
      </c>
      <c r="P19" s="1">
        <v>45583</v>
      </c>
      <c r="Q19" s="26">
        <f>HLOOKUP(P19,Hoja2!$R$2:$AV$22,21,FALSE)</f>
        <v>0</v>
      </c>
      <c r="R19" s="77">
        <f>HLOOKUP(P19,Hoja2!$R$2:$AV$23,22,FALSE)</f>
        <v>945.01</v>
      </c>
      <c r="S19" s="26">
        <f>HLOOKUP(P19,Hoja2!$R$2:$AV$24,23,FALSE)</f>
        <v>0</v>
      </c>
      <c r="T19" s="79">
        <f>HLOOKUP(P19,Hoja2!$R$2:$AV$25,24,FALSE)</f>
        <v>0</v>
      </c>
      <c r="U19" s="21"/>
      <c r="V19" s="11"/>
      <c r="W19" s="12">
        <v>110205</v>
      </c>
      <c r="X19" s="12" t="s">
        <v>59</v>
      </c>
      <c r="Y19" s="12" t="str">
        <f>+Y18</f>
        <v>CPA Fondeo Bice USD a Facilita Pay 100K USD T/C 933,62.- 09-06-2024</v>
      </c>
      <c r="Z19" s="13"/>
      <c r="AA19" s="18">
        <f t="shared" si="6"/>
        <v>93362000</v>
      </c>
      <c r="AD19" s="1">
        <v>45583</v>
      </c>
      <c r="AE19" s="26">
        <f>HLOOKUP(AD19,Hoja2!$R$2:$AV$26,25,FALSE)</f>
        <v>1000000</v>
      </c>
      <c r="AF19" s="77">
        <f>HLOOKUP(AD19,Hoja2!$R$2:$AV$27,26,FALSE)</f>
        <v>945.01</v>
      </c>
      <c r="AG19" s="26" t="str">
        <f>HLOOKUP(AD19,Hoja2!$R$2:$AV$28,27,FALSE)</f>
        <v>1 M</v>
      </c>
      <c r="AH19" s="79">
        <f>HLOOKUP(AD19,Hoja2!$R$2:$AV$29,28,FALSE)</f>
        <v>945010000</v>
      </c>
      <c r="AI19" s="21"/>
      <c r="AJ19" s="11"/>
      <c r="AK19" s="12">
        <v>110205</v>
      </c>
      <c r="AL19" s="12" t="s">
        <v>59</v>
      </c>
      <c r="AM19" s="12" t="str">
        <f>+AM18</f>
        <v>CPA Fondeo Bice USD a JPM COL 600K USD T/C 933,62.- 09-06-2024</v>
      </c>
      <c r="AN19" s="13"/>
      <c r="AO19" s="18">
        <f t="shared" si="7"/>
        <v>560172000</v>
      </c>
      <c r="AS19" s="1">
        <v>45583</v>
      </c>
      <c r="AT19" s="26">
        <f>HLOOKUP(AS19,Hoja2!$R$2:$AV$30,29,FALSE)</f>
        <v>0</v>
      </c>
      <c r="AU19" s="77">
        <f>HLOOKUP(AS19,Hoja2!$R$2:$AV$31,30,FALSE)</f>
        <v>0</v>
      </c>
      <c r="AV19" s="26">
        <f>HLOOKUP(AS19,Hoja2!$R$2:$AV$32,31,FALSE)</f>
        <v>0</v>
      </c>
      <c r="AW19" s="79">
        <f>HLOOKUP(AS19,Hoja2!$R$2:$AV$33,32,FALSE)</f>
        <v>0</v>
      </c>
      <c r="AX19" s="21"/>
      <c r="AY19" s="11"/>
      <c r="AZ19" s="12">
        <v>110276</v>
      </c>
      <c r="BA19" s="12" t="s">
        <v>97</v>
      </c>
      <c r="BB19" s="12" t="str">
        <f>+BB18</f>
        <v>CPA Rescate DLocal a Bco.Bice USD 0 USD T/C 0.- 09-06-2024</v>
      </c>
      <c r="BC19" s="13"/>
      <c r="BD19" s="18">
        <f t="shared" si="8"/>
        <v>0</v>
      </c>
      <c r="BH19" s="1">
        <v>45583</v>
      </c>
      <c r="BI19" s="26">
        <f>HLOOKUP(BH19,Hoja2!$R$2:$AV$35,34,FALSE)</f>
        <v>200000</v>
      </c>
      <c r="BJ19" s="77">
        <f>HLOOKUP(BH19,Hoja2!$R$2:$AV$36,35,FALSE)</f>
        <v>945.01</v>
      </c>
      <c r="BK19" s="26" t="str">
        <f>HLOOKUP(BH19,Hoja2!$R$2:$AV$37,36,FALSE)</f>
        <v>200K</v>
      </c>
      <c r="BL19" s="79">
        <f>HLOOKUP(BH19,Hoja2!$R$2:$AV$38,37,FALSE)</f>
        <v>189002000</v>
      </c>
      <c r="BM19" s="21"/>
      <c r="BN19" s="11"/>
      <c r="BO19" s="12">
        <v>110205</v>
      </c>
      <c r="BP19" s="12" t="s">
        <v>59</v>
      </c>
      <c r="BQ19" s="12" t="str">
        <f>+BQ18</f>
        <v>CPA Fondeo Bice USD a OZ CAMBIO USD 300K USD T/C 933,62</v>
      </c>
      <c r="BR19" s="13"/>
      <c r="BS19" s="18">
        <f t="shared" ref="BS19" si="60">+BR18</f>
        <v>280086000</v>
      </c>
      <c r="BW19" s="1">
        <v>45583</v>
      </c>
      <c r="BX19" s="26">
        <f>HLOOKUP(BW19,Hoja2!$R$2:$AV$46,45,FALSE)</f>
        <v>750852.21</v>
      </c>
      <c r="BY19" s="77">
        <f>HLOOKUP(BW19,Hoja2!$R$2:$AV$48,47,FALSE)</f>
        <v>945.01</v>
      </c>
      <c r="BZ19" s="77">
        <f>HLOOKUP(BW19,Hoja2!$R$2:$AV$49,48,FALSE)</f>
        <v>750852.21</v>
      </c>
      <c r="CA19" s="79">
        <f>HLOOKUP(BW19,Hoja2!$R$2:$AV$52,51,FALSE)</f>
        <v>709562846.9720999</v>
      </c>
      <c r="CB19" s="79" t="str">
        <f>HLOOKUP(BW19,Hoja2!$R$2:$AV$50,49,FALSE)</f>
        <v>USD SET</v>
      </c>
      <c r="CC19" s="79">
        <f>HLOOKUP(BW19,Hoja2!$R$2:$AV$51,50,FALSE)</f>
        <v>9450.1</v>
      </c>
      <c r="CD19" s="21"/>
      <c r="CE19" s="20"/>
      <c r="CF19">
        <v>420604</v>
      </c>
      <c r="CG19" t="s">
        <v>164</v>
      </c>
      <c r="CH19" t="str">
        <f t="shared" ref="CH19" si="61">"CPA Comisión bancaria rescate LOCALPAYMENT a Bco.Bice USD"</f>
        <v>CPA Comisión bancaria rescate LOCALPAYMENT a Bco.Bice USD</v>
      </c>
      <c r="CI19" s="3">
        <f>+CC6</f>
        <v>0</v>
      </c>
      <c r="CJ19" s="10"/>
      <c r="CN19" s="1">
        <v>45583</v>
      </c>
      <c r="CO19" s="26">
        <f>HLOOKUP(CN19,Hoja2!$R$2:$AV$46,45,FALSE)</f>
        <v>750852.21</v>
      </c>
      <c r="CP19" s="77">
        <f>HLOOKUP(CN19,Hoja2!$R$2:$AV$48,47,FALSE)</f>
        <v>945.01</v>
      </c>
      <c r="CQ19" s="77">
        <f>HLOOKUP(CN19,Hoja2!$R$2:$AV$49,48,FALSE)</f>
        <v>750852.21</v>
      </c>
      <c r="CR19" s="79">
        <f>HLOOKUP(CN19,Hoja2!$R$2:$AV$52,51,FALSE)</f>
        <v>709562846.9720999</v>
      </c>
      <c r="CS19" s="79" t="str">
        <f>HLOOKUP(CN19,Hoja2!$R$2:$AV$50,49,FALSE)</f>
        <v>USD SET</v>
      </c>
      <c r="CT19" s="79">
        <f>HLOOKUP(CN19,Hoja2!$R$2:$AV$51,50,FALSE)</f>
        <v>9450.1</v>
      </c>
      <c r="CU19" s="21"/>
      <c r="CV19" s="20"/>
      <c r="CW19">
        <v>420604</v>
      </c>
      <c r="CX19" t="s">
        <v>164</v>
      </c>
      <c r="CY19" t="str">
        <f t="shared" ref="CY19" si="62">"CPA Comisión bancaria rescate LOCALPAYMENT a Bco.Bice USD"</f>
        <v>CPA Comisión bancaria rescate LOCALPAYMENT a Bco.Bice USD</v>
      </c>
      <c r="CZ19" s="3">
        <f>+CT6</f>
        <v>0</v>
      </c>
      <c r="DA19" s="10"/>
      <c r="DE19" s="1">
        <v>45583</v>
      </c>
      <c r="DF19" s="26">
        <f>HLOOKUP(DE19,Hoja2!$R$2:$AV$53,52,FALSE)</f>
        <v>0</v>
      </c>
      <c r="DG19" s="77">
        <f>HLOOKUP(DE19,Hoja2!$R$2:$AV$56,55,FALSE)</f>
        <v>0</v>
      </c>
      <c r="DH19" s="77">
        <f>HLOOKUP(DE19,Hoja2!$R$2:$AV$57,56,FALSE)</f>
        <v>0</v>
      </c>
      <c r="DI19" s="79">
        <f>HLOOKUP(DE19,Hoja2!$R$2:$AV$60,59,FALSE)</f>
        <v>0</v>
      </c>
      <c r="DJ19" s="79" t="str">
        <f>HLOOKUP(DE19,Hoja2!$R$2:$AV$58,57,FALSE)</f>
        <v>USD SET</v>
      </c>
      <c r="DK19" s="79">
        <f>HLOOKUP(DE19,Hoja2!$R$2:$AV$59,58,FALSE)</f>
        <v>0</v>
      </c>
      <c r="DL19" s="21"/>
      <c r="DM19" s="20"/>
      <c r="DN19">
        <v>420604</v>
      </c>
      <c r="DO19" t="s">
        <v>164</v>
      </c>
      <c r="DP19" t="str">
        <f t="shared" ref="DP19" si="63">"CPA Comisión bancaria rescate LOCALPAYMENT a Bco.Bice USD"</f>
        <v>CPA Comisión bancaria rescate LOCALPAYMENT a Bco.Bice USD</v>
      </c>
      <c r="DQ19" s="3">
        <f>+DK6</f>
        <v>0</v>
      </c>
      <c r="DR19" s="10"/>
    </row>
    <row r="20" spans="1:122" x14ac:dyDescent="0.25">
      <c r="A20" s="1">
        <v>45584</v>
      </c>
      <c r="B20" s="26">
        <f>HLOOKUP(A20,Hoja2!$R$2:$AV$18,17,FALSE)</f>
        <v>0</v>
      </c>
      <c r="C20" s="77">
        <f>HLOOKUP(A20,Hoja2!$R$2:$AV$19,18,FALSE)</f>
        <v>945.01</v>
      </c>
      <c r="D20" s="26">
        <f>HLOOKUP(A20,Hoja2!$R$2:$AV$20,19,FALSE)</f>
        <v>0</v>
      </c>
      <c r="E20" s="79">
        <f>HLOOKUP(A20,Hoja2!$R$2:$AV$21,20,FALSE)</f>
        <v>0</v>
      </c>
      <c r="F20" s="21"/>
      <c r="G20" s="15">
        <v>45453</v>
      </c>
      <c r="H20">
        <v>110275</v>
      </c>
      <c r="I20" t="s">
        <v>82</v>
      </c>
      <c r="J20" t="str">
        <f>"CPA Fondeo Bice USD a NIUM " &amp;D11&amp;" USD T/C "&amp;C11</f>
        <v>CPA Fondeo Bice USD a NIUM 0 USD T/C 934,84</v>
      </c>
      <c r="K20" s="3">
        <f>+E11</f>
        <v>0</v>
      </c>
      <c r="L20" s="10"/>
      <c r="P20" s="1">
        <v>45584</v>
      </c>
      <c r="Q20" s="26">
        <f>HLOOKUP(P20,Hoja2!$R$2:$AV$22,21,FALSE)</f>
        <v>0</v>
      </c>
      <c r="R20" s="77">
        <f>HLOOKUP(P20,Hoja2!$R$2:$AV$23,22,FALSE)</f>
        <v>945.01</v>
      </c>
      <c r="S20" s="26">
        <f>HLOOKUP(P20,Hoja2!$R$2:$AV$24,23,FALSE)</f>
        <v>0</v>
      </c>
      <c r="T20" s="79">
        <f>HLOOKUP(P20,Hoja2!$R$2:$AV$25,24,FALSE)</f>
        <v>0</v>
      </c>
      <c r="U20" s="21"/>
      <c r="V20" s="15">
        <v>45453</v>
      </c>
      <c r="W20">
        <v>110274</v>
      </c>
      <c r="X20" t="s">
        <v>84</v>
      </c>
      <c r="Y20" t="str">
        <f>"CPA Fondeo Bice USD a Facilita Pay " &amp;S11&amp;" USD T/C "&amp;R11&amp;".- "&amp;TEXT($G20,"dd-mm-aaa")</f>
        <v>CPA Fondeo Bice USD a Facilita Pay 0 USD T/C 934,84.- 10-06-2024</v>
      </c>
      <c r="Z20" s="3">
        <f>+T11</f>
        <v>0</v>
      </c>
      <c r="AA20" s="10"/>
      <c r="AD20" s="1">
        <v>45584</v>
      </c>
      <c r="AE20" s="26">
        <f>HLOOKUP(AD20,Hoja2!$R$2:$AV$26,25,FALSE)</f>
        <v>0</v>
      </c>
      <c r="AF20" s="77">
        <f>HLOOKUP(AD20,Hoja2!$R$2:$AV$27,26,FALSE)</f>
        <v>945.01</v>
      </c>
      <c r="AG20" s="26">
        <f>HLOOKUP(AD20,Hoja2!$R$2:$AV$28,27,FALSE)</f>
        <v>0</v>
      </c>
      <c r="AH20" s="79">
        <f>HLOOKUP(AD20,Hoja2!$R$2:$AV$29,28,FALSE)</f>
        <v>0</v>
      </c>
      <c r="AI20" s="21"/>
      <c r="AJ20" s="15">
        <v>45453</v>
      </c>
      <c r="AK20">
        <v>110820</v>
      </c>
      <c r="AL20" t="s">
        <v>92</v>
      </c>
      <c r="AM20" t="str">
        <f>"CPA Fondeo Bice USD a JPM COL " &amp;AG11&amp;" USD T/C "&amp;AF11&amp;".- "&amp;TEXT($G20,"dd-mm-aaa")</f>
        <v>CPA Fondeo Bice USD a JPM COL 650K USD T/C 934,84.- 10-06-2024</v>
      </c>
      <c r="AN20" s="3">
        <f>+AH11</f>
        <v>607646000</v>
      </c>
      <c r="AO20" s="10"/>
      <c r="AS20" s="1">
        <v>45584</v>
      </c>
      <c r="AT20" s="26">
        <f>HLOOKUP(AS20,Hoja2!$R$2:$AV$30,29,FALSE)</f>
        <v>0</v>
      </c>
      <c r="AU20" s="77">
        <f>HLOOKUP(AS20,Hoja2!$R$2:$AV$31,30,FALSE)</f>
        <v>0</v>
      </c>
      <c r="AV20" s="26">
        <f>HLOOKUP(AS20,Hoja2!$R$2:$AV$32,31,FALSE)</f>
        <v>0</v>
      </c>
      <c r="AW20" s="79">
        <f>HLOOKUP(AS20,Hoja2!$R$2:$AV$33,32,FALSE)</f>
        <v>0</v>
      </c>
      <c r="AX20" s="21"/>
      <c r="AY20" s="15">
        <v>45453</v>
      </c>
      <c r="AZ20">
        <v>110205</v>
      </c>
      <c r="BA20" t="s">
        <v>59</v>
      </c>
      <c r="BB20" t="str">
        <f>"CPA Rescate DLocal a Bco.Bice USD " &amp;AV11&amp;" USD T/C "&amp;AU11&amp;".- "&amp;TEXT($G20,"dd-mm-aaa")</f>
        <v>CPA Rescate DLocal a Bco.Bice USD 300K USD T/C 933,62.- 10-06-2024</v>
      </c>
      <c r="BC20" s="3">
        <f>+AW11</f>
        <v>280086000</v>
      </c>
      <c r="BD20" s="10"/>
      <c r="BH20" s="1">
        <v>45584</v>
      </c>
      <c r="BI20" s="26">
        <f>HLOOKUP(BH20,Hoja2!$R$2:$AV$35,34,FALSE)</f>
        <v>0</v>
      </c>
      <c r="BJ20" s="77">
        <f>HLOOKUP(BH20,Hoja2!$R$2:$AV$36,35,FALSE)</f>
        <v>945.01</v>
      </c>
      <c r="BK20" s="26">
        <f>HLOOKUP(BH20,Hoja2!$R$2:$AV$37,36,FALSE)</f>
        <v>0</v>
      </c>
      <c r="BL20" s="79">
        <f>HLOOKUP(BH20,Hoja2!$R$2:$AV$38,37,FALSE)</f>
        <v>0</v>
      </c>
      <c r="BM20" s="21"/>
      <c r="BN20" s="15">
        <v>45453</v>
      </c>
      <c r="BO20">
        <v>110292</v>
      </c>
      <c r="BP20" t="s">
        <v>142</v>
      </c>
      <c r="BQ20" t="str">
        <f>"CPA Fondeo Bice USD a OZ CAMBIO USD " &amp;BK11&amp;" USD T/C "&amp;BJ11</f>
        <v>CPA Fondeo Bice USD a OZ CAMBIO USD 200K USD T/C 934,84</v>
      </c>
      <c r="BR20" s="3">
        <f>+BL11</f>
        <v>186968000</v>
      </c>
      <c r="BS20" s="10"/>
      <c r="BW20" s="1">
        <v>45584</v>
      </c>
      <c r="BX20" s="26">
        <f>HLOOKUP(BW20,Hoja2!$R$2:$AV$46,45,FALSE)</f>
        <v>0</v>
      </c>
      <c r="BY20" s="77">
        <f>HLOOKUP(BW20,Hoja2!$R$2:$AV$48,47,FALSE)</f>
        <v>0</v>
      </c>
      <c r="BZ20" s="77">
        <f>HLOOKUP(BW20,Hoja2!$R$2:$AV$49,48,FALSE)</f>
        <v>0</v>
      </c>
      <c r="CA20" s="79">
        <f>HLOOKUP(BW20,Hoja2!$R$2:$AV$52,51,FALSE)</f>
        <v>0</v>
      </c>
      <c r="CB20" s="79" t="str">
        <f>HLOOKUP(BW20,Hoja2!$R$2:$AV$50,49,FALSE)</f>
        <v>USD SET</v>
      </c>
      <c r="CC20" s="79">
        <f>HLOOKUP(BW20,Hoja2!$R$2:$AV$51,50,FALSE)</f>
        <v>0</v>
      </c>
      <c r="CD20" s="21"/>
      <c r="CE20" s="20"/>
      <c r="CF20">
        <v>110316</v>
      </c>
      <c r="CG20" t="s">
        <v>165</v>
      </c>
      <c r="CH20" t="str">
        <f t="shared" ref="CH20" si="64">+CH19</f>
        <v>CPA Comisión bancaria rescate LOCALPAYMENT a Bco.Bice USD</v>
      </c>
      <c r="CI20" s="3"/>
      <c r="CJ20" s="10">
        <f t="shared" ref="CJ20" si="65">+CI19</f>
        <v>0</v>
      </c>
      <c r="CN20" s="1">
        <v>45584</v>
      </c>
      <c r="CO20" s="26">
        <f>HLOOKUP(CN20,Hoja2!$R$2:$AV$46,45,FALSE)</f>
        <v>0</v>
      </c>
      <c r="CP20" s="77">
        <f>HLOOKUP(CN20,Hoja2!$R$2:$AV$48,47,FALSE)</f>
        <v>0</v>
      </c>
      <c r="CQ20" s="77">
        <f>HLOOKUP(CN20,Hoja2!$R$2:$AV$49,48,FALSE)</f>
        <v>0</v>
      </c>
      <c r="CR20" s="79">
        <f>HLOOKUP(CN20,Hoja2!$R$2:$AV$52,51,FALSE)</f>
        <v>0</v>
      </c>
      <c r="CS20" s="79" t="str">
        <f>HLOOKUP(CN20,Hoja2!$R$2:$AV$50,49,FALSE)</f>
        <v>USD SET</v>
      </c>
      <c r="CT20" s="79">
        <f>HLOOKUP(CN20,Hoja2!$R$2:$AV$51,50,FALSE)</f>
        <v>0</v>
      </c>
      <c r="CU20" s="21"/>
      <c r="CV20" s="20"/>
      <c r="CW20">
        <v>110316</v>
      </c>
      <c r="CX20" t="s">
        <v>165</v>
      </c>
      <c r="CY20" t="str">
        <f t="shared" ref="CY20" si="66">+CY19</f>
        <v>CPA Comisión bancaria rescate LOCALPAYMENT a Bco.Bice USD</v>
      </c>
      <c r="CZ20" s="3"/>
      <c r="DA20" s="10">
        <f t="shared" ref="DA20" si="67">+CZ19</f>
        <v>0</v>
      </c>
      <c r="DE20" s="1">
        <v>45584</v>
      </c>
      <c r="DF20" s="26">
        <f>HLOOKUP(DE20,Hoja2!$R$2:$AV$53,52,FALSE)</f>
        <v>0</v>
      </c>
      <c r="DG20" s="77">
        <f>HLOOKUP(DE20,Hoja2!$R$2:$AV$56,55,FALSE)</f>
        <v>0</v>
      </c>
      <c r="DH20" s="77">
        <f>HLOOKUP(DE20,Hoja2!$R$2:$AV$57,56,FALSE)</f>
        <v>0</v>
      </c>
      <c r="DI20" s="79">
        <f>HLOOKUP(DE20,Hoja2!$R$2:$AV$60,59,FALSE)</f>
        <v>0</v>
      </c>
      <c r="DJ20" s="79" t="str">
        <f>HLOOKUP(DE20,Hoja2!$R$2:$AV$58,57,FALSE)</f>
        <v>USD SET</v>
      </c>
      <c r="DK20" s="79">
        <f>HLOOKUP(DE20,Hoja2!$R$2:$AV$59,58,FALSE)</f>
        <v>0</v>
      </c>
      <c r="DL20" s="21"/>
      <c r="DM20" s="20"/>
      <c r="DN20">
        <v>110316</v>
      </c>
      <c r="DO20" t="s">
        <v>165</v>
      </c>
      <c r="DP20" t="str">
        <f t="shared" ref="DP20" si="68">+DP19</f>
        <v>CPA Comisión bancaria rescate LOCALPAYMENT a Bco.Bice USD</v>
      </c>
      <c r="DQ20" s="3"/>
      <c r="DR20" s="10">
        <f t="shared" ref="DR20" si="69">+DQ19</f>
        <v>0</v>
      </c>
    </row>
    <row r="21" spans="1:122" x14ac:dyDescent="0.25">
      <c r="A21" s="1">
        <v>45585</v>
      </c>
      <c r="B21" s="26">
        <f>HLOOKUP(A21,Hoja2!$R$2:$AV$18,17,FALSE)</f>
        <v>0</v>
      </c>
      <c r="C21" s="77">
        <f>HLOOKUP(A21,Hoja2!$R$2:$AV$19,18,FALSE)</f>
        <v>945.01</v>
      </c>
      <c r="D21" s="26">
        <f>HLOOKUP(A21,Hoja2!$R$2:$AV$20,19,FALSE)</f>
        <v>0</v>
      </c>
      <c r="E21" s="79">
        <f>HLOOKUP(A21,Hoja2!$R$2:$AV$21,20,FALSE)</f>
        <v>0</v>
      </c>
      <c r="F21" s="21"/>
      <c r="G21" s="9"/>
      <c r="H21" s="12">
        <v>110205</v>
      </c>
      <c r="I21" s="12" t="s">
        <v>59</v>
      </c>
      <c r="J21" s="12" t="str">
        <f>+J20</f>
        <v>CPA Fondeo Bice USD a NIUM 0 USD T/C 934,84</v>
      </c>
      <c r="K21" s="13"/>
      <c r="L21" s="18">
        <f t="shared" si="5"/>
        <v>0</v>
      </c>
      <c r="P21" s="1">
        <v>45585</v>
      </c>
      <c r="Q21" s="26">
        <f>HLOOKUP(P21,Hoja2!$R$2:$AV$22,21,FALSE)</f>
        <v>0</v>
      </c>
      <c r="R21" s="77">
        <f>HLOOKUP(P21,Hoja2!$R$2:$AV$23,22,FALSE)</f>
        <v>945.01</v>
      </c>
      <c r="S21" s="26">
        <f>HLOOKUP(P21,Hoja2!$R$2:$AV$24,23,FALSE)</f>
        <v>0</v>
      </c>
      <c r="T21" s="79">
        <f>HLOOKUP(P21,Hoja2!$R$2:$AV$25,24,FALSE)</f>
        <v>0</v>
      </c>
      <c r="U21" s="21"/>
      <c r="V21" s="9"/>
      <c r="W21" s="12">
        <v>110205</v>
      </c>
      <c r="X21" s="12" t="s">
        <v>59</v>
      </c>
      <c r="Y21" s="12" t="str">
        <f>+Y20</f>
        <v>CPA Fondeo Bice USD a Facilita Pay 0 USD T/C 934,84.- 10-06-2024</v>
      </c>
      <c r="Z21" s="13"/>
      <c r="AA21" s="18">
        <f t="shared" si="6"/>
        <v>0</v>
      </c>
      <c r="AD21" s="1">
        <v>45585</v>
      </c>
      <c r="AE21" s="26">
        <f>HLOOKUP(AD21,Hoja2!$R$2:$AV$26,25,FALSE)</f>
        <v>0</v>
      </c>
      <c r="AF21" s="77">
        <f>HLOOKUP(AD21,Hoja2!$R$2:$AV$27,26,FALSE)</f>
        <v>945.01</v>
      </c>
      <c r="AG21" s="26">
        <f>HLOOKUP(AD21,Hoja2!$R$2:$AV$28,27,FALSE)</f>
        <v>0</v>
      </c>
      <c r="AH21" s="79">
        <f>HLOOKUP(AD21,Hoja2!$R$2:$AV$29,28,FALSE)</f>
        <v>0</v>
      </c>
      <c r="AI21" s="21"/>
      <c r="AJ21" s="9"/>
      <c r="AK21" s="12">
        <v>110205</v>
      </c>
      <c r="AL21" s="12" t="s">
        <v>59</v>
      </c>
      <c r="AM21" s="12" t="str">
        <f>+AM20</f>
        <v>CPA Fondeo Bice USD a JPM COL 650K USD T/C 934,84.- 10-06-2024</v>
      </c>
      <c r="AN21" s="13"/>
      <c r="AO21" s="18">
        <f t="shared" si="7"/>
        <v>607646000</v>
      </c>
      <c r="AS21" s="1">
        <v>45585</v>
      </c>
      <c r="AT21" s="26">
        <f>HLOOKUP(AS21,Hoja2!$R$2:$AV$30,29,FALSE)</f>
        <v>0</v>
      </c>
      <c r="AU21" s="77">
        <f>HLOOKUP(AS21,Hoja2!$R$2:$AV$31,30,FALSE)</f>
        <v>0</v>
      </c>
      <c r="AV21" s="26">
        <f>HLOOKUP(AS21,Hoja2!$R$2:$AV$32,31,FALSE)</f>
        <v>0</v>
      </c>
      <c r="AW21" s="79">
        <f>HLOOKUP(AS21,Hoja2!$R$2:$AV$33,32,FALSE)</f>
        <v>0</v>
      </c>
      <c r="AX21" s="21"/>
      <c r="AY21" s="9"/>
      <c r="AZ21" s="12">
        <v>110276</v>
      </c>
      <c r="BA21" s="12" t="s">
        <v>97</v>
      </c>
      <c r="BB21" s="12" t="str">
        <f>+BB20</f>
        <v>CPA Rescate DLocal a Bco.Bice USD 300K USD T/C 933,62.- 10-06-2024</v>
      </c>
      <c r="BC21" s="13"/>
      <c r="BD21" s="18">
        <f t="shared" si="8"/>
        <v>280086000</v>
      </c>
      <c r="BH21" s="1">
        <v>45585</v>
      </c>
      <c r="BI21" s="26">
        <f>HLOOKUP(BH21,Hoja2!$R$2:$AV$35,34,FALSE)</f>
        <v>0</v>
      </c>
      <c r="BJ21" s="77">
        <f>HLOOKUP(BH21,Hoja2!$R$2:$AV$36,35,FALSE)</f>
        <v>945.01</v>
      </c>
      <c r="BK21" s="26">
        <f>HLOOKUP(BH21,Hoja2!$R$2:$AV$37,36,FALSE)</f>
        <v>0</v>
      </c>
      <c r="BL21" s="79">
        <f>HLOOKUP(BH21,Hoja2!$R$2:$AV$38,37,FALSE)</f>
        <v>0</v>
      </c>
      <c r="BM21" s="21"/>
      <c r="BN21" s="9"/>
      <c r="BO21" s="12">
        <v>110205</v>
      </c>
      <c r="BP21" s="12" t="s">
        <v>59</v>
      </c>
      <c r="BQ21" s="12" t="str">
        <f>+BQ20</f>
        <v>CPA Fondeo Bice USD a OZ CAMBIO USD 200K USD T/C 934,84</v>
      </c>
      <c r="BR21" s="13"/>
      <c r="BS21" s="18">
        <f t="shared" ref="BS21" si="70">+BR20</f>
        <v>186968000</v>
      </c>
      <c r="BW21" s="1">
        <v>45585</v>
      </c>
      <c r="BX21" s="26">
        <f>HLOOKUP(BW21,Hoja2!$R$2:$AV$46,45,FALSE)</f>
        <v>0</v>
      </c>
      <c r="BY21" s="77">
        <f>HLOOKUP(BW21,Hoja2!$R$2:$AV$48,47,FALSE)</f>
        <v>0</v>
      </c>
      <c r="BZ21" s="77">
        <f>HLOOKUP(BW21,Hoja2!$R$2:$AV$49,48,FALSE)</f>
        <v>0</v>
      </c>
      <c r="CA21" s="79">
        <f>HLOOKUP(BW21,Hoja2!$R$2:$AV$52,51,FALSE)</f>
        <v>0</v>
      </c>
      <c r="CB21" s="79" t="str">
        <f>HLOOKUP(BW21,Hoja2!$R$2:$AV$50,49,FALSE)</f>
        <v>USD SET</v>
      </c>
      <c r="CC21" s="79">
        <f>HLOOKUP(BW21,Hoja2!$R$2:$AV$51,50,FALSE)</f>
        <v>0</v>
      </c>
      <c r="CD21" s="21"/>
      <c r="CE21" s="11"/>
      <c r="CF21" s="12">
        <v>110316</v>
      </c>
      <c r="CG21" s="12" t="s">
        <v>165</v>
      </c>
      <c r="CH21" s="12" t="str">
        <f t="shared" ref="CH21" si="71">+CH18</f>
        <v>CPA Rescate LOCALPAYMENT USD SET a Bco.Bice USD 0,00 T/C 0</v>
      </c>
      <c r="CI21" s="13"/>
      <c r="CJ21" s="18">
        <f t="shared" ref="CJ21" si="72">+CI18</f>
        <v>0</v>
      </c>
      <c r="CN21" s="1">
        <v>45585</v>
      </c>
      <c r="CO21" s="26">
        <f>HLOOKUP(CN21,Hoja2!$R$2:$AV$46,45,FALSE)</f>
        <v>0</v>
      </c>
      <c r="CP21" s="77">
        <f>HLOOKUP(CN21,Hoja2!$R$2:$AV$48,47,FALSE)</f>
        <v>0</v>
      </c>
      <c r="CQ21" s="77">
        <f>HLOOKUP(CN21,Hoja2!$R$2:$AV$49,48,FALSE)</f>
        <v>0</v>
      </c>
      <c r="CR21" s="79">
        <f>HLOOKUP(CN21,Hoja2!$R$2:$AV$52,51,FALSE)</f>
        <v>0</v>
      </c>
      <c r="CS21" s="79" t="str">
        <f>HLOOKUP(CN21,Hoja2!$R$2:$AV$50,49,FALSE)</f>
        <v>USD SET</v>
      </c>
      <c r="CT21" s="79">
        <f>HLOOKUP(CN21,Hoja2!$R$2:$AV$51,50,FALSE)</f>
        <v>0</v>
      </c>
      <c r="CU21" s="21"/>
      <c r="CV21" s="11"/>
      <c r="CW21" s="12">
        <v>110316</v>
      </c>
      <c r="CX21" s="12" t="s">
        <v>165</v>
      </c>
      <c r="CY21" s="12" t="str">
        <f t="shared" ref="CY21" si="73">+CY18</f>
        <v>CPA Rescate LOCALPAYMENT USD SET a Bco.Bice USD 0,00 T/C 0</v>
      </c>
      <c r="CZ21" s="13"/>
      <c r="DA21" s="18">
        <f t="shared" ref="DA21" si="74">+CZ18</f>
        <v>0</v>
      </c>
      <c r="DE21" s="1">
        <v>45585</v>
      </c>
      <c r="DF21" s="26">
        <f>HLOOKUP(DE21,Hoja2!$R$2:$AV$53,52,FALSE)</f>
        <v>0</v>
      </c>
      <c r="DG21" s="77">
        <f>HLOOKUP(DE21,Hoja2!$R$2:$AV$56,55,FALSE)</f>
        <v>0</v>
      </c>
      <c r="DH21" s="77">
        <f>HLOOKUP(DE21,Hoja2!$R$2:$AV$57,56,FALSE)</f>
        <v>0</v>
      </c>
      <c r="DI21" s="79">
        <f>HLOOKUP(DE21,Hoja2!$R$2:$AV$60,59,FALSE)</f>
        <v>0</v>
      </c>
      <c r="DJ21" s="79" t="str">
        <f>HLOOKUP(DE21,Hoja2!$R$2:$AV$58,57,FALSE)</f>
        <v>USD SET</v>
      </c>
      <c r="DK21" s="79">
        <f>HLOOKUP(DE21,Hoja2!$R$2:$AV$59,58,FALSE)</f>
        <v>0</v>
      </c>
      <c r="DL21" s="21"/>
      <c r="DM21" s="11"/>
      <c r="DN21" s="12">
        <v>110316</v>
      </c>
      <c r="DO21" s="12" t="s">
        <v>165</v>
      </c>
      <c r="DP21" s="12" t="str">
        <f t="shared" ref="DP21" si="75">+DP18</f>
        <v>CPA Rescate LOCALPAYMENT USD SET a Bco.Bice USD 0,00 T/C 0</v>
      </c>
      <c r="DQ21" s="13"/>
      <c r="DR21" s="18">
        <f t="shared" ref="DR21" si="76">+DQ18</f>
        <v>0</v>
      </c>
    </row>
    <row r="22" spans="1:122" x14ac:dyDescent="0.25">
      <c r="A22" s="1">
        <v>45586</v>
      </c>
      <c r="B22" s="26">
        <f>HLOOKUP(A22,Hoja2!$R$2:$AV$18,17,FALSE)</f>
        <v>0</v>
      </c>
      <c r="C22" s="77">
        <f>HLOOKUP(A22,Hoja2!$R$2:$AV$19,18,FALSE)</f>
        <v>946.99</v>
      </c>
      <c r="D22" s="26">
        <f>HLOOKUP(A22,Hoja2!$R$2:$AV$20,19,FALSE)</f>
        <v>0</v>
      </c>
      <c r="E22" s="80">
        <f>HLOOKUP(A22,Hoja2!$R$2:$AV$21,20,FALSE)</f>
        <v>0</v>
      </c>
      <c r="F22" s="21"/>
      <c r="G22" s="15">
        <v>45454</v>
      </c>
      <c r="H22">
        <v>110275</v>
      </c>
      <c r="I22" t="s">
        <v>82</v>
      </c>
      <c r="J22" t="str">
        <f>"CPA Fondeo Bice USD a NIUM " &amp;D12&amp;" USD T/C "&amp;C12</f>
        <v>CPA Fondeo Bice USD a NIUM 845K USD T/C 931,26</v>
      </c>
      <c r="K22" s="3">
        <f>+E12</f>
        <v>786914700</v>
      </c>
      <c r="L22" s="10"/>
      <c r="P22" s="1">
        <v>45586</v>
      </c>
      <c r="Q22" s="26">
        <f>HLOOKUP(P22,Hoja2!$R$2:$AV$22,21,FALSE)</f>
        <v>0</v>
      </c>
      <c r="R22" s="77">
        <f>HLOOKUP(P22,Hoja2!$R$2:$AV$23,22,FALSE)</f>
        <v>946.99</v>
      </c>
      <c r="S22" s="26">
        <f>HLOOKUP(P22,Hoja2!$R$2:$AV$24,23,FALSE)</f>
        <v>0</v>
      </c>
      <c r="T22" s="80">
        <f>HLOOKUP(P22,Hoja2!$R$2:$AV$25,24,FALSE)</f>
        <v>0</v>
      </c>
      <c r="U22" s="21"/>
      <c r="V22" s="15">
        <v>45454</v>
      </c>
      <c r="W22">
        <v>110274</v>
      </c>
      <c r="X22" t="s">
        <v>84</v>
      </c>
      <c r="Y22" t="str">
        <f>"CPA Fondeo Bice USD a Facilita Pay " &amp;S12&amp;" USD T/C "&amp;R12&amp;".- "&amp;TEXT($G22,"dd-mm-aaa")</f>
        <v>CPA Fondeo Bice USD a Facilita Pay 0 USD T/C 931,26.- 11-06-2024</v>
      </c>
      <c r="Z22" s="3">
        <f>+T12</f>
        <v>0</v>
      </c>
      <c r="AA22" s="10"/>
      <c r="AD22" s="1">
        <v>45586</v>
      </c>
      <c r="AE22" s="26">
        <f>HLOOKUP(AD22,Hoja2!$R$2:$AV$26,25,FALSE)</f>
        <v>0</v>
      </c>
      <c r="AF22" s="77">
        <f>HLOOKUP(AD22,Hoja2!$R$2:$AV$27,26,FALSE)</f>
        <v>946.99</v>
      </c>
      <c r="AG22" s="26">
        <f>HLOOKUP(AD22,Hoja2!$R$2:$AV$28,27,FALSE)</f>
        <v>0</v>
      </c>
      <c r="AH22" s="80">
        <f>HLOOKUP(AD22,Hoja2!$R$2:$AV$29,28,FALSE)</f>
        <v>0</v>
      </c>
      <c r="AI22" s="21"/>
      <c r="AJ22" s="15">
        <v>45454</v>
      </c>
      <c r="AK22">
        <v>110820</v>
      </c>
      <c r="AL22" t="s">
        <v>92</v>
      </c>
      <c r="AM22" t="str">
        <f>"CPA Fondeo Bice USD a JPM COL " &amp;AG12&amp;" USD T/C "&amp;AF12&amp;".- "&amp;TEXT($G22,"dd-mm-aaa")</f>
        <v>CPA Fondeo Bice USD a JPM COL 650K USD T/C 931,26.- 11-06-2024</v>
      </c>
      <c r="AN22" s="3">
        <f>+AH12</f>
        <v>605319000</v>
      </c>
      <c r="AO22" s="10"/>
      <c r="AS22" s="1">
        <v>45586</v>
      </c>
      <c r="AT22" s="26">
        <f>HLOOKUP(AS22,Hoja2!$R$2:$AV$30,29,FALSE)</f>
        <v>200000</v>
      </c>
      <c r="AU22" s="77">
        <f>HLOOKUP(AS22,Hoja2!$R$2:$AV$31,30,FALSE)</f>
        <v>945.01</v>
      </c>
      <c r="AV22" s="26" t="str">
        <f>HLOOKUP(AS22,Hoja2!$R$2:$AV$32,31,FALSE)</f>
        <v>200K</v>
      </c>
      <c r="AW22" s="80">
        <f>HLOOKUP(AS22,Hoja2!$R$2:$AV$33,32,FALSE)</f>
        <v>189002000</v>
      </c>
      <c r="AX22" s="21"/>
      <c r="AY22" s="15">
        <v>45454</v>
      </c>
      <c r="AZ22">
        <v>110205</v>
      </c>
      <c r="BA22" t="s">
        <v>59</v>
      </c>
      <c r="BB22" t="str">
        <f>"CPA Rescate DLocal a Bco.Bice USD " &amp;AV12&amp;" USD T/C "&amp;AU12&amp;".- "&amp;TEXT($G22,"dd-mm-aaa")</f>
        <v>CPA Rescate DLocal a Bco.Bice USD 0 USD T/C 0.- 11-06-2024</v>
      </c>
      <c r="BC22" s="3">
        <f>+AW12</f>
        <v>0</v>
      </c>
      <c r="BD22" s="10"/>
      <c r="BH22" s="1">
        <v>45586</v>
      </c>
      <c r="BI22" s="26">
        <f>HLOOKUP(BH22,Hoja2!$R$2:$AV$35,34,FALSE)</f>
        <v>0</v>
      </c>
      <c r="BJ22" s="77">
        <f>HLOOKUP(BH22,Hoja2!$R$2:$AV$36,35,FALSE)</f>
        <v>946.99</v>
      </c>
      <c r="BK22" s="26">
        <f>HLOOKUP(BH22,Hoja2!$R$2:$AV$37,36,FALSE)</f>
        <v>0</v>
      </c>
      <c r="BL22" s="80">
        <f>HLOOKUP(BH22,Hoja2!$R$2:$AV$38,37,FALSE)</f>
        <v>0</v>
      </c>
      <c r="BM22" s="21"/>
      <c r="BN22" s="15">
        <v>45454</v>
      </c>
      <c r="BO22">
        <v>110292</v>
      </c>
      <c r="BP22" t="s">
        <v>142</v>
      </c>
      <c r="BQ22" t="str">
        <f>"CPA Fondeo Bice USD a OZ CAMBIO USD " &amp;BK12&amp;" USD T/C "&amp;BJ12</f>
        <v>CPA Fondeo Bice USD a OZ CAMBIO USD 0 USD T/C 931,26</v>
      </c>
      <c r="BR22" s="3">
        <f>+BL12</f>
        <v>0</v>
      </c>
      <c r="BS22" s="10"/>
      <c r="BW22" s="1">
        <v>45586</v>
      </c>
      <c r="BX22" s="26">
        <f>HLOOKUP(BW22,Hoja2!$R$2:$AV$46,45,FALSE)</f>
        <v>756536.43</v>
      </c>
      <c r="BY22" s="77">
        <f>HLOOKUP(BW22,Hoja2!$R$2:$AV$48,47,FALSE)</f>
        <v>945.01</v>
      </c>
      <c r="BZ22" s="77">
        <f>HLOOKUP(BW22,Hoja2!$R$2:$AV$49,48,FALSE)</f>
        <v>756536.43</v>
      </c>
      <c r="CA22" s="79">
        <f>HLOOKUP(BW22,Hoja2!$R$2:$AV$52,51,FALSE)</f>
        <v>714934491.71430004</v>
      </c>
      <c r="CB22" s="79" t="str">
        <f>HLOOKUP(BW22,Hoja2!$R$2:$AV$50,49,FALSE)</f>
        <v>USD SET</v>
      </c>
      <c r="CC22" s="79">
        <f>HLOOKUP(BW22,Hoja2!$R$2:$AV$51,50,FALSE)</f>
        <v>28350.3</v>
      </c>
      <c r="CD22" s="21"/>
      <c r="CE22" s="9">
        <v>45449</v>
      </c>
      <c r="CF22">
        <v>110205</v>
      </c>
      <c r="CG22" t="s">
        <v>59</v>
      </c>
      <c r="CH22" t="str">
        <f>"CPA Rescate LOCALPAYMENT " &amp; CB7 &amp; " a Bco.Bice USD " &amp; TEXT(BZ7,"#.##0,00") &amp; " T/C " &amp; BY7</f>
        <v>CPA Rescate LOCALPAYMENT USD SET a Bco.Bice USD 0,00 T/C 0</v>
      </c>
      <c r="CI22" s="3">
        <f>+CA7</f>
        <v>0</v>
      </c>
      <c r="CJ22" s="10"/>
      <c r="CN22" s="1">
        <v>45586</v>
      </c>
      <c r="CO22" s="26">
        <f>HLOOKUP(CN22,Hoja2!$R$2:$AV$46,45,FALSE)</f>
        <v>756536.43</v>
      </c>
      <c r="CP22" s="77">
        <f>HLOOKUP(CN22,Hoja2!$R$2:$AV$48,47,FALSE)</f>
        <v>945.01</v>
      </c>
      <c r="CQ22" s="77">
        <f>HLOOKUP(CN22,Hoja2!$R$2:$AV$49,48,FALSE)</f>
        <v>756536.43</v>
      </c>
      <c r="CR22" s="79">
        <f>HLOOKUP(CN22,Hoja2!$R$2:$AV$52,51,FALSE)</f>
        <v>714934491.71430004</v>
      </c>
      <c r="CS22" s="79" t="str">
        <f>HLOOKUP(CN22,Hoja2!$R$2:$AV$50,49,FALSE)</f>
        <v>USD SET</v>
      </c>
      <c r="CT22" s="79">
        <f>HLOOKUP(CN22,Hoja2!$R$2:$AV$51,50,FALSE)</f>
        <v>28350.3</v>
      </c>
      <c r="CU22" s="21"/>
      <c r="CV22" s="9">
        <v>45449</v>
      </c>
      <c r="CW22">
        <v>110205</v>
      </c>
      <c r="CX22" t="s">
        <v>59</v>
      </c>
      <c r="CY22" t="str">
        <f>"CPA Rescate LOCALPAYMENT " &amp; CS7 &amp; " a Bco.Bice USD " &amp; TEXT(CQ7,"#.##0,00") &amp; " T/C " &amp; CP7</f>
        <v>CPA Rescate LOCALPAYMENT USD SET a Bco.Bice USD 0,00 T/C 0</v>
      </c>
      <c r="CZ22" s="3">
        <f>+CR7</f>
        <v>0</v>
      </c>
      <c r="DA22" s="10"/>
      <c r="DE22" s="1">
        <v>45586</v>
      </c>
      <c r="DF22" s="26">
        <f>HLOOKUP(DE22,Hoja2!$R$2:$AV$53,52,FALSE)</f>
        <v>0</v>
      </c>
      <c r="DG22" s="77">
        <f>HLOOKUP(DE22,Hoja2!$R$2:$AV$56,55,FALSE)</f>
        <v>0</v>
      </c>
      <c r="DH22" s="77">
        <f>HLOOKUP(DE22,Hoja2!$R$2:$AV$57,56,FALSE)</f>
        <v>0</v>
      </c>
      <c r="DI22" s="79">
        <f>HLOOKUP(DE22,Hoja2!$R$2:$AV$60,59,FALSE)</f>
        <v>0</v>
      </c>
      <c r="DJ22" s="79" t="str">
        <f>HLOOKUP(DE22,Hoja2!$R$2:$AV$58,57,FALSE)</f>
        <v>USD SET</v>
      </c>
      <c r="DK22" s="79">
        <f>HLOOKUP(DE22,Hoja2!$R$2:$AV$59,58,FALSE)</f>
        <v>0</v>
      </c>
      <c r="DL22" s="21"/>
      <c r="DM22" s="9">
        <v>45449</v>
      </c>
      <c r="DN22">
        <v>110205</v>
      </c>
      <c r="DO22" t="s">
        <v>59</v>
      </c>
      <c r="DP22" t="str">
        <f>"CPA Rescate LOCALPAYMENT " &amp; DJ7 &amp; " a Bco.Bice USD " &amp; TEXT(DH7,"#.##0,00") &amp; " T/C " &amp; DG7</f>
        <v>CPA Rescate LOCALPAYMENT USD SET a Bco.Bice USD 0,00 T/C 0</v>
      </c>
      <c r="DQ22" s="3">
        <f>+DI7</f>
        <v>0</v>
      </c>
      <c r="DR22" s="10"/>
    </row>
    <row r="23" spans="1:122" x14ac:dyDescent="0.25">
      <c r="A23" s="1">
        <v>45587</v>
      </c>
      <c r="B23" s="26">
        <f>HLOOKUP(A23,Hoja2!$R$2:$AV$18,17,FALSE)</f>
        <v>0</v>
      </c>
      <c r="C23" s="77">
        <f>HLOOKUP(A23,Hoja2!$R$2:$AV$19,18,FALSE)</f>
        <v>954.39</v>
      </c>
      <c r="D23" s="26">
        <f>HLOOKUP(A23,Hoja2!$R$2:$AV$20,19,FALSE)</f>
        <v>0</v>
      </c>
      <c r="E23" s="79">
        <f>HLOOKUP(A23,Hoja2!$R$2:$AV$21,20,FALSE)</f>
        <v>0</v>
      </c>
      <c r="F23" s="21"/>
      <c r="G23" s="9"/>
      <c r="H23" s="12">
        <v>110205</v>
      </c>
      <c r="I23" s="12" t="s">
        <v>59</v>
      </c>
      <c r="J23" s="12" t="str">
        <f>+J22</f>
        <v>CPA Fondeo Bice USD a NIUM 845K USD T/C 931,26</v>
      </c>
      <c r="K23" s="13"/>
      <c r="L23" s="18">
        <f t="shared" si="5"/>
        <v>786914700</v>
      </c>
      <c r="P23" s="1">
        <v>45587</v>
      </c>
      <c r="Q23" s="26">
        <f>HLOOKUP(P23,Hoja2!$R$2:$AV$22,21,FALSE)</f>
        <v>100000</v>
      </c>
      <c r="R23" s="77">
        <f>HLOOKUP(P23,Hoja2!$R$2:$AV$23,22,FALSE)</f>
        <v>954.39</v>
      </c>
      <c r="S23" s="26" t="str">
        <f>HLOOKUP(P23,Hoja2!$R$2:$AV$24,23,FALSE)</f>
        <v>100K</v>
      </c>
      <c r="T23" s="79">
        <f>HLOOKUP(P23,Hoja2!$R$2:$AV$25,24,FALSE)</f>
        <v>95439000</v>
      </c>
      <c r="U23" s="21"/>
      <c r="V23" s="9"/>
      <c r="W23" s="12">
        <v>110205</v>
      </c>
      <c r="X23" s="12" t="s">
        <v>59</v>
      </c>
      <c r="Y23" s="12" t="str">
        <f>+Y22</f>
        <v>CPA Fondeo Bice USD a Facilita Pay 0 USD T/C 931,26.- 11-06-2024</v>
      </c>
      <c r="Z23" s="13"/>
      <c r="AA23" s="18">
        <f t="shared" si="6"/>
        <v>0</v>
      </c>
      <c r="AD23" s="1">
        <v>45587</v>
      </c>
      <c r="AE23" s="26">
        <f>HLOOKUP(AD23,Hoja2!$R$2:$AV$26,25,FALSE)</f>
        <v>650000</v>
      </c>
      <c r="AF23" s="77">
        <f>HLOOKUP(AD23,Hoja2!$R$2:$AV$27,26,FALSE)</f>
        <v>954.39</v>
      </c>
      <c r="AG23" s="26" t="str">
        <f>HLOOKUP(AD23,Hoja2!$R$2:$AV$28,27,FALSE)</f>
        <v>650K</v>
      </c>
      <c r="AH23" s="79">
        <f>HLOOKUP(AD23,Hoja2!$R$2:$AV$29,28,FALSE)</f>
        <v>620353500</v>
      </c>
      <c r="AI23" s="21"/>
      <c r="AJ23" s="9"/>
      <c r="AK23" s="12">
        <v>110205</v>
      </c>
      <c r="AL23" s="12" t="s">
        <v>59</v>
      </c>
      <c r="AM23" s="12" t="str">
        <f>+AM22</f>
        <v>CPA Fondeo Bice USD a JPM COL 650K USD T/C 931,26.- 11-06-2024</v>
      </c>
      <c r="AN23" s="13"/>
      <c r="AO23" s="18">
        <f t="shared" si="7"/>
        <v>605319000</v>
      </c>
      <c r="AS23" s="1">
        <v>45587</v>
      </c>
      <c r="AT23" s="26">
        <f>HLOOKUP(AS23,Hoja2!$R$2:$AV$30,29,FALSE)</f>
        <v>0</v>
      </c>
      <c r="AU23" s="77">
        <f>HLOOKUP(AS23,Hoja2!$R$2:$AV$31,30,FALSE)</f>
        <v>0</v>
      </c>
      <c r="AV23" s="26">
        <f>HLOOKUP(AS23,Hoja2!$R$2:$AV$32,31,FALSE)</f>
        <v>0</v>
      </c>
      <c r="AW23" s="79">
        <f>HLOOKUP(AS23,Hoja2!$R$2:$AV$33,32,FALSE)</f>
        <v>0</v>
      </c>
      <c r="AX23" s="21"/>
      <c r="AY23" s="9"/>
      <c r="AZ23" s="12">
        <v>110276</v>
      </c>
      <c r="BA23" s="12" t="s">
        <v>97</v>
      </c>
      <c r="BB23" s="12" t="str">
        <f>+BB22</f>
        <v>CPA Rescate DLocal a Bco.Bice USD 0 USD T/C 0.- 11-06-2024</v>
      </c>
      <c r="BC23" s="13"/>
      <c r="BD23" s="18">
        <f t="shared" si="8"/>
        <v>0</v>
      </c>
      <c r="BH23" s="1">
        <v>45587</v>
      </c>
      <c r="BI23" s="26">
        <f>HLOOKUP(BH23,Hoja2!$R$2:$AV$35,34,FALSE)</f>
        <v>200000</v>
      </c>
      <c r="BJ23" s="77">
        <f>HLOOKUP(BH23,Hoja2!$R$2:$AV$36,35,FALSE)</f>
        <v>954.39</v>
      </c>
      <c r="BK23" s="26" t="str">
        <f>HLOOKUP(BH23,Hoja2!$R$2:$AV$37,36,FALSE)</f>
        <v>200K</v>
      </c>
      <c r="BL23" s="79">
        <f>HLOOKUP(BH23,Hoja2!$R$2:$AV$38,37,FALSE)</f>
        <v>190878000</v>
      </c>
      <c r="BM23" s="21"/>
      <c r="BN23" s="9"/>
      <c r="BO23" s="12">
        <v>110205</v>
      </c>
      <c r="BP23" s="12" t="s">
        <v>59</v>
      </c>
      <c r="BQ23" s="12" t="str">
        <f>+BQ22</f>
        <v>CPA Fondeo Bice USD a OZ CAMBIO USD 0 USD T/C 931,26</v>
      </c>
      <c r="BR23" s="13"/>
      <c r="BS23" s="18">
        <f t="shared" ref="BS23" si="77">+BR22</f>
        <v>0</v>
      </c>
      <c r="BW23" s="1">
        <v>45587</v>
      </c>
      <c r="BX23" s="26">
        <f>HLOOKUP(BW23,Hoja2!$R$2:$AV$46,45,FALSE)</f>
        <v>996413.06</v>
      </c>
      <c r="BY23" s="77">
        <f>HLOOKUP(BW23,Hoja2!$R$2:$AV$48,47,FALSE)</f>
        <v>954.39</v>
      </c>
      <c r="BZ23" s="77">
        <f>HLOOKUP(BW23,Hoja2!$R$2:$AV$49,48,FALSE)</f>
        <v>996413.06</v>
      </c>
      <c r="CA23" s="79">
        <f>HLOOKUP(BW23,Hoja2!$R$2:$AV$52,51,FALSE)</f>
        <v>950966660.33340001</v>
      </c>
      <c r="CB23" s="79" t="str">
        <f>HLOOKUP(BW23,Hoja2!$R$2:$AV$50,49,FALSE)</f>
        <v>USD SET</v>
      </c>
      <c r="CC23" s="79">
        <f>HLOOKUP(BW23,Hoja2!$R$2:$AV$51,50,FALSE)</f>
        <v>0</v>
      </c>
      <c r="CD23" s="21"/>
      <c r="CE23" s="20"/>
      <c r="CF23">
        <v>420604</v>
      </c>
      <c r="CG23" t="s">
        <v>164</v>
      </c>
      <c r="CH23" t="str">
        <f t="shared" ref="CH23" si="78">"CPA Comisión bancaria rescate LOCALPAYMENT a Bco.Bice USD"</f>
        <v>CPA Comisión bancaria rescate LOCALPAYMENT a Bco.Bice USD</v>
      </c>
      <c r="CI23" s="3">
        <f>+CC7</f>
        <v>0</v>
      </c>
      <c r="CJ23" s="10"/>
      <c r="CN23" s="1">
        <v>45587</v>
      </c>
      <c r="CO23" s="26">
        <f>HLOOKUP(CN23,Hoja2!$R$2:$AV$46,45,FALSE)</f>
        <v>996413.06</v>
      </c>
      <c r="CP23" s="77">
        <f>HLOOKUP(CN23,Hoja2!$R$2:$AV$48,47,FALSE)</f>
        <v>954.39</v>
      </c>
      <c r="CQ23" s="77">
        <f>HLOOKUP(CN23,Hoja2!$R$2:$AV$49,48,FALSE)</f>
        <v>996413.06</v>
      </c>
      <c r="CR23" s="79">
        <f>HLOOKUP(CN23,Hoja2!$R$2:$AV$52,51,FALSE)</f>
        <v>950966660.33340001</v>
      </c>
      <c r="CS23" s="79" t="str">
        <f>HLOOKUP(CN23,Hoja2!$R$2:$AV$50,49,FALSE)</f>
        <v>USD SET</v>
      </c>
      <c r="CT23" s="79">
        <f>HLOOKUP(CN23,Hoja2!$R$2:$AV$51,50,FALSE)</f>
        <v>0</v>
      </c>
      <c r="CU23" s="21"/>
      <c r="CV23" s="20"/>
      <c r="CW23">
        <v>420604</v>
      </c>
      <c r="CX23" t="s">
        <v>164</v>
      </c>
      <c r="CY23" t="str">
        <f t="shared" ref="CY23" si="79">"CPA Comisión bancaria rescate LOCALPAYMENT a Bco.Bice USD"</f>
        <v>CPA Comisión bancaria rescate LOCALPAYMENT a Bco.Bice USD</v>
      </c>
      <c r="CZ23" s="3">
        <f>+CT7</f>
        <v>0</v>
      </c>
      <c r="DA23" s="10"/>
      <c r="DE23" s="1">
        <v>45587</v>
      </c>
      <c r="DF23" s="26">
        <f>HLOOKUP(DE23,Hoja2!$R$2:$AV$53,52,FALSE)</f>
        <v>0</v>
      </c>
      <c r="DG23" s="77">
        <f>HLOOKUP(DE23,Hoja2!$R$2:$AV$56,55,FALSE)</f>
        <v>0</v>
      </c>
      <c r="DH23" s="77">
        <f>HLOOKUP(DE23,Hoja2!$R$2:$AV$57,56,FALSE)</f>
        <v>0</v>
      </c>
      <c r="DI23" s="79">
        <f>HLOOKUP(DE23,Hoja2!$R$2:$AV$60,59,FALSE)</f>
        <v>0</v>
      </c>
      <c r="DJ23" s="79" t="str">
        <f>HLOOKUP(DE23,Hoja2!$R$2:$AV$58,57,FALSE)</f>
        <v>USD SET</v>
      </c>
      <c r="DK23" s="79">
        <f>HLOOKUP(DE23,Hoja2!$R$2:$AV$59,58,FALSE)</f>
        <v>0</v>
      </c>
      <c r="DL23" s="21"/>
      <c r="DM23" s="20"/>
      <c r="DN23">
        <v>420604</v>
      </c>
      <c r="DO23" t="s">
        <v>164</v>
      </c>
      <c r="DP23" t="str">
        <f t="shared" ref="DP23" si="80">"CPA Comisión bancaria rescate LOCALPAYMENT a Bco.Bice USD"</f>
        <v>CPA Comisión bancaria rescate LOCALPAYMENT a Bco.Bice USD</v>
      </c>
      <c r="DQ23" s="3">
        <f>+DK7</f>
        <v>0</v>
      </c>
      <c r="DR23" s="10"/>
    </row>
    <row r="24" spans="1:122" x14ac:dyDescent="0.25">
      <c r="A24" s="1">
        <v>45588</v>
      </c>
      <c r="B24" s="26">
        <f>HLOOKUP(A24,Hoja2!$R$2:$AV$18,17,FALSE)</f>
        <v>1160000</v>
      </c>
      <c r="C24" s="77">
        <f>HLOOKUP(A24,Hoja2!$R$2:$AV$19,18,FALSE)</f>
        <v>949</v>
      </c>
      <c r="D24" s="26" t="str">
        <f>HLOOKUP(A24,Hoja2!$R$2:$AV$20,19,FALSE)</f>
        <v>1.160 M</v>
      </c>
      <c r="E24" s="79">
        <f>HLOOKUP(A24,Hoja2!$R$2:$AV$21,20,FALSE)</f>
        <v>1100840000</v>
      </c>
      <c r="F24" s="21"/>
      <c r="G24" s="15">
        <v>45455</v>
      </c>
      <c r="H24">
        <v>110275</v>
      </c>
      <c r="I24" t="s">
        <v>82</v>
      </c>
      <c r="J24" t="str">
        <f>"CPA Fondeo Bice USD a NIUM " &amp;D13&amp;" USD T/C "&amp;C13</f>
        <v>CPA Fondeo Bice USD a NIUM 0 USD T/C 931,26</v>
      </c>
      <c r="K24" s="3">
        <f>+E13</f>
        <v>0</v>
      </c>
      <c r="L24" s="10"/>
      <c r="P24" s="1">
        <v>45588</v>
      </c>
      <c r="Q24" s="26">
        <f>HLOOKUP(P24,Hoja2!$R$2:$AV$22,21,FALSE)</f>
        <v>0</v>
      </c>
      <c r="R24" s="77">
        <f>HLOOKUP(P24,Hoja2!$R$2:$AV$23,22,FALSE)</f>
        <v>949</v>
      </c>
      <c r="S24" s="26">
        <f>HLOOKUP(P24,Hoja2!$R$2:$AV$24,23,FALSE)</f>
        <v>0</v>
      </c>
      <c r="T24" s="79">
        <f>HLOOKUP(P24,Hoja2!$R$2:$AV$25,24,FALSE)</f>
        <v>0</v>
      </c>
      <c r="U24" s="21"/>
      <c r="V24" s="15">
        <v>45455</v>
      </c>
      <c r="W24">
        <v>110274</v>
      </c>
      <c r="X24" t="s">
        <v>84</v>
      </c>
      <c r="Y24" t="str">
        <f>"CPA Fondeo Bice USD a Facilita Pay " &amp;S13&amp;" USD T/C "&amp;R13&amp;".- "&amp;TEXT($G24,"dd-mm-aaa")</f>
        <v>CPA Fondeo Bice USD a Facilita Pay 0 USD T/C 931,26.- 12-06-2024</v>
      </c>
      <c r="Z24" s="3">
        <f>+T13</f>
        <v>0</v>
      </c>
      <c r="AA24" s="10"/>
      <c r="AD24" s="1">
        <v>45588</v>
      </c>
      <c r="AE24" s="26">
        <f>HLOOKUP(AD24,Hoja2!$R$2:$AV$26,25,FALSE)</f>
        <v>0</v>
      </c>
      <c r="AF24" s="77">
        <f>HLOOKUP(AD24,Hoja2!$R$2:$AV$27,26,FALSE)</f>
        <v>949</v>
      </c>
      <c r="AG24" s="26">
        <f>HLOOKUP(AD24,Hoja2!$R$2:$AV$28,27,FALSE)</f>
        <v>0</v>
      </c>
      <c r="AH24" s="79">
        <f>HLOOKUP(AD24,Hoja2!$R$2:$AV$29,28,FALSE)</f>
        <v>0</v>
      </c>
      <c r="AI24" s="21"/>
      <c r="AJ24" s="15">
        <v>45455</v>
      </c>
      <c r="AK24">
        <v>110820</v>
      </c>
      <c r="AL24" t="s">
        <v>92</v>
      </c>
      <c r="AM24" t="str">
        <f>"CPA Fondeo Bice USD a JPM COL " &amp;AG13&amp;" USD T/C "&amp;AF13&amp;".- "&amp;TEXT($G24,"dd-mm-aaa")</f>
        <v>CPA Fondeo Bice USD a JPM COL 0 USD T/C 931,26.- 12-06-2024</v>
      </c>
      <c r="AN24" s="3">
        <f>+AH13</f>
        <v>0</v>
      </c>
      <c r="AO24" s="10"/>
      <c r="AS24" s="1">
        <v>45588</v>
      </c>
      <c r="AT24" s="26">
        <f>HLOOKUP(AS24,Hoja2!$R$2:$AV$30,29,FALSE)</f>
        <v>300000</v>
      </c>
      <c r="AU24" s="77">
        <f>HLOOKUP(AS24,Hoja2!$R$2:$AV$31,30,FALSE)</f>
        <v>954.39</v>
      </c>
      <c r="AV24" s="26" t="str">
        <f>HLOOKUP(AS24,Hoja2!$R$2:$AV$32,31,FALSE)</f>
        <v>300K</v>
      </c>
      <c r="AW24" s="79">
        <f>HLOOKUP(AS24,Hoja2!$R$2:$AV$33,32,FALSE)</f>
        <v>286317000</v>
      </c>
      <c r="AX24" s="21"/>
      <c r="AY24" s="15">
        <v>45455</v>
      </c>
      <c r="AZ24">
        <v>110205</v>
      </c>
      <c r="BA24" t="s">
        <v>59</v>
      </c>
      <c r="BB24" t="str">
        <f>"CPA Rescate DLocal a Bco.Bice USD " &amp;AV13&amp;" USD T/C "&amp;AU13&amp;".- "&amp;TEXT($G24,"dd-mm-aaa")</f>
        <v>CPA Rescate DLocal a Bco.Bice USD 0 USD T/C 0.- 12-06-2024</v>
      </c>
      <c r="BC24" s="3">
        <f>+AW13</f>
        <v>0</v>
      </c>
      <c r="BD24" s="10"/>
      <c r="BH24" s="1">
        <v>45588</v>
      </c>
      <c r="BI24" s="26">
        <f>HLOOKUP(BH24,Hoja2!$R$2:$AV$35,34,FALSE)</f>
        <v>0</v>
      </c>
      <c r="BJ24" s="77">
        <f>HLOOKUP(BH24,Hoja2!$R$2:$AV$36,35,FALSE)</f>
        <v>949</v>
      </c>
      <c r="BK24" s="26">
        <f>HLOOKUP(BH24,Hoja2!$R$2:$AV$37,36,FALSE)</f>
        <v>0</v>
      </c>
      <c r="BL24" s="79">
        <f>HLOOKUP(BH24,Hoja2!$R$2:$AV$38,37,FALSE)</f>
        <v>0</v>
      </c>
      <c r="BM24" s="21"/>
      <c r="BN24" s="15">
        <v>45455</v>
      </c>
      <c r="BO24">
        <v>110292</v>
      </c>
      <c r="BP24" t="s">
        <v>142</v>
      </c>
      <c r="BQ24" t="str">
        <f>"CPA Fondeo Bice USD a OZ CAMBIO USD " &amp;BK13&amp;" USD T/C "&amp;BJ13</f>
        <v>CPA Fondeo Bice USD a OZ CAMBIO USD 0 USD T/C 931,26</v>
      </c>
      <c r="BR24" s="3">
        <f>+BL13</f>
        <v>0</v>
      </c>
      <c r="BS24" s="10"/>
      <c r="BW24" s="1">
        <v>45588</v>
      </c>
      <c r="BX24" s="26">
        <f>HLOOKUP(BW24,Hoja2!$R$2:$AV$46,45,FALSE)</f>
        <v>0</v>
      </c>
      <c r="BY24" s="77">
        <f>HLOOKUP(BW24,Hoja2!$R$2:$AV$48,47,FALSE)</f>
        <v>0</v>
      </c>
      <c r="BZ24" s="77">
        <f>HLOOKUP(BW24,Hoja2!$R$2:$AV$49,48,FALSE)</f>
        <v>0</v>
      </c>
      <c r="CA24" s="79">
        <f>HLOOKUP(BW24,Hoja2!$R$2:$AV$52,51,FALSE)</f>
        <v>0</v>
      </c>
      <c r="CB24" s="79" t="str">
        <f>HLOOKUP(BW24,Hoja2!$R$2:$AV$50,49,FALSE)</f>
        <v>USD SET</v>
      </c>
      <c r="CC24" s="79">
        <f>HLOOKUP(BW24,Hoja2!$R$2:$AV$51,50,FALSE)</f>
        <v>0</v>
      </c>
      <c r="CD24" s="21"/>
      <c r="CE24" s="20"/>
      <c r="CF24">
        <v>110316</v>
      </c>
      <c r="CG24" t="s">
        <v>165</v>
      </c>
      <c r="CH24" t="str">
        <f t="shared" ref="CH24" si="81">+CH23</f>
        <v>CPA Comisión bancaria rescate LOCALPAYMENT a Bco.Bice USD</v>
      </c>
      <c r="CI24" s="3"/>
      <c r="CJ24" s="10">
        <f t="shared" ref="CJ24" si="82">+CI23</f>
        <v>0</v>
      </c>
      <c r="CN24" s="1">
        <v>45588</v>
      </c>
      <c r="CO24" s="26">
        <f>HLOOKUP(CN24,Hoja2!$R$2:$AV$46,45,FALSE)</f>
        <v>0</v>
      </c>
      <c r="CP24" s="77">
        <f>HLOOKUP(CN24,Hoja2!$R$2:$AV$48,47,FALSE)</f>
        <v>0</v>
      </c>
      <c r="CQ24" s="77">
        <f>HLOOKUP(CN24,Hoja2!$R$2:$AV$49,48,FALSE)</f>
        <v>0</v>
      </c>
      <c r="CR24" s="79">
        <f>HLOOKUP(CN24,Hoja2!$R$2:$AV$52,51,FALSE)</f>
        <v>0</v>
      </c>
      <c r="CS24" s="79" t="str">
        <f>HLOOKUP(CN24,Hoja2!$R$2:$AV$50,49,FALSE)</f>
        <v>USD SET</v>
      </c>
      <c r="CT24" s="79">
        <f>HLOOKUP(CN24,Hoja2!$R$2:$AV$51,50,FALSE)</f>
        <v>0</v>
      </c>
      <c r="CU24" s="21"/>
      <c r="CV24" s="20"/>
      <c r="CW24">
        <v>110316</v>
      </c>
      <c r="CX24" t="s">
        <v>165</v>
      </c>
      <c r="CY24" t="str">
        <f t="shared" ref="CY24" si="83">+CY23</f>
        <v>CPA Comisión bancaria rescate LOCALPAYMENT a Bco.Bice USD</v>
      </c>
      <c r="CZ24" s="3"/>
      <c r="DA24" s="10">
        <f t="shared" ref="DA24" si="84">+CZ23</f>
        <v>0</v>
      </c>
      <c r="DE24" s="1">
        <v>45588</v>
      </c>
      <c r="DF24" s="26">
        <f>HLOOKUP(DE24,Hoja2!$R$2:$AV$53,52,FALSE)</f>
        <v>0</v>
      </c>
      <c r="DG24" s="77">
        <f>HLOOKUP(DE24,Hoja2!$R$2:$AV$56,55,FALSE)</f>
        <v>0</v>
      </c>
      <c r="DH24" s="77">
        <f>HLOOKUP(DE24,Hoja2!$R$2:$AV$57,56,FALSE)</f>
        <v>0</v>
      </c>
      <c r="DI24" s="79">
        <f>HLOOKUP(DE24,Hoja2!$R$2:$AV$60,59,FALSE)</f>
        <v>0</v>
      </c>
      <c r="DJ24" s="79" t="str">
        <f>HLOOKUP(DE24,Hoja2!$R$2:$AV$58,57,FALSE)</f>
        <v>USD SET</v>
      </c>
      <c r="DK24" s="79">
        <f>HLOOKUP(DE24,Hoja2!$R$2:$AV$59,58,FALSE)</f>
        <v>0</v>
      </c>
      <c r="DL24" s="21"/>
      <c r="DM24" s="20"/>
      <c r="DN24">
        <v>110316</v>
      </c>
      <c r="DO24" t="s">
        <v>165</v>
      </c>
      <c r="DP24" t="str">
        <f t="shared" ref="DP24" si="85">+DP23</f>
        <v>CPA Comisión bancaria rescate LOCALPAYMENT a Bco.Bice USD</v>
      </c>
      <c r="DQ24" s="3"/>
      <c r="DR24" s="10">
        <f t="shared" ref="DR24" si="86">+DQ23</f>
        <v>0</v>
      </c>
    </row>
    <row r="25" spans="1:122" x14ac:dyDescent="0.25">
      <c r="A25" s="1">
        <v>45589</v>
      </c>
      <c r="B25" s="26">
        <f>HLOOKUP(A25,Hoja2!$R$2:$AV$18,17,FALSE)</f>
        <v>740000</v>
      </c>
      <c r="C25" s="77">
        <f>HLOOKUP(A25,Hoja2!$R$2:$AV$19,18,FALSE)</f>
        <v>948.2</v>
      </c>
      <c r="D25" s="26" t="str">
        <f>HLOOKUP(A25,Hoja2!$R$2:$AV$20,19,FALSE)</f>
        <v>740K</v>
      </c>
      <c r="E25" s="79">
        <f>HLOOKUP(A25,Hoja2!$R$2:$AV$21,20,FALSE)</f>
        <v>701668000</v>
      </c>
      <c r="F25" s="21"/>
      <c r="G25" s="9"/>
      <c r="H25" s="12">
        <v>110205</v>
      </c>
      <c r="I25" s="12" t="s">
        <v>59</v>
      </c>
      <c r="J25" s="12" t="str">
        <f>+J24</f>
        <v>CPA Fondeo Bice USD a NIUM 0 USD T/C 931,26</v>
      </c>
      <c r="K25" s="13"/>
      <c r="L25" s="18">
        <f t="shared" si="5"/>
        <v>0</v>
      </c>
      <c r="P25" s="1">
        <v>45589</v>
      </c>
      <c r="Q25" s="26">
        <f>HLOOKUP(P25,Hoja2!$R$2:$AV$22,21,FALSE)</f>
        <v>0</v>
      </c>
      <c r="R25" s="77">
        <f>HLOOKUP(P25,Hoja2!$R$2:$AV$23,22,FALSE)</f>
        <v>948.2</v>
      </c>
      <c r="S25" s="26">
        <f>HLOOKUP(P25,Hoja2!$R$2:$AV$24,23,FALSE)</f>
        <v>0</v>
      </c>
      <c r="T25" s="79">
        <f>HLOOKUP(P25,Hoja2!$R$2:$AV$25,24,FALSE)</f>
        <v>0</v>
      </c>
      <c r="U25" s="21"/>
      <c r="V25" s="9"/>
      <c r="W25" s="12">
        <v>110205</v>
      </c>
      <c r="X25" s="12" t="s">
        <v>59</v>
      </c>
      <c r="Y25" s="12" t="str">
        <f>+Y24</f>
        <v>CPA Fondeo Bice USD a Facilita Pay 0 USD T/C 931,26.- 12-06-2024</v>
      </c>
      <c r="Z25" s="13"/>
      <c r="AA25" s="18">
        <f t="shared" si="6"/>
        <v>0</v>
      </c>
      <c r="AD25" s="1">
        <v>45589</v>
      </c>
      <c r="AE25" s="26">
        <f>HLOOKUP(AD25,Hoja2!$R$2:$AV$26,25,FALSE)</f>
        <v>0</v>
      </c>
      <c r="AF25" s="77">
        <f>HLOOKUP(AD25,Hoja2!$R$2:$AV$27,26,FALSE)</f>
        <v>948.2</v>
      </c>
      <c r="AG25" s="26">
        <f>HLOOKUP(AD25,Hoja2!$R$2:$AV$28,27,FALSE)</f>
        <v>0</v>
      </c>
      <c r="AH25" s="79">
        <f>HLOOKUP(AD25,Hoja2!$R$2:$AV$29,28,FALSE)</f>
        <v>0</v>
      </c>
      <c r="AI25" s="21"/>
      <c r="AJ25" s="9"/>
      <c r="AK25" s="12">
        <v>110205</v>
      </c>
      <c r="AL25" s="12" t="s">
        <v>59</v>
      </c>
      <c r="AM25" s="12" t="str">
        <f>+AM24</f>
        <v>CPA Fondeo Bice USD a JPM COL 0 USD T/C 931,26.- 12-06-2024</v>
      </c>
      <c r="AN25" s="13"/>
      <c r="AO25" s="18">
        <f t="shared" si="7"/>
        <v>0</v>
      </c>
      <c r="AS25" s="1">
        <v>45589</v>
      </c>
      <c r="AT25" s="26">
        <f>HLOOKUP(AS25,Hoja2!$R$2:$AV$30,29,FALSE)</f>
        <v>0</v>
      </c>
      <c r="AU25" s="77">
        <f>HLOOKUP(AS25,Hoja2!$R$2:$AV$31,30,FALSE)</f>
        <v>0</v>
      </c>
      <c r="AV25" s="26">
        <f>HLOOKUP(AS25,Hoja2!$R$2:$AV$32,31,FALSE)</f>
        <v>0</v>
      </c>
      <c r="AW25" s="79">
        <f>HLOOKUP(AS25,Hoja2!$R$2:$AV$33,32,FALSE)</f>
        <v>0</v>
      </c>
      <c r="AX25" s="21"/>
      <c r="AY25" s="9"/>
      <c r="AZ25" s="12">
        <v>110276</v>
      </c>
      <c r="BA25" s="12" t="s">
        <v>97</v>
      </c>
      <c r="BB25" s="12" t="str">
        <f>+BB24</f>
        <v>CPA Rescate DLocal a Bco.Bice USD 0 USD T/C 0.- 12-06-2024</v>
      </c>
      <c r="BC25" s="13"/>
      <c r="BD25" s="18">
        <f t="shared" si="8"/>
        <v>0</v>
      </c>
      <c r="BH25" s="1">
        <v>45589</v>
      </c>
      <c r="BI25" s="26">
        <f>HLOOKUP(BH25,Hoja2!$R$2:$AV$35,34,FALSE)</f>
        <v>300000</v>
      </c>
      <c r="BJ25" s="77">
        <f>HLOOKUP(BH25,Hoja2!$R$2:$AV$36,35,FALSE)</f>
        <v>948.2</v>
      </c>
      <c r="BK25" s="26" t="str">
        <f>HLOOKUP(BH25,Hoja2!$R$2:$AV$37,36,FALSE)</f>
        <v>300K</v>
      </c>
      <c r="BL25" s="79">
        <f>HLOOKUP(BH25,Hoja2!$R$2:$AV$38,37,FALSE)</f>
        <v>284460000</v>
      </c>
      <c r="BM25" s="21"/>
      <c r="BN25" s="9"/>
      <c r="BO25" s="12">
        <v>110205</v>
      </c>
      <c r="BP25" s="12" t="s">
        <v>59</v>
      </c>
      <c r="BQ25" s="12" t="str">
        <f>+BQ24</f>
        <v>CPA Fondeo Bice USD a OZ CAMBIO USD 0 USD T/C 931,26</v>
      </c>
      <c r="BR25" s="13"/>
      <c r="BS25" s="18">
        <f t="shared" ref="BS25" si="87">+BR24</f>
        <v>0</v>
      </c>
      <c r="BW25" s="1">
        <v>45589</v>
      </c>
      <c r="BX25" s="26">
        <f>HLOOKUP(BW25,Hoja2!$R$2:$AV$46,45,FALSE)</f>
        <v>239762.3</v>
      </c>
      <c r="BY25" s="77">
        <f>HLOOKUP(BW25,Hoja2!$R$2:$AV$48,47,FALSE)</f>
        <v>949</v>
      </c>
      <c r="BZ25" s="77">
        <f>HLOOKUP(BW25,Hoja2!$R$2:$AV$49,48,FALSE)</f>
        <v>239762.3</v>
      </c>
      <c r="CA25" s="79">
        <f>HLOOKUP(BW25,Hoja2!$R$2:$AV$52,51,FALSE)</f>
        <v>227534422.69999999</v>
      </c>
      <c r="CB25" s="79" t="str">
        <f>HLOOKUP(BW25,Hoja2!$R$2:$AV$50,49,FALSE)</f>
        <v>USD SET</v>
      </c>
      <c r="CC25" s="79">
        <f>HLOOKUP(BW25,Hoja2!$R$2:$AV$51,50,FALSE)</f>
        <v>9490</v>
      </c>
      <c r="CD25" s="21"/>
      <c r="CE25" s="11"/>
      <c r="CF25" s="12">
        <v>110316</v>
      </c>
      <c r="CG25" s="12" t="s">
        <v>165</v>
      </c>
      <c r="CH25" s="12" t="str">
        <f t="shared" ref="CH25" si="88">+CH22</f>
        <v>CPA Rescate LOCALPAYMENT USD SET a Bco.Bice USD 0,00 T/C 0</v>
      </c>
      <c r="CI25" s="13"/>
      <c r="CJ25" s="18">
        <f t="shared" ref="CJ25" si="89">+CI22</f>
        <v>0</v>
      </c>
      <c r="CN25" s="1">
        <v>45589</v>
      </c>
      <c r="CO25" s="26">
        <f>HLOOKUP(CN25,Hoja2!$R$2:$AV$46,45,FALSE)</f>
        <v>239762.3</v>
      </c>
      <c r="CP25" s="77">
        <f>HLOOKUP(CN25,Hoja2!$R$2:$AV$48,47,FALSE)</f>
        <v>949</v>
      </c>
      <c r="CQ25" s="77">
        <f>HLOOKUP(CN25,Hoja2!$R$2:$AV$49,48,FALSE)</f>
        <v>239762.3</v>
      </c>
      <c r="CR25" s="79">
        <f>HLOOKUP(CN25,Hoja2!$R$2:$AV$52,51,FALSE)</f>
        <v>227534422.69999999</v>
      </c>
      <c r="CS25" s="79" t="str">
        <f>HLOOKUP(CN25,Hoja2!$R$2:$AV$50,49,FALSE)</f>
        <v>USD SET</v>
      </c>
      <c r="CT25" s="79">
        <f>HLOOKUP(CN25,Hoja2!$R$2:$AV$51,50,FALSE)</f>
        <v>9490</v>
      </c>
      <c r="CU25" s="21"/>
      <c r="CV25" s="11"/>
      <c r="CW25" s="12">
        <v>110316</v>
      </c>
      <c r="CX25" s="12" t="s">
        <v>165</v>
      </c>
      <c r="CY25" s="12" t="str">
        <f t="shared" ref="CY25" si="90">+CY22</f>
        <v>CPA Rescate LOCALPAYMENT USD SET a Bco.Bice USD 0,00 T/C 0</v>
      </c>
      <c r="CZ25" s="13"/>
      <c r="DA25" s="18">
        <f t="shared" ref="DA25" si="91">+CZ22</f>
        <v>0</v>
      </c>
      <c r="DE25" s="1">
        <v>45589</v>
      </c>
      <c r="DF25" s="26">
        <f>HLOOKUP(DE25,Hoja2!$R$2:$AV$53,52,FALSE)</f>
        <v>801412.44</v>
      </c>
      <c r="DG25" s="77">
        <f>HLOOKUP(DE25,Hoja2!$R$2:$AV$56,55,FALSE)</f>
        <v>948.2</v>
      </c>
      <c r="DH25" s="77">
        <f>HLOOKUP(DE25,Hoja2!$R$2:$AV$57,56,FALSE)</f>
        <v>801402.44</v>
      </c>
      <c r="DI25" s="79">
        <f>HLOOKUP(DE25,Hoja2!$R$2:$AV$60,59,FALSE)</f>
        <v>759889793.60800004</v>
      </c>
      <c r="DJ25" s="79" t="str">
        <f>HLOOKUP(DE25,Hoja2!$R$2:$AV$58,57,FALSE)</f>
        <v>USD SET</v>
      </c>
      <c r="DK25" s="79">
        <f>HLOOKUP(DE25,Hoja2!$R$2:$AV$59,58,FALSE)</f>
        <v>9482</v>
      </c>
      <c r="DL25" s="21"/>
      <c r="DM25" s="11"/>
      <c r="DN25" s="12">
        <v>110316</v>
      </c>
      <c r="DO25" s="12" t="s">
        <v>165</v>
      </c>
      <c r="DP25" s="12" t="str">
        <f t="shared" ref="DP25" si="92">+DP22</f>
        <v>CPA Rescate LOCALPAYMENT USD SET a Bco.Bice USD 0,00 T/C 0</v>
      </c>
      <c r="DQ25" s="13"/>
      <c r="DR25" s="18">
        <f t="shared" ref="DR25" si="93">+DQ22</f>
        <v>0</v>
      </c>
    </row>
    <row r="26" spans="1:122" x14ac:dyDescent="0.25">
      <c r="A26" s="1">
        <v>45590</v>
      </c>
      <c r="B26" s="26">
        <f>HLOOKUP(A26,Hoja2!$R$2:$AV$18,17,FALSE)</f>
        <v>450000</v>
      </c>
      <c r="C26" s="77">
        <f>HLOOKUP(A26,Hoja2!$R$2:$AV$19,18,FALSE)</f>
        <v>945.29</v>
      </c>
      <c r="D26" s="26" t="str">
        <f>HLOOKUP(A26,Hoja2!$R$2:$AV$20,19,FALSE)</f>
        <v>450K</v>
      </c>
      <c r="E26" s="79">
        <f>HLOOKUP(A26,Hoja2!$R$2:$AV$21,20,FALSE)</f>
        <v>425380500</v>
      </c>
      <c r="F26" s="21"/>
      <c r="G26" s="15">
        <v>45456</v>
      </c>
      <c r="H26">
        <v>110275</v>
      </c>
      <c r="I26" t="s">
        <v>82</v>
      </c>
      <c r="J26" t="str">
        <f>"CPA Fondeo Bice USD a NIUM " &amp;D14&amp;" USD T/C "&amp;C14</f>
        <v>CPA Fondeo Bice USD a NIUM 0 USD T/C 931,26</v>
      </c>
      <c r="K26" s="3">
        <f>+E14</f>
        <v>0</v>
      </c>
      <c r="L26" s="10"/>
      <c r="P26" s="1">
        <v>45590</v>
      </c>
      <c r="Q26" s="26">
        <f>HLOOKUP(P26,Hoja2!$R$2:$AV$22,21,FALSE)</f>
        <v>0</v>
      </c>
      <c r="R26" s="77">
        <f>HLOOKUP(P26,Hoja2!$R$2:$AV$23,22,FALSE)</f>
        <v>945.29</v>
      </c>
      <c r="S26" s="26">
        <f>HLOOKUP(P26,Hoja2!$R$2:$AV$24,23,FALSE)</f>
        <v>0</v>
      </c>
      <c r="T26" s="79">
        <f>HLOOKUP(P26,Hoja2!$R$2:$AV$25,24,FALSE)</f>
        <v>0</v>
      </c>
      <c r="U26" s="21"/>
      <c r="V26" s="15">
        <v>45456</v>
      </c>
      <c r="W26">
        <v>110274</v>
      </c>
      <c r="X26" t="s">
        <v>84</v>
      </c>
      <c r="Y26" t="str">
        <f>"CPA Fondeo Bice USD a Facilita Pay " &amp;S14&amp;" USD T/C "&amp;R14&amp;".- "&amp;TEXT($G26,"dd-mm-aaa")</f>
        <v>CPA Fondeo Bice USD a Facilita Pay 0 USD T/C 931,26.- 13-06-2024</v>
      </c>
      <c r="Z26" s="3">
        <f>+T14</f>
        <v>0</v>
      </c>
      <c r="AA26" s="10"/>
      <c r="AD26" s="1">
        <v>45590</v>
      </c>
      <c r="AE26" s="26">
        <f>HLOOKUP(AD26,Hoja2!$R$2:$AV$26,25,FALSE)</f>
        <v>0</v>
      </c>
      <c r="AF26" s="77">
        <f>HLOOKUP(AD26,Hoja2!$R$2:$AV$27,26,FALSE)</f>
        <v>945.29</v>
      </c>
      <c r="AG26" s="26">
        <f>HLOOKUP(AD26,Hoja2!$R$2:$AV$28,27,FALSE)</f>
        <v>0</v>
      </c>
      <c r="AH26" s="79">
        <f>HLOOKUP(AD26,Hoja2!$R$2:$AV$29,28,FALSE)</f>
        <v>0</v>
      </c>
      <c r="AI26" s="21"/>
      <c r="AJ26" s="15">
        <v>45456</v>
      </c>
      <c r="AK26">
        <v>110820</v>
      </c>
      <c r="AL26" t="s">
        <v>92</v>
      </c>
      <c r="AM26" t="str">
        <f>"CPA Fondeo Bice USD a JPM COL " &amp;AG14&amp;" USD T/C "&amp;AF14&amp;".- "&amp;TEXT($G26,"dd-mm-aaa")</f>
        <v>CPA Fondeo Bice USD a JPM COL 0 USD T/C 931,26.- 13-06-2024</v>
      </c>
      <c r="AN26" s="3">
        <f>+AH14</f>
        <v>0</v>
      </c>
      <c r="AO26" s="10"/>
      <c r="AS26" s="1">
        <v>45590</v>
      </c>
      <c r="AT26" s="26">
        <f>HLOOKUP(AS26,Hoja2!$R$2:$AV$30,29,FALSE)</f>
        <v>0</v>
      </c>
      <c r="AU26" s="77">
        <f>HLOOKUP(AS26,Hoja2!$R$2:$AV$31,30,FALSE)</f>
        <v>0</v>
      </c>
      <c r="AV26" s="26">
        <f>HLOOKUP(AS26,Hoja2!$R$2:$AV$32,31,FALSE)</f>
        <v>0</v>
      </c>
      <c r="AW26" s="79">
        <f>HLOOKUP(AS26,Hoja2!$R$2:$AV$33,32,FALSE)</f>
        <v>0</v>
      </c>
      <c r="AX26" s="21"/>
      <c r="AY26" s="15">
        <v>45456</v>
      </c>
      <c r="AZ26">
        <v>110205</v>
      </c>
      <c r="BA26" t="s">
        <v>59</v>
      </c>
      <c r="BB26" t="str">
        <f>"CPA Rescate DLocal a Bco.Bice USD " &amp;AV14&amp;" USD T/C "&amp;AU14&amp;".- "&amp;TEXT($G26,"dd-mm-aaa")</f>
        <v>CPA Rescate DLocal a Bco.Bice USD 0 USD T/C 0.- 13-06-2024</v>
      </c>
      <c r="BC26" s="3">
        <f>+AW14</f>
        <v>0</v>
      </c>
      <c r="BD26" s="10"/>
      <c r="BH26" s="1">
        <v>45590</v>
      </c>
      <c r="BI26" s="26">
        <f>HLOOKUP(BH26,Hoja2!$R$2:$AV$35,34,FALSE)</f>
        <v>0</v>
      </c>
      <c r="BJ26" s="77">
        <f>HLOOKUP(BH26,Hoja2!$R$2:$AV$36,35,FALSE)</f>
        <v>945.29</v>
      </c>
      <c r="BK26" s="26">
        <f>HLOOKUP(BH26,Hoja2!$R$2:$AV$37,36,FALSE)</f>
        <v>0</v>
      </c>
      <c r="BL26" s="79">
        <f>HLOOKUP(BH26,Hoja2!$R$2:$AV$38,37,FALSE)</f>
        <v>0</v>
      </c>
      <c r="BM26" s="21"/>
      <c r="BN26" s="15">
        <v>45456</v>
      </c>
      <c r="BO26">
        <v>110292</v>
      </c>
      <c r="BP26" t="s">
        <v>142</v>
      </c>
      <c r="BQ26" t="str">
        <f>"CPA Fondeo Bice USD a OZ CAMBIO USD " &amp;BK14&amp;" USD T/C "&amp;BJ14</f>
        <v>CPA Fondeo Bice USD a OZ CAMBIO USD 0 USD T/C 931,26</v>
      </c>
      <c r="BR26" s="3">
        <f>+BL14</f>
        <v>0</v>
      </c>
      <c r="BS26" s="10"/>
      <c r="BW26" s="1">
        <v>45590</v>
      </c>
      <c r="BX26" s="26">
        <f>HLOOKUP(BW26,Hoja2!$R$2:$AV$46,45,FALSE)</f>
        <v>0</v>
      </c>
      <c r="BY26" s="77">
        <f>HLOOKUP(BW26,Hoja2!$R$2:$AV$48,47,FALSE)</f>
        <v>0</v>
      </c>
      <c r="BZ26" s="77">
        <f>HLOOKUP(BW26,Hoja2!$R$2:$AV$49,48,FALSE)</f>
        <v>0</v>
      </c>
      <c r="CA26" s="79">
        <f>HLOOKUP(BW26,Hoja2!$R$2:$AV$52,51,FALSE)</f>
        <v>0</v>
      </c>
      <c r="CB26" s="79" t="str">
        <f>HLOOKUP(BW26,Hoja2!$R$2:$AV$50,49,FALSE)</f>
        <v>USD SET</v>
      </c>
      <c r="CC26" s="79">
        <f>HLOOKUP(BW26,Hoja2!$R$2:$AV$51,50,FALSE)</f>
        <v>0</v>
      </c>
      <c r="CD26" s="21"/>
      <c r="CE26" s="9">
        <v>45450</v>
      </c>
      <c r="CF26">
        <v>110205</v>
      </c>
      <c r="CG26" t="s">
        <v>59</v>
      </c>
      <c r="CH26" t="str">
        <f>"CPA Rescate LOCALPAYMENT " &amp; CB8 &amp; " a Bco.Bice USD " &amp; TEXT(BZ8,"#.##0,00") &amp; " T/C " &amp; BY8</f>
        <v>CPA Rescate LOCALPAYMENT USD SET a Bco.Bice USD 973.382,37 T/C 919,49</v>
      </c>
      <c r="CI26" s="3">
        <f>+CA8</f>
        <v>895015355.39129996</v>
      </c>
      <c r="CJ26" s="10"/>
      <c r="CN26" s="1">
        <v>45590</v>
      </c>
      <c r="CO26" s="26">
        <f>HLOOKUP(CN26,Hoja2!$R$2:$AV$46,45,FALSE)</f>
        <v>0</v>
      </c>
      <c r="CP26" s="77">
        <f>HLOOKUP(CN26,Hoja2!$R$2:$AV$48,47,FALSE)</f>
        <v>0</v>
      </c>
      <c r="CQ26" s="77">
        <f>HLOOKUP(CN26,Hoja2!$R$2:$AV$49,48,FALSE)</f>
        <v>0</v>
      </c>
      <c r="CR26" s="79">
        <f>HLOOKUP(CN26,Hoja2!$R$2:$AV$52,51,FALSE)</f>
        <v>0</v>
      </c>
      <c r="CS26" s="79" t="str">
        <f>HLOOKUP(CN26,Hoja2!$R$2:$AV$50,49,FALSE)</f>
        <v>USD SET</v>
      </c>
      <c r="CT26" s="79">
        <f>HLOOKUP(CN26,Hoja2!$R$2:$AV$51,50,FALSE)</f>
        <v>0</v>
      </c>
      <c r="CU26" s="21"/>
      <c r="CV26" s="9">
        <v>45450</v>
      </c>
      <c r="CW26">
        <v>110205</v>
      </c>
      <c r="CX26" t="s">
        <v>59</v>
      </c>
      <c r="CY26" t="str">
        <f>"CPA Rescate LOCALPAYMENT " &amp; CS8 &amp; " a Bco.Bice USD " &amp; TEXT(CQ8,"#.##0,00") &amp; " T/C " &amp; CP8</f>
        <v>CPA Rescate LOCALPAYMENT USD SET a Bco.Bice USD 973.382,37 T/C 919,49</v>
      </c>
      <c r="CZ26" s="3">
        <f>+CR8</f>
        <v>895015355.39129996</v>
      </c>
      <c r="DA26" s="10"/>
      <c r="DE26" s="1">
        <v>45590</v>
      </c>
      <c r="DF26" s="26">
        <f>HLOOKUP(DE26,Hoja2!$R$2:$AV$53,52,FALSE)</f>
        <v>0</v>
      </c>
      <c r="DG26" s="77">
        <f>HLOOKUP(DE26,Hoja2!$R$2:$AV$56,55,FALSE)</f>
        <v>0</v>
      </c>
      <c r="DH26" s="77">
        <f>HLOOKUP(DE26,Hoja2!$R$2:$AV$57,56,FALSE)</f>
        <v>0</v>
      </c>
      <c r="DI26" s="79">
        <f>HLOOKUP(DE26,Hoja2!$R$2:$AV$60,59,FALSE)</f>
        <v>0</v>
      </c>
      <c r="DJ26" s="79" t="str">
        <f>HLOOKUP(DE26,Hoja2!$R$2:$AV$58,57,FALSE)</f>
        <v>USD SET</v>
      </c>
      <c r="DK26" s="79">
        <f>HLOOKUP(DE26,Hoja2!$R$2:$AV$59,58,FALSE)</f>
        <v>0</v>
      </c>
      <c r="DL26" s="21"/>
      <c r="DM26" s="9">
        <v>45450</v>
      </c>
      <c r="DN26">
        <v>110205</v>
      </c>
      <c r="DO26" t="s">
        <v>59</v>
      </c>
      <c r="DP26" t="str">
        <f>"CPA Rescate LOCALPAYMENT " &amp; DJ8 &amp; " a Bco.Bice USD " &amp; TEXT(DH8,"#.##0,00") &amp; " T/C " &amp; DG8</f>
        <v>CPA Rescate LOCALPAYMENT USD SET a Bco.Bice USD 0,00 T/C 0</v>
      </c>
      <c r="DQ26" s="3">
        <f>+DI8</f>
        <v>0</v>
      </c>
      <c r="DR26" s="10"/>
    </row>
    <row r="27" spans="1:122" x14ac:dyDescent="0.25">
      <c r="A27" s="1">
        <v>45591</v>
      </c>
      <c r="B27" s="26">
        <f>HLOOKUP(A27,Hoja2!$R$2:$AV$18,17,FALSE)</f>
        <v>0</v>
      </c>
      <c r="C27" s="77">
        <f>HLOOKUP(A27,Hoja2!$R$2:$AV$19,18,FALSE)</f>
        <v>945.29</v>
      </c>
      <c r="D27" s="26">
        <f>HLOOKUP(A27,Hoja2!$R$2:$AV$20,19,FALSE)</f>
        <v>0</v>
      </c>
      <c r="E27" s="79">
        <f>HLOOKUP(A27,Hoja2!$R$2:$AV$21,20,FALSE)</f>
        <v>0</v>
      </c>
      <c r="F27" s="21"/>
      <c r="G27" s="9"/>
      <c r="H27" s="12">
        <v>110205</v>
      </c>
      <c r="I27" s="12" t="s">
        <v>59</v>
      </c>
      <c r="J27" s="12" t="str">
        <f>+J26</f>
        <v>CPA Fondeo Bice USD a NIUM 0 USD T/C 931,26</v>
      </c>
      <c r="K27" s="13"/>
      <c r="L27" s="18">
        <f t="shared" si="5"/>
        <v>0</v>
      </c>
      <c r="P27" s="1">
        <v>45591</v>
      </c>
      <c r="Q27" s="26">
        <f>HLOOKUP(P27,Hoja2!$R$2:$AV$22,21,FALSE)</f>
        <v>0</v>
      </c>
      <c r="R27" s="77">
        <f>HLOOKUP(P27,Hoja2!$R$2:$AV$23,22,FALSE)</f>
        <v>945.29</v>
      </c>
      <c r="S27" s="26">
        <f>HLOOKUP(P27,Hoja2!$R$2:$AV$24,23,FALSE)</f>
        <v>0</v>
      </c>
      <c r="T27" s="79">
        <f>HLOOKUP(P27,Hoja2!$R$2:$AV$25,24,FALSE)</f>
        <v>0</v>
      </c>
      <c r="U27" s="21"/>
      <c r="V27" s="9"/>
      <c r="W27" s="12">
        <v>110205</v>
      </c>
      <c r="X27" s="12" t="s">
        <v>59</v>
      </c>
      <c r="Y27" s="12" t="str">
        <f>+Y26</f>
        <v>CPA Fondeo Bice USD a Facilita Pay 0 USD T/C 931,26.- 13-06-2024</v>
      </c>
      <c r="Z27" s="13"/>
      <c r="AA27" s="18">
        <f t="shared" si="6"/>
        <v>0</v>
      </c>
      <c r="AD27" s="1">
        <v>45591</v>
      </c>
      <c r="AE27" s="26">
        <f>HLOOKUP(AD27,Hoja2!$R$2:$AV$26,25,FALSE)</f>
        <v>0</v>
      </c>
      <c r="AF27" s="77">
        <f>HLOOKUP(AD27,Hoja2!$R$2:$AV$27,26,FALSE)</f>
        <v>945.29</v>
      </c>
      <c r="AG27" s="26">
        <f>HLOOKUP(AD27,Hoja2!$R$2:$AV$28,27,FALSE)</f>
        <v>0</v>
      </c>
      <c r="AH27" s="79">
        <f>HLOOKUP(AD27,Hoja2!$R$2:$AV$29,28,FALSE)</f>
        <v>0</v>
      </c>
      <c r="AI27" s="21"/>
      <c r="AJ27" s="9"/>
      <c r="AK27" s="12">
        <v>110205</v>
      </c>
      <c r="AL27" s="12" t="s">
        <v>59</v>
      </c>
      <c r="AM27" s="12" t="str">
        <f>+AM26</f>
        <v>CPA Fondeo Bice USD a JPM COL 0 USD T/C 931,26.- 13-06-2024</v>
      </c>
      <c r="AN27" s="13"/>
      <c r="AO27" s="18">
        <f t="shared" si="7"/>
        <v>0</v>
      </c>
      <c r="AS27" s="1">
        <v>45591</v>
      </c>
      <c r="AT27" s="26">
        <f>HLOOKUP(AS27,Hoja2!$R$2:$AV$30,29,FALSE)</f>
        <v>0</v>
      </c>
      <c r="AU27" s="77">
        <f>HLOOKUP(AS27,Hoja2!$R$2:$AV$31,30,FALSE)</f>
        <v>0</v>
      </c>
      <c r="AV27" s="26">
        <f>HLOOKUP(AS27,Hoja2!$R$2:$AV$32,31,FALSE)</f>
        <v>0</v>
      </c>
      <c r="AW27" s="79">
        <f>HLOOKUP(AS27,Hoja2!$R$2:$AV$33,32,FALSE)</f>
        <v>0</v>
      </c>
      <c r="AX27" s="21"/>
      <c r="AY27" s="9"/>
      <c r="AZ27" s="12">
        <v>110276</v>
      </c>
      <c r="BA27" s="12" t="s">
        <v>97</v>
      </c>
      <c r="BB27" s="12" t="str">
        <f>+BB26</f>
        <v>CPA Rescate DLocal a Bco.Bice USD 0 USD T/C 0.- 13-06-2024</v>
      </c>
      <c r="BC27" s="13"/>
      <c r="BD27" s="18">
        <f t="shared" si="8"/>
        <v>0</v>
      </c>
      <c r="BH27" s="1">
        <v>45591</v>
      </c>
      <c r="BI27" s="26">
        <f>HLOOKUP(BH27,Hoja2!$R$2:$AV$35,34,FALSE)</f>
        <v>0</v>
      </c>
      <c r="BJ27" s="77">
        <f>HLOOKUP(BH27,Hoja2!$R$2:$AV$36,35,FALSE)</f>
        <v>945.29</v>
      </c>
      <c r="BK27" s="26">
        <f>HLOOKUP(BH27,Hoja2!$R$2:$AV$37,36,FALSE)</f>
        <v>0</v>
      </c>
      <c r="BL27" s="79">
        <f>HLOOKUP(BH27,Hoja2!$R$2:$AV$38,37,FALSE)</f>
        <v>0</v>
      </c>
      <c r="BM27" s="21"/>
      <c r="BN27" s="9"/>
      <c r="BO27" s="12">
        <v>110205</v>
      </c>
      <c r="BP27" s="12" t="s">
        <v>59</v>
      </c>
      <c r="BQ27" s="12" t="str">
        <f>+BQ26</f>
        <v>CPA Fondeo Bice USD a OZ CAMBIO USD 0 USD T/C 931,26</v>
      </c>
      <c r="BR27" s="13"/>
      <c r="BS27" s="18">
        <f t="shared" ref="BS27" si="94">+BR26</f>
        <v>0</v>
      </c>
      <c r="BW27" s="1">
        <v>45591</v>
      </c>
      <c r="BX27" s="26">
        <f>HLOOKUP(BW27,Hoja2!$R$2:$AV$46,45,FALSE)</f>
        <v>0</v>
      </c>
      <c r="BY27" s="77">
        <f>HLOOKUP(BW27,Hoja2!$R$2:$AV$48,47,FALSE)</f>
        <v>0</v>
      </c>
      <c r="BZ27" s="77">
        <f>HLOOKUP(BW27,Hoja2!$R$2:$AV$49,48,FALSE)</f>
        <v>0</v>
      </c>
      <c r="CA27" s="79">
        <f>HLOOKUP(BW27,Hoja2!$R$2:$AV$52,51,FALSE)</f>
        <v>0</v>
      </c>
      <c r="CB27" s="79" t="str">
        <f>HLOOKUP(BW27,Hoja2!$R$2:$AV$50,49,FALSE)</f>
        <v>USD SET</v>
      </c>
      <c r="CC27" s="79">
        <f>HLOOKUP(BW27,Hoja2!$R$2:$AV$51,50,FALSE)</f>
        <v>0</v>
      </c>
      <c r="CD27" s="21"/>
      <c r="CE27" s="20"/>
      <c r="CF27">
        <v>420604</v>
      </c>
      <c r="CG27" t="s">
        <v>164</v>
      </c>
      <c r="CH27" t="str">
        <f t="shared" ref="CH27" si="95">"CPA Comisión bancaria rescate LOCALPAYMENT a Bco.Bice USD"</f>
        <v>CPA Comisión bancaria rescate LOCALPAYMENT a Bco.Bice USD</v>
      </c>
      <c r="CI27" s="3">
        <f>+CC8</f>
        <v>9194.9</v>
      </c>
      <c r="CJ27" s="10"/>
      <c r="CN27" s="1">
        <v>45591</v>
      </c>
      <c r="CO27" s="26">
        <f>HLOOKUP(CN27,Hoja2!$R$2:$AV$46,45,FALSE)</f>
        <v>0</v>
      </c>
      <c r="CP27" s="77">
        <f>HLOOKUP(CN27,Hoja2!$R$2:$AV$48,47,FALSE)</f>
        <v>0</v>
      </c>
      <c r="CQ27" s="77">
        <f>HLOOKUP(CN27,Hoja2!$R$2:$AV$49,48,FALSE)</f>
        <v>0</v>
      </c>
      <c r="CR27" s="79">
        <f>HLOOKUP(CN27,Hoja2!$R$2:$AV$52,51,FALSE)</f>
        <v>0</v>
      </c>
      <c r="CS27" s="79" t="str">
        <f>HLOOKUP(CN27,Hoja2!$R$2:$AV$50,49,FALSE)</f>
        <v>USD SET</v>
      </c>
      <c r="CT27" s="79">
        <f>HLOOKUP(CN27,Hoja2!$R$2:$AV$51,50,FALSE)</f>
        <v>0</v>
      </c>
      <c r="CU27" s="21"/>
      <c r="CV27" s="20"/>
      <c r="CW27">
        <v>420604</v>
      </c>
      <c r="CX27" t="s">
        <v>164</v>
      </c>
      <c r="CY27" t="str">
        <f t="shared" ref="CY27" si="96">"CPA Comisión bancaria rescate LOCALPAYMENT a Bco.Bice USD"</f>
        <v>CPA Comisión bancaria rescate LOCALPAYMENT a Bco.Bice USD</v>
      </c>
      <c r="CZ27" s="3">
        <f>+CT8</f>
        <v>9194.9</v>
      </c>
      <c r="DA27" s="10"/>
      <c r="DE27" s="1">
        <v>45591</v>
      </c>
      <c r="DF27" s="26">
        <f>HLOOKUP(DE27,Hoja2!$R$2:$AV$53,52,FALSE)</f>
        <v>0</v>
      </c>
      <c r="DG27" s="77">
        <f>HLOOKUP(DE27,Hoja2!$R$2:$AV$56,55,FALSE)</f>
        <v>0</v>
      </c>
      <c r="DH27" s="77">
        <f>HLOOKUP(DE27,Hoja2!$R$2:$AV$57,56,FALSE)</f>
        <v>0</v>
      </c>
      <c r="DI27" s="79">
        <f>HLOOKUP(DE27,Hoja2!$R$2:$AV$60,59,FALSE)</f>
        <v>0</v>
      </c>
      <c r="DJ27" s="79" t="str">
        <f>HLOOKUP(DE27,Hoja2!$R$2:$AV$58,57,FALSE)</f>
        <v>USD SET</v>
      </c>
      <c r="DK27" s="79">
        <f>HLOOKUP(DE27,Hoja2!$R$2:$AV$59,58,FALSE)</f>
        <v>0</v>
      </c>
      <c r="DL27" s="21"/>
      <c r="DM27" s="20"/>
      <c r="DN27">
        <v>420604</v>
      </c>
      <c r="DO27" t="s">
        <v>164</v>
      </c>
      <c r="DP27" t="str">
        <f t="shared" ref="DP27" si="97">"CPA Comisión bancaria rescate LOCALPAYMENT a Bco.Bice USD"</f>
        <v>CPA Comisión bancaria rescate LOCALPAYMENT a Bco.Bice USD</v>
      </c>
      <c r="DQ27" s="3">
        <f>+DK8</f>
        <v>0</v>
      </c>
      <c r="DR27" s="10"/>
    </row>
    <row r="28" spans="1:122" x14ac:dyDescent="0.25">
      <c r="A28" s="1">
        <v>45592</v>
      </c>
      <c r="B28" s="26">
        <f>HLOOKUP(A28,Hoja2!$R$2:$AV$18,17,FALSE)</f>
        <v>0</v>
      </c>
      <c r="C28" s="77">
        <f>HLOOKUP(A28,Hoja2!$R$2:$AV$19,18,FALSE)</f>
        <v>945.29</v>
      </c>
      <c r="D28" s="26">
        <f>HLOOKUP(A28,Hoja2!$R$2:$AV$20,19,FALSE)</f>
        <v>0</v>
      </c>
      <c r="E28" s="79">
        <f>HLOOKUP(A28,Hoja2!$R$2:$AV$21,20,FALSE)</f>
        <v>0</v>
      </c>
      <c r="G28" s="15">
        <v>45457</v>
      </c>
      <c r="H28">
        <v>110275</v>
      </c>
      <c r="I28" t="s">
        <v>82</v>
      </c>
      <c r="J28" t="str">
        <f>"CPA Fondeo Bice USD a NIUM " &amp;D15&amp;" USD T/C "&amp;C15</f>
        <v>CPA Fondeo Bice USD a NIUM 1.735 M USD T/C 926,07</v>
      </c>
      <c r="K28" s="3">
        <f>+E15</f>
        <v>1606731450</v>
      </c>
      <c r="L28" s="10"/>
      <c r="P28" s="1">
        <v>45592</v>
      </c>
      <c r="Q28" s="26">
        <f>HLOOKUP(P28,Hoja2!$R$2:$AV$22,21,FALSE)</f>
        <v>0</v>
      </c>
      <c r="R28" s="77">
        <f>HLOOKUP(P28,Hoja2!$R$2:$AV$23,22,FALSE)</f>
        <v>945.29</v>
      </c>
      <c r="S28" s="26">
        <f>HLOOKUP(P28,Hoja2!$R$2:$AV$24,23,FALSE)</f>
        <v>0</v>
      </c>
      <c r="T28" s="79">
        <f>HLOOKUP(P28,Hoja2!$R$2:$AV$25,24,FALSE)</f>
        <v>0</v>
      </c>
      <c r="V28" s="15">
        <v>45457</v>
      </c>
      <c r="W28">
        <v>110274</v>
      </c>
      <c r="X28" t="s">
        <v>84</v>
      </c>
      <c r="Y28" t="str">
        <f>"CPA Fondeo Bice USD a Facilita Pay " &amp;S15&amp;" USD T/C "&amp;R15&amp;".- "&amp;TEXT($G28,"dd-mm-aaa")</f>
        <v>CPA Fondeo Bice USD a Facilita Pay 0 USD T/C 926,07.- 14-06-2024</v>
      </c>
      <c r="Z28" s="3">
        <f>+T15</f>
        <v>0</v>
      </c>
      <c r="AA28" s="10"/>
      <c r="AD28" s="1">
        <v>45592</v>
      </c>
      <c r="AE28" s="26">
        <f>HLOOKUP(AD28,Hoja2!$R$2:$AV$26,25,FALSE)</f>
        <v>0</v>
      </c>
      <c r="AF28" s="77">
        <f>HLOOKUP(AD28,Hoja2!$R$2:$AV$27,26,FALSE)</f>
        <v>945.29</v>
      </c>
      <c r="AG28" s="26">
        <f>HLOOKUP(AD28,Hoja2!$R$2:$AV$28,27,FALSE)</f>
        <v>0</v>
      </c>
      <c r="AH28" s="79">
        <f>HLOOKUP(AD28,Hoja2!$R$2:$AV$29,28,FALSE)</f>
        <v>0</v>
      </c>
      <c r="AJ28" s="15">
        <v>45457</v>
      </c>
      <c r="AK28">
        <v>110820</v>
      </c>
      <c r="AL28" t="s">
        <v>92</v>
      </c>
      <c r="AM28" t="str">
        <f>"CPA Fondeo Bice USD a JPM COL " &amp;AG15&amp;" USD T/C "&amp;AF15&amp;".- "&amp;TEXT($G28,"dd-mm-aaa")</f>
        <v>CPA Fondeo Bice USD a JPM COL 0 USD T/C 926,07.- 14-06-2024</v>
      </c>
      <c r="AN28" s="3">
        <f>+AH15</f>
        <v>0</v>
      </c>
      <c r="AO28" s="10"/>
      <c r="AS28" s="1">
        <v>45592</v>
      </c>
      <c r="AT28" s="26">
        <f>HLOOKUP(AS28,Hoja2!$R$2:$AV$30,29,FALSE)</f>
        <v>0</v>
      </c>
      <c r="AU28" s="77">
        <f>HLOOKUP(AS28,Hoja2!$R$2:$AV$31,30,FALSE)</f>
        <v>0</v>
      </c>
      <c r="AV28" s="26">
        <f>HLOOKUP(AS28,Hoja2!$R$2:$AV$32,31,FALSE)</f>
        <v>0</v>
      </c>
      <c r="AW28" s="79">
        <f>HLOOKUP(AS28,Hoja2!$R$2:$AV$33,32,FALSE)</f>
        <v>0</v>
      </c>
      <c r="AY28" s="15">
        <v>45457</v>
      </c>
      <c r="AZ28">
        <v>110205</v>
      </c>
      <c r="BA28" t="s">
        <v>59</v>
      </c>
      <c r="BB28" t="str">
        <f>"CPA Rescate DLocal a Bco.Bice USD " &amp;AV15&amp;" USD T/C "&amp;AU15&amp;".- "&amp;TEXT($G28,"dd-mm-aaa")</f>
        <v>CPA Rescate DLocal a Bco.Bice USD 0 USD T/C 0.- 14-06-2024</v>
      </c>
      <c r="BC28" s="3">
        <f>+AW15</f>
        <v>0</v>
      </c>
      <c r="BD28" s="10"/>
      <c r="BH28" s="1">
        <v>45592</v>
      </c>
      <c r="BI28" s="26">
        <f>HLOOKUP(BH28,Hoja2!$R$2:$AV$35,34,FALSE)</f>
        <v>0</v>
      </c>
      <c r="BJ28" s="77">
        <f>HLOOKUP(BH28,Hoja2!$R$2:$AV$36,35,FALSE)</f>
        <v>945.29</v>
      </c>
      <c r="BK28" s="26">
        <f>HLOOKUP(BH28,Hoja2!$R$2:$AV$37,36,FALSE)</f>
        <v>0</v>
      </c>
      <c r="BL28" s="79">
        <f>HLOOKUP(BH28,Hoja2!$R$2:$AV$38,37,FALSE)</f>
        <v>0</v>
      </c>
      <c r="BN28" s="15">
        <v>45457</v>
      </c>
      <c r="BO28">
        <v>110292</v>
      </c>
      <c r="BP28" t="s">
        <v>142</v>
      </c>
      <c r="BQ28" t="str">
        <f>"CPA Fondeo Bice USD a OZ CAMBIO USD " &amp;BK15&amp;" USD T/C "&amp;BJ15</f>
        <v>CPA Fondeo Bice USD a OZ CAMBIO USD 300K USD T/C 926,07</v>
      </c>
      <c r="BR28" s="3">
        <f>+BL15</f>
        <v>277821000</v>
      </c>
      <c r="BS28" s="10"/>
      <c r="BW28" s="1">
        <v>45592</v>
      </c>
      <c r="BX28" s="26">
        <f>HLOOKUP(BW28,Hoja2!$R$2:$AV$46,45,FALSE)</f>
        <v>0</v>
      </c>
      <c r="BY28" s="77">
        <f>HLOOKUP(BW28,Hoja2!$R$2:$AV$48,47,FALSE)</f>
        <v>0</v>
      </c>
      <c r="BZ28" s="77">
        <f>HLOOKUP(BW28,Hoja2!$R$2:$AV$49,48,FALSE)</f>
        <v>0</v>
      </c>
      <c r="CA28" s="79">
        <f>HLOOKUP(BW28,Hoja2!$R$2:$AV$52,51,FALSE)</f>
        <v>0</v>
      </c>
      <c r="CB28" s="79" t="str">
        <f>HLOOKUP(BW28,Hoja2!$R$2:$AV$50,49,FALSE)</f>
        <v>USD SET</v>
      </c>
      <c r="CC28" s="79">
        <f>HLOOKUP(BW28,Hoja2!$R$2:$AV$51,50,FALSE)</f>
        <v>0</v>
      </c>
      <c r="CE28" s="20"/>
      <c r="CF28">
        <v>110316</v>
      </c>
      <c r="CG28" t="s">
        <v>165</v>
      </c>
      <c r="CH28" t="str">
        <f t="shared" ref="CH28" si="98">+CH27</f>
        <v>CPA Comisión bancaria rescate LOCALPAYMENT a Bco.Bice USD</v>
      </c>
      <c r="CI28" s="3"/>
      <c r="CJ28" s="10">
        <f t="shared" ref="CJ28" si="99">+CI27</f>
        <v>9194.9</v>
      </c>
      <c r="CN28" s="1">
        <v>45592</v>
      </c>
      <c r="CO28" s="26">
        <f>HLOOKUP(CN28,Hoja2!$R$2:$AV$46,45,FALSE)</f>
        <v>0</v>
      </c>
      <c r="CP28" s="77">
        <f>HLOOKUP(CN28,Hoja2!$R$2:$AV$48,47,FALSE)</f>
        <v>0</v>
      </c>
      <c r="CQ28" s="77">
        <f>HLOOKUP(CN28,Hoja2!$R$2:$AV$49,48,FALSE)</f>
        <v>0</v>
      </c>
      <c r="CR28" s="79">
        <f>HLOOKUP(CN28,Hoja2!$R$2:$AV$52,51,FALSE)</f>
        <v>0</v>
      </c>
      <c r="CS28" s="79" t="str">
        <f>HLOOKUP(CN28,Hoja2!$R$2:$AV$50,49,FALSE)</f>
        <v>USD SET</v>
      </c>
      <c r="CT28" s="79">
        <f>HLOOKUP(CN28,Hoja2!$R$2:$AV$51,50,FALSE)</f>
        <v>0</v>
      </c>
      <c r="CV28" s="20"/>
      <c r="CW28">
        <v>110316</v>
      </c>
      <c r="CX28" t="s">
        <v>165</v>
      </c>
      <c r="CY28" t="str">
        <f t="shared" ref="CY28" si="100">+CY27</f>
        <v>CPA Comisión bancaria rescate LOCALPAYMENT a Bco.Bice USD</v>
      </c>
      <c r="CZ28" s="3"/>
      <c r="DA28" s="10">
        <f t="shared" ref="DA28" si="101">+CZ27</f>
        <v>9194.9</v>
      </c>
      <c r="DE28" s="1">
        <v>45592</v>
      </c>
      <c r="DF28" s="26">
        <f>HLOOKUP(DE28,Hoja2!$R$2:$AV$53,52,FALSE)</f>
        <v>0</v>
      </c>
      <c r="DG28" s="77">
        <f>HLOOKUP(DE28,Hoja2!$R$2:$AV$56,55,FALSE)</f>
        <v>0</v>
      </c>
      <c r="DH28" s="77">
        <f>HLOOKUP(DE28,Hoja2!$R$2:$AV$57,56,FALSE)</f>
        <v>0</v>
      </c>
      <c r="DI28" s="79">
        <f>HLOOKUP(DE28,Hoja2!$R$2:$AV$60,59,FALSE)</f>
        <v>0</v>
      </c>
      <c r="DJ28" s="79" t="str">
        <f>HLOOKUP(DE28,Hoja2!$R$2:$AV$58,57,FALSE)</f>
        <v>USD SET</v>
      </c>
      <c r="DK28" s="79">
        <f>HLOOKUP(DE28,Hoja2!$R$2:$AV$59,58,FALSE)</f>
        <v>0</v>
      </c>
      <c r="DM28" s="20"/>
      <c r="DN28">
        <v>110316</v>
      </c>
      <c r="DO28" t="s">
        <v>165</v>
      </c>
      <c r="DP28" t="str">
        <f t="shared" ref="DP28" si="102">+DP27</f>
        <v>CPA Comisión bancaria rescate LOCALPAYMENT a Bco.Bice USD</v>
      </c>
      <c r="DQ28" s="3"/>
      <c r="DR28" s="10">
        <f t="shared" ref="DR28" si="103">+DQ27</f>
        <v>0</v>
      </c>
    </row>
    <row r="29" spans="1:122" x14ac:dyDescent="0.25">
      <c r="A29" s="1">
        <v>45593</v>
      </c>
      <c r="B29" s="26">
        <f>HLOOKUP(A29,Hoja2!$R$2:$AV$18,17,FALSE)</f>
        <v>0</v>
      </c>
      <c r="C29" s="77">
        <f>HLOOKUP(A29,Hoja2!$R$2:$AV$19,18,FALSE)</f>
        <v>949.34</v>
      </c>
      <c r="D29" s="26">
        <f>HLOOKUP(A29,Hoja2!$R$2:$AV$20,19,FALSE)</f>
        <v>0</v>
      </c>
      <c r="E29" s="79">
        <f>HLOOKUP(A29,Hoja2!$R$2:$AV$21,20,FALSE)</f>
        <v>0</v>
      </c>
      <c r="F29" s="39"/>
      <c r="G29" s="9"/>
      <c r="H29" s="12">
        <v>110205</v>
      </c>
      <c r="I29" s="12" t="s">
        <v>59</v>
      </c>
      <c r="J29" s="12" t="str">
        <f>+J28</f>
        <v>CPA Fondeo Bice USD a NIUM 1.735 M USD T/C 926,07</v>
      </c>
      <c r="K29" s="13"/>
      <c r="L29" s="18">
        <f t="shared" si="5"/>
        <v>1606731450</v>
      </c>
      <c r="P29" s="1">
        <v>45593</v>
      </c>
      <c r="Q29" s="26">
        <f>HLOOKUP(P29,Hoja2!$R$2:$AV$22,21,FALSE)</f>
        <v>0</v>
      </c>
      <c r="R29" s="77">
        <f>HLOOKUP(P29,Hoja2!$R$2:$AV$23,22,FALSE)</f>
        <v>949.34</v>
      </c>
      <c r="S29" s="26">
        <f>HLOOKUP(P29,Hoja2!$R$2:$AV$24,23,FALSE)</f>
        <v>0</v>
      </c>
      <c r="T29" s="79">
        <f>HLOOKUP(P29,Hoja2!$R$2:$AV$25,24,FALSE)</f>
        <v>0</v>
      </c>
      <c r="U29" s="39"/>
      <c r="V29" s="9"/>
      <c r="W29" s="12">
        <v>110205</v>
      </c>
      <c r="X29" s="12" t="s">
        <v>59</v>
      </c>
      <c r="Y29" s="12" t="str">
        <f>+Y28</f>
        <v>CPA Fondeo Bice USD a Facilita Pay 0 USD T/C 926,07.- 14-06-2024</v>
      </c>
      <c r="Z29" s="13"/>
      <c r="AA29" s="18">
        <f t="shared" si="6"/>
        <v>0</v>
      </c>
      <c r="AD29" s="1">
        <v>45593</v>
      </c>
      <c r="AE29" s="26">
        <f>HLOOKUP(AD29,Hoja2!$R$2:$AV$26,25,FALSE)</f>
        <v>1105000</v>
      </c>
      <c r="AF29" s="77">
        <f>HLOOKUP(AD29,Hoja2!$R$2:$AV$27,26,FALSE)</f>
        <v>949.34</v>
      </c>
      <c r="AG29" s="26" t="str">
        <f>HLOOKUP(AD29,Hoja2!$R$2:$AV$28,27,FALSE)</f>
        <v>1.105 M</v>
      </c>
      <c r="AH29" s="79">
        <f>HLOOKUP(AD29,Hoja2!$R$2:$AV$29,28,FALSE)</f>
        <v>1049020700</v>
      </c>
      <c r="AI29" s="39"/>
      <c r="AJ29" s="9"/>
      <c r="AK29" s="12">
        <v>110205</v>
      </c>
      <c r="AL29" s="12" t="s">
        <v>59</v>
      </c>
      <c r="AM29" s="12" t="str">
        <f>+AM28</f>
        <v>CPA Fondeo Bice USD a JPM COL 0 USD T/C 926,07.- 14-06-2024</v>
      </c>
      <c r="AN29" s="13"/>
      <c r="AO29" s="18">
        <f t="shared" si="7"/>
        <v>0</v>
      </c>
      <c r="AS29" s="1">
        <v>45593</v>
      </c>
      <c r="AT29" s="26">
        <f>HLOOKUP(AS29,Hoja2!$R$2:$AV$30,29,FALSE)</f>
        <v>0</v>
      </c>
      <c r="AU29" s="77">
        <f>HLOOKUP(AS29,Hoja2!$R$2:$AV$31,30,FALSE)</f>
        <v>0</v>
      </c>
      <c r="AV29" s="26">
        <f>HLOOKUP(AS29,Hoja2!$R$2:$AV$32,31,FALSE)</f>
        <v>0</v>
      </c>
      <c r="AW29" s="79">
        <f>HLOOKUP(AS29,Hoja2!$R$2:$AV$33,32,FALSE)</f>
        <v>0</v>
      </c>
      <c r="AX29" s="39"/>
      <c r="AY29" s="9"/>
      <c r="AZ29" s="12">
        <v>110276</v>
      </c>
      <c r="BA29" s="12" t="s">
        <v>97</v>
      </c>
      <c r="BB29" s="12" t="str">
        <f>+BB28</f>
        <v>CPA Rescate DLocal a Bco.Bice USD 0 USD T/C 0.- 14-06-2024</v>
      </c>
      <c r="BC29" s="13"/>
      <c r="BD29" s="18">
        <f t="shared" si="8"/>
        <v>0</v>
      </c>
      <c r="BH29" s="1">
        <v>45593</v>
      </c>
      <c r="BI29" s="26">
        <f>HLOOKUP(BH29,Hoja2!$R$2:$AV$35,34,FALSE)</f>
        <v>300000</v>
      </c>
      <c r="BJ29" s="77">
        <f>HLOOKUP(BH29,Hoja2!$R$2:$AV$36,35,FALSE)</f>
        <v>949.34</v>
      </c>
      <c r="BK29" s="26" t="str">
        <f>HLOOKUP(BH29,Hoja2!$R$2:$AV$37,36,FALSE)</f>
        <v>300K</v>
      </c>
      <c r="BL29" s="79">
        <f>HLOOKUP(BH29,Hoja2!$R$2:$AV$38,37,FALSE)</f>
        <v>284802000</v>
      </c>
      <c r="BM29" s="39"/>
      <c r="BN29" s="9"/>
      <c r="BO29" s="12">
        <v>110205</v>
      </c>
      <c r="BP29" s="12" t="s">
        <v>59</v>
      </c>
      <c r="BQ29" s="12" t="str">
        <f>+BQ28</f>
        <v>CPA Fondeo Bice USD a OZ CAMBIO USD 300K USD T/C 926,07</v>
      </c>
      <c r="BR29" s="13"/>
      <c r="BS29" s="18">
        <f t="shared" ref="BS29" si="104">+BR28</f>
        <v>277821000</v>
      </c>
      <c r="BW29" s="1">
        <v>45593</v>
      </c>
      <c r="BX29" s="26">
        <f>HLOOKUP(BW29,Hoja2!$R$2:$AV$46,45,FALSE)</f>
        <v>250696.61</v>
      </c>
      <c r="BY29" s="77">
        <f>HLOOKUP(BW29,Hoja2!$R$2:$AV$48,47,FALSE)</f>
        <v>945.29</v>
      </c>
      <c r="BZ29" s="77">
        <f>HLOOKUP(BW29,Hoja2!$R$2:$AV$49,48,FALSE)</f>
        <v>250696.61</v>
      </c>
      <c r="CA29" s="79">
        <f>HLOOKUP(BW29,Hoja2!$R$2:$AV$52,51,FALSE)</f>
        <v>236980998.46689999</v>
      </c>
      <c r="CB29" s="79" t="str">
        <f>HLOOKUP(BW29,Hoja2!$R$2:$AV$50,49,FALSE)</f>
        <v>USD SET</v>
      </c>
      <c r="CC29" s="79">
        <f>HLOOKUP(BW29,Hoja2!$R$2:$AV$51,50,FALSE)</f>
        <v>66170.3</v>
      </c>
      <c r="CD29" s="39"/>
      <c r="CE29" s="11"/>
      <c r="CF29" s="12">
        <v>110316</v>
      </c>
      <c r="CG29" s="12" t="s">
        <v>165</v>
      </c>
      <c r="CH29" s="12" t="str">
        <f t="shared" ref="CH29" si="105">+CH26</f>
        <v>CPA Rescate LOCALPAYMENT USD SET a Bco.Bice USD 973.382,37 T/C 919,49</v>
      </c>
      <c r="CI29" s="13"/>
      <c r="CJ29" s="18">
        <f t="shared" ref="CJ29" si="106">+CI26</f>
        <v>895015355.39129996</v>
      </c>
      <c r="CN29" s="1">
        <v>45593</v>
      </c>
      <c r="CO29" s="26">
        <f>HLOOKUP(CN29,Hoja2!$R$2:$AV$46,45,FALSE)</f>
        <v>250696.61</v>
      </c>
      <c r="CP29" s="77">
        <f>HLOOKUP(CN29,Hoja2!$R$2:$AV$48,47,FALSE)</f>
        <v>945.29</v>
      </c>
      <c r="CQ29" s="77">
        <f>HLOOKUP(CN29,Hoja2!$R$2:$AV$49,48,FALSE)</f>
        <v>250696.61</v>
      </c>
      <c r="CR29" s="79">
        <f>HLOOKUP(CN29,Hoja2!$R$2:$AV$52,51,FALSE)</f>
        <v>236980998.46689999</v>
      </c>
      <c r="CS29" s="79" t="str">
        <f>HLOOKUP(CN29,Hoja2!$R$2:$AV$50,49,FALSE)</f>
        <v>USD SET</v>
      </c>
      <c r="CT29" s="79">
        <f>HLOOKUP(CN29,Hoja2!$R$2:$AV$51,50,FALSE)</f>
        <v>66170.3</v>
      </c>
      <c r="CU29" s="39"/>
      <c r="CV29" s="11"/>
      <c r="CW29" s="12">
        <v>110316</v>
      </c>
      <c r="CX29" s="12" t="s">
        <v>165</v>
      </c>
      <c r="CY29" s="12" t="str">
        <f t="shared" ref="CY29" si="107">+CY26</f>
        <v>CPA Rescate LOCALPAYMENT USD SET a Bco.Bice USD 973.382,37 T/C 919,49</v>
      </c>
      <c r="CZ29" s="13"/>
      <c r="DA29" s="18">
        <f t="shared" ref="DA29" si="108">+CZ26</f>
        <v>895015355.39129996</v>
      </c>
      <c r="DE29" s="1">
        <v>45593</v>
      </c>
      <c r="DF29" s="26">
        <f>HLOOKUP(DE29,Hoja2!$R$2:$AV$53,52,FALSE)</f>
        <v>753110.88</v>
      </c>
      <c r="DG29" s="77">
        <f>HLOOKUP(DE29,Hoja2!$R$2:$AV$56,55,FALSE)</f>
        <v>945.29</v>
      </c>
      <c r="DH29" s="77">
        <f>HLOOKUP(DE29,Hoja2!$R$2:$AV$57,56,FALSE)</f>
        <v>753080.88</v>
      </c>
      <c r="DI29" s="79">
        <f>HLOOKUP(DE29,Hoja2!$R$2:$AV$60,59,FALSE)</f>
        <v>711879825.05519998</v>
      </c>
      <c r="DJ29" s="79" t="str">
        <f>HLOOKUP(DE29,Hoja2!$R$2:$AV$58,57,FALSE)</f>
        <v>USD SET</v>
      </c>
      <c r="DK29" s="79">
        <f>HLOOKUP(DE29,Hoja2!$R$2:$AV$59,58,FALSE)</f>
        <v>28358.699999999997</v>
      </c>
      <c r="DL29" s="39"/>
      <c r="DM29" s="11"/>
      <c r="DN29" s="12">
        <v>110316</v>
      </c>
      <c r="DO29" s="12" t="s">
        <v>165</v>
      </c>
      <c r="DP29" s="12" t="str">
        <f t="shared" ref="DP29" si="109">+DP26</f>
        <v>CPA Rescate LOCALPAYMENT USD SET a Bco.Bice USD 0,00 T/C 0</v>
      </c>
      <c r="DQ29" s="13"/>
      <c r="DR29" s="18">
        <f t="shared" ref="DR29" si="110">+DQ26</f>
        <v>0</v>
      </c>
    </row>
    <row r="30" spans="1:122" x14ac:dyDescent="0.25">
      <c r="A30" s="1">
        <v>45594</v>
      </c>
      <c r="B30" s="26">
        <f>HLOOKUP(A30,Hoja2!$R$2:$AV$18,17,FALSE)</f>
        <v>0</v>
      </c>
      <c r="C30" s="77">
        <f>HLOOKUP(A30,Hoja2!$R$2:$AV$19,18,FALSE)</f>
        <v>945.88</v>
      </c>
      <c r="D30" s="26">
        <f>HLOOKUP(A30,Hoja2!$R$2:$AV$20,19,FALSE)</f>
        <v>0</v>
      </c>
      <c r="E30" s="79">
        <f>HLOOKUP(A30,Hoja2!$R$2:$AV$21,20,FALSE)</f>
        <v>0</v>
      </c>
      <c r="G30" s="15">
        <v>45458</v>
      </c>
      <c r="H30">
        <v>110275</v>
      </c>
      <c r="I30" t="s">
        <v>82</v>
      </c>
      <c r="J30" t="str">
        <f>"CPA Fondeo Bice USD a NIUM " &amp;D16&amp;" USD T/C "&amp;C16</f>
        <v>CPA Fondeo Bice USD a NIUM 0 USD T/C 928,37</v>
      </c>
      <c r="K30" s="3">
        <f>+E16</f>
        <v>0</v>
      </c>
      <c r="L30" s="10"/>
      <c r="P30" s="1">
        <v>45594</v>
      </c>
      <c r="Q30" s="26">
        <f>HLOOKUP(P30,Hoja2!$R$2:$AV$22,21,FALSE)</f>
        <v>0</v>
      </c>
      <c r="R30" s="77">
        <f>HLOOKUP(P30,Hoja2!$R$2:$AV$23,22,FALSE)</f>
        <v>945.88</v>
      </c>
      <c r="S30" s="26">
        <f>HLOOKUP(P30,Hoja2!$R$2:$AV$24,23,FALSE)</f>
        <v>0</v>
      </c>
      <c r="T30" s="79">
        <f>HLOOKUP(P30,Hoja2!$R$2:$AV$25,24,FALSE)</f>
        <v>0</v>
      </c>
      <c r="V30" s="15">
        <v>45458</v>
      </c>
      <c r="W30">
        <v>110274</v>
      </c>
      <c r="X30" t="s">
        <v>84</v>
      </c>
      <c r="Y30" t="str">
        <f>"CPA Fondeo Bice USD a Facilita Pay " &amp;S16&amp;" USD T/C "&amp;R16&amp;".- "&amp;TEXT($G30,"dd-mm-aaa")</f>
        <v>CPA Fondeo Bice USD a Facilita Pay 0 USD T/C 928,37.- 15-06-2024</v>
      </c>
      <c r="Z30" s="3">
        <f>+T16</f>
        <v>0</v>
      </c>
      <c r="AA30" s="10"/>
      <c r="AD30" s="1">
        <v>45594</v>
      </c>
      <c r="AE30" s="26">
        <f>HLOOKUP(AD30,Hoja2!$R$2:$AV$26,25,FALSE)</f>
        <v>650000</v>
      </c>
      <c r="AF30" s="77">
        <f>HLOOKUP(AD30,Hoja2!$R$2:$AV$27,26,FALSE)</f>
        <v>945.88</v>
      </c>
      <c r="AG30" s="26" t="str">
        <f>HLOOKUP(AD30,Hoja2!$R$2:$AV$28,27,FALSE)</f>
        <v>650K</v>
      </c>
      <c r="AH30" s="79">
        <f>HLOOKUP(AD30,Hoja2!$R$2:$AV$29,28,FALSE)</f>
        <v>614822000</v>
      </c>
      <c r="AJ30" s="15">
        <v>45458</v>
      </c>
      <c r="AK30">
        <v>110820</v>
      </c>
      <c r="AL30" t="s">
        <v>92</v>
      </c>
      <c r="AM30" t="str">
        <f>"CPA Fondeo Bice USD a JPM COL " &amp;AG16&amp;" USD T/C "&amp;AF16&amp;".- "&amp;TEXT($G30,"dd-mm-aaa")</f>
        <v>CPA Fondeo Bice USD a JPM COL 950K USD T/C 928,37.- 15-06-2024</v>
      </c>
      <c r="AN30" s="3">
        <f>+AH16</f>
        <v>881951500</v>
      </c>
      <c r="AO30" s="10"/>
      <c r="AS30" s="1">
        <v>45594</v>
      </c>
      <c r="AT30" s="26">
        <f>HLOOKUP(AS30,Hoja2!$R$2:$AV$30,29,FALSE)</f>
        <v>400000</v>
      </c>
      <c r="AU30" s="77">
        <f>HLOOKUP(AS30,Hoja2!$R$2:$AV$31,30,FALSE)</f>
        <v>949.34</v>
      </c>
      <c r="AV30" s="26" t="str">
        <f>HLOOKUP(AS30,Hoja2!$R$2:$AV$32,31,FALSE)</f>
        <v>400K</v>
      </c>
      <c r="AW30" s="79">
        <f>HLOOKUP(AS30,Hoja2!$R$2:$AV$33,32,FALSE)</f>
        <v>379736000</v>
      </c>
      <c r="AY30" s="15">
        <v>45458</v>
      </c>
      <c r="AZ30">
        <v>110205</v>
      </c>
      <c r="BA30" t="s">
        <v>59</v>
      </c>
      <c r="BB30" t="str">
        <f>"CPA Rescate DLocal a Bco.Bice USD " &amp;AV16&amp;" USD T/C "&amp;AU16&amp;".- "&amp;TEXT($G30,"dd-mm-aaa")</f>
        <v>CPA Rescate DLocal a Bco.Bice USD 350K USD T/C 931,26.- 15-06-2024</v>
      </c>
      <c r="BC30" s="3">
        <f>+AW16</f>
        <v>325941000</v>
      </c>
      <c r="BD30" s="10"/>
      <c r="BH30" s="1">
        <v>45594</v>
      </c>
      <c r="BI30" s="26">
        <f>HLOOKUP(BH30,Hoja2!$R$2:$AV$35,34,FALSE)</f>
        <v>0</v>
      </c>
      <c r="BJ30" s="77">
        <f>HLOOKUP(BH30,Hoja2!$R$2:$AV$36,35,FALSE)</f>
        <v>945.88</v>
      </c>
      <c r="BK30" s="26">
        <f>HLOOKUP(BH30,Hoja2!$R$2:$AV$37,36,FALSE)</f>
        <v>0</v>
      </c>
      <c r="BL30" s="79">
        <f>HLOOKUP(BH30,Hoja2!$R$2:$AV$38,37,FALSE)</f>
        <v>0</v>
      </c>
      <c r="BN30" s="15">
        <v>45458</v>
      </c>
      <c r="BO30">
        <v>110292</v>
      </c>
      <c r="BP30" t="s">
        <v>142</v>
      </c>
      <c r="BQ30" t="str">
        <f>"CPA Fondeo Bice USD a OZ CAMBIO USD " &amp;BK16&amp;" USD T/C "&amp;BJ16</f>
        <v>CPA Fondeo Bice USD a OZ CAMBIO USD 0 USD T/C 928,37</v>
      </c>
      <c r="BR30" s="3">
        <f>+BL16</f>
        <v>0</v>
      </c>
      <c r="BS30" s="10"/>
      <c r="BW30" s="1">
        <v>45594</v>
      </c>
      <c r="BX30" s="26">
        <f>HLOOKUP(BW30,Hoja2!$R$2:$AV$46,45,FALSE)</f>
        <v>0</v>
      </c>
      <c r="BY30" s="77">
        <f>HLOOKUP(BW30,Hoja2!$R$2:$AV$48,47,FALSE)</f>
        <v>0</v>
      </c>
      <c r="BZ30" s="77">
        <f>HLOOKUP(BW30,Hoja2!$R$2:$AV$49,48,FALSE)</f>
        <v>0</v>
      </c>
      <c r="CA30" s="79">
        <f>HLOOKUP(BW30,Hoja2!$R$2:$AV$52,51,FALSE)</f>
        <v>0</v>
      </c>
      <c r="CB30" s="79" t="str">
        <f>HLOOKUP(BW30,Hoja2!$R$2:$AV$50,49,FALSE)</f>
        <v>USD SET</v>
      </c>
      <c r="CC30" s="79">
        <f>HLOOKUP(BW30,Hoja2!$R$2:$AV$51,50,FALSE)</f>
        <v>0</v>
      </c>
      <c r="CE30" s="9">
        <v>45451</v>
      </c>
      <c r="CF30">
        <v>110205</v>
      </c>
      <c r="CG30" t="s">
        <v>59</v>
      </c>
      <c r="CH30" t="str">
        <f>"CPA Rescate LOCALPAYMENT " &amp; CB9 &amp; " a Bco.Bice USD " &amp; TEXT(BZ9,"#.##0,00") &amp; " T/C " &amp; BY9</f>
        <v>CPA Rescate LOCALPAYMENT USD SET a Bco.Bice USD 1.767.973,20 T/C 925,86</v>
      </c>
      <c r="CI30" s="3">
        <f>+CA9</f>
        <v>1636895666.9519999</v>
      </c>
      <c r="CJ30" s="10"/>
      <c r="CN30" s="1">
        <v>45594</v>
      </c>
      <c r="CO30" s="26">
        <f>HLOOKUP(CN30,Hoja2!$R$2:$AV$46,45,FALSE)</f>
        <v>0</v>
      </c>
      <c r="CP30" s="77">
        <f>HLOOKUP(CN30,Hoja2!$R$2:$AV$48,47,FALSE)</f>
        <v>0</v>
      </c>
      <c r="CQ30" s="77">
        <f>HLOOKUP(CN30,Hoja2!$R$2:$AV$49,48,FALSE)</f>
        <v>0</v>
      </c>
      <c r="CR30" s="79">
        <f>HLOOKUP(CN30,Hoja2!$R$2:$AV$52,51,FALSE)</f>
        <v>0</v>
      </c>
      <c r="CS30" s="79" t="str">
        <f>HLOOKUP(CN30,Hoja2!$R$2:$AV$50,49,FALSE)</f>
        <v>USD SET</v>
      </c>
      <c r="CT30" s="79">
        <f>HLOOKUP(CN30,Hoja2!$R$2:$AV$51,50,FALSE)</f>
        <v>0</v>
      </c>
      <c r="CV30" s="9">
        <v>45451</v>
      </c>
      <c r="CW30">
        <v>110205</v>
      </c>
      <c r="CX30" t="s">
        <v>59</v>
      </c>
      <c r="CY30" t="str">
        <f>"CPA Rescate LOCALPAYMENT " &amp; CS9 &amp; " a Bco.Bice USD " &amp; TEXT(CQ9,"#.##0,00") &amp; " T/C " &amp; CP9</f>
        <v>CPA Rescate LOCALPAYMENT USD SET a Bco.Bice USD 1.767.973,20 T/C 925,86</v>
      </c>
      <c r="CZ30" s="3">
        <f>+CR9</f>
        <v>1636895666.9519999</v>
      </c>
      <c r="DA30" s="10"/>
      <c r="DE30" s="1">
        <v>45594</v>
      </c>
      <c r="DF30" s="26">
        <f>HLOOKUP(DE30,Hoja2!$R$2:$AV$53,52,FALSE)</f>
        <v>0</v>
      </c>
      <c r="DG30" s="77">
        <f>HLOOKUP(DE30,Hoja2!$R$2:$AV$56,55,FALSE)</f>
        <v>0</v>
      </c>
      <c r="DH30" s="77">
        <f>HLOOKUP(DE30,Hoja2!$R$2:$AV$57,56,FALSE)</f>
        <v>0</v>
      </c>
      <c r="DI30" s="79">
        <f>HLOOKUP(DE30,Hoja2!$R$2:$AV$60,59,FALSE)</f>
        <v>0</v>
      </c>
      <c r="DJ30" s="79" t="str">
        <f>HLOOKUP(DE30,Hoja2!$R$2:$AV$58,57,FALSE)</f>
        <v>USD SET</v>
      </c>
      <c r="DK30" s="79">
        <f>HLOOKUP(DE30,Hoja2!$R$2:$AV$59,58,FALSE)</f>
        <v>0</v>
      </c>
      <c r="DM30" s="9">
        <v>45451</v>
      </c>
      <c r="DN30">
        <v>110205</v>
      </c>
      <c r="DO30" t="s">
        <v>59</v>
      </c>
      <c r="DP30" t="str">
        <f>"CPA Rescate LOCALPAYMENT " &amp; DJ9 &amp; " a Bco.Bice USD " &amp; TEXT(DH9,"#.##0,00") &amp; " T/C " &amp; DG9</f>
        <v>CPA Rescate LOCALPAYMENT USD SET a Bco.Bice USD 0,00 T/C 0</v>
      </c>
      <c r="DQ30" s="3">
        <f>+DI9</f>
        <v>0</v>
      </c>
      <c r="DR30" s="10"/>
    </row>
    <row r="31" spans="1:122" x14ac:dyDescent="0.25">
      <c r="A31" s="1">
        <v>45595</v>
      </c>
      <c r="B31" s="26">
        <f>HLOOKUP(A31,Hoja2!$R$2:$AV$18,17,FALSE)</f>
        <v>0</v>
      </c>
      <c r="C31" s="77">
        <f>HLOOKUP(A31,Hoja2!$R$2:$AV$19,18,FALSE)</f>
        <v>950.89</v>
      </c>
      <c r="D31" s="26">
        <f>HLOOKUP(A31,Hoja2!$R$2:$AV$20,19,FALSE)</f>
        <v>0</v>
      </c>
      <c r="E31" s="79">
        <f>HLOOKUP(A31,Hoja2!$R$2:$AV$21,20,FALSE)</f>
        <v>0</v>
      </c>
      <c r="G31" s="11"/>
      <c r="H31" s="12">
        <v>110205</v>
      </c>
      <c r="I31" s="12" t="s">
        <v>59</v>
      </c>
      <c r="J31" s="12" t="str">
        <f>+J30</f>
        <v>CPA Fondeo Bice USD a NIUM 0 USD T/C 928,37</v>
      </c>
      <c r="K31" s="13"/>
      <c r="L31" s="18">
        <f t="shared" si="5"/>
        <v>0</v>
      </c>
      <c r="P31" s="1">
        <v>45595</v>
      </c>
      <c r="Q31" s="26">
        <f>HLOOKUP(P31,Hoja2!$R$2:$AV$22,21,FALSE)</f>
        <v>0</v>
      </c>
      <c r="R31" s="77">
        <f>HLOOKUP(P31,Hoja2!$R$2:$AV$23,22,FALSE)</f>
        <v>950.89</v>
      </c>
      <c r="S31" s="26">
        <f>HLOOKUP(P31,Hoja2!$R$2:$AV$24,23,FALSE)</f>
        <v>0</v>
      </c>
      <c r="T31" s="79">
        <f>HLOOKUP(P31,Hoja2!$R$2:$AV$25,24,FALSE)</f>
        <v>0</v>
      </c>
      <c r="V31" s="11"/>
      <c r="W31" s="12">
        <v>110205</v>
      </c>
      <c r="X31" s="12" t="s">
        <v>59</v>
      </c>
      <c r="Y31" s="12" t="str">
        <f>+Y30</f>
        <v>CPA Fondeo Bice USD a Facilita Pay 0 USD T/C 928,37.- 15-06-2024</v>
      </c>
      <c r="Z31" s="13"/>
      <c r="AA31" s="18">
        <f t="shared" si="6"/>
        <v>0</v>
      </c>
      <c r="AD31" s="1">
        <v>45595</v>
      </c>
      <c r="AE31" s="26">
        <f>HLOOKUP(AD31,Hoja2!$R$2:$AV$26,25,FALSE)</f>
        <v>1555000</v>
      </c>
      <c r="AF31" s="77">
        <f>HLOOKUP(AD31,Hoja2!$R$2:$AV$27,26,FALSE)</f>
        <v>950.89</v>
      </c>
      <c r="AG31" s="26" t="str">
        <f>HLOOKUP(AD31,Hoja2!$R$2:$AV$28,27,FALSE)</f>
        <v>1.555 M</v>
      </c>
      <c r="AH31" s="79">
        <f>HLOOKUP(AD31,Hoja2!$R$2:$AV$29,28,FALSE)</f>
        <v>1478633950</v>
      </c>
      <c r="AJ31" s="11"/>
      <c r="AK31" s="12">
        <v>110205</v>
      </c>
      <c r="AL31" s="12" t="s">
        <v>59</v>
      </c>
      <c r="AM31" s="12" t="str">
        <f>+AM30</f>
        <v>CPA Fondeo Bice USD a JPM COL 950K USD T/C 928,37.- 15-06-2024</v>
      </c>
      <c r="AN31" s="13"/>
      <c r="AO31" s="18">
        <f t="shared" si="7"/>
        <v>881951500</v>
      </c>
      <c r="AS31" s="1">
        <v>45595</v>
      </c>
      <c r="AT31" s="26">
        <f>HLOOKUP(AS31,Hoja2!$R$2:$AV$30,29,FALSE)</f>
        <v>400000</v>
      </c>
      <c r="AU31" s="77">
        <f>HLOOKUP(AS31,Hoja2!$R$2:$AV$31,30,FALSE)</f>
        <v>945.88</v>
      </c>
      <c r="AV31" s="26" t="str">
        <f>HLOOKUP(AS31,Hoja2!$R$2:$AV$32,31,FALSE)</f>
        <v>400K</v>
      </c>
      <c r="AW31" s="79">
        <f>HLOOKUP(AS31,Hoja2!$R$2:$AV$33,32,FALSE)</f>
        <v>378352000</v>
      </c>
      <c r="AY31" s="11"/>
      <c r="AZ31" s="12">
        <v>110276</v>
      </c>
      <c r="BA31" s="12" t="s">
        <v>97</v>
      </c>
      <c r="BB31" s="12" t="str">
        <f>+BB30</f>
        <v>CPA Rescate DLocal a Bco.Bice USD 350K USD T/C 931,26.- 15-06-2024</v>
      </c>
      <c r="BC31" s="13"/>
      <c r="BD31" s="18">
        <f t="shared" si="8"/>
        <v>325941000</v>
      </c>
      <c r="BH31" s="1">
        <v>45595</v>
      </c>
      <c r="BI31" s="26">
        <f>HLOOKUP(BH31,Hoja2!$R$2:$AV$35,34,FALSE)</f>
        <v>400000</v>
      </c>
      <c r="BJ31" s="77">
        <f>HLOOKUP(BH31,Hoja2!$R$2:$AV$36,35,FALSE)</f>
        <v>950.89</v>
      </c>
      <c r="BK31" s="26" t="str">
        <f>HLOOKUP(BH31,Hoja2!$R$2:$AV$37,36,FALSE)</f>
        <v>400K</v>
      </c>
      <c r="BL31" s="79">
        <f>HLOOKUP(BH31,Hoja2!$R$2:$AV$38,37,FALSE)</f>
        <v>380356000</v>
      </c>
      <c r="BN31" s="11"/>
      <c r="BO31" s="12">
        <v>110205</v>
      </c>
      <c r="BP31" s="12" t="s">
        <v>59</v>
      </c>
      <c r="BQ31" s="12" t="str">
        <f>+BQ30</f>
        <v>CPA Fondeo Bice USD a OZ CAMBIO USD 0 USD T/C 928,37</v>
      </c>
      <c r="BR31" s="13"/>
      <c r="BS31" s="18">
        <f t="shared" ref="BS31" si="111">+BR30</f>
        <v>0</v>
      </c>
      <c r="BW31" s="1">
        <v>45595</v>
      </c>
      <c r="BX31" s="26">
        <f>HLOOKUP(BW31,Hoja2!$R$2:$AV$46,45,FALSE)</f>
        <v>849793.97</v>
      </c>
      <c r="BY31" s="77">
        <f>HLOOKUP(BW31,Hoja2!$R$2:$AV$48,47,FALSE)</f>
        <v>945.88</v>
      </c>
      <c r="BZ31" s="77">
        <f>HLOOKUP(BW31,Hoja2!$R$2:$AV$49,48,FALSE)</f>
        <v>849793.97</v>
      </c>
      <c r="CA31" s="79">
        <f>HLOOKUP(BW31,Hoja2!$R$2:$AV$52,51,FALSE)</f>
        <v>803803120.34359992</v>
      </c>
      <c r="CB31" s="79" t="str">
        <f>HLOOKUP(BW31,Hoja2!$R$2:$AV$50,49,FALSE)</f>
        <v>USD SET</v>
      </c>
      <c r="CC31" s="79">
        <f>HLOOKUP(BW31,Hoja2!$R$2:$AV$51,50,FALSE)</f>
        <v>0</v>
      </c>
      <c r="CE31" s="20"/>
      <c r="CF31">
        <v>420604</v>
      </c>
      <c r="CG31" t="s">
        <v>164</v>
      </c>
      <c r="CH31" t="str">
        <f t="shared" ref="CH31" si="112">"CPA Comisión bancaria rescate LOCALPAYMENT a Bco.Bice USD"</f>
        <v>CPA Comisión bancaria rescate LOCALPAYMENT a Bco.Bice USD</v>
      </c>
      <c r="CI31" s="3">
        <f>+CC9</f>
        <v>0</v>
      </c>
      <c r="CJ31" s="10"/>
      <c r="CN31" s="1">
        <v>45595</v>
      </c>
      <c r="CO31" s="26">
        <f>HLOOKUP(CN31,Hoja2!$R$2:$AV$46,45,FALSE)</f>
        <v>849793.97</v>
      </c>
      <c r="CP31" s="77">
        <f>HLOOKUP(CN31,Hoja2!$R$2:$AV$48,47,FALSE)</f>
        <v>945.88</v>
      </c>
      <c r="CQ31" s="77">
        <f>HLOOKUP(CN31,Hoja2!$R$2:$AV$49,48,FALSE)</f>
        <v>849793.97</v>
      </c>
      <c r="CR31" s="79">
        <f>HLOOKUP(CN31,Hoja2!$R$2:$AV$52,51,FALSE)</f>
        <v>803803120.34359992</v>
      </c>
      <c r="CS31" s="79" t="str">
        <f>HLOOKUP(CN31,Hoja2!$R$2:$AV$50,49,FALSE)</f>
        <v>USD SET</v>
      </c>
      <c r="CT31" s="79">
        <f>HLOOKUP(CN31,Hoja2!$R$2:$AV$51,50,FALSE)</f>
        <v>0</v>
      </c>
      <c r="CV31" s="20"/>
      <c r="CW31">
        <v>420604</v>
      </c>
      <c r="CX31" t="s">
        <v>164</v>
      </c>
      <c r="CY31" t="str">
        <f t="shared" ref="CY31" si="113">"CPA Comisión bancaria rescate LOCALPAYMENT a Bco.Bice USD"</f>
        <v>CPA Comisión bancaria rescate LOCALPAYMENT a Bco.Bice USD</v>
      </c>
      <c r="CZ31" s="3">
        <f>+CT9</f>
        <v>0</v>
      </c>
      <c r="DA31" s="10"/>
      <c r="DE31" s="1">
        <v>45595</v>
      </c>
      <c r="DF31" s="26">
        <f>HLOOKUP(DE31,Hoja2!$R$2:$AV$53,52,FALSE)</f>
        <v>707018.71</v>
      </c>
      <c r="DG31" s="77">
        <f>HLOOKUP(DE31,Hoja2!$R$2:$AV$56,55,FALSE)</f>
        <v>950.89</v>
      </c>
      <c r="DH31" s="77">
        <f>HLOOKUP(DE31,Hoja2!$R$2:$AV$57,56,FALSE)</f>
        <v>706948.71</v>
      </c>
      <c r="DI31" s="79">
        <f>HLOOKUP(DE31,Hoja2!$R$2:$AV$60,59,FALSE)</f>
        <v>672230458.85189998</v>
      </c>
      <c r="DJ31" s="79" t="str">
        <f>HLOOKUP(DE31,Hoja2!$R$2:$AV$58,57,FALSE)</f>
        <v>USD SET</v>
      </c>
      <c r="DK31" s="79">
        <f>HLOOKUP(DE31,Hoja2!$R$2:$AV$59,58,FALSE)</f>
        <v>66562.3</v>
      </c>
      <c r="DM31" s="20"/>
      <c r="DN31">
        <v>420604</v>
      </c>
      <c r="DO31" t="s">
        <v>164</v>
      </c>
      <c r="DP31" t="str">
        <f t="shared" ref="DP31" si="114">"CPA Comisión bancaria rescate LOCALPAYMENT a Bco.Bice USD"</f>
        <v>CPA Comisión bancaria rescate LOCALPAYMENT a Bco.Bice USD</v>
      </c>
      <c r="DQ31" s="3">
        <f>+DK9</f>
        <v>0</v>
      </c>
      <c r="DR31" s="10"/>
    </row>
    <row r="32" spans="1:122" x14ac:dyDescent="0.25">
      <c r="A32" s="1">
        <v>45596</v>
      </c>
      <c r="B32" s="26">
        <f>HLOOKUP(A32,Hoja2!$R$2:$AV$18,17,FALSE)</f>
        <v>0</v>
      </c>
      <c r="C32" s="77">
        <f>HLOOKUP(A32,Hoja2!$R$2:$AV$19,18,FALSE)</f>
        <v>950.89</v>
      </c>
      <c r="D32" s="26">
        <f>HLOOKUP(A32,Hoja2!$R$2:$AV$20,19,FALSE)</f>
        <v>0</v>
      </c>
      <c r="E32" s="79">
        <f>HLOOKUP(A32,Hoja2!$R$2:$AV$21,20,FALSE)</f>
        <v>0</v>
      </c>
      <c r="G32" s="15">
        <v>45459</v>
      </c>
      <c r="H32">
        <v>110275</v>
      </c>
      <c r="I32" t="s">
        <v>82</v>
      </c>
      <c r="J32" t="str">
        <f>"CPA Fondeo Bice USD a NIUM " &amp;D17&amp;" USD T/C "&amp;C17</f>
        <v>CPA Fondeo Bice USD a NIUM 1.28 M USD T/C 937,29</v>
      </c>
      <c r="K32" s="3">
        <f>+E17</f>
        <v>1199731200</v>
      </c>
      <c r="L32" s="10"/>
      <c r="M32" s="3"/>
      <c r="P32" s="1">
        <v>45596</v>
      </c>
      <c r="Q32" s="26">
        <f>HLOOKUP(P32,Hoja2!$R$2:$AV$22,21,FALSE)</f>
        <v>0</v>
      </c>
      <c r="R32" s="77">
        <f>HLOOKUP(P32,Hoja2!$R$2:$AV$23,22,FALSE)</f>
        <v>950.89</v>
      </c>
      <c r="S32" s="26">
        <f>HLOOKUP(P32,Hoja2!$R$2:$AV$24,23,FALSE)</f>
        <v>0</v>
      </c>
      <c r="T32" s="79">
        <f>HLOOKUP(P32,Hoja2!$R$2:$AV$25,24,FALSE)</f>
        <v>0</v>
      </c>
      <c r="V32" s="15">
        <v>45459</v>
      </c>
      <c r="W32">
        <v>110274</v>
      </c>
      <c r="X32" t="s">
        <v>84</v>
      </c>
      <c r="Y32" t="str">
        <f>"CPA Fondeo Bice USD a Facilita Pay " &amp;S17&amp;" USD T/C "&amp;R17&amp;".- "&amp;TEXT($G32,"dd-mm-aaa")</f>
        <v>CPA Fondeo Bice USD a Facilita Pay 0 USD T/C 937,29.- 16-06-2024</v>
      </c>
      <c r="Z32" s="3">
        <f>+T17</f>
        <v>0</v>
      </c>
      <c r="AA32" s="10"/>
      <c r="AD32" s="1">
        <v>45596</v>
      </c>
      <c r="AE32" s="26">
        <f>HLOOKUP(AD32,Hoja2!$R$2:$AV$26,25,FALSE)</f>
        <v>0</v>
      </c>
      <c r="AF32" s="77">
        <f>HLOOKUP(AD32,Hoja2!$R$2:$AV$27,26,FALSE)</f>
        <v>950.89</v>
      </c>
      <c r="AG32" s="26">
        <f>HLOOKUP(AD32,Hoja2!$R$2:$AV$28,27,FALSE)</f>
        <v>0</v>
      </c>
      <c r="AH32" s="79">
        <f>HLOOKUP(AD32,Hoja2!$R$2:$AV$29,28,FALSE)</f>
        <v>0</v>
      </c>
      <c r="AJ32" s="15">
        <v>45459</v>
      </c>
      <c r="AK32">
        <v>110820</v>
      </c>
      <c r="AL32" t="s">
        <v>92</v>
      </c>
      <c r="AM32" t="str">
        <f>"CPA Fondeo Bice USD a JPM COL " &amp;AG17&amp;" USD T/C "&amp;AF17&amp;".- "&amp;TEXT($G32,"dd-mm-aaa")</f>
        <v>CPA Fondeo Bice USD a JPM COL 0 USD T/C 937,29.- 16-06-2024</v>
      </c>
      <c r="AN32" s="3">
        <f>+AH17</f>
        <v>0</v>
      </c>
      <c r="AO32" s="10"/>
      <c r="AS32" s="1">
        <v>45596</v>
      </c>
      <c r="AT32" s="26">
        <f>HLOOKUP(AS32,Hoja2!$R$2:$AV$30,29,FALSE)</f>
        <v>0</v>
      </c>
      <c r="AU32" s="77">
        <f>HLOOKUP(AS32,Hoja2!$R$2:$AV$31,30,FALSE)</f>
        <v>0</v>
      </c>
      <c r="AV32" s="26">
        <f>HLOOKUP(AS32,Hoja2!$R$2:$AV$32,31,FALSE)</f>
        <v>0</v>
      </c>
      <c r="AW32" s="79">
        <f>HLOOKUP(AS32,Hoja2!$R$2:$AV$33,32,FALSE)</f>
        <v>0</v>
      </c>
      <c r="AY32" s="15">
        <v>45459</v>
      </c>
      <c r="AZ32">
        <v>110205</v>
      </c>
      <c r="BA32" t="s">
        <v>59</v>
      </c>
      <c r="BB32" t="str">
        <f>"CPA Rescate DLocal a Bco.Bice USD " &amp;AV17&amp;" USD T/C "&amp;AU17&amp;".- "&amp;TEXT($G32,"dd-mm-aaa")</f>
        <v>CPA Rescate DLocal a Bco.Bice USD 0 USD T/C 0.- 16-06-2024</v>
      </c>
      <c r="BC32" s="3">
        <f>+AW17</f>
        <v>0</v>
      </c>
      <c r="BD32" s="10"/>
      <c r="BH32" s="1">
        <v>45596</v>
      </c>
      <c r="BI32" s="26">
        <f>HLOOKUP(BH32,Hoja2!$R$2:$AV$35,34,FALSE)</f>
        <v>0</v>
      </c>
      <c r="BJ32" s="77">
        <f>HLOOKUP(BH32,Hoja2!$R$2:$AV$36,35,FALSE)</f>
        <v>950.89</v>
      </c>
      <c r="BK32" s="26">
        <f>HLOOKUP(BH32,Hoja2!$R$2:$AV$37,36,FALSE)</f>
        <v>0</v>
      </c>
      <c r="BL32" s="79">
        <f>HLOOKUP(BH32,Hoja2!$R$2:$AV$38,37,FALSE)</f>
        <v>0</v>
      </c>
      <c r="BN32" s="15">
        <v>45459</v>
      </c>
      <c r="BO32">
        <v>110292</v>
      </c>
      <c r="BP32" t="s">
        <v>142</v>
      </c>
      <c r="BQ32" t="str">
        <f>"CPA Fondeo Bice USD a OZ CAMBIO USD " &amp;BK17&amp;" USD T/C "&amp;BJ17</f>
        <v>CPA Fondeo Bice USD a OZ CAMBIO USD 0 USD T/C 937,29</v>
      </c>
      <c r="BR32" s="3">
        <f>+BL17</f>
        <v>0</v>
      </c>
      <c r="BS32" s="10"/>
      <c r="BW32" s="1">
        <v>45596</v>
      </c>
      <c r="BX32" s="26">
        <f>HLOOKUP(BW32,Hoja2!$R$2:$AV$46,45,FALSE)</f>
        <v>0</v>
      </c>
      <c r="BY32" s="77">
        <f>HLOOKUP(BW32,Hoja2!$R$2:$AV$48,47,FALSE)</f>
        <v>0</v>
      </c>
      <c r="BZ32" s="77">
        <f>HLOOKUP(BW32,Hoja2!$R$2:$AV$49,48,FALSE)</f>
        <v>0</v>
      </c>
      <c r="CA32" s="79">
        <f>HLOOKUP(BW32,Hoja2!$R$2:$AV$52,51,FALSE)</f>
        <v>0</v>
      </c>
      <c r="CB32" s="79" t="str">
        <f>HLOOKUP(BW32,Hoja2!$R$2:$AV$50,49,FALSE)</f>
        <v>USD SET</v>
      </c>
      <c r="CC32" s="79">
        <f>HLOOKUP(BW32,Hoja2!$R$2:$AV$51,50,FALSE)</f>
        <v>0</v>
      </c>
      <c r="CE32" s="20"/>
      <c r="CF32">
        <v>110316</v>
      </c>
      <c r="CG32" t="s">
        <v>165</v>
      </c>
      <c r="CH32" t="str">
        <f t="shared" ref="CH32" si="115">+CH31</f>
        <v>CPA Comisión bancaria rescate LOCALPAYMENT a Bco.Bice USD</v>
      </c>
      <c r="CI32" s="3"/>
      <c r="CJ32" s="10">
        <f t="shared" ref="CJ32" si="116">+CI31</f>
        <v>0</v>
      </c>
      <c r="CN32" s="1">
        <v>45596</v>
      </c>
      <c r="CO32" s="26">
        <f>HLOOKUP(CN32,Hoja2!$R$2:$AV$46,45,FALSE)</f>
        <v>0</v>
      </c>
      <c r="CP32" s="77">
        <f>HLOOKUP(CN32,Hoja2!$R$2:$AV$48,47,FALSE)</f>
        <v>0</v>
      </c>
      <c r="CQ32" s="77">
        <f>HLOOKUP(CN32,Hoja2!$R$2:$AV$49,48,FALSE)</f>
        <v>0</v>
      </c>
      <c r="CR32" s="79">
        <f>HLOOKUP(CN32,Hoja2!$R$2:$AV$52,51,FALSE)</f>
        <v>0</v>
      </c>
      <c r="CS32" s="79" t="str">
        <f>HLOOKUP(CN32,Hoja2!$R$2:$AV$50,49,FALSE)</f>
        <v>USD SET</v>
      </c>
      <c r="CT32" s="79">
        <f>HLOOKUP(CN32,Hoja2!$R$2:$AV$51,50,FALSE)</f>
        <v>0</v>
      </c>
      <c r="CV32" s="20"/>
      <c r="CW32">
        <v>110316</v>
      </c>
      <c r="CX32" t="s">
        <v>165</v>
      </c>
      <c r="CY32" t="str">
        <f t="shared" ref="CY32" si="117">+CY31</f>
        <v>CPA Comisión bancaria rescate LOCALPAYMENT a Bco.Bice USD</v>
      </c>
      <c r="CZ32" s="3"/>
      <c r="DA32" s="10">
        <f t="shared" ref="DA32" si="118">+CZ31</f>
        <v>0</v>
      </c>
      <c r="DE32" s="1">
        <v>45596</v>
      </c>
      <c r="DF32" s="26">
        <f>HLOOKUP(DE32,Hoja2!$R$2:$AV$53,52,FALSE)</f>
        <v>0</v>
      </c>
      <c r="DG32" s="77">
        <f>HLOOKUP(DE32,Hoja2!$R$2:$AV$56,55,FALSE)</f>
        <v>0</v>
      </c>
      <c r="DH32" s="77">
        <f>HLOOKUP(DE32,Hoja2!$R$2:$AV$57,56,FALSE)</f>
        <v>0</v>
      </c>
      <c r="DI32" s="79">
        <f>HLOOKUP(DE32,Hoja2!$R$2:$AV$60,59,FALSE)</f>
        <v>0</v>
      </c>
      <c r="DJ32" s="79" t="str">
        <f>HLOOKUP(DE32,Hoja2!$R$2:$AV$58,57,FALSE)</f>
        <v>USD SET</v>
      </c>
      <c r="DK32" s="79">
        <f>HLOOKUP(DE32,Hoja2!$R$2:$AV$59,58,FALSE)</f>
        <v>0</v>
      </c>
      <c r="DM32" s="20"/>
      <c r="DN32">
        <v>110316</v>
      </c>
      <c r="DO32" t="s">
        <v>165</v>
      </c>
      <c r="DP32" t="str">
        <f t="shared" ref="DP32" si="119">+DP31</f>
        <v>CPA Comisión bancaria rescate LOCALPAYMENT a Bco.Bice USD</v>
      </c>
      <c r="DQ32" s="3"/>
      <c r="DR32" s="10">
        <f t="shared" ref="DR32" si="120">+DQ31</f>
        <v>0</v>
      </c>
    </row>
    <row r="33" spans="2:122" x14ac:dyDescent="0.25">
      <c r="B33" s="3">
        <f>SUM(B2:B32)</f>
        <v>14637900</v>
      </c>
      <c r="E33" s="3">
        <f>SUM(E2:E32)</f>
        <v>13550644321</v>
      </c>
      <c r="G33" s="11"/>
      <c r="H33" s="12">
        <v>110205</v>
      </c>
      <c r="I33" s="12" t="s">
        <v>59</v>
      </c>
      <c r="J33" s="12" t="str">
        <f>+J32</f>
        <v>CPA Fondeo Bice USD a NIUM 1.28 M USD T/C 937,29</v>
      </c>
      <c r="K33" s="13"/>
      <c r="L33" s="18">
        <f t="shared" si="5"/>
        <v>1199731200</v>
      </c>
      <c r="Q33" s="3">
        <f>SUM(Q2:Q32)</f>
        <v>350000</v>
      </c>
      <c r="T33" s="3">
        <f>SUM(T2:T32)</f>
        <v>327680000</v>
      </c>
      <c r="V33" s="11"/>
      <c r="W33" s="12">
        <v>110205</v>
      </c>
      <c r="X33" s="12" t="s">
        <v>59</v>
      </c>
      <c r="Y33" s="12" t="str">
        <f>+Y32</f>
        <v>CPA Fondeo Bice USD a Facilita Pay 0 USD T/C 937,29.- 16-06-2024</v>
      </c>
      <c r="Z33" s="13"/>
      <c r="AA33" s="18">
        <f t="shared" si="6"/>
        <v>0</v>
      </c>
      <c r="AE33" s="3">
        <f>SUM(AE2:AE32)</f>
        <v>8730000</v>
      </c>
      <c r="AH33" s="3">
        <f>SUM(AH2:AH32)</f>
        <v>8197736350</v>
      </c>
      <c r="AJ33" s="11"/>
      <c r="AK33" s="12">
        <v>110205</v>
      </c>
      <c r="AL33" s="12" t="s">
        <v>59</v>
      </c>
      <c r="AM33" s="12" t="str">
        <f>+AM32</f>
        <v>CPA Fondeo Bice USD a JPM COL 0 USD T/C 937,29.- 16-06-2024</v>
      </c>
      <c r="AN33" s="13"/>
      <c r="AO33" s="18">
        <f t="shared" si="7"/>
        <v>0</v>
      </c>
      <c r="AT33" s="3">
        <f>SUM(AT2:AT32)</f>
        <v>2900000</v>
      </c>
      <c r="AW33" s="3">
        <f>SUM(AW2:AW32)</f>
        <v>2703957000</v>
      </c>
      <c r="AY33" s="11"/>
      <c r="AZ33" s="12">
        <v>110276</v>
      </c>
      <c r="BA33" s="12" t="s">
        <v>97</v>
      </c>
      <c r="BB33" s="12" t="str">
        <f>+BB32</f>
        <v>CPA Rescate DLocal a Bco.Bice USD 0 USD T/C 0.- 16-06-2024</v>
      </c>
      <c r="BC33" s="13"/>
      <c r="BD33" s="18">
        <f t="shared" si="8"/>
        <v>0</v>
      </c>
      <c r="BI33" s="3">
        <f>SUM(BI2:BI32)</f>
        <v>3050000</v>
      </c>
      <c r="BL33" s="3">
        <f>SUM(BL2:BL32)</f>
        <v>2846026000</v>
      </c>
      <c r="BN33" s="11"/>
      <c r="BO33" s="12">
        <v>110205</v>
      </c>
      <c r="BP33" s="12" t="s">
        <v>59</v>
      </c>
      <c r="BQ33" s="12" t="str">
        <f>+BQ32</f>
        <v>CPA Fondeo Bice USD a OZ CAMBIO USD 0 USD T/C 937,29</v>
      </c>
      <c r="BR33" s="13"/>
      <c r="BS33" s="18">
        <f t="shared" ref="BS33" si="121">+BR32</f>
        <v>0</v>
      </c>
      <c r="BX33" s="3">
        <f>SUM(BX2:BX32)</f>
        <v>10731312.380000003</v>
      </c>
      <c r="CA33" s="3">
        <f>SUM(CA2:CA32)</f>
        <v>9972820490.3869991</v>
      </c>
      <c r="CB33" s="3"/>
      <c r="CC33" s="3">
        <f>SUM(CC2:CC32)</f>
        <v>197919.5</v>
      </c>
      <c r="CE33" s="11"/>
      <c r="CF33" s="12">
        <v>110316</v>
      </c>
      <c r="CG33" s="12" t="s">
        <v>165</v>
      </c>
      <c r="CH33" s="12" t="str">
        <f t="shared" ref="CH33" si="122">+CH30</f>
        <v>CPA Rescate LOCALPAYMENT USD SET a Bco.Bice USD 1.767.973,20 T/C 925,86</v>
      </c>
      <c r="CI33" s="13"/>
      <c r="CJ33" s="18">
        <f t="shared" ref="CJ33" si="123">+CI30</f>
        <v>1636895666.9519999</v>
      </c>
      <c r="CO33" s="3">
        <f>SUM(CO2:CO32)</f>
        <v>10731312.380000003</v>
      </c>
      <c r="CR33" s="3">
        <f>SUM(CR2:CR32)</f>
        <v>9972820490.3869991</v>
      </c>
      <c r="CS33" s="3"/>
      <c r="CT33" s="3"/>
      <c r="CV33" s="11"/>
      <c r="CW33" s="12">
        <v>110316</v>
      </c>
      <c r="CX33" s="12" t="s">
        <v>165</v>
      </c>
      <c r="CY33" s="12" t="str">
        <f t="shared" ref="CY33" si="124">+CY30</f>
        <v>CPA Rescate LOCALPAYMENT USD SET a Bco.Bice USD 1.767.973,20 T/C 925,86</v>
      </c>
      <c r="CZ33" s="13"/>
      <c r="DA33" s="18">
        <f t="shared" ref="DA33" si="125">+CZ30</f>
        <v>1636895666.9519999</v>
      </c>
      <c r="DF33" s="3">
        <f>SUM(DF2:DF32)</f>
        <v>4679517.32</v>
      </c>
      <c r="DI33" s="3">
        <f>SUM(DI2:DI32)</f>
        <v>4394552592.9452</v>
      </c>
      <c r="DJ33" s="3"/>
      <c r="DK33" s="3"/>
      <c r="DM33" s="11"/>
      <c r="DN33" s="12">
        <v>110316</v>
      </c>
      <c r="DO33" s="12" t="s">
        <v>165</v>
      </c>
      <c r="DP33" s="12" t="str">
        <f t="shared" ref="DP33" si="126">+DP30</f>
        <v>CPA Rescate LOCALPAYMENT USD SET a Bco.Bice USD 0,00 T/C 0</v>
      </c>
      <c r="DQ33" s="13"/>
      <c r="DR33" s="18">
        <f t="shared" ref="DR33" si="127">+DQ30</f>
        <v>0</v>
      </c>
    </row>
    <row r="34" spans="2:122" x14ac:dyDescent="0.25">
      <c r="G34" s="15">
        <v>45460</v>
      </c>
      <c r="H34">
        <v>110275</v>
      </c>
      <c r="I34" t="s">
        <v>82</v>
      </c>
      <c r="J34" t="str">
        <f>"CPA Fondeo Bice USD a NIUM " &amp;D18&amp;" USD T/C "&amp;C18</f>
        <v>CPA Fondeo Bice USD a NIUM 0 USD T/C 941,3</v>
      </c>
      <c r="K34" s="3">
        <f>+E18</f>
        <v>0</v>
      </c>
      <c r="L34" s="10"/>
      <c r="V34" s="15">
        <v>45460</v>
      </c>
      <c r="W34">
        <v>110274</v>
      </c>
      <c r="X34" t="s">
        <v>84</v>
      </c>
      <c r="Y34" t="str">
        <f>"CPA Fondeo Bice USD a Facilita Pay " &amp;S18&amp;" USD T/C "&amp;R18&amp;".- "&amp;TEXT($G34,"dd-mm-aaa")</f>
        <v>CPA Fondeo Bice USD a Facilita Pay 0 USD T/C 941,3.- 17-06-2024</v>
      </c>
      <c r="Z34" s="3">
        <f>+T18</f>
        <v>0</v>
      </c>
      <c r="AA34" s="10"/>
      <c r="AJ34" s="15">
        <v>45460</v>
      </c>
      <c r="AK34">
        <v>110820</v>
      </c>
      <c r="AL34" t="s">
        <v>92</v>
      </c>
      <c r="AM34" t="str">
        <f>"CPA Fondeo Bice USD a JPM COL " &amp;AG18&amp;" USD T/C "&amp;AF18&amp;".- "&amp;TEXT($G34,"dd-mm-aaa")</f>
        <v>CPA Fondeo Bice USD a JPM COL 205K USD T/C 941,3.- 17-06-2024</v>
      </c>
      <c r="AN34" s="3">
        <f>+AH18</f>
        <v>192966500</v>
      </c>
      <c r="AO34" s="10"/>
      <c r="AY34" s="15">
        <v>45460</v>
      </c>
      <c r="AZ34">
        <v>110205</v>
      </c>
      <c r="BA34" t="s">
        <v>59</v>
      </c>
      <c r="BB34" t="str">
        <f>"CPA Rescate DLocal a Bco.Bice USD " &amp;AV18&amp;" USD T/C "&amp;AU18&amp;".- "&amp;TEXT($G34,"dd-mm-aaa")</f>
        <v>CPA Rescate DLocal a Bco.Bice USD 0 USD T/C 0.- 17-06-2024</v>
      </c>
      <c r="BC34" s="3">
        <f>+AW18</f>
        <v>0</v>
      </c>
      <c r="BD34" s="10"/>
      <c r="BN34" s="15">
        <v>45460</v>
      </c>
      <c r="BO34">
        <v>110292</v>
      </c>
      <c r="BP34" t="s">
        <v>142</v>
      </c>
      <c r="BQ34" t="str">
        <f>"CPA Fondeo Bice USD a OZ CAMBIO USD " &amp;BK18&amp;" USD T/C "&amp;BJ18</f>
        <v>CPA Fondeo Bice USD a OZ CAMBIO USD 0 USD T/C 941,3</v>
      </c>
      <c r="BR34" s="3">
        <f>+BL18</f>
        <v>0</v>
      </c>
      <c r="BS34" s="10"/>
      <c r="CE34" s="9">
        <v>45452</v>
      </c>
      <c r="CF34">
        <v>110205</v>
      </c>
      <c r="CG34" t="s">
        <v>59</v>
      </c>
      <c r="CH34" t="str">
        <f>"CPA Rescate LOCALPAYMENT " &amp; CB10 &amp; " a Bco.Bice USD " &amp; TEXT(BZ10,"#.##0,00") &amp; " T/C " &amp; BY10</f>
        <v>CPA Rescate LOCALPAYMENT USD SET a Bco.Bice USD 0,00 T/C 0</v>
      </c>
      <c r="CI34" s="3">
        <f>+CA10</f>
        <v>0</v>
      </c>
      <c r="CJ34" s="10"/>
      <c r="CV34" s="9">
        <v>45452</v>
      </c>
      <c r="CW34">
        <v>110205</v>
      </c>
      <c r="CX34" t="s">
        <v>59</v>
      </c>
      <c r="CY34" t="str">
        <f>"CPA Rescate LOCALPAYMENT " &amp; CS10 &amp; " a Bco.Bice USD " &amp; TEXT(CQ10,"#.##0,00") &amp; " T/C " &amp; CP10</f>
        <v>CPA Rescate LOCALPAYMENT USD SET a Bco.Bice USD 0,00 T/C 0</v>
      </c>
      <c r="CZ34" s="3">
        <f>+CR10</f>
        <v>0</v>
      </c>
      <c r="DA34" s="10"/>
      <c r="DM34" s="9">
        <v>45452</v>
      </c>
      <c r="DN34">
        <v>110205</v>
      </c>
      <c r="DO34" t="s">
        <v>59</v>
      </c>
      <c r="DP34" t="str">
        <f>"CPA Rescate LOCALPAYMENT " &amp; DJ10 &amp; " a Bco.Bice USD " &amp; TEXT(DH10,"#.##0,00") &amp; " T/C " &amp; DG10</f>
        <v>CPA Rescate LOCALPAYMENT USD SET a Bco.Bice USD 0,00 T/C 0</v>
      </c>
      <c r="DQ34" s="3">
        <f>+DI10</f>
        <v>0</v>
      </c>
      <c r="DR34" s="10"/>
    </row>
    <row r="35" spans="2:122" x14ac:dyDescent="0.25">
      <c r="G35" s="11"/>
      <c r="H35" s="12">
        <v>110205</v>
      </c>
      <c r="I35" s="12" t="s">
        <v>59</v>
      </c>
      <c r="J35" s="12" t="str">
        <f>+J34</f>
        <v>CPA Fondeo Bice USD a NIUM 0 USD T/C 941,3</v>
      </c>
      <c r="K35" s="13"/>
      <c r="L35" s="18">
        <f t="shared" si="5"/>
        <v>0</v>
      </c>
      <c r="V35" s="11"/>
      <c r="W35" s="12">
        <v>110205</v>
      </c>
      <c r="X35" s="12" t="s">
        <v>59</v>
      </c>
      <c r="Y35" s="12" t="str">
        <f>+Y34</f>
        <v>CPA Fondeo Bice USD a Facilita Pay 0 USD T/C 941,3.- 17-06-2024</v>
      </c>
      <c r="Z35" s="13"/>
      <c r="AA35" s="18">
        <f t="shared" si="6"/>
        <v>0</v>
      </c>
      <c r="AJ35" s="11"/>
      <c r="AK35" s="12">
        <v>110205</v>
      </c>
      <c r="AL35" s="12" t="s">
        <v>59</v>
      </c>
      <c r="AM35" s="12" t="str">
        <f>+AM34</f>
        <v>CPA Fondeo Bice USD a JPM COL 205K USD T/C 941,3.- 17-06-2024</v>
      </c>
      <c r="AN35" s="13"/>
      <c r="AO35" s="18">
        <f t="shared" si="7"/>
        <v>192966500</v>
      </c>
      <c r="AT35" s="26"/>
      <c r="AU35" s="77"/>
      <c r="AV35" s="26"/>
      <c r="AW35" s="79">
        <f>AT35*AU35</f>
        <v>0</v>
      </c>
      <c r="AY35" s="11"/>
      <c r="AZ35" s="12">
        <v>110276</v>
      </c>
      <c r="BA35" s="12" t="s">
        <v>97</v>
      </c>
      <c r="BB35" s="12" t="str">
        <f>+BB34</f>
        <v>CPA Rescate DLocal a Bco.Bice USD 0 USD T/C 0.- 17-06-2024</v>
      </c>
      <c r="BC35" s="13"/>
      <c r="BD35" s="18">
        <f t="shared" si="8"/>
        <v>0</v>
      </c>
      <c r="BN35" s="11"/>
      <c r="BO35" s="12">
        <v>110205</v>
      </c>
      <c r="BP35" s="12" t="s">
        <v>59</v>
      </c>
      <c r="BQ35" s="12" t="str">
        <f>+BQ34</f>
        <v>CPA Fondeo Bice USD a OZ CAMBIO USD 0 USD T/C 941,3</v>
      </c>
      <c r="BR35" s="13"/>
      <c r="BS35" s="18">
        <f t="shared" ref="BS35" si="128">+BR34</f>
        <v>0</v>
      </c>
      <c r="CE35" s="20"/>
      <c r="CF35">
        <v>420604</v>
      </c>
      <c r="CG35" t="s">
        <v>164</v>
      </c>
      <c r="CH35" t="str">
        <f t="shared" ref="CH35" si="129">"CPA Comisión bancaria rescate LOCALPAYMENT a Bco.Bice USD"</f>
        <v>CPA Comisión bancaria rescate LOCALPAYMENT a Bco.Bice USD</v>
      </c>
      <c r="CI35" s="3">
        <f>+CC10</f>
        <v>0</v>
      </c>
      <c r="CJ35" s="10"/>
      <c r="CV35" s="20"/>
      <c r="CW35">
        <v>420604</v>
      </c>
      <c r="CX35" t="s">
        <v>164</v>
      </c>
      <c r="CY35" t="str">
        <f t="shared" ref="CY35" si="130">"CPA Comisión bancaria rescate LOCALPAYMENT a Bco.Bice USD"</f>
        <v>CPA Comisión bancaria rescate LOCALPAYMENT a Bco.Bice USD</v>
      </c>
      <c r="CZ35" s="3">
        <f>+CT10</f>
        <v>0</v>
      </c>
      <c r="DA35" s="10"/>
      <c r="DM35" s="20"/>
      <c r="DN35">
        <v>420604</v>
      </c>
      <c r="DO35" t="s">
        <v>164</v>
      </c>
      <c r="DP35" t="str">
        <f t="shared" ref="DP35" si="131">"CPA Comisión bancaria rescate LOCALPAYMENT a Bco.Bice USD"</f>
        <v>CPA Comisión bancaria rescate LOCALPAYMENT a Bco.Bice USD</v>
      </c>
      <c r="DQ35" s="3">
        <f>+DK10</f>
        <v>0</v>
      </c>
      <c r="DR35" s="10"/>
    </row>
    <row r="36" spans="2:122" x14ac:dyDescent="0.25">
      <c r="B36" s="2"/>
      <c r="G36" s="15">
        <v>45461</v>
      </c>
      <c r="H36">
        <v>110275</v>
      </c>
      <c r="I36" t="s">
        <v>82</v>
      </c>
      <c r="J36" t="str">
        <f>"CPA Fondeo Bice USD a NIUM " &amp;D19&amp;" USD T/C "&amp;C19</f>
        <v>CPA Fondeo Bice USD a NIUM 550K USD T/C 945,01</v>
      </c>
      <c r="K36" s="3">
        <f>+E19</f>
        <v>519755500</v>
      </c>
      <c r="L36" s="10"/>
      <c r="Q36" s="2"/>
      <c r="V36" s="15">
        <v>45461</v>
      </c>
      <c r="W36">
        <v>110274</v>
      </c>
      <c r="X36" t="s">
        <v>84</v>
      </c>
      <c r="Y36" t="str">
        <f>"CPA Fondeo Bice USD a Facilita Pay " &amp;S19&amp;" USD T/C "&amp;R19</f>
        <v>CPA Fondeo Bice USD a Facilita Pay 0 USD T/C 945,01</v>
      </c>
      <c r="Z36" s="3">
        <f>+T19</f>
        <v>0</v>
      </c>
      <c r="AA36" s="10"/>
      <c r="AE36" s="2"/>
      <c r="AJ36" s="15">
        <v>45461</v>
      </c>
      <c r="AK36">
        <v>110820</v>
      </c>
      <c r="AL36" t="s">
        <v>92</v>
      </c>
      <c r="AM36" t="str">
        <f>"CPA Fondeo Bice USD a JPM COL " &amp;AG19&amp;" USD T/C "&amp;AF19&amp;".- "&amp;TEXT($G36,"dd-mm-aaa")</f>
        <v>CPA Fondeo Bice USD a JPM COL 1 M USD T/C 945,01.- 18-06-2024</v>
      </c>
      <c r="AN36" s="3">
        <f>+AH19</f>
        <v>945010000</v>
      </c>
      <c r="AO36" s="10"/>
      <c r="AT36" s="2"/>
      <c r="AY36" s="15">
        <v>45461</v>
      </c>
      <c r="AZ36">
        <v>110205</v>
      </c>
      <c r="BA36" t="s">
        <v>59</v>
      </c>
      <c r="BB36" t="str">
        <f>"CPA Rescate DLocal a Bco.Bice USD " &amp;AV19&amp;" USD T/C "&amp;AU19&amp;".- "&amp;TEXT($G36,"dd-mm-aaa")</f>
        <v>CPA Rescate DLocal a Bco.Bice USD 0 USD T/C 0.- 18-06-2024</v>
      </c>
      <c r="BC36" s="3">
        <f>+AW19</f>
        <v>0</v>
      </c>
      <c r="BD36" s="10"/>
      <c r="BI36" s="2"/>
      <c r="BN36" s="15">
        <v>45461</v>
      </c>
      <c r="BO36">
        <v>110292</v>
      </c>
      <c r="BP36" t="s">
        <v>142</v>
      </c>
      <c r="BQ36" t="str">
        <f>"CPA Fondeo Bice USD a OZ CAMBIO USD " &amp;BK19&amp;" USD T/C "&amp;BJ19</f>
        <v>CPA Fondeo Bice USD a OZ CAMBIO USD 200K USD T/C 945,01</v>
      </c>
      <c r="BR36" s="3">
        <f>+BL19</f>
        <v>189002000</v>
      </c>
      <c r="BS36" s="10"/>
      <c r="BX36" s="2"/>
      <c r="CE36" s="20"/>
      <c r="CF36">
        <v>110316</v>
      </c>
      <c r="CG36" t="s">
        <v>165</v>
      </c>
      <c r="CH36" t="str">
        <f t="shared" ref="CH36" si="132">+CH35</f>
        <v>CPA Comisión bancaria rescate LOCALPAYMENT a Bco.Bice USD</v>
      </c>
      <c r="CI36" s="3"/>
      <c r="CJ36" s="10">
        <f t="shared" ref="CJ36" si="133">+CI35</f>
        <v>0</v>
      </c>
      <c r="CO36" s="2"/>
      <c r="CV36" s="20"/>
      <c r="CW36">
        <v>110316</v>
      </c>
      <c r="CX36" t="s">
        <v>165</v>
      </c>
      <c r="CY36" t="str">
        <f t="shared" ref="CY36" si="134">+CY35</f>
        <v>CPA Comisión bancaria rescate LOCALPAYMENT a Bco.Bice USD</v>
      </c>
      <c r="CZ36" s="3"/>
      <c r="DA36" s="10">
        <f t="shared" ref="DA36" si="135">+CZ35</f>
        <v>0</v>
      </c>
      <c r="DF36" s="2"/>
      <c r="DM36" s="20"/>
      <c r="DN36">
        <v>110316</v>
      </c>
      <c r="DO36" t="s">
        <v>165</v>
      </c>
      <c r="DP36" t="str">
        <f t="shared" ref="DP36" si="136">+DP35</f>
        <v>CPA Comisión bancaria rescate LOCALPAYMENT a Bco.Bice USD</v>
      </c>
      <c r="DQ36" s="3"/>
      <c r="DR36" s="10">
        <f t="shared" ref="DR36" si="137">+DQ35</f>
        <v>0</v>
      </c>
    </row>
    <row r="37" spans="2:122" x14ac:dyDescent="0.25">
      <c r="B37" s="2"/>
      <c r="G37" s="11"/>
      <c r="H37" s="12">
        <v>110205</v>
      </c>
      <c r="I37" s="12" t="s">
        <v>59</v>
      </c>
      <c r="J37" s="12" t="str">
        <f>+J36</f>
        <v>CPA Fondeo Bice USD a NIUM 550K USD T/C 945,01</v>
      </c>
      <c r="K37" s="13"/>
      <c r="L37" s="18">
        <f t="shared" si="5"/>
        <v>519755500</v>
      </c>
      <c r="Q37" s="2"/>
      <c r="V37" s="11"/>
      <c r="W37" s="12">
        <v>110205</v>
      </c>
      <c r="X37" s="12" t="s">
        <v>59</v>
      </c>
      <c r="Y37" s="12" t="str">
        <f>+Y36</f>
        <v>CPA Fondeo Bice USD a Facilita Pay 0 USD T/C 945,01</v>
      </c>
      <c r="Z37" s="13"/>
      <c r="AA37" s="18">
        <f t="shared" si="6"/>
        <v>0</v>
      </c>
      <c r="AE37" s="2"/>
      <c r="AJ37" s="11"/>
      <c r="AK37" s="12">
        <v>110205</v>
      </c>
      <c r="AL37" s="12" t="s">
        <v>59</v>
      </c>
      <c r="AM37" s="12" t="str">
        <f>+AM36</f>
        <v>CPA Fondeo Bice USD a JPM COL 1 M USD T/C 945,01.- 18-06-2024</v>
      </c>
      <c r="AN37" s="13"/>
      <c r="AO37" s="18">
        <f t="shared" si="7"/>
        <v>945010000</v>
      </c>
      <c r="AT37" s="2"/>
      <c r="AY37" s="11"/>
      <c r="AZ37" s="12">
        <v>110276</v>
      </c>
      <c r="BA37" s="12" t="s">
        <v>97</v>
      </c>
      <c r="BB37" s="12" t="str">
        <f>+BB36</f>
        <v>CPA Rescate DLocal a Bco.Bice USD 0 USD T/C 0.- 18-06-2024</v>
      </c>
      <c r="BC37" s="13"/>
      <c r="BD37" s="18">
        <f t="shared" si="8"/>
        <v>0</v>
      </c>
      <c r="BI37" s="2"/>
      <c r="BN37" s="11"/>
      <c r="BO37" s="12">
        <v>110205</v>
      </c>
      <c r="BP37" s="12" t="s">
        <v>59</v>
      </c>
      <c r="BQ37" s="12" t="str">
        <f>+BQ36</f>
        <v>CPA Fondeo Bice USD a OZ CAMBIO USD 200K USD T/C 945,01</v>
      </c>
      <c r="BR37" s="13"/>
      <c r="BS37" s="18">
        <f t="shared" ref="BS37" si="138">+BR36</f>
        <v>189002000</v>
      </c>
      <c r="BX37" s="2"/>
      <c r="CE37" s="11"/>
      <c r="CF37" s="12">
        <v>110316</v>
      </c>
      <c r="CG37" s="12" t="s">
        <v>165</v>
      </c>
      <c r="CH37" s="12" t="str">
        <f t="shared" ref="CH37" si="139">+CH34</f>
        <v>CPA Rescate LOCALPAYMENT USD SET a Bco.Bice USD 0,00 T/C 0</v>
      </c>
      <c r="CI37" s="13"/>
      <c r="CJ37" s="18">
        <f t="shared" ref="CJ37" si="140">+CI34</f>
        <v>0</v>
      </c>
      <c r="CO37" s="2"/>
      <c r="CV37" s="11"/>
      <c r="CW37" s="12">
        <v>110316</v>
      </c>
      <c r="CX37" s="12" t="s">
        <v>165</v>
      </c>
      <c r="CY37" s="12" t="str">
        <f t="shared" ref="CY37" si="141">+CY34</f>
        <v>CPA Rescate LOCALPAYMENT USD SET a Bco.Bice USD 0,00 T/C 0</v>
      </c>
      <c r="CZ37" s="13"/>
      <c r="DA37" s="18">
        <f t="shared" ref="DA37" si="142">+CZ34</f>
        <v>0</v>
      </c>
      <c r="DF37" s="2"/>
      <c r="DM37" s="11"/>
      <c r="DN37" s="12">
        <v>110316</v>
      </c>
      <c r="DO37" s="12" t="s">
        <v>165</v>
      </c>
      <c r="DP37" s="12" t="str">
        <f t="shared" ref="DP37" si="143">+DP34</f>
        <v>CPA Rescate LOCALPAYMENT USD SET a Bco.Bice USD 0,00 T/C 0</v>
      </c>
      <c r="DQ37" s="13"/>
      <c r="DR37" s="18">
        <f t="shared" ref="DR37" si="144">+DQ34</f>
        <v>0</v>
      </c>
    </row>
    <row r="38" spans="2:122" x14ac:dyDescent="0.25">
      <c r="B38" s="2"/>
      <c r="G38" s="15">
        <v>45462</v>
      </c>
      <c r="H38">
        <v>110275</v>
      </c>
      <c r="I38" t="s">
        <v>82</v>
      </c>
      <c r="J38" t="str">
        <f>"CPA Fondeo Bice USD a NIUM " &amp;D20&amp;" USD T/C "&amp;C20</f>
        <v>CPA Fondeo Bice USD a NIUM 0 USD T/C 945,01</v>
      </c>
      <c r="K38" s="3">
        <f>+E20</f>
        <v>0</v>
      </c>
      <c r="L38" s="10"/>
      <c r="Q38" s="2"/>
      <c r="V38" s="15">
        <v>45462</v>
      </c>
      <c r="W38">
        <v>110274</v>
      </c>
      <c r="X38" t="s">
        <v>84</v>
      </c>
      <c r="Y38" t="str">
        <f>"CPA Fondeo Bice USD a Facilita Pay " &amp;S20&amp;" USD T/C "&amp;R20&amp;".- "&amp;TEXT($G38,"dd-mm-aaa")</f>
        <v>CPA Fondeo Bice USD a Facilita Pay 0 USD T/C 945,01.- 19-06-2024</v>
      </c>
      <c r="Z38" s="3">
        <f>+T20</f>
        <v>0</v>
      </c>
      <c r="AA38" s="10"/>
      <c r="AE38" s="2"/>
      <c r="AJ38" s="15">
        <v>45462</v>
      </c>
      <c r="AK38">
        <v>110820</v>
      </c>
      <c r="AL38" t="s">
        <v>92</v>
      </c>
      <c r="AM38" t="str">
        <f>"CPA Fondeo Bice USD a JPM COL " &amp;AG20&amp;" USD T/C "&amp;AF20&amp;".- "&amp;TEXT($G38,"dd-mm-aaa")</f>
        <v>CPA Fondeo Bice USD a JPM COL 0 USD T/C 945,01.- 19-06-2024</v>
      </c>
      <c r="AN38" s="3">
        <f>+AH20</f>
        <v>0</v>
      </c>
      <c r="AO38" s="10"/>
      <c r="AT38" s="2"/>
      <c r="AY38" s="15">
        <v>45462</v>
      </c>
      <c r="AZ38">
        <v>110205</v>
      </c>
      <c r="BA38" t="s">
        <v>59</v>
      </c>
      <c r="BB38" t="str">
        <f>"CPA Rescate DLocal a Bco.Bice USD " &amp;AV20&amp;" USD T/C "&amp;AU20&amp;".- "&amp;TEXT($G38,"dd-mm-aaa")</f>
        <v>CPA Rescate DLocal a Bco.Bice USD 0 USD T/C 0.- 19-06-2024</v>
      </c>
      <c r="BC38" s="3">
        <f>+AW20</f>
        <v>0</v>
      </c>
      <c r="BD38" s="10"/>
      <c r="BI38" s="2"/>
      <c r="BN38" s="15">
        <v>45462</v>
      </c>
      <c r="BO38">
        <v>110292</v>
      </c>
      <c r="BP38" t="s">
        <v>142</v>
      </c>
      <c r="BQ38" t="str">
        <f>"CPA Fondeo Bice USD a OZ CAMBIO USD " &amp;BK20&amp;" USD T/C "&amp;BJ20</f>
        <v>CPA Fondeo Bice USD a OZ CAMBIO USD 0 USD T/C 945,01</v>
      </c>
      <c r="BR38" s="3">
        <f>+BL20</f>
        <v>0</v>
      </c>
      <c r="BS38" s="10"/>
      <c r="BX38" s="2"/>
      <c r="CE38" s="9">
        <v>45453</v>
      </c>
      <c r="CF38">
        <v>110205</v>
      </c>
      <c r="CG38" t="s">
        <v>59</v>
      </c>
      <c r="CH38" t="str">
        <f>"CPA Rescate LOCALPAYMENT " &amp; CB11 &amp; " a Bco.Bice USD " &amp; TEXT(BZ11,"#.##0,00") &amp; " T/C " &amp; BY11</f>
        <v>CPA Rescate LOCALPAYMENT USD SET a Bco.Bice USD 226.493,44 T/C 933,62</v>
      </c>
      <c r="CI38" s="3">
        <f>+CA11</f>
        <v>211458805.45280001</v>
      </c>
      <c r="CJ38" s="10"/>
      <c r="CO38" s="2"/>
      <c r="CV38" s="9">
        <v>45453</v>
      </c>
      <c r="CW38">
        <v>110205</v>
      </c>
      <c r="CX38" t="s">
        <v>59</v>
      </c>
      <c r="CY38" t="str">
        <f>"CPA Rescate LOCALPAYMENT " &amp; CS11 &amp; " a Bco.Bice USD " &amp; TEXT(CQ11,"#.##0,00") &amp; " T/C " &amp; CP11</f>
        <v>CPA Rescate LOCALPAYMENT USD SET a Bco.Bice USD 226.493,44 T/C 933,62</v>
      </c>
      <c r="CZ38" s="3">
        <f>+CR11</f>
        <v>211458805.45280001</v>
      </c>
      <c r="DA38" s="10"/>
      <c r="DF38" s="2"/>
      <c r="DM38" s="9">
        <v>45453</v>
      </c>
      <c r="DN38">
        <v>110205</v>
      </c>
      <c r="DO38" t="s">
        <v>59</v>
      </c>
      <c r="DP38" t="str">
        <f>"CPA Rescate LOCALPAYMENT " &amp; DJ11 &amp; " a Bco.Bice USD " &amp; TEXT(DH11,"#.##0,00") &amp; " T/C " &amp; DG11</f>
        <v>CPA Rescate LOCALPAYMENT USD SET a Bco.Bice USD 725.213,86 T/C 933,62</v>
      </c>
      <c r="DQ38" s="3">
        <f>+DI11</f>
        <v>677074163.97319996</v>
      </c>
      <c r="DR38" s="10"/>
    </row>
    <row r="39" spans="2:122" x14ac:dyDescent="0.25">
      <c r="B39" s="2"/>
      <c r="G39" s="11"/>
      <c r="H39" s="12">
        <v>110205</v>
      </c>
      <c r="I39" s="12" t="s">
        <v>59</v>
      </c>
      <c r="J39" s="12" t="str">
        <f>+J38</f>
        <v>CPA Fondeo Bice USD a NIUM 0 USD T/C 945,01</v>
      </c>
      <c r="K39" s="13"/>
      <c r="L39" s="18">
        <f t="shared" si="5"/>
        <v>0</v>
      </c>
      <c r="Q39" s="2"/>
      <c r="V39" s="11"/>
      <c r="W39" s="12">
        <v>110205</v>
      </c>
      <c r="X39" s="12" t="s">
        <v>59</v>
      </c>
      <c r="Y39" s="12" t="str">
        <f>+Y38</f>
        <v>CPA Fondeo Bice USD a Facilita Pay 0 USD T/C 945,01.- 19-06-2024</v>
      </c>
      <c r="Z39" s="13"/>
      <c r="AA39" s="18">
        <f t="shared" si="6"/>
        <v>0</v>
      </c>
      <c r="AE39" s="2"/>
      <c r="AJ39" s="11"/>
      <c r="AK39" s="12">
        <v>110205</v>
      </c>
      <c r="AL39" s="12" t="s">
        <v>59</v>
      </c>
      <c r="AM39" s="12" t="str">
        <f>+AM38</f>
        <v>CPA Fondeo Bice USD a JPM COL 0 USD T/C 945,01.- 19-06-2024</v>
      </c>
      <c r="AN39" s="13"/>
      <c r="AO39" s="18">
        <f t="shared" si="7"/>
        <v>0</v>
      </c>
      <c r="AT39" s="2"/>
      <c r="AY39" s="11"/>
      <c r="AZ39" s="12">
        <v>110276</v>
      </c>
      <c r="BA39" s="12" t="s">
        <v>97</v>
      </c>
      <c r="BB39" s="12" t="str">
        <f>+BB38</f>
        <v>CPA Rescate DLocal a Bco.Bice USD 0 USD T/C 0.- 19-06-2024</v>
      </c>
      <c r="BC39" s="13"/>
      <c r="BD39" s="18">
        <f t="shared" si="8"/>
        <v>0</v>
      </c>
      <c r="BI39" s="2"/>
      <c r="BN39" s="11"/>
      <c r="BO39" s="12">
        <v>110205</v>
      </c>
      <c r="BP39" s="12" t="s">
        <v>59</v>
      </c>
      <c r="BQ39" s="12" t="str">
        <f>+BQ38</f>
        <v>CPA Fondeo Bice USD a OZ CAMBIO USD 0 USD T/C 945,01</v>
      </c>
      <c r="BR39" s="13"/>
      <c r="BS39" s="18">
        <f t="shared" ref="BS39" si="145">+BR38</f>
        <v>0</v>
      </c>
      <c r="BX39" s="2"/>
      <c r="CE39" s="20"/>
      <c r="CF39">
        <v>420604</v>
      </c>
      <c r="CG39" t="s">
        <v>164</v>
      </c>
      <c r="CH39" t="str">
        <f t="shared" ref="CH39" si="146">"CPA Comisión bancaria rescate LOCALPAYMENT a Bco.Bice USD"</f>
        <v>CPA Comisión bancaria rescate LOCALPAYMENT a Bco.Bice USD</v>
      </c>
      <c r="CI39" s="3">
        <f>+CC11</f>
        <v>0</v>
      </c>
      <c r="CJ39" s="10"/>
      <c r="CO39" s="2"/>
      <c r="CV39" s="20"/>
      <c r="CW39">
        <v>420604</v>
      </c>
      <c r="CX39" t="s">
        <v>164</v>
      </c>
      <c r="CY39" t="str">
        <f t="shared" ref="CY39" si="147">"CPA Comisión bancaria rescate LOCALPAYMENT a Bco.Bice USD"</f>
        <v>CPA Comisión bancaria rescate LOCALPAYMENT a Bco.Bice USD</v>
      </c>
      <c r="CZ39" s="3">
        <f>+CT11</f>
        <v>0</v>
      </c>
      <c r="DA39" s="10"/>
      <c r="DF39" s="2"/>
      <c r="DM39" s="20"/>
      <c r="DN39">
        <v>420604</v>
      </c>
      <c r="DO39" t="s">
        <v>164</v>
      </c>
      <c r="DP39" t="str">
        <f t="shared" ref="DP39" si="148">"CPA Comisión bancaria rescate LOCALPAYMENT a Bco.Bice USD"</f>
        <v>CPA Comisión bancaria rescate LOCALPAYMENT a Bco.Bice USD</v>
      </c>
      <c r="DQ39" s="3">
        <f>+DK11</f>
        <v>0</v>
      </c>
      <c r="DR39" s="10"/>
    </row>
    <row r="40" spans="2:122" x14ac:dyDescent="0.25">
      <c r="B40" s="2"/>
      <c r="G40" s="15">
        <v>45463</v>
      </c>
      <c r="H40">
        <v>110275</v>
      </c>
      <c r="I40" t="s">
        <v>82</v>
      </c>
      <c r="J40" t="str">
        <f>"CPA Fondeo Bice USD a NIUM " &amp;D21&amp;" USD T/C "&amp;C21</f>
        <v>CPA Fondeo Bice USD a NIUM 0 USD T/C 945,01</v>
      </c>
      <c r="K40" s="3">
        <f>+E21</f>
        <v>0</v>
      </c>
      <c r="L40" s="10"/>
      <c r="Q40" s="2"/>
      <c r="V40" s="15">
        <v>45463</v>
      </c>
      <c r="W40">
        <v>110274</v>
      </c>
      <c r="X40" t="s">
        <v>84</v>
      </c>
      <c r="Y40" t="str">
        <f>"CPA Fondeo Bice USD a Facilita Pay " &amp;S21&amp;" USD T/C "&amp;R21&amp;".- "&amp;TEXT($G40,"dd-mm-aaa")</f>
        <v>CPA Fondeo Bice USD a Facilita Pay 0 USD T/C 945,01.- 20-06-2024</v>
      </c>
      <c r="Z40" s="3">
        <f>+T21</f>
        <v>0</v>
      </c>
      <c r="AA40" s="10"/>
      <c r="AE40" s="2"/>
      <c r="AJ40" s="15">
        <v>45463</v>
      </c>
      <c r="AK40">
        <v>110820</v>
      </c>
      <c r="AL40" t="s">
        <v>92</v>
      </c>
      <c r="AM40" t="str">
        <f>"CPA Fondeo Bice USD a JPM COL " &amp;AG21&amp;" USD T/C "&amp;AF21&amp;".- "&amp;TEXT($G40,"dd-mm-aaa")</f>
        <v>CPA Fondeo Bice USD a JPM COL 0 USD T/C 945,01.- 20-06-2024</v>
      </c>
      <c r="AN40" s="3">
        <f>+AH21</f>
        <v>0</v>
      </c>
      <c r="AO40" s="10"/>
      <c r="AT40" s="2"/>
      <c r="AY40" s="15">
        <v>45463</v>
      </c>
      <c r="AZ40">
        <v>110205</v>
      </c>
      <c r="BA40" t="s">
        <v>59</v>
      </c>
      <c r="BB40" t="str">
        <f>"CPA Rescate DLocal a Bco.Bice USD " &amp;AV21&amp;" USD T/C "&amp;AU21&amp;".- "&amp;TEXT(AY40,"dd-mm-aaa")</f>
        <v>CPA Rescate DLocal a Bco.Bice USD 0 USD T/C 0.- 20-06-2024</v>
      </c>
      <c r="BC40" s="3">
        <f>+AW21</f>
        <v>0</v>
      </c>
      <c r="BD40" s="10"/>
      <c r="BI40" s="2"/>
      <c r="BN40" s="15">
        <v>45463</v>
      </c>
      <c r="BO40">
        <v>110292</v>
      </c>
      <c r="BP40" t="s">
        <v>142</v>
      </c>
      <c r="BQ40" t="str">
        <f>"CPA Fondeo Bice USD a OZ CAMBIO USD " &amp;BK21&amp;" USD T/C "&amp;BJ21</f>
        <v>CPA Fondeo Bice USD a OZ CAMBIO USD 0 USD T/C 945,01</v>
      </c>
      <c r="BR40" s="3">
        <f>+BL21</f>
        <v>0</v>
      </c>
      <c r="BS40" s="10"/>
      <c r="BX40" s="2"/>
      <c r="CE40" s="20"/>
      <c r="CF40">
        <v>110316</v>
      </c>
      <c r="CG40" t="s">
        <v>165</v>
      </c>
      <c r="CH40" t="str">
        <f t="shared" ref="CH40" si="149">+CH39</f>
        <v>CPA Comisión bancaria rescate LOCALPAYMENT a Bco.Bice USD</v>
      </c>
      <c r="CI40" s="3"/>
      <c r="CJ40" s="10">
        <f t="shared" ref="CJ40" si="150">+CI39</f>
        <v>0</v>
      </c>
      <c r="CO40" s="2"/>
      <c r="CV40" s="20"/>
      <c r="CW40">
        <v>110316</v>
      </c>
      <c r="CX40" t="s">
        <v>165</v>
      </c>
      <c r="CY40" t="str">
        <f t="shared" ref="CY40" si="151">+CY39</f>
        <v>CPA Comisión bancaria rescate LOCALPAYMENT a Bco.Bice USD</v>
      </c>
      <c r="CZ40" s="3"/>
      <c r="DA40" s="10">
        <f t="shared" ref="DA40" si="152">+CZ39</f>
        <v>0</v>
      </c>
      <c r="DF40" s="2"/>
      <c r="DM40" s="20"/>
      <c r="DN40">
        <v>110316</v>
      </c>
      <c r="DO40" t="s">
        <v>165</v>
      </c>
      <c r="DP40" t="str">
        <f t="shared" ref="DP40" si="153">+DP39</f>
        <v>CPA Comisión bancaria rescate LOCALPAYMENT a Bco.Bice USD</v>
      </c>
      <c r="DQ40" s="3"/>
      <c r="DR40" s="10">
        <f t="shared" ref="DR40" si="154">+DQ39</f>
        <v>0</v>
      </c>
    </row>
    <row r="41" spans="2:122" x14ac:dyDescent="0.25">
      <c r="B41" s="2"/>
      <c r="G41" s="11"/>
      <c r="H41" s="12">
        <v>110205</v>
      </c>
      <c r="I41" s="12" t="s">
        <v>59</v>
      </c>
      <c r="J41" s="12" t="str">
        <f>+J40</f>
        <v>CPA Fondeo Bice USD a NIUM 0 USD T/C 945,01</v>
      </c>
      <c r="K41" s="13"/>
      <c r="L41" s="18">
        <f t="shared" si="5"/>
        <v>0</v>
      </c>
      <c r="Q41" s="2"/>
      <c r="V41" s="11"/>
      <c r="W41" s="12">
        <v>110205</v>
      </c>
      <c r="X41" s="12" t="s">
        <v>59</v>
      </c>
      <c r="Y41" s="12" t="str">
        <f>+Y40</f>
        <v>CPA Fondeo Bice USD a Facilita Pay 0 USD T/C 945,01.- 20-06-2024</v>
      </c>
      <c r="Z41" s="13"/>
      <c r="AA41" s="18">
        <f t="shared" si="6"/>
        <v>0</v>
      </c>
      <c r="AE41" s="2"/>
      <c r="AJ41" s="11"/>
      <c r="AK41" s="12">
        <v>110205</v>
      </c>
      <c r="AL41" s="12" t="s">
        <v>59</v>
      </c>
      <c r="AM41" s="12" t="str">
        <f>+AM40</f>
        <v>CPA Fondeo Bice USD a JPM COL 0 USD T/C 945,01.- 20-06-2024</v>
      </c>
      <c r="AN41" s="13"/>
      <c r="AO41" s="18">
        <f t="shared" si="7"/>
        <v>0</v>
      </c>
      <c r="AT41" s="2"/>
      <c r="AY41" s="11"/>
      <c r="AZ41" s="12">
        <v>110276</v>
      </c>
      <c r="BA41" s="12" t="s">
        <v>97</v>
      </c>
      <c r="BB41" s="12" t="str">
        <f>+BB40</f>
        <v>CPA Rescate DLocal a Bco.Bice USD 0 USD T/C 0.- 20-06-2024</v>
      </c>
      <c r="BC41" s="13"/>
      <c r="BD41" s="18">
        <f t="shared" si="8"/>
        <v>0</v>
      </c>
      <c r="BI41" s="2"/>
      <c r="BN41" s="11"/>
      <c r="BO41" s="12">
        <v>110205</v>
      </c>
      <c r="BP41" s="12" t="s">
        <v>59</v>
      </c>
      <c r="BQ41" s="12" t="str">
        <f>+BQ40</f>
        <v>CPA Fondeo Bice USD a OZ CAMBIO USD 0 USD T/C 945,01</v>
      </c>
      <c r="BR41" s="13"/>
      <c r="BS41" s="18">
        <f t="shared" ref="BS41" si="155">+BR40</f>
        <v>0</v>
      </c>
      <c r="BX41" s="2"/>
      <c r="CE41" s="11"/>
      <c r="CF41" s="12">
        <v>110316</v>
      </c>
      <c r="CG41" s="12" t="s">
        <v>165</v>
      </c>
      <c r="CH41" s="12" t="str">
        <f t="shared" ref="CH41" si="156">+CH38</f>
        <v>CPA Rescate LOCALPAYMENT USD SET a Bco.Bice USD 226.493,44 T/C 933,62</v>
      </c>
      <c r="CI41" s="13"/>
      <c r="CJ41" s="18">
        <f t="shared" ref="CJ41" si="157">+CI38</f>
        <v>211458805.45280001</v>
      </c>
      <c r="CO41" s="2"/>
      <c r="CV41" s="11"/>
      <c r="CW41" s="12">
        <v>110316</v>
      </c>
      <c r="CX41" s="12" t="s">
        <v>165</v>
      </c>
      <c r="CY41" s="12" t="str">
        <f t="shared" ref="CY41" si="158">+CY38</f>
        <v>CPA Rescate LOCALPAYMENT USD SET a Bco.Bice USD 226.493,44 T/C 933,62</v>
      </c>
      <c r="CZ41" s="13"/>
      <c r="DA41" s="18">
        <f t="shared" ref="DA41" si="159">+CZ38</f>
        <v>211458805.45280001</v>
      </c>
      <c r="DF41" s="2"/>
      <c r="DM41" s="11"/>
      <c r="DN41" s="12">
        <v>110316</v>
      </c>
      <c r="DO41" s="12" t="s">
        <v>165</v>
      </c>
      <c r="DP41" s="12" t="str">
        <f t="shared" ref="DP41" si="160">+DP38</f>
        <v>CPA Rescate LOCALPAYMENT USD SET a Bco.Bice USD 725.213,86 T/C 933,62</v>
      </c>
      <c r="DQ41" s="13"/>
      <c r="DR41" s="18">
        <f t="shared" ref="DR41" si="161">+DQ38</f>
        <v>677074163.97319996</v>
      </c>
    </row>
    <row r="42" spans="2:122" x14ac:dyDescent="0.25">
      <c r="B42" s="2"/>
      <c r="G42" s="15">
        <v>45464</v>
      </c>
      <c r="H42">
        <v>110275</v>
      </c>
      <c r="I42" t="s">
        <v>82</v>
      </c>
      <c r="J42" t="str">
        <f>"CPA Fondeo Bice USD a NIUM " &amp;D22&amp;" USD T/C "&amp;C22</f>
        <v>CPA Fondeo Bice USD a NIUM 0 USD T/C 946,99</v>
      </c>
      <c r="K42" s="3">
        <f>+E22</f>
        <v>0</v>
      </c>
      <c r="L42" s="10"/>
      <c r="Q42" s="2"/>
      <c r="V42" s="15">
        <v>45464</v>
      </c>
      <c r="W42">
        <v>110274</v>
      </c>
      <c r="X42" t="s">
        <v>84</v>
      </c>
      <c r="Y42" t="str">
        <f>"CPA Fondeo Bice USD a Facilita Pay " &amp;S22&amp;" USD T/C "&amp;R22&amp;".- "&amp;TEXT($G42,"dd-mm-aaa")</f>
        <v>CPA Fondeo Bice USD a Facilita Pay 0 USD T/C 946,99.- 21-06-2024</v>
      </c>
      <c r="Z42" s="3">
        <f>+T22</f>
        <v>0</v>
      </c>
      <c r="AA42" s="10"/>
      <c r="AE42" s="2"/>
      <c r="AJ42" s="15">
        <v>45464</v>
      </c>
      <c r="AK42">
        <v>110820</v>
      </c>
      <c r="AL42" t="s">
        <v>92</v>
      </c>
      <c r="AM42" t="str">
        <f>"CPA Fondeo Bice USD a JPM COL " &amp;AG22&amp;" USD T/C "&amp;AF22&amp;".- "&amp;TEXT($G42,"dd-mm-aaa")</f>
        <v>CPA Fondeo Bice USD a JPM COL 0 USD T/C 946,99.- 21-06-2024</v>
      </c>
      <c r="AN42" s="3">
        <f>+AH22</f>
        <v>0</v>
      </c>
      <c r="AO42" s="10"/>
      <c r="AT42" s="2"/>
      <c r="AY42" s="15">
        <v>45464</v>
      </c>
      <c r="AZ42">
        <v>110205</v>
      </c>
      <c r="BA42" t="s">
        <v>59</v>
      </c>
      <c r="BB42" t="str">
        <f>"CPA Rescate DLocal a Bco.Bice USD " &amp;AV22&amp;" USD T/C "&amp;AU22&amp;".- "&amp;TEXT($G42,"dd-mm-aaa")</f>
        <v>CPA Rescate DLocal a Bco.Bice USD 200K USD T/C 945,01.- 21-06-2024</v>
      </c>
      <c r="BC42" s="3">
        <f>+AW22</f>
        <v>189002000</v>
      </c>
      <c r="BD42" s="10"/>
      <c r="BI42" s="2"/>
      <c r="BN42" s="15">
        <v>45464</v>
      </c>
      <c r="BO42">
        <v>110292</v>
      </c>
      <c r="BP42" t="s">
        <v>142</v>
      </c>
      <c r="BQ42" t="str">
        <f>"CPA Fondeo Bice USD a OZ CAMBIO USD " &amp;BK22&amp;" USD T/C "&amp;BJ22</f>
        <v>CPA Fondeo Bice USD a OZ CAMBIO USD 0 USD T/C 946,99</v>
      </c>
      <c r="BR42" s="3">
        <f>+BL22</f>
        <v>0</v>
      </c>
      <c r="BS42" s="10"/>
      <c r="BX42" s="2"/>
      <c r="CE42" s="9">
        <v>45454</v>
      </c>
      <c r="CF42">
        <v>110205</v>
      </c>
      <c r="CG42" t="s">
        <v>59</v>
      </c>
      <c r="CH42" t="str">
        <f>"CPA Rescate LOCALPAYMENT " &amp; CB12 &amp; " a Bco.Bice USD " &amp; TEXT(BZ12,"#.##0,00") &amp; " T/C " &amp; BY12</f>
        <v>CPA Rescate LOCALPAYMENT USD SET a Bco.Bice USD 0,00 T/C 0</v>
      </c>
      <c r="CI42" s="3">
        <f>+CA12</f>
        <v>0</v>
      </c>
      <c r="CJ42" s="10"/>
      <c r="CO42" s="2"/>
      <c r="CV42" s="9">
        <v>45454</v>
      </c>
      <c r="CW42">
        <v>110205</v>
      </c>
      <c r="CX42" t="s">
        <v>59</v>
      </c>
      <c r="CY42" t="str">
        <f>"CPA Rescate LOCALPAYMENT " &amp; CS12 &amp; " a Bco.Bice USD " &amp; TEXT(CQ12,"#.##0,00") &amp; " T/C " &amp; CP12</f>
        <v>CPA Rescate LOCALPAYMENT USD SET a Bco.Bice USD 0,00 T/C 0</v>
      </c>
      <c r="CZ42" s="3">
        <f>+CR12</f>
        <v>0</v>
      </c>
      <c r="DA42" s="10"/>
      <c r="DF42" s="2"/>
      <c r="DM42" s="9">
        <v>45454</v>
      </c>
      <c r="DN42">
        <v>110205</v>
      </c>
      <c r="DO42" t="s">
        <v>59</v>
      </c>
      <c r="DP42" t="str">
        <f>"CPA Rescate LOCALPAYMENT " &amp; DJ12 &amp; " a Bco.Bice USD " &amp; TEXT(DH12,"#.##0,00") &amp; " T/C " &amp; DG12</f>
        <v>CPA Rescate LOCALPAYMENT USD SET a Bco.Bice USD 0,00 T/C 0</v>
      </c>
      <c r="DQ42" s="3">
        <f>+DI12</f>
        <v>0</v>
      </c>
      <c r="DR42" s="10"/>
    </row>
    <row r="43" spans="2:122" x14ac:dyDescent="0.25">
      <c r="B43" s="2"/>
      <c r="G43" s="11"/>
      <c r="H43" s="12">
        <v>110205</v>
      </c>
      <c r="I43" s="12" t="s">
        <v>59</v>
      </c>
      <c r="J43" s="12" t="str">
        <f>+J42</f>
        <v>CPA Fondeo Bice USD a NIUM 0 USD T/C 946,99</v>
      </c>
      <c r="K43" s="13"/>
      <c r="L43" s="18">
        <f t="shared" si="5"/>
        <v>0</v>
      </c>
      <c r="Q43" s="2"/>
      <c r="V43" s="11"/>
      <c r="W43" s="12">
        <v>110205</v>
      </c>
      <c r="X43" s="12" t="s">
        <v>59</v>
      </c>
      <c r="Y43" s="12" t="str">
        <f>+Y42</f>
        <v>CPA Fondeo Bice USD a Facilita Pay 0 USD T/C 946,99.- 21-06-2024</v>
      </c>
      <c r="Z43" s="13"/>
      <c r="AA43" s="18">
        <f t="shared" si="6"/>
        <v>0</v>
      </c>
      <c r="AE43" s="2"/>
      <c r="AJ43" s="11"/>
      <c r="AK43" s="12">
        <v>110205</v>
      </c>
      <c r="AL43" s="12" t="s">
        <v>59</v>
      </c>
      <c r="AM43" s="12" t="str">
        <f>+AM42</f>
        <v>CPA Fondeo Bice USD a JPM COL 0 USD T/C 946,99.- 21-06-2024</v>
      </c>
      <c r="AN43" s="13"/>
      <c r="AO43" s="18">
        <f t="shared" si="7"/>
        <v>0</v>
      </c>
      <c r="AT43" s="2"/>
      <c r="AY43" s="11"/>
      <c r="AZ43" s="12">
        <v>110276</v>
      </c>
      <c r="BA43" s="12" t="s">
        <v>97</v>
      </c>
      <c r="BB43" s="12" t="str">
        <f>+BB42</f>
        <v>CPA Rescate DLocal a Bco.Bice USD 200K USD T/C 945,01.- 21-06-2024</v>
      </c>
      <c r="BC43" s="13"/>
      <c r="BD43" s="18">
        <f t="shared" si="8"/>
        <v>189002000</v>
      </c>
      <c r="BI43" s="2"/>
      <c r="BN43" s="11"/>
      <c r="BO43" s="12">
        <v>110205</v>
      </c>
      <c r="BP43" s="12" t="s">
        <v>59</v>
      </c>
      <c r="BQ43" s="12" t="str">
        <f>+BQ42</f>
        <v>CPA Fondeo Bice USD a OZ CAMBIO USD 0 USD T/C 946,99</v>
      </c>
      <c r="BR43" s="13"/>
      <c r="BS43" s="18">
        <f t="shared" ref="BS43" si="162">+BR42</f>
        <v>0</v>
      </c>
      <c r="BX43" s="2"/>
      <c r="CE43" s="20"/>
      <c r="CF43">
        <v>420604</v>
      </c>
      <c r="CG43" t="s">
        <v>164</v>
      </c>
      <c r="CH43" t="str">
        <f t="shared" ref="CH43" si="163">"CPA Comisión bancaria rescate LOCALPAYMENT a Bco.Bice USD"</f>
        <v>CPA Comisión bancaria rescate LOCALPAYMENT a Bco.Bice USD</v>
      </c>
      <c r="CI43" s="3">
        <f>+CC12</f>
        <v>0</v>
      </c>
      <c r="CJ43" s="10"/>
      <c r="CO43" s="2"/>
      <c r="CV43" s="20"/>
      <c r="CW43">
        <v>420604</v>
      </c>
      <c r="CX43" t="s">
        <v>164</v>
      </c>
      <c r="CY43" t="str">
        <f t="shared" ref="CY43" si="164">"CPA Comisión bancaria rescate LOCALPAYMENT a Bco.Bice USD"</f>
        <v>CPA Comisión bancaria rescate LOCALPAYMENT a Bco.Bice USD</v>
      </c>
      <c r="CZ43" s="3">
        <f>+CT12</f>
        <v>0</v>
      </c>
      <c r="DA43" s="10"/>
      <c r="DF43" s="2"/>
      <c r="DM43" s="20"/>
      <c r="DN43">
        <v>420604</v>
      </c>
      <c r="DO43" t="s">
        <v>164</v>
      </c>
      <c r="DP43" t="str">
        <f t="shared" ref="DP43" si="165">"CPA Comisión bancaria rescate LOCALPAYMENT a Bco.Bice USD"</f>
        <v>CPA Comisión bancaria rescate LOCALPAYMENT a Bco.Bice USD</v>
      </c>
      <c r="DQ43" s="3">
        <f>+DK12</f>
        <v>0</v>
      </c>
      <c r="DR43" s="10"/>
    </row>
    <row r="44" spans="2:122" x14ac:dyDescent="0.25">
      <c r="B44" s="2"/>
      <c r="G44" s="15">
        <v>45465</v>
      </c>
      <c r="H44">
        <v>110275</v>
      </c>
      <c r="I44" t="s">
        <v>82</v>
      </c>
      <c r="J44" t="str">
        <f>"CPA Fondeo Bice USD a NIUM " &amp;D23&amp;" USD T/C "&amp;C23</f>
        <v>CPA Fondeo Bice USD a NIUM 0 USD T/C 954,39</v>
      </c>
      <c r="K44" s="3">
        <f>+E23</f>
        <v>0</v>
      </c>
      <c r="L44" s="10"/>
      <c r="Q44" s="2"/>
      <c r="V44" s="15">
        <v>45465</v>
      </c>
      <c r="W44">
        <v>110274</v>
      </c>
      <c r="X44" t="s">
        <v>84</v>
      </c>
      <c r="Y44" t="str">
        <f>"CPA Fondeo Bice USD a Facilita Pay " &amp;S23&amp;" USD T/C "&amp;R23&amp;".- "&amp;TEXT($G44,"dd-mm-aaa")</f>
        <v>CPA Fondeo Bice USD a Facilita Pay 100K USD T/C 954,39.- 22-06-2024</v>
      </c>
      <c r="Z44" s="3">
        <f>+T23</f>
        <v>95439000</v>
      </c>
      <c r="AA44" s="10"/>
      <c r="AE44" s="2"/>
      <c r="AJ44" s="15">
        <v>45465</v>
      </c>
      <c r="AK44">
        <v>110820</v>
      </c>
      <c r="AL44" t="s">
        <v>92</v>
      </c>
      <c r="AM44" t="str">
        <f>"CPA Fondeo Bice USD a JPM COL " &amp;AG23&amp;" USD T/C "&amp;AF23&amp;".- "&amp;TEXT($G44,"dd-mm-aaa")</f>
        <v>CPA Fondeo Bice USD a JPM COL 650K USD T/C 954,39.- 22-06-2024</v>
      </c>
      <c r="AN44" s="3">
        <f>+AH23</f>
        <v>620353500</v>
      </c>
      <c r="AO44" s="10"/>
      <c r="AT44" s="2"/>
      <c r="AY44" s="15">
        <v>45465</v>
      </c>
      <c r="AZ44">
        <v>110205</v>
      </c>
      <c r="BA44" t="s">
        <v>59</v>
      </c>
      <c r="BB44" t="str">
        <f>"CPA Rescate DLocal a Bco.Bice USD " &amp;AV23&amp;" USD T/C "&amp;AU23&amp;".- "&amp;TEXT($G44,"dd-mm-aaa")</f>
        <v>CPA Rescate DLocal a Bco.Bice USD 0 USD T/C 0.- 22-06-2024</v>
      </c>
      <c r="BC44" s="3">
        <f>+AW23</f>
        <v>0</v>
      </c>
      <c r="BD44" s="10"/>
      <c r="BI44" s="2"/>
      <c r="BN44" s="15">
        <v>45465</v>
      </c>
      <c r="BO44">
        <v>110292</v>
      </c>
      <c r="BP44" t="s">
        <v>142</v>
      </c>
      <c r="BQ44" t="str">
        <f>"CPA Fondeo Bice USD a OZ CAMBIO USD " &amp;BK23&amp;" USD T/C "&amp;BJ23</f>
        <v>CPA Fondeo Bice USD a OZ CAMBIO USD 200K USD T/C 954,39</v>
      </c>
      <c r="BR44" s="3">
        <f>+BL23</f>
        <v>190878000</v>
      </c>
      <c r="BS44" s="10"/>
      <c r="BX44" s="2"/>
      <c r="CE44" s="20"/>
      <c r="CF44">
        <v>110316</v>
      </c>
      <c r="CG44" t="s">
        <v>165</v>
      </c>
      <c r="CH44" t="str">
        <f t="shared" ref="CH44" si="166">+CH43</f>
        <v>CPA Comisión bancaria rescate LOCALPAYMENT a Bco.Bice USD</v>
      </c>
      <c r="CI44" s="3"/>
      <c r="CJ44" s="10">
        <f t="shared" ref="CJ44" si="167">+CI43</f>
        <v>0</v>
      </c>
      <c r="CO44" s="2"/>
      <c r="CV44" s="20"/>
      <c r="CW44">
        <v>110316</v>
      </c>
      <c r="CX44" t="s">
        <v>165</v>
      </c>
      <c r="CY44" t="str">
        <f t="shared" ref="CY44" si="168">+CY43</f>
        <v>CPA Comisión bancaria rescate LOCALPAYMENT a Bco.Bice USD</v>
      </c>
      <c r="CZ44" s="3"/>
      <c r="DA44" s="10">
        <f t="shared" ref="DA44" si="169">+CZ43</f>
        <v>0</v>
      </c>
      <c r="DF44" s="2"/>
      <c r="DM44" s="20"/>
      <c r="DN44">
        <v>110316</v>
      </c>
      <c r="DO44" t="s">
        <v>165</v>
      </c>
      <c r="DP44" t="str">
        <f t="shared" ref="DP44" si="170">+DP43</f>
        <v>CPA Comisión bancaria rescate LOCALPAYMENT a Bco.Bice USD</v>
      </c>
      <c r="DQ44" s="3"/>
      <c r="DR44" s="10">
        <f t="shared" ref="DR44" si="171">+DQ43</f>
        <v>0</v>
      </c>
    </row>
    <row r="45" spans="2:122" x14ac:dyDescent="0.25">
      <c r="B45" s="2"/>
      <c r="G45" s="11"/>
      <c r="H45" s="12">
        <v>110205</v>
      </c>
      <c r="I45" s="12" t="s">
        <v>59</v>
      </c>
      <c r="J45" s="12" t="str">
        <f>+J44</f>
        <v>CPA Fondeo Bice USD a NIUM 0 USD T/C 954,39</v>
      </c>
      <c r="K45" s="13"/>
      <c r="L45" s="18">
        <f t="shared" si="5"/>
        <v>0</v>
      </c>
      <c r="Q45" s="2"/>
      <c r="V45" s="11"/>
      <c r="W45" s="12">
        <v>110205</v>
      </c>
      <c r="X45" s="12" t="s">
        <v>59</v>
      </c>
      <c r="Y45" s="12" t="str">
        <f>+Y44</f>
        <v>CPA Fondeo Bice USD a Facilita Pay 100K USD T/C 954,39.- 22-06-2024</v>
      </c>
      <c r="Z45" s="13"/>
      <c r="AA45" s="18">
        <f t="shared" si="6"/>
        <v>95439000</v>
      </c>
      <c r="AE45" s="2"/>
      <c r="AJ45" s="11"/>
      <c r="AK45" s="12">
        <v>110205</v>
      </c>
      <c r="AL45" s="12" t="s">
        <v>59</v>
      </c>
      <c r="AM45" s="12" t="str">
        <f>+AM44</f>
        <v>CPA Fondeo Bice USD a JPM COL 650K USD T/C 954,39.- 22-06-2024</v>
      </c>
      <c r="AN45" s="13"/>
      <c r="AO45" s="18">
        <f t="shared" si="7"/>
        <v>620353500</v>
      </c>
      <c r="AT45" s="2"/>
      <c r="AY45" s="11"/>
      <c r="AZ45" s="12">
        <v>110276</v>
      </c>
      <c r="BA45" s="12" t="s">
        <v>97</v>
      </c>
      <c r="BB45" s="12" t="str">
        <f>+BB44</f>
        <v>CPA Rescate DLocal a Bco.Bice USD 0 USD T/C 0.- 22-06-2024</v>
      </c>
      <c r="BC45" s="13"/>
      <c r="BD45" s="18">
        <f t="shared" si="8"/>
        <v>0</v>
      </c>
      <c r="BI45" s="2"/>
      <c r="BN45" s="11"/>
      <c r="BO45" s="12">
        <v>110205</v>
      </c>
      <c r="BP45" s="12" t="s">
        <v>59</v>
      </c>
      <c r="BQ45" s="12" t="str">
        <f>+BQ44</f>
        <v>CPA Fondeo Bice USD a OZ CAMBIO USD 200K USD T/C 954,39</v>
      </c>
      <c r="BR45" s="13"/>
      <c r="BS45" s="18">
        <f t="shared" ref="BS45" si="172">+BR44</f>
        <v>190878000</v>
      </c>
      <c r="BX45" s="2"/>
      <c r="CE45" s="11"/>
      <c r="CF45" s="12">
        <v>110316</v>
      </c>
      <c r="CG45" s="12" t="s">
        <v>165</v>
      </c>
      <c r="CH45" s="12" t="str">
        <f t="shared" ref="CH45" si="173">+CH42</f>
        <v>CPA Rescate LOCALPAYMENT USD SET a Bco.Bice USD 0,00 T/C 0</v>
      </c>
      <c r="CI45" s="13"/>
      <c r="CJ45" s="18">
        <f t="shared" ref="CJ45" si="174">+CI42</f>
        <v>0</v>
      </c>
      <c r="CO45" s="2"/>
      <c r="CV45" s="11"/>
      <c r="CW45" s="12">
        <v>110316</v>
      </c>
      <c r="CX45" s="12" t="s">
        <v>165</v>
      </c>
      <c r="CY45" s="12" t="str">
        <f t="shared" ref="CY45" si="175">+CY42</f>
        <v>CPA Rescate LOCALPAYMENT USD SET a Bco.Bice USD 0,00 T/C 0</v>
      </c>
      <c r="CZ45" s="13"/>
      <c r="DA45" s="18">
        <f t="shared" ref="DA45" si="176">+CZ42</f>
        <v>0</v>
      </c>
      <c r="DF45" s="2"/>
      <c r="DM45" s="11"/>
      <c r="DN45" s="12">
        <v>110316</v>
      </c>
      <c r="DO45" s="12" t="s">
        <v>165</v>
      </c>
      <c r="DP45" s="12" t="str">
        <f t="shared" ref="DP45" si="177">+DP42</f>
        <v>CPA Rescate LOCALPAYMENT USD SET a Bco.Bice USD 0,00 T/C 0</v>
      </c>
      <c r="DQ45" s="13"/>
      <c r="DR45" s="18">
        <f t="shared" ref="DR45" si="178">+DQ42</f>
        <v>0</v>
      </c>
    </row>
    <row r="46" spans="2:122" x14ac:dyDescent="0.25">
      <c r="B46" s="2"/>
      <c r="G46" s="15">
        <v>45466</v>
      </c>
      <c r="H46">
        <v>110275</v>
      </c>
      <c r="I46" t="s">
        <v>82</v>
      </c>
      <c r="J46" t="str">
        <f>"CPA Fondeo Bice USD a NIUM " &amp;D24&amp;" USD T/C "&amp;C24</f>
        <v>CPA Fondeo Bice USD a NIUM 1.160 M USD T/C 949</v>
      </c>
      <c r="K46" s="3">
        <f>+E24</f>
        <v>1100840000</v>
      </c>
      <c r="L46" s="10"/>
      <c r="Q46" s="2"/>
      <c r="V46" s="15">
        <v>45466</v>
      </c>
      <c r="W46">
        <v>110274</v>
      </c>
      <c r="X46" t="s">
        <v>84</v>
      </c>
      <c r="Y46" t="str">
        <f>"CPA Fondeo Bice USD a Facilita Pay " &amp;S24&amp;" USD T/C "&amp;R24</f>
        <v>CPA Fondeo Bice USD a Facilita Pay 0 USD T/C 949</v>
      </c>
      <c r="Z46" s="3">
        <f>+T24</f>
        <v>0</v>
      </c>
      <c r="AA46" s="10"/>
      <c r="AE46" s="2"/>
      <c r="AJ46" s="15">
        <v>45466</v>
      </c>
      <c r="AK46">
        <v>110820</v>
      </c>
      <c r="AL46" t="s">
        <v>92</v>
      </c>
      <c r="AM46" t="str">
        <f>"CPA Fondeo Bice USD a JPM COL " &amp;AG24&amp;" USD T/C "&amp;AF24&amp;".- "&amp;TEXT($G46,"dd-mm-aaa")</f>
        <v>CPA Fondeo Bice USD a JPM COL 0 USD T/C 949.- 23-06-2024</v>
      </c>
      <c r="AN46" s="3">
        <f>+AH24</f>
        <v>0</v>
      </c>
      <c r="AO46" s="10"/>
      <c r="AT46" s="2"/>
      <c r="AY46" s="15">
        <v>45466</v>
      </c>
      <c r="AZ46">
        <v>110205</v>
      </c>
      <c r="BA46" t="s">
        <v>59</v>
      </c>
      <c r="BB46" t="str">
        <f>"CPA Rescate DLocal a Bco.Bice USD " &amp;AV24&amp;" USD T/C "&amp;AU24&amp;".- "&amp;TEXT($G46,"dd-mm-aaa")</f>
        <v>CPA Rescate DLocal a Bco.Bice USD 300K USD T/C 954,39.- 23-06-2024</v>
      </c>
      <c r="BC46" s="3">
        <f>+AW24</f>
        <v>286317000</v>
      </c>
      <c r="BD46" s="10"/>
      <c r="BI46" s="2"/>
      <c r="BN46" s="15">
        <v>45466</v>
      </c>
      <c r="BO46">
        <v>110292</v>
      </c>
      <c r="BP46" t="s">
        <v>142</v>
      </c>
      <c r="BQ46" t="str">
        <f>"CPA Fondeo Bice USD a OZ CAMBIO USD " &amp;BK24&amp;" USD T/C "&amp;BJ24</f>
        <v>CPA Fondeo Bice USD a OZ CAMBIO USD 0 USD T/C 949</v>
      </c>
      <c r="BR46" s="3">
        <f>+BL24</f>
        <v>0</v>
      </c>
      <c r="BS46" s="10"/>
      <c r="BX46" s="2"/>
      <c r="CE46" s="9">
        <v>45455</v>
      </c>
      <c r="CF46">
        <v>110205</v>
      </c>
      <c r="CG46" t="s">
        <v>59</v>
      </c>
      <c r="CH46" t="str">
        <f>"CPA Rescate LOCALPAYMENT " &amp; CB13 &amp; " a Bco.Bice USD " &amp; TEXT(BZ13,"#.##0,00") &amp; " T/C " &amp; BY13</f>
        <v>CPA Rescate LOCALPAYMENT USD SET a Bco.Bice USD 0,00 T/C 0</v>
      </c>
      <c r="CI46" s="3">
        <f>+CA13</f>
        <v>0</v>
      </c>
      <c r="CJ46" s="10"/>
      <c r="CO46" s="2"/>
      <c r="CV46" s="9">
        <v>45455</v>
      </c>
      <c r="CW46">
        <v>110205</v>
      </c>
      <c r="CX46" t="s">
        <v>59</v>
      </c>
      <c r="CY46" t="str">
        <f>"CPA Rescate LOCALPAYMENT " &amp; CS13 &amp; " a Bco.Bice USD " &amp; TEXT(CQ13,"#.##0,00") &amp; " T/C " &amp; CP13</f>
        <v>CPA Rescate LOCALPAYMENT USD SET a Bco.Bice USD 0,00 T/C 0</v>
      </c>
      <c r="CZ46" s="3">
        <f>+CR13</f>
        <v>0</v>
      </c>
      <c r="DA46" s="10"/>
      <c r="DF46" s="2"/>
      <c r="DM46" s="9">
        <v>45455</v>
      </c>
      <c r="DN46">
        <v>110205</v>
      </c>
      <c r="DO46" t="s">
        <v>59</v>
      </c>
      <c r="DP46" t="str">
        <f>"CPA Rescate LOCALPAYMENT " &amp; DJ13 &amp; " a Bco.Bice USD " &amp; TEXT(DH13,"#.##0,00") &amp; " T/C " &amp; DG13</f>
        <v>CPA Rescate LOCALPAYMENT USD SET a Bco.Bice USD 0,00 T/C 0</v>
      </c>
      <c r="DQ46" s="3">
        <f>+DI13</f>
        <v>0</v>
      </c>
      <c r="DR46" s="10"/>
    </row>
    <row r="47" spans="2:122" x14ac:dyDescent="0.25">
      <c r="B47" s="2"/>
      <c r="G47" s="11"/>
      <c r="H47" s="12">
        <v>110205</v>
      </c>
      <c r="I47" s="12" t="s">
        <v>59</v>
      </c>
      <c r="J47" s="12" t="str">
        <f>+J46</f>
        <v>CPA Fondeo Bice USD a NIUM 1.160 M USD T/C 949</v>
      </c>
      <c r="K47" s="13"/>
      <c r="L47" s="18">
        <f t="shared" si="5"/>
        <v>1100840000</v>
      </c>
      <c r="Q47" s="2"/>
      <c r="V47" s="11"/>
      <c r="W47" s="12">
        <v>110205</v>
      </c>
      <c r="X47" s="12" t="s">
        <v>59</v>
      </c>
      <c r="Y47" s="12" t="str">
        <f>+Y46</f>
        <v>CPA Fondeo Bice USD a Facilita Pay 0 USD T/C 949</v>
      </c>
      <c r="Z47" s="13"/>
      <c r="AA47" s="18">
        <f t="shared" si="6"/>
        <v>0</v>
      </c>
      <c r="AE47" s="2"/>
      <c r="AJ47" s="11"/>
      <c r="AK47" s="12">
        <v>110205</v>
      </c>
      <c r="AL47" s="12" t="s">
        <v>59</v>
      </c>
      <c r="AM47" s="12" t="str">
        <f>+AM46</f>
        <v>CPA Fondeo Bice USD a JPM COL 0 USD T/C 949.- 23-06-2024</v>
      </c>
      <c r="AN47" s="13"/>
      <c r="AO47" s="18">
        <f t="shared" si="7"/>
        <v>0</v>
      </c>
      <c r="AT47" s="2"/>
      <c r="AY47" s="11"/>
      <c r="AZ47" s="12">
        <v>110276</v>
      </c>
      <c r="BA47" s="12" t="s">
        <v>97</v>
      </c>
      <c r="BB47" s="12" t="str">
        <f>+BB46</f>
        <v>CPA Rescate DLocal a Bco.Bice USD 300K USD T/C 954,39.- 23-06-2024</v>
      </c>
      <c r="BC47" s="13"/>
      <c r="BD47" s="18">
        <f t="shared" si="8"/>
        <v>286317000</v>
      </c>
      <c r="BI47" s="2"/>
      <c r="BN47" s="11"/>
      <c r="BO47" s="12">
        <v>110205</v>
      </c>
      <c r="BP47" s="12" t="s">
        <v>59</v>
      </c>
      <c r="BQ47" s="12" t="str">
        <f>+BQ46</f>
        <v>CPA Fondeo Bice USD a OZ CAMBIO USD 0 USD T/C 949</v>
      </c>
      <c r="BR47" s="13"/>
      <c r="BS47" s="18">
        <f t="shared" ref="BS47" si="179">+BR46</f>
        <v>0</v>
      </c>
      <c r="BX47" s="2"/>
      <c r="CE47" s="20"/>
      <c r="CF47">
        <v>420604</v>
      </c>
      <c r="CG47" t="s">
        <v>164</v>
      </c>
      <c r="CH47" t="str">
        <f t="shared" ref="CH47" si="180">"CPA Comisión bancaria rescate LOCALPAYMENT a Bco.Bice USD"</f>
        <v>CPA Comisión bancaria rescate LOCALPAYMENT a Bco.Bice USD</v>
      </c>
      <c r="CI47" s="3">
        <f>+CC13</f>
        <v>0</v>
      </c>
      <c r="CJ47" s="10"/>
      <c r="CO47" s="2"/>
      <c r="CV47" s="20"/>
      <c r="CW47">
        <v>420604</v>
      </c>
      <c r="CX47" t="s">
        <v>164</v>
      </c>
      <c r="CY47" t="str">
        <f t="shared" ref="CY47" si="181">"CPA Comisión bancaria rescate LOCALPAYMENT a Bco.Bice USD"</f>
        <v>CPA Comisión bancaria rescate LOCALPAYMENT a Bco.Bice USD</v>
      </c>
      <c r="CZ47" s="3">
        <f>+CT13</f>
        <v>0</v>
      </c>
      <c r="DA47" s="10"/>
      <c r="DF47" s="2"/>
      <c r="DM47" s="20"/>
      <c r="DN47">
        <v>420604</v>
      </c>
      <c r="DO47" t="s">
        <v>164</v>
      </c>
      <c r="DP47" t="str">
        <f t="shared" ref="DP47" si="182">"CPA Comisión bancaria rescate LOCALPAYMENT a Bco.Bice USD"</f>
        <v>CPA Comisión bancaria rescate LOCALPAYMENT a Bco.Bice USD</v>
      </c>
      <c r="DQ47" s="3">
        <f>+DK13</f>
        <v>0</v>
      </c>
      <c r="DR47" s="10"/>
    </row>
    <row r="48" spans="2:122" x14ac:dyDescent="0.25">
      <c r="B48" s="2"/>
      <c r="G48" s="15">
        <v>45467</v>
      </c>
      <c r="H48">
        <v>110275</v>
      </c>
      <c r="I48" t="s">
        <v>82</v>
      </c>
      <c r="J48" t="str">
        <f>"CPA Fondeo Bice USD a NIUM " &amp;D25&amp;" USD T/C "&amp;C25</f>
        <v>CPA Fondeo Bice USD a NIUM 740K USD T/C 948,2</v>
      </c>
      <c r="K48" s="3">
        <f>+E25</f>
        <v>701668000</v>
      </c>
      <c r="L48" s="10"/>
      <c r="Q48" s="2"/>
      <c r="V48" s="15">
        <v>45467</v>
      </c>
      <c r="W48">
        <v>110274</v>
      </c>
      <c r="X48" t="s">
        <v>84</v>
      </c>
      <c r="Y48" t="str">
        <f>"CPA Fondeo Bice USD a Facilita Pay " &amp;S25&amp;" USD T/C "&amp;R25</f>
        <v>CPA Fondeo Bice USD a Facilita Pay 0 USD T/C 948,2</v>
      </c>
      <c r="Z48" s="3">
        <f>+T25</f>
        <v>0</v>
      </c>
      <c r="AA48" s="10"/>
      <c r="AE48" s="2"/>
      <c r="AJ48" s="15">
        <v>45467</v>
      </c>
      <c r="AK48">
        <v>110820</v>
      </c>
      <c r="AL48" t="s">
        <v>92</v>
      </c>
      <c r="AM48" t="str">
        <f>"CPA Fondeo Bice USD a JPM COL " &amp;AG25&amp;" USD T/C "&amp;AF25&amp;".- "&amp;TEXT($G48,"dd-mm-aaa")</f>
        <v>CPA Fondeo Bice USD a JPM COL 0 USD T/C 948,2.- 24-06-2024</v>
      </c>
      <c r="AN48" s="3">
        <f>+AH25</f>
        <v>0</v>
      </c>
      <c r="AO48" s="10"/>
      <c r="AT48" s="2"/>
      <c r="AY48" s="15">
        <v>45467</v>
      </c>
      <c r="AZ48">
        <v>110205</v>
      </c>
      <c r="BA48" t="s">
        <v>59</v>
      </c>
      <c r="BB48" t="str">
        <f>"CPA Rescate DLocal a Bco.Bice USD " &amp;AV25&amp;" USD T/C "&amp;AU25&amp;".- "&amp;TEXT($G48,"dd-mm-aaa")</f>
        <v>CPA Rescate DLocal a Bco.Bice USD 0 USD T/C 0.- 24-06-2024</v>
      </c>
      <c r="BC48" s="3">
        <f>+AW25</f>
        <v>0</v>
      </c>
      <c r="BD48" s="10"/>
      <c r="BI48" s="2"/>
      <c r="BN48" s="15">
        <v>45467</v>
      </c>
      <c r="BO48">
        <v>110292</v>
      </c>
      <c r="BP48" t="s">
        <v>142</v>
      </c>
      <c r="BQ48" t="str">
        <f>"CPA Fondeo Bice USD a OZ CAMBIO USD " &amp;BK25&amp;" USD T/C "&amp;BJ25</f>
        <v>CPA Fondeo Bice USD a OZ CAMBIO USD 300K USD T/C 948,2</v>
      </c>
      <c r="BR48" s="3">
        <f>+BL25</f>
        <v>284460000</v>
      </c>
      <c r="BS48" s="10"/>
      <c r="BX48" s="2"/>
      <c r="CE48" s="20"/>
      <c r="CF48">
        <v>110316</v>
      </c>
      <c r="CG48" t="s">
        <v>165</v>
      </c>
      <c r="CH48" t="str">
        <f t="shared" ref="CH48" si="183">+CH47</f>
        <v>CPA Comisión bancaria rescate LOCALPAYMENT a Bco.Bice USD</v>
      </c>
      <c r="CI48" s="3"/>
      <c r="CJ48" s="10">
        <f t="shared" ref="CJ48" si="184">+CI47</f>
        <v>0</v>
      </c>
      <c r="CO48" s="2"/>
      <c r="CV48" s="20"/>
      <c r="CW48">
        <v>110316</v>
      </c>
      <c r="CX48" t="s">
        <v>165</v>
      </c>
      <c r="CY48" t="str">
        <f t="shared" ref="CY48" si="185">+CY47</f>
        <v>CPA Comisión bancaria rescate LOCALPAYMENT a Bco.Bice USD</v>
      </c>
      <c r="CZ48" s="3"/>
      <c r="DA48" s="10">
        <f t="shared" ref="DA48" si="186">+CZ47</f>
        <v>0</v>
      </c>
      <c r="DF48" s="2"/>
      <c r="DM48" s="20"/>
      <c r="DN48">
        <v>110316</v>
      </c>
      <c r="DO48" t="s">
        <v>165</v>
      </c>
      <c r="DP48" t="str">
        <f t="shared" ref="DP48" si="187">+DP47</f>
        <v>CPA Comisión bancaria rescate LOCALPAYMENT a Bco.Bice USD</v>
      </c>
      <c r="DQ48" s="3"/>
      <c r="DR48" s="10">
        <f t="shared" ref="DR48" si="188">+DQ47</f>
        <v>0</v>
      </c>
    </row>
    <row r="49" spans="2:122" x14ac:dyDescent="0.25">
      <c r="B49" s="2"/>
      <c r="G49" s="11"/>
      <c r="H49" s="12">
        <v>110205</v>
      </c>
      <c r="I49" s="12" t="s">
        <v>59</v>
      </c>
      <c r="J49" s="12" t="str">
        <f>+J48</f>
        <v>CPA Fondeo Bice USD a NIUM 740K USD T/C 948,2</v>
      </c>
      <c r="K49" s="13"/>
      <c r="L49" s="18">
        <f t="shared" si="5"/>
        <v>701668000</v>
      </c>
      <c r="Q49" s="2"/>
      <c r="V49" s="11"/>
      <c r="W49" s="12">
        <v>110205</v>
      </c>
      <c r="X49" s="12" t="s">
        <v>59</v>
      </c>
      <c r="Y49" s="12" t="str">
        <f>+Y48</f>
        <v>CPA Fondeo Bice USD a Facilita Pay 0 USD T/C 948,2</v>
      </c>
      <c r="Z49" s="13"/>
      <c r="AA49" s="18">
        <f t="shared" si="6"/>
        <v>0</v>
      </c>
      <c r="AE49" s="2"/>
      <c r="AJ49" s="11"/>
      <c r="AK49" s="12">
        <v>110205</v>
      </c>
      <c r="AL49" s="12" t="s">
        <v>59</v>
      </c>
      <c r="AM49" s="12" t="str">
        <f>+AM48</f>
        <v>CPA Fondeo Bice USD a JPM COL 0 USD T/C 948,2.- 24-06-2024</v>
      </c>
      <c r="AN49" s="13"/>
      <c r="AO49" s="18">
        <f t="shared" si="7"/>
        <v>0</v>
      </c>
      <c r="AT49" s="2"/>
      <c r="AY49" s="11"/>
      <c r="AZ49" s="12">
        <v>110276</v>
      </c>
      <c r="BA49" s="12" t="s">
        <v>97</v>
      </c>
      <c r="BB49" s="12" t="str">
        <f>+BB48</f>
        <v>CPA Rescate DLocal a Bco.Bice USD 0 USD T/C 0.- 24-06-2024</v>
      </c>
      <c r="BC49" s="13"/>
      <c r="BD49" s="18">
        <f t="shared" si="8"/>
        <v>0</v>
      </c>
      <c r="BI49" s="2"/>
      <c r="BN49" s="11"/>
      <c r="BO49" s="12">
        <v>110205</v>
      </c>
      <c r="BP49" s="12" t="s">
        <v>59</v>
      </c>
      <c r="BQ49" s="12" t="str">
        <f>+BQ48</f>
        <v>CPA Fondeo Bice USD a OZ CAMBIO USD 300K USD T/C 948,2</v>
      </c>
      <c r="BR49" s="13"/>
      <c r="BS49" s="18">
        <f t="shared" ref="BS49" si="189">+BR48</f>
        <v>284460000</v>
      </c>
      <c r="BX49" s="2"/>
      <c r="CE49" s="11"/>
      <c r="CF49" s="12">
        <v>110316</v>
      </c>
      <c r="CG49" s="12" t="s">
        <v>165</v>
      </c>
      <c r="CH49" s="12" t="str">
        <f t="shared" ref="CH49" si="190">+CH46</f>
        <v>CPA Rescate LOCALPAYMENT USD SET a Bco.Bice USD 0,00 T/C 0</v>
      </c>
      <c r="CI49" s="13"/>
      <c r="CJ49" s="18">
        <f t="shared" ref="CJ49" si="191">+CI46</f>
        <v>0</v>
      </c>
      <c r="CO49" s="2"/>
      <c r="CV49" s="11"/>
      <c r="CW49" s="12">
        <v>110316</v>
      </c>
      <c r="CX49" s="12" t="s">
        <v>165</v>
      </c>
      <c r="CY49" s="12" t="str">
        <f t="shared" ref="CY49" si="192">+CY46</f>
        <v>CPA Rescate LOCALPAYMENT USD SET a Bco.Bice USD 0,00 T/C 0</v>
      </c>
      <c r="CZ49" s="13"/>
      <c r="DA49" s="18">
        <f t="shared" ref="DA49" si="193">+CZ46</f>
        <v>0</v>
      </c>
      <c r="DF49" s="2"/>
      <c r="DM49" s="11"/>
      <c r="DN49" s="12">
        <v>110316</v>
      </c>
      <c r="DO49" s="12" t="s">
        <v>165</v>
      </c>
      <c r="DP49" s="12" t="str">
        <f t="shared" ref="DP49" si="194">+DP46</f>
        <v>CPA Rescate LOCALPAYMENT USD SET a Bco.Bice USD 0,00 T/C 0</v>
      </c>
      <c r="DQ49" s="13"/>
      <c r="DR49" s="18">
        <f t="shared" ref="DR49" si="195">+DQ46</f>
        <v>0</v>
      </c>
    </row>
    <row r="50" spans="2:122" x14ac:dyDescent="0.25">
      <c r="B50" s="2"/>
      <c r="G50" s="15">
        <v>45468</v>
      </c>
      <c r="H50">
        <v>110275</v>
      </c>
      <c r="I50" t="s">
        <v>82</v>
      </c>
      <c r="J50" t="str">
        <f>"CPA Fondeo Bice USD a NIUM " &amp;D26&amp;" USD T/C "&amp;C26</f>
        <v>CPA Fondeo Bice USD a NIUM 450K USD T/C 945,29</v>
      </c>
      <c r="K50" s="3">
        <f>+E26</f>
        <v>425380500</v>
      </c>
      <c r="L50" s="10"/>
      <c r="Q50" s="2"/>
      <c r="V50" s="15">
        <v>45468</v>
      </c>
      <c r="W50">
        <v>110274</v>
      </c>
      <c r="X50" t="s">
        <v>84</v>
      </c>
      <c r="Y50" t="str">
        <f>"CPA Fondeo Bice USD a Facilita Pay " &amp;S26&amp;" USD T/C "&amp;R26&amp;".- "&amp;TEXT($G50,"dd-mm-aaa")</f>
        <v>CPA Fondeo Bice USD a Facilita Pay 0 USD T/C 945,29.- 25-06-2024</v>
      </c>
      <c r="Z50" s="3">
        <f>+T26</f>
        <v>0</v>
      </c>
      <c r="AA50" s="10"/>
      <c r="AE50" s="2"/>
      <c r="AJ50" s="15">
        <v>45468</v>
      </c>
      <c r="AK50">
        <v>110820</v>
      </c>
      <c r="AL50" t="s">
        <v>92</v>
      </c>
      <c r="AM50" t="str">
        <f>"CPA Fondeo Bice USD a JPM COL " &amp;AG26&amp;" USD T/C "&amp;AF26&amp;".- "&amp;TEXT($G50,"dd-mm-aaa")</f>
        <v>CPA Fondeo Bice USD a JPM COL 0 USD T/C 945,29.- 25-06-2024</v>
      </c>
      <c r="AN50" s="3">
        <f>+AH26</f>
        <v>0</v>
      </c>
      <c r="AO50" s="10"/>
      <c r="AT50" s="2"/>
      <c r="AY50" s="15">
        <v>45468</v>
      </c>
      <c r="AZ50">
        <v>110205</v>
      </c>
      <c r="BA50" t="s">
        <v>59</v>
      </c>
      <c r="BB50" t="str">
        <f>"CPA Rescate DLocal a Bco.Bice USD " &amp;AV26&amp;" USD T/C "&amp;AU26&amp;".- "&amp;TEXT($G50,"dd-mm-aaa")</f>
        <v>CPA Rescate DLocal a Bco.Bice USD 0 USD T/C 0.- 25-06-2024</v>
      </c>
      <c r="BC50" s="3">
        <f>+AW26</f>
        <v>0</v>
      </c>
      <c r="BD50" s="10"/>
      <c r="BI50" s="2"/>
      <c r="BN50" s="15">
        <v>45468</v>
      </c>
      <c r="BO50">
        <v>110292</v>
      </c>
      <c r="BP50" t="s">
        <v>142</v>
      </c>
      <c r="BQ50" t="str">
        <f>"CPA Fondeo Bice USD a OZ CAMBIO USD " &amp;BK26&amp;" USD T/C "&amp;BJ26</f>
        <v>CPA Fondeo Bice USD a OZ CAMBIO USD 0 USD T/C 945,29</v>
      </c>
      <c r="BR50" s="3">
        <f>+BL26</f>
        <v>0</v>
      </c>
      <c r="BS50" s="10"/>
      <c r="BX50" s="2"/>
      <c r="CE50" s="9">
        <v>45456</v>
      </c>
      <c r="CF50">
        <v>110205</v>
      </c>
      <c r="CG50" t="s">
        <v>59</v>
      </c>
      <c r="CH50" t="str">
        <f>"CPA Rescate LOCALPAYMENT " &amp; CB14 &amp; " a Bco.Bice USD " &amp; TEXT(BZ14,"#.##0,00") &amp; " T/C " &amp; BY14</f>
        <v>CPA Rescate LOCALPAYMENT USD SET a Bco.Bice USD 0,00 T/C 0</v>
      </c>
      <c r="CI50" s="3">
        <f>+CA14</f>
        <v>0</v>
      </c>
      <c r="CJ50" s="10"/>
      <c r="CO50" s="2"/>
      <c r="CV50" s="9">
        <v>45456</v>
      </c>
      <c r="CW50">
        <v>110205</v>
      </c>
      <c r="CX50" t="s">
        <v>59</v>
      </c>
      <c r="CY50" t="str">
        <f>"CPA Rescate LOCALPAYMENT " &amp; CS14 &amp; " a Bco.Bice USD " &amp; TEXT(CQ14,"#.##0,00") &amp; " T/C " &amp; CP14</f>
        <v>CPA Rescate LOCALPAYMENT USD SET a Bco.Bice USD 0,00 T/C 0</v>
      </c>
      <c r="CZ50" s="3">
        <f>+CR14</f>
        <v>0</v>
      </c>
      <c r="DA50" s="10"/>
      <c r="DF50" s="2"/>
      <c r="DM50" s="9">
        <v>45456</v>
      </c>
      <c r="DN50">
        <v>110205</v>
      </c>
      <c r="DO50" t="s">
        <v>59</v>
      </c>
      <c r="DP50" t="str">
        <f>"CPA Rescate LOCALPAYMENT " &amp; DJ14 &amp; " a Bco.Bice USD " &amp; TEXT(DH14,"#.##0,00") &amp; " T/C " &amp; DG14</f>
        <v>CPA Rescate LOCALPAYMENT USD SET a Bco.Bice USD 0,00 T/C 0</v>
      </c>
      <c r="DQ50" s="3">
        <f>+DI14</f>
        <v>0</v>
      </c>
      <c r="DR50" s="10"/>
    </row>
    <row r="51" spans="2:122" x14ac:dyDescent="0.25">
      <c r="B51" s="2"/>
      <c r="G51" s="11"/>
      <c r="H51" s="12">
        <v>110205</v>
      </c>
      <c r="I51" s="12" t="s">
        <v>59</v>
      </c>
      <c r="J51" s="12" t="str">
        <f>+J50</f>
        <v>CPA Fondeo Bice USD a NIUM 450K USD T/C 945,29</v>
      </c>
      <c r="K51" s="13"/>
      <c r="L51" s="18">
        <f t="shared" si="5"/>
        <v>425380500</v>
      </c>
      <c r="Q51" s="2"/>
      <c r="V51" s="11"/>
      <c r="W51" s="12">
        <v>110205</v>
      </c>
      <c r="X51" s="12" t="s">
        <v>59</v>
      </c>
      <c r="Y51" s="12" t="str">
        <f>+Y50</f>
        <v>CPA Fondeo Bice USD a Facilita Pay 0 USD T/C 945,29.- 25-06-2024</v>
      </c>
      <c r="Z51" s="13"/>
      <c r="AA51" s="18">
        <f t="shared" si="6"/>
        <v>0</v>
      </c>
      <c r="AE51" s="2"/>
      <c r="AJ51" s="11"/>
      <c r="AK51" s="12">
        <v>110205</v>
      </c>
      <c r="AL51" s="12" t="s">
        <v>59</v>
      </c>
      <c r="AM51" s="12" t="str">
        <f>+AM50</f>
        <v>CPA Fondeo Bice USD a JPM COL 0 USD T/C 945,29.- 25-06-2024</v>
      </c>
      <c r="AN51" s="13"/>
      <c r="AO51" s="18">
        <f t="shared" si="7"/>
        <v>0</v>
      </c>
      <c r="AT51" s="2"/>
      <c r="AY51" s="11"/>
      <c r="AZ51" s="12">
        <v>110276</v>
      </c>
      <c r="BA51" s="12" t="s">
        <v>97</v>
      </c>
      <c r="BB51" s="12" t="str">
        <f>+BB50</f>
        <v>CPA Rescate DLocal a Bco.Bice USD 0 USD T/C 0.- 25-06-2024</v>
      </c>
      <c r="BC51" s="13"/>
      <c r="BD51" s="18">
        <f t="shared" si="8"/>
        <v>0</v>
      </c>
      <c r="BI51" s="2"/>
      <c r="BN51" s="11"/>
      <c r="BO51" s="12">
        <v>110205</v>
      </c>
      <c r="BP51" s="12" t="s">
        <v>59</v>
      </c>
      <c r="BQ51" s="12" t="str">
        <f>+BQ50</f>
        <v>CPA Fondeo Bice USD a OZ CAMBIO USD 0 USD T/C 945,29</v>
      </c>
      <c r="BR51" s="13"/>
      <c r="BS51" s="18">
        <f t="shared" ref="BS51" si="196">+BR50</f>
        <v>0</v>
      </c>
      <c r="BX51" s="2"/>
      <c r="CE51" s="20"/>
      <c r="CF51">
        <v>420604</v>
      </c>
      <c r="CG51" t="s">
        <v>164</v>
      </c>
      <c r="CH51" t="str">
        <f t="shared" ref="CH51" si="197">"CPA Comisión bancaria rescate LOCALPAYMENT a Bco.Bice USD"</f>
        <v>CPA Comisión bancaria rescate LOCALPAYMENT a Bco.Bice USD</v>
      </c>
      <c r="CI51" s="3">
        <f>+CC14</f>
        <v>0</v>
      </c>
      <c r="CJ51" s="10"/>
      <c r="CO51" s="2"/>
      <c r="CV51" s="20"/>
      <c r="CW51">
        <v>420604</v>
      </c>
      <c r="CX51" t="s">
        <v>164</v>
      </c>
      <c r="CY51" t="str">
        <f t="shared" ref="CY51" si="198">"CPA Comisión bancaria rescate LOCALPAYMENT a Bco.Bice USD"</f>
        <v>CPA Comisión bancaria rescate LOCALPAYMENT a Bco.Bice USD</v>
      </c>
      <c r="CZ51" s="3">
        <f>+CT14</f>
        <v>0</v>
      </c>
      <c r="DA51" s="10"/>
      <c r="DF51" s="2"/>
      <c r="DM51" s="20"/>
      <c r="DN51">
        <v>420604</v>
      </c>
      <c r="DO51" t="s">
        <v>164</v>
      </c>
      <c r="DP51" t="str">
        <f t="shared" ref="DP51" si="199">"CPA Comisión bancaria rescate LOCALPAYMENT a Bco.Bice USD"</f>
        <v>CPA Comisión bancaria rescate LOCALPAYMENT a Bco.Bice USD</v>
      </c>
      <c r="DQ51" s="3">
        <f>+DK14</f>
        <v>0</v>
      </c>
      <c r="DR51" s="10"/>
    </row>
    <row r="52" spans="2:122" x14ac:dyDescent="0.25">
      <c r="B52" s="2"/>
      <c r="G52" s="15">
        <v>45469</v>
      </c>
      <c r="H52">
        <v>110275</v>
      </c>
      <c r="I52" t="s">
        <v>82</v>
      </c>
      <c r="J52" t="str">
        <f>"CPA Fondeo Bice USD a NIUM " &amp;D27&amp;" USD T/C "&amp;C27</f>
        <v>CPA Fondeo Bice USD a NIUM 0 USD T/C 945,29</v>
      </c>
      <c r="K52" s="3">
        <f>+E27</f>
        <v>0</v>
      </c>
      <c r="L52" s="10"/>
      <c r="Q52" s="2"/>
      <c r="V52" s="15">
        <v>45469</v>
      </c>
      <c r="W52">
        <v>110274</v>
      </c>
      <c r="X52" t="s">
        <v>84</v>
      </c>
      <c r="Y52" t="str">
        <f>"CPA Fondeo Bice USD a Facilita Pay " &amp;S27&amp;" USD T/C "&amp;R27&amp;".- "&amp;TEXT($G52,"dd-mm-aaa")</f>
        <v>CPA Fondeo Bice USD a Facilita Pay 0 USD T/C 945,29.- 26-06-2024</v>
      </c>
      <c r="Z52" s="3">
        <f>+T27</f>
        <v>0</v>
      </c>
      <c r="AA52" s="10"/>
      <c r="AE52" s="2"/>
      <c r="AJ52" s="15">
        <v>45469</v>
      </c>
      <c r="AK52">
        <v>110820</v>
      </c>
      <c r="AL52" t="s">
        <v>92</v>
      </c>
      <c r="AM52" t="str">
        <f>"CPA Fondeo Bice USD a JPM COL " &amp;AG27&amp;" USD T/C "&amp;AF27&amp;".- "&amp;TEXT($G52,"dd-mm-aaa")</f>
        <v>CPA Fondeo Bice USD a JPM COL 0 USD T/C 945,29.- 26-06-2024</v>
      </c>
      <c r="AN52" s="3">
        <f>+AH27</f>
        <v>0</v>
      </c>
      <c r="AO52" s="10"/>
      <c r="AT52" s="2"/>
      <c r="AY52" s="15">
        <v>45469</v>
      </c>
      <c r="AZ52">
        <v>110205</v>
      </c>
      <c r="BA52" t="s">
        <v>59</v>
      </c>
      <c r="BB52" t="str">
        <f>"CPA Rescate DLocal a Bco.Bice USD " &amp;AV27&amp;" USD T/C "&amp;AU27&amp;".- "&amp;TEXT($G52,"dd-mm-aaa")</f>
        <v>CPA Rescate DLocal a Bco.Bice USD 0 USD T/C 0.- 26-06-2024</v>
      </c>
      <c r="BC52" s="3">
        <f>+AW27</f>
        <v>0</v>
      </c>
      <c r="BD52" s="10"/>
      <c r="BI52" s="2"/>
      <c r="BN52" s="15">
        <v>45469</v>
      </c>
      <c r="BO52">
        <v>110292</v>
      </c>
      <c r="BP52" t="s">
        <v>142</v>
      </c>
      <c r="BQ52" t="str">
        <f>"CPA Fondeo Bice USD a OZ CAMBIO USD " &amp;BK27&amp;" USD T/C "&amp;BJ27</f>
        <v>CPA Fondeo Bice USD a OZ CAMBIO USD 0 USD T/C 945,29</v>
      </c>
      <c r="BR52" s="3">
        <f>+BL27</f>
        <v>0</v>
      </c>
      <c r="BS52" s="10"/>
      <c r="BX52" s="2"/>
      <c r="CE52" s="20"/>
      <c r="CF52">
        <v>110316</v>
      </c>
      <c r="CG52" t="s">
        <v>165</v>
      </c>
      <c r="CH52" t="str">
        <f t="shared" ref="CH52" si="200">+CH51</f>
        <v>CPA Comisión bancaria rescate LOCALPAYMENT a Bco.Bice USD</v>
      </c>
      <c r="CI52" s="3"/>
      <c r="CJ52" s="10">
        <f t="shared" ref="CJ52" si="201">+CI51</f>
        <v>0</v>
      </c>
      <c r="CO52" s="2"/>
      <c r="CV52" s="20"/>
      <c r="CW52">
        <v>110316</v>
      </c>
      <c r="CX52" t="s">
        <v>165</v>
      </c>
      <c r="CY52" t="str">
        <f t="shared" ref="CY52" si="202">+CY51</f>
        <v>CPA Comisión bancaria rescate LOCALPAYMENT a Bco.Bice USD</v>
      </c>
      <c r="CZ52" s="3"/>
      <c r="DA52" s="10">
        <f t="shared" ref="DA52" si="203">+CZ51</f>
        <v>0</v>
      </c>
      <c r="DF52" s="2"/>
      <c r="DM52" s="20"/>
      <c r="DN52">
        <v>110316</v>
      </c>
      <c r="DO52" t="s">
        <v>165</v>
      </c>
      <c r="DP52" t="str">
        <f t="shared" ref="DP52" si="204">+DP51</f>
        <v>CPA Comisión bancaria rescate LOCALPAYMENT a Bco.Bice USD</v>
      </c>
      <c r="DQ52" s="3"/>
      <c r="DR52" s="10">
        <f t="shared" ref="DR52" si="205">+DQ51</f>
        <v>0</v>
      </c>
    </row>
    <row r="53" spans="2:122" x14ac:dyDescent="0.25">
      <c r="B53" s="2"/>
      <c r="G53" s="11"/>
      <c r="H53" s="12">
        <v>110205</v>
      </c>
      <c r="I53" s="12" t="s">
        <v>59</v>
      </c>
      <c r="J53" s="12" t="str">
        <f>+J52</f>
        <v>CPA Fondeo Bice USD a NIUM 0 USD T/C 945,29</v>
      </c>
      <c r="K53" s="13"/>
      <c r="L53" s="18">
        <f t="shared" si="5"/>
        <v>0</v>
      </c>
      <c r="Q53" s="2"/>
      <c r="V53" s="11"/>
      <c r="W53" s="12">
        <v>110205</v>
      </c>
      <c r="X53" s="12" t="s">
        <v>59</v>
      </c>
      <c r="Y53" s="12" t="str">
        <f>+Y52</f>
        <v>CPA Fondeo Bice USD a Facilita Pay 0 USD T/C 945,29.- 26-06-2024</v>
      </c>
      <c r="Z53" s="13"/>
      <c r="AA53" s="18">
        <f t="shared" si="6"/>
        <v>0</v>
      </c>
      <c r="AE53" s="2"/>
      <c r="AJ53" s="11"/>
      <c r="AK53" s="12">
        <v>110205</v>
      </c>
      <c r="AL53" s="12" t="s">
        <v>59</v>
      </c>
      <c r="AM53" s="12" t="str">
        <f>+AM52</f>
        <v>CPA Fondeo Bice USD a JPM COL 0 USD T/C 945,29.- 26-06-2024</v>
      </c>
      <c r="AN53" s="13"/>
      <c r="AO53" s="18">
        <f t="shared" si="7"/>
        <v>0</v>
      </c>
      <c r="AT53" s="2"/>
      <c r="AY53" s="11"/>
      <c r="AZ53" s="12">
        <v>110276</v>
      </c>
      <c r="BA53" s="12" t="s">
        <v>97</v>
      </c>
      <c r="BB53" s="12" t="str">
        <f>+BB52</f>
        <v>CPA Rescate DLocal a Bco.Bice USD 0 USD T/C 0.- 26-06-2024</v>
      </c>
      <c r="BC53" s="13"/>
      <c r="BD53" s="18">
        <f t="shared" si="8"/>
        <v>0</v>
      </c>
      <c r="BI53" s="2"/>
      <c r="BN53" s="11"/>
      <c r="BO53" s="12">
        <v>110205</v>
      </c>
      <c r="BP53" s="12" t="s">
        <v>59</v>
      </c>
      <c r="BQ53" s="12" t="str">
        <f>+BQ52</f>
        <v>CPA Fondeo Bice USD a OZ CAMBIO USD 0 USD T/C 945,29</v>
      </c>
      <c r="BR53" s="13"/>
      <c r="BS53" s="18">
        <f t="shared" ref="BS53" si="206">+BR52</f>
        <v>0</v>
      </c>
      <c r="BX53" s="2"/>
      <c r="CE53" s="11"/>
      <c r="CF53" s="12">
        <v>110316</v>
      </c>
      <c r="CG53" s="12" t="s">
        <v>165</v>
      </c>
      <c r="CH53" s="12" t="str">
        <f t="shared" ref="CH53" si="207">+CH50</f>
        <v>CPA Rescate LOCALPAYMENT USD SET a Bco.Bice USD 0,00 T/C 0</v>
      </c>
      <c r="CI53" s="13"/>
      <c r="CJ53" s="18">
        <f t="shared" ref="CJ53" si="208">+CI50</f>
        <v>0</v>
      </c>
      <c r="CO53" s="2"/>
      <c r="CV53" s="11"/>
      <c r="CW53" s="12">
        <v>110316</v>
      </c>
      <c r="CX53" s="12" t="s">
        <v>165</v>
      </c>
      <c r="CY53" s="12" t="str">
        <f t="shared" ref="CY53" si="209">+CY50</f>
        <v>CPA Rescate LOCALPAYMENT USD SET a Bco.Bice USD 0,00 T/C 0</v>
      </c>
      <c r="CZ53" s="13"/>
      <c r="DA53" s="18">
        <f t="shared" ref="DA53" si="210">+CZ50</f>
        <v>0</v>
      </c>
      <c r="DF53" s="2"/>
      <c r="DM53" s="11"/>
      <c r="DN53" s="12">
        <v>110316</v>
      </c>
      <c r="DO53" s="12" t="s">
        <v>165</v>
      </c>
      <c r="DP53" s="12" t="str">
        <f t="shared" ref="DP53" si="211">+DP50</f>
        <v>CPA Rescate LOCALPAYMENT USD SET a Bco.Bice USD 0,00 T/C 0</v>
      </c>
      <c r="DQ53" s="13"/>
      <c r="DR53" s="18">
        <f t="shared" ref="DR53" si="212">+DQ50</f>
        <v>0</v>
      </c>
    </row>
    <row r="54" spans="2:122" x14ac:dyDescent="0.25">
      <c r="B54" s="2"/>
      <c r="G54" s="15">
        <v>45470</v>
      </c>
      <c r="H54">
        <v>110275</v>
      </c>
      <c r="I54" t="s">
        <v>82</v>
      </c>
      <c r="J54" t="str">
        <f>"CPA Fondeo Bice USD a NIUM " &amp;D28&amp;" USD T/C "&amp;C28</f>
        <v>CPA Fondeo Bice USD a NIUM 0 USD T/C 945,29</v>
      </c>
      <c r="K54" s="3">
        <f>+E28</f>
        <v>0</v>
      </c>
      <c r="L54" s="10"/>
      <c r="Q54" s="2"/>
      <c r="V54" s="15">
        <v>45470</v>
      </c>
      <c r="W54">
        <v>110274</v>
      </c>
      <c r="X54" t="s">
        <v>84</v>
      </c>
      <c r="Y54" t="str">
        <f>"CPA Fondeo Bice USD a Facilita Pay " &amp;S28&amp;" USD T/C "&amp;R28&amp;".- "&amp;TEXT($G54,"dd-mm-aaa")</f>
        <v>CPA Fondeo Bice USD a Facilita Pay 0 USD T/C 945,29.- 27-06-2024</v>
      </c>
      <c r="Z54" s="3">
        <f>+T28</f>
        <v>0</v>
      </c>
      <c r="AA54" s="10"/>
      <c r="AE54" s="2"/>
      <c r="AJ54" s="15">
        <v>45470</v>
      </c>
      <c r="AK54">
        <v>110820</v>
      </c>
      <c r="AL54" t="s">
        <v>92</v>
      </c>
      <c r="AM54" t="str">
        <f>"CPA Fondeo Bice USD a JPM COL " &amp;AG28&amp;" USD T/C "&amp;AF28&amp;".- "&amp;TEXT($G54,"dd-mm-aaa")</f>
        <v>CPA Fondeo Bice USD a JPM COL 0 USD T/C 945,29.- 27-06-2024</v>
      </c>
      <c r="AN54" s="3">
        <f>+AH28</f>
        <v>0</v>
      </c>
      <c r="AO54" s="10"/>
      <c r="AT54" s="2"/>
      <c r="AY54" s="15">
        <v>45470</v>
      </c>
      <c r="AZ54">
        <v>110205</v>
      </c>
      <c r="BA54" t="s">
        <v>59</v>
      </c>
      <c r="BB54" t="str">
        <f>"CPA Rescate DLocal a Bco.Bice USD " &amp;AV28&amp;" USD T/C "&amp;AU28&amp;".- "&amp;TEXT($G54,"dd-mm-aaa")</f>
        <v>CPA Rescate DLocal a Bco.Bice USD 0 USD T/C 0.- 27-06-2024</v>
      </c>
      <c r="BC54" s="3">
        <f>+AW28</f>
        <v>0</v>
      </c>
      <c r="BD54" s="10"/>
      <c r="BI54" s="2"/>
      <c r="BN54" s="15">
        <v>45470</v>
      </c>
      <c r="BO54">
        <v>110292</v>
      </c>
      <c r="BP54" t="s">
        <v>142</v>
      </c>
      <c r="BQ54" t="str">
        <f>"CPA Fondeo Bice USD a OZ CAMBIO USD " &amp;BK28&amp;" USD T/C "&amp;BJ28</f>
        <v>CPA Fondeo Bice USD a OZ CAMBIO USD 0 USD T/C 945,29</v>
      </c>
      <c r="BR54" s="3">
        <f>+BL28</f>
        <v>0</v>
      </c>
      <c r="BS54" s="10"/>
      <c r="BX54" s="2"/>
      <c r="CE54" s="9">
        <v>45457</v>
      </c>
      <c r="CF54">
        <v>110205</v>
      </c>
      <c r="CG54" t="s">
        <v>59</v>
      </c>
      <c r="CH54" t="str">
        <f>"CPA Rescate LOCALPAYMENT " &amp; CB15 &amp; " a Bco.Bice USD " &amp; TEXT(BZ15,"#.##0,00") &amp; " T/C " &amp; BY15</f>
        <v>CPA Rescate LOCALPAYMENT USD SET a Bco.Bice USD 616.359,00 T/C 931,26</v>
      </c>
      <c r="CI54" s="3">
        <f>+CA15</f>
        <v>573990482.34000003</v>
      </c>
      <c r="CJ54" s="10"/>
      <c r="CO54" s="2"/>
      <c r="CV54" s="9">
        <v>45457</v>
      </c>
      <c r="CW54">
        <v>110205</v>
      </c>
      <c r="CX54" t="s">
        <v>59</v>
      </c>
      <c r="CY54" t="str">
        <f>"CPA Rescate LOCALPAYMENT " &amp; CS15 &amp; " a Bco.Bice USD " &amp; TEXT(CQ15,"#.##0,00") &amp; " T/C " &amp; CP15</f>
        <v>CPA Rescate LOCALPAYMENT USD SET a Bco.Bice USD 616.359,00 T/C 931,26</v>
      </c>
      <c r="CZ54" s="3">
        <f>+CR15</f>
        <v>573990482.34000003</v>
      </c>
      <c r="DA54" s="10"/>
      <c r="DF54" s="2"/>
      <c r="DM54" s="9">
        <v>45457</v>
      </c>
      <c r="DN54">
        <v>110205</v>
      </c>
      <c r="DO54" t="s">
        <v>59</v>
      </c>
      <c r="DP54" t="str">
        <f>"CPA Rescate LOCALPAYMENT " &amp; DJ15 &amp; " a Bco.Bice USD " &amp; TEXT(DH15,"#.##0,00") &amp; " T/C " &amp; DG15</f>
        <v>CPA Rescate LOCALPAYMENT USD SET a Bco.Bice USD 716.797,02 T/C 931,26</v>
      </c>
      <c r="DQ54" s="3">
        <f>+DI15</f>
        <v>667524392.84520006</v>
      </c>
      <c r="DR54" s="10"/>
    </row>
    <row r="55" spans="2:122" x14ac:dyDescent="0.25">
      <c r="B55" s="2"/>
      <c r="G55" s="11"/>
      <c r="H55" s="12">
        <v>110205</v>
      </c>
      <c r="I55" s="12" t="s">
        <v>59</v>
      </c>
      <c r="J55" s="12" t="str">
        <f>+J54</f>
        <v>CPA Fondeo Bice USD a NIUM 0 USD T/C 945,29</v>
      </c>
      <c r="K55" s="13"/>
      <c r="L55" s="18">
        <f t="shared" si="5"/>
        <v>0</v>
      </c>
      <c r="Q55" s="2"/>
      <c r="V55" s="11"/>
      <c r="W55" s="12">
        <v>110205</v>
      </c>
      <c r="X55" s="12" t="s">
        <v>59</v>
      </c>
      <c r="Y55" s="12" t="str">
        <f>+Y54</f>
        <v>CPA Fondeo Bice USD a Facilita Pay 0 USD T/C 945,29.- 27-06-2024</v>
      </c>
      <c r="Z55" s="13"/>
      <c r="AA55" s="18">
        <f t="shared" si="6"/>
        <v>0</v>
      </c>
      <c r="AE55" s="2"/>
      <c r="AJ55" s="11"/>
      <c r="AK55" s="12">
        <v>110205</v>
      </c>
      <c r="AL55" s="12" t="s">
        <v>59</v>
      </c>
      <c r="AM55" s="12" t="str">
        <f>+AM54</f>
        <v>CPA Fondeo Bice USD a JPM COL 0 USD T/C 945,29.- 27-06-2024</v>
      </c>
      <c r="AN55" s="13"/>
      <c r="AO55" s="18">
        <f t="shared" si="7"/>
        <v>0</v>
      </c>
      <c r="AT55" s="2"/>
      <c r="AY55" s="11"/>
      <c r="AZ55" s="12">
        <v>110276</v>
      </c>
      <c r="BA55" s="12" t="s">
        <v>97</v>
      </c>
      <c r="BB55" s="12" t="str">
        <f>+BB54</f>
        <v>CPA Rescate DLocal a Bco.Bice USD 0 USD T/C 0.- 27-06-2024</v>
      </c>
      <c r="BC55" s="13"/>
      <c r="BD55" s="18">
        <f t="shared" si="8"/>
        <v>0</v>
      </c>
      <c r="BI55" s="2"/>
      <c r="BN55" s="11"/>
      <c r="BO55" s="12">
        <v>110205</v>
      </c>
      <c r="BP55" s="12" t="s">
        <v>59</v>
      </c>
      <c r="BQ55" s="12" t="str">
        <f>+BQ54</f>
        <v>CPA Fondeo Bice USD a OZ CAMBIO USD 0 USD T/C 945,29</v>
      </c>
      <c r="BR55" s="13"/>
      <c r="BS55" s="18">
        <f t="shared" ref="BS55" si="213">+BR54</f>
        <v>0</v>
      </c>
      <c r="BX55" s="2"/>
      <c r="CE55" s="20"/>
      <c r="CF55">
        <v>420604</v>
      </c>
      <c r="CG55" t="s">
        <v>164</v>
      </c>
      <c r="CH55" t="str">
        <f t="shared" ref="CH55" si="214">"CPA Comisión bancaria rescate LOCALPAYMENT a Bco.Bice USD"</f>
        <v>CPA Comisión bancaria rescate LOCALPAYMENT a Bco.Bice USD</v>
      </c>
      <c r="CI55" s="3">
        <f>+CC15</f>
        <v>0</v>
      </c>
      <c r="CJ55" s="10"/>
      <c r="CO55" s="2"/>
      <c r="CV55" s="20"/>
      <c r="CW55">
        <v>420604</v>
      </c>
      <c r="CX55" t="s">
        <v>164</v>
      </c>
      <c r="CY55" t="str">
        <f t="shared" ref="CY55" si="215">"CPA Comisión bancaria rescate LOCALPAYMENT a Bco.Bice USD"</f>
        <v>CPA Comisión bancaria rescate LOCALPAYMENT a Bco.Bice USD</v>
      </c>
      <c r="CZ55" s="3">
        <f>+CT15</f>
        <v>0</v>
      </c>
      <c r="DA55" s="10"/>
      <c r="DF55" s="2"/>
      <c r="DM55" s="20"/>
      <c r="DN55">
        <v>420604</v>
      </c>
      <c r="DO55" t="s">
        <v>164</v>
      </c>
      <c r="DP55" t="str">
        <f t="shared" ref="DP55" si="216">"CPA Comisión bancaria rescate LOCALPAYMENT a Bco.Bice USD"</f>
        <v>CPA Comisión bancaria rescate LOCALPAYMENT a Bco.Bice USD</v>
      </c>
      <c r="DQ55" s="3">
        <f>+DK15</f>
        <v>9312.6</v>
      </c>
      <c r="DR55" s="10"/>
    </row>
    <row r="56" spans="2:122" x14ac:dyDescent="0.25">
      <c r="B56" s="2"/>
      <c r="G56" s="15">
        <v>45471</v>
      </c>
      <c r="H56">
        <v>110275</v>
      </c>
      <c r="I56" t="s">
        <v>82</v>
      </c>
      <c r="J56" t="str">
        <f>"CPA Fondeo Bice USD a NIUM " &amp;D29&amp;" USD T/C "&amp;C29</f>
        <v>CPA Fondeo Bice USD a NIUM 0 USD T/C 949,34</v>
      </c>
      <c r="K56" s="3">
        <f>+E29</f>
        <v>0</v>
      </c>
      <c r="L56" s="10"/>
      <c r="Q56" s="2"/>
      <c r="V56" s="15">
        <v>45471</v>
      </c>
      <c r="W56">
        <v>110274</v>
      </c>
      <c r="X56" t="s">
        <v>84</v>
      </c>
      <c r="Y56" t="str">
        <f>"CPA Fondeo Bice USD a Facilita Pay " &amp;S29&amp;" USD T/C "&amp;R29&amp;".- "&amp;TEXT($G56,"dd-mm-aaa")</f>
        <v>CPA Fondeo Bice USD a Facilita Pay 0 USD T/C 949,34.- 28-06-2024</v>
      </c>
      <c r="Z56" s="3">
        <f>+T29</f>
        <v>0</v>
      </c>
      <c r="AA56" s="10"/>
      <c r="AE56" s="2"/>
      <c r="AJ56" s="15">
        <v>45471</v>
      </c>
      <c r="AK56">
        <v>110820</v>
      </c>
      <c r="AL56" t="s">
        <v>92</v>
      </c>
      <c r="AM56" t="str">
        <f>"CPA Fondeo Bice USD a JPM COL " &amp;AG29&amp;" USD T/C "&amp;AF29&amp;".- "&amp;TEXT($G56,"dd-mm-aaa")</f>
        <v>CPA Fondeo Bice USD a JPM COL 1.105 M USD T/C 949,34.- 28-06-2024</v>
      </c>
      <c r="AN56" s="3">
        <f>+AH29</f>
        <v>1049020700</v>
      </c>
      <c r="AO56" s="10"/>
      <c r="AT56" s="2"/>
      <c r="AY56" s="15">
        <v>45471</v>
      </c>
      <c r="AZ56">
        <v>110205</v>
      </c>
      <c r="BA56" t="s">
        <v>59</v>
      </c>
      <c r="BB56" t="str">
        <f>"CPA Rescate DLocal a Bco.Bice USD " &amp;AV29&amp;" USD T/C "&amp;AU29&amp;".- "&amp;TEXT($G56,"dd-mm-aaa")</f>
        <v>CPA Rescate DLocal a Bco.Bice USD 0 USD T/C 0.- 28-06-2024</v>
      </c>
      <c r="BC56" s="3">
        <f>+AW29</f>
        <v>0</v>
      </c>
      <c r="BD56" s="10"/>
      <c r="BI56" s="2"/>
      <c r="BN56" s="15">
        <v>45471</v>
      </c>
      <c r="BO56">
        <v>110292</v>
      </c>
      <c r="BP56" t="s">
        <v>142</v>
      </c>
      <c r="BQ56" t="str">
        <f>"CPA Fondeo Bice USD a OZ CAMBIO USD " &amp;BK29&amp;" USD T/C "&amp;BJ29</f>
        <v>CPA Fondeo Bice USD a OZ CAMBIO USD 300K USD T/C 949,34</v>
      </c>
      <c r="BR56" s="3">
        <f>+BL29</f>
        <v>284802000</v>
      </c>
      <c r="BS56" s="10"/>
      <c r="BX56" s="2"/>
      <c r="CE56" s="20"/>
      <c r="CF56">
        <v>110316</v>
      </c>
      <c r="CG56" t="s">
        <v>165</v>
      </c>
      <c r="CH56" t="str">
        <f t="shared" ref="CH56" si="217">+CH55</f>
        <v>CPA Comisión bancaria rescate LOCALPAYMENT a Bco.Bice USD</v>
      </c>
      <c r="CI56" s="3"/>
      <c r="CJ56" s="10">
        <f t="shared" ref="CJ56" si="218">+CI55</f>
        <v>0</v>
      </c>
      <c r="CO56" s="2"/>
      <c r="CV56" s="20"/>
      <c r="CW56">
        <v>110316</v>
      </c>
      <c r="CX56" t="s">
        <v>165</v>
      </c>
      <c r="CY56" t="str">
        <f t="shared" ref="CY56" si="219">+CY55</f>
        <v>CPA Comisión bancaria rescate LOCALPAYMENT a Bco.Bice USD</v>
      </c>
      <c r="CZ56" s="3"/>
      <c r="DA56" s="10">
        <f t="shared" ref="DA56" si="220">+CZ55</f>
        <v>0</v>
      </c>
      <c r="DF56" s="2"/>
      <c r="DM56" s="20"/>
      <c r="DN56">
        <v>110316</v>
      </c>
      <c r="DO56" t="s">
        <v>165</v>
      </c>
      <c r="DP56" t="str">
        <f t="shared" ref="DP56" si="221">+DP55</f>
        <v>CPA Comisión bancaria rescate LOCALPAYMENT a Bco.Bice USD</v>
      </c>
      <c r="DQ56" s="3"/>
      <c r="DR56" s="10">
        <f t="shared" ref="DR56" si="222">+DQ55</f>
        <v>9312.6</v>
      </c>
    </row>
    <row r="57" spans="2:122" x14ac:dyDescent="0.25">
      <c r="B57" s="2"/>
      <c r="G57" s="11"/>
      <c r="H57" s="12">
        <v>110205</v>
      </c>
      <c r="I57" s="12" t="s">
        <v>59</v>
      </c>
      <c r="J57" s="12" t="str">
        <f>+J56</f>
        <v>CPA Fondeo Bice USD a NIUM 0 USD T/C 949,34</v>
      </c>
      <c r="K57" s="13"/>
      <c r="L57" s="18">
        <f t="shared" si="5"/>
        <v>0</v>
      </c>
      <c r="Q57" s="2"/>
      <c r="V57" s="11"/>
      <c r="W57" s="12">
        <v>110205</v>
      </c>
      <c r="X57" s="12" t="s">
        <v>59</v>
      </c>
      <c r="Y57" s="12" t="str">
        <f>+Y56</f>
        <v>CPA Fondeo Bice USD a Facilita Pay 0 USD T/C 949,34.- 28-06-2024</v>
      </c>
      <c r="Z57" s="13"/>
      <c r="AA57" s="18">
        <f t="shared" si="6"/>
        <v>0</v>
      </c>
      <c r="AE57" s="2"/>
      <c r="AJ57" s="11"/>
      <c r="AK57" s="12">
        <v>110205</v>
      </c>
      <c r="AL57" s="12" t="s">
        <v>59</v>
      </c>
      <c r="AM57" s="12" t="str">
        <f>+AM56</f>
        <v>CPA Fondeo Bice USD a JPM COL 1.105 M USD T/C 949,34.- 28-06-2024</v>
      </c>
      <c r="AN57" s="13"/>
      <c r="AO57" s="18">
        <f t="shared" si="7"/>
        <v>1049020700</v>
      </c>
      <c r="AT57" s="2"/>
      <c r="AY57" s="11"/>
      <c r="AZ57" s="12">
        <v>110276</v>
      </c>
      <c r="BA57" s="12" t="s">
        <v>97</v>
      </c>
      <c r="BB57" s="12" t="str">
        <f>+BB56</f>
        <v>CPA Rescate DLocal a Bco.Bice USD 0 USD T/C 0.- 28-06-2024</v>
      </c>
      <c r="BC57" s="13"/>
      <c r="BD57" s="18">
        <f t="shared" si="8"/>
        <v>0</v>
      </c>
      <c r="BI57" s="2"/>
      <c r="BN57" s="11"/>
      <c r="BO57" s="12">
        <v>110205</v>
      </c>
      <c r="BP57" s="12" t="s">
        <v>59</v>
      </c>
      <c r="BQ57" s="12" t="str">
        <f>+BQ56</f>
        <v>CPA Fondeo Bice USD a OZ CAMBIO USD 300K USD T/C 949,34</v>
      </c>
      <c r="BR57" s="13"/>
      <c r="BS57" s="18">
        <f t="shared" ref="BS57" si="223">+BR56</f>
        <v>284802000</v>
      </c>
      <c r="BX57" s="2"/>
      <c r="CE57" s="11"/>
      <c r="CF57" s="12">
        <v>110316</v>
      </c>
      <c r="CG57" s="12" t="s">
        <v>165</v>
      </c>
      <c r="CH57" s="12" t="str">
        <f t="shared" ref="CH57" si="224">+CH54</f>
        <v>CPA Rescate LOCALPAYMENT USD SET a Bco.Bice USD 616.359,00 T/C 931,26</v>
      </c>
      <c r="CI57" s="13"/>
      <c r="CJ57" s="18">
        <f t="shared" ref="CJ57" si="225">+CI54</f>
        <v>573990482.34000003</v>
      </c>
      <c r="CO57" s="2"/>
      <c r="CV57" s="11"/>
      <c r="CW57" s="12">
        <v>110316</v>
      </c>
      <c r="CX57" s="12" t="s">
        <v>165</v>
      </c>
      <c r="CY57" s="12" t="str">
        <f t="shared" ref="CY57" si="226">+CY54</f>
        <v>CPA Rescate LOCALPAYMENT USD SET a Bco.Bice USD 616.359,00 T/C 931,26</v>
      </c>
      <c r="CZ57" s="13"/>
      <c r="DA57" s="18">
        <f t="shared" ref="DA57" si="227">+CZ54</f>
        <v>573990482.34000003</v>
      </c>
      <c r="DF57" s="2"/>
      <c r="DM57" s="11"/>
      <c r="DN57" s="12">
        <v>110316</v>
      </c>
      <c r="DO57" s="12" t="s">
        <v>165</v>
      </c>
      <c r="DP57" s="12" t="str">
        <f t="shared" ref="DP57" si="228">+DP54</f>
        <v>CPA Rescate LOCALPAYMENT USD SET a Bco.Bice USD 716.797,02 T/C 931,26</v>
      </c>
      <c r="DQ57" s="13"/>
      <c r="DR57" s="18">
        <f t="shared" ref="DR57" si="229">+DQ54</f>
        <v>667524392.84520006</v>
      </c>
    </row>
    <row r="58" spans="2:122" x14ac:dyDescent="0.25">
      <c r="G58" s="15">
        <v>45472</v>
      </c>
      <c r="H58">
        <v>110275</v>
      </c>
      <c r="I58" t="s">
        <v>82</v>
      </c>
      <c r="J58" t="str">
        <f>"CPA Fondeo Bice USD a NIUM "&amp;D30&amp;" USD T/C "&amp;C30</f>
        <v>CPA Fondeo Bice USD a NIUM 0 USD T/C 945,88</v>
      </c>
      <c r="K58" s="3">
        <f>+E30</f>
        <v>0</v>
      </c>
      <c r="L58" s="10"/>
      <c r="V58" s="15">
        <v>45472</v>
      </c>
      <c r="W58">
        <v>110274</v>
      </c>
      <c r="X58" t="s">
        <v>84</v>
      </c>
      <c r="Y58" t="str">
        <f>"CPA Fondeo Bice USD a Facilita Pay " &amp;S30&amp;" USD T/C "&amp;R30&amp;".- "&amp;TEXT($G58,"dd-mm-aaa")</f>
        <v>CPA Fondeo Bice USD a Facilita Pay 0 USD T/C 945,88.- 29-06-2024</v>
      </c>
      <c r="Z58" s="3">
        <f>+T30</f>
        <v>0</v>
      </c>
      <c r="AA58" s="10"/>
      <c r="AJ58" s="15">
        <v>45472</v>
      </c>
      <c r="AK58">
        <v>110820</v>
      </c>
      <c r="AL58" t="s">
        <v>92</v>
      </c>
      <c r="AM58" t="str">
        <f>"CPA Fondeo Bice USD a JPM COL " &amp;AG30&amp;" USD T/C "&amp;AF30&amp;".- "&amp;TEXT($G58,"dd-mm-aaa")</f>
        <v>CPA Fondeo Bice USD a JPM COL 650K USD T/C 945,88.- 29-06-2024</v>
      </c>
      <c r="AN58" s="3">
        <f>+AH30</f>
        <v>614822000</v>
      </c>
      <c r="AO58" s="10"/>
      <c r="AY58" s="15">
        <v>45472</v>
      </c>
      <c r="AZ58">
        <v>110205</v>
      </c>
      <c r="BA58" t="s">
        <v>59</v>
      </c>
      <c r="BB58" t="str">
        <f>"CPA Rescate DLocal a Bco.Bice USD " &amp;AV30&amp;" USD T/C "&amp;AU30&amp;".- "&amp;TEXT($G58,"dd-mm-aaa")</f>
        <v>CPA Rescate DLocal a Bco.Bice USD 400K USD T/C 949,34.- 29-06-2024</v>
      </c>
      <c r="BC58" s="3">
        <f>+AW30</f>
        <v>379736000</v>
      </c>
      <c r="BD58" s="10"/>
      <c r="BN58" s="15">
        <v>45472</v>
      </c>
      <c r="BO58">
        <v>110292</v>
      </c>
      <c r="BP58" t="s">
        <v>142</v>
      </c>
      <c r="BQ58" t="str">
        <f>"CPA Fondeo Bice USD a OZ CAMBIO USD "&amp;BK30&amp;" USD T/C "&amp;BJ30</f>
        <v>CPA Fondeo Bice USD a OZ CAMBIO USD 0 USD T/C 945,88</v>
      </c>
      <c r="BR58" s="3">
        <f>+BL30</f>
        <v>0</v>
      </c>
      <c r="BS58" s="10"/>
      <c r="CE58" s="9">
        <v>45458</v>
      </c>
      <c r="CF58">
        <v>110205</v>
      </c>
      <c r="CG58" t="s">
        <v>59</v>
      </c>
      <c r="CH58" t="str">
        <f>"CPA Rescate LOCALPAYMENT " &amp; CB16 &amp; " a Bco.Bice USD " &amp; TEXT(BZ16,"#.##0,00") &amp; " T/C " &amp; BY16</f>
        <v>CPA Rescate LOCALPAYMENT USD SET a Bco.Bice USD 0,00 T/C 0</v>
      </c>
      <c r="CI58" s="3">
        <f>+CA16</f>
        <v>0</v>
      </c>
      <c r="CJ58" s="10"/>
      <c r="CV58" s="9">
        <v>45458</v>
      </c>
      <c r="CW58">
        <v>110205</v>
      </c>
      <c r="CX58" t="s">
        <v>59</v>
      </c>
      <c r="CY58" t="str">
        <f>"CPA Rescate LOCALPAYMENT " &amp; CS16 &amp; " a Bco.Bice USD " &amp; TEXT(CQ16,"#.##0,00") &amp; " T/C " &amp; CP16</f>
        <v>CPA Rescate LOCALPAYMENT USD SET a Bco.Bice USD 0,00 T/C 0</v>
      </c>
      <c r="CZ58" s="3">
        <f>+CR16</f>
        <v>0</v>
      </c>
      <c r="DA58" s="10"/>
      <c r="DM58" s="9">
        <v>45458</v>
      </c>
      <c r="DN58">
        <v>110205</v>
      </c>
      <c r="DO58" t="s">
        <v>59</v>
      </c>
      <c r="DP58" t="str">
        <f>"CPA Rescate LOCALPAYMENT " &amp; DJ16 &amp; " a Bco.Bice USD " &amp; TEXT(DH16,"#.##0,00") &amp; " T/C " &amp; DG16</f>
        <v>CPA Rescate LOCALPAYMENT USD SET a Bco.Bice USD 773.196,95 T/C 928,37</v>
      </c>
      <c r="DQ58" s="3">
        <f>+DI16</f>
        <v>717812852.47149992</v>
      </c>
      <c r="DR58" s="10"/>
    </row>
    <row r="59" spans="2:122" x14ac:dyDescent="0.25">
      <c r="G59" s="11"/>
      <c r="H59" s="12">
        <v>110205</v>
      </c>
      <c r="I59" s="12" t="s">
        <v>59</v>
      </c>
      <c r="J59" s="12" t="str">
        <f>+J58</f>
        <v>CPA Fondeo Bice USD a NIUM 0 USD T/C 945,88</v>
      </c>
      <c r="K59" s="13"/>
      <c r="L59" s="18">
        <f t="shared" si="5"/>
        <v>0</v>
      </c>
      <c r="V59" s="11"/>
      <c r="W59" s="12">
        <v>110205</v>
      </c>
      <c r="X59" s="12" t="s">
        <v>59</v>
      </c>
      <c r="Y59" s="12" t="str">
        <f>+Y58</f>
        <v>CPA Fondeo Bice USD a Facilita Pay 0 USD T/C 945,88.- 29-06-2024</v>
      </c>
      <c r="Z59" s="13"/>
      <c r="AA59" s="18">
        <f t="shared" si="6"/>
        <v>0</v>
      </c>
      <c r="AJ59" s="11"/>
      <c r="AK59" s="12">
        <v>110205</v>
      </c>
      <c r="AL59" s="12" t="s">
        <v>59</v>
      </c>
      <c r="AM59" s="12" t="str">
        <f>+AM58</f>
        <v>CPA Fondeo Bice USD a JPM COL 650K USD T/C 945,88.- 29-06-2024</v>
      </c>
      <c r="AN59" s="13"/>
      <c r="AO59" s="18">
        <f t="shared" si="7"/>
        <v>614822000</v>
      </c>
      <c r="AY59" s="11"/>
      <c r="AZ59" s="12">
        <v>110276</v>
      </c>
      <c r="BA59" s="12" t="s">
        <v>97</v>
      </c>
      <c r="BB59" s="12" t="str">
        <f>+BB58</f>
        <v>CPA Rescate DLocal a Bco.Bice USD 400K USD T/C 949,34.- 29-06-2024</v>
      </c>
      <c r="BC59" s="13"/>
      <c r="BD59" s="18">
        <f t="shared" si="8"/>
        <v>379736000</v>
      </c>
      <c r="BN59" s="11"/>
      <c r="BO59" s="12">
        <v>110205</v>
      </c>
      <c r="BP59" s="12" t="s">
        <v>59</v>
      </c>
      <c r="BQ59" s="12" t="str">
        <f>+BQ58</f>
        <v>CPA Fondeo Bice USD a OZ CAMBIO USD 0 USD T/C 945,88</v>
      </c>
      <c r="BR59" s="13"/>
      <c r="BS59" s="18">
        <f t="shared" ref="BS59" si="230">+BR58</f>
        <v>0</v>
      </c>
      <c r="CE59" s="20"/>
      <c r="CF59">
        <v>420604</v>
      </c>
      <c r="CG59" t="s">
        <v>164</v>
      </c>
      <c r="CH59" t="str">
        <f t="shared" ref="CH59" si="231">"CPA Comisión bancaria rescate LOCALPAYMENT a Bco.Bice USD"</f>
        <v>CPA Comisión bancaria rescate LOCALPAYMENT a Bco.Bice USD</v>
      </c>
      <c r="CI59" s="3">
        <f>+CC16</f>
        <v>0</v>
      </c>
      <c r="CJ59" s="10"/>
      <c r="CV59" s="20"/>
      <c r="CW59">
        <v>420604</v>
      </c>
      <c r="CX59" t="s">
        <v>164</v>
      </c>
      <c r="CY59" t="str">
        <f t="shared" ref="CY59" si="232">"CPA Comisión bancaria rescate LOCALPAYMENT a Bco.Bice USD"</f>
        <v>CPA Comisión bancaria rescate LOCALPAYMENT a Bco.Bice USD</v>
      </c>
      <c r="CZ59" s="3">
        <f>+CT16</f>
        <v>0</v>
      </c>
      <c r="DA59" s="10"/>
      <c r="DM59" s="20"/>
      <c r="DN59">
        <v>420604</v>
      </c>
      <c r="DO59" t="s">
        <v>164</v>
      </c>
      <c r="DP59" t="str">
        <f t="shared" ref="DP59" si="233">"CPA Comisión bancaria rescate LOCALPAYMENT a Bco.Bice USD"</f>
        <v>CPA Comisión bancaria rescate LOCALPAYMENT a Bco.Bice USD</v>
      </c>
      <c r="DQ59" s="3">
        <f>+DK16</f>
        <v>27851.1</v>
      </c>
      <c r="DR59" s="10"/>
    </row>
    <row r="60" spans="2:122" x14ac:dyDescent="0.25">
      <c r="G60" s="15">
        <v>45473</v>
      </c>
      <c r="H60">
        <v>110275</v>
      </c>
      <c r="I60" t="s">
        <v>82</v>
      </c>
      <c r="J60" t="str">
        <f>"CPA Fondeo Bice USD a NIUM " &amp;D31&amp;" USD T/C "&amp;C31</f>
        <v>CPA Fondeo Bice USD a NIUM 0 USD T/C 950,89</v>
      </c>
      <c r="K60" s="3">
        <f>+E31</f>
        <v>0</v>
      </c>
      <c r="L60" s="10"/>
      <c r="V60" s="15">
        <v>45473</v>
      </c>
      <c r="W60">
        <v>110274</v>
      </c>
      <c r="X60" t="s">
        <v>84</v>
      </c>
      <c r="Y60" t="str">
        <f>"CPA Fondeo Bice USD a Facilita Pay " &amp;S31&amp;" USD T/C "&amp;R31&amp;".- "&amp;TEXT($G60,"dd-mm-aaa")</f>
        <v>CPA Fondeo Bice USD a Facilita Pay 0 USD T/C 950,89.- 30-06-2024</v>
      </c>
      <c r="Z60" s="3">
        <f>+T31</f>
        <v>0</v>
      </c>
      <c r="AA60" s="10"/>
      <c r="AJ60" s="15">
        <v>45473</v>
      </c>
      <c r="AK60">
        <v>110820</v>
      </c>
      <c r="AL60" t="s">
        <v>92</v>
      </c>
      <c r="AM60" t="str">
        <f>"CPA Fondeo Bice USD a JPM COL " &amp;AG31&amp;" USD T/C "&amp;AF31&amp;".- "&amp;TEXT($G60,"dd-mm-aaa")</f>
        <v>CPA Fondeo Bice USD a JPM COL 1.555 M USD T/C 950,89.- 30-06-2024</v>
      </c>
      <c r="AN60" s="3">
        <f>+AH31</f>
        <v>1478633950</v>
      </c>
      <c r="AO60" s="10"/>
      <c r="AY60" s="15">
        <v>45473</v>
      </c>
      <c r="AZ60">
        <v>110205</v>
      </c>
      <c r="BA60" t="s">
        <v>59</v>
      </c>
      <c r="BB60" t="str">
        <f>"CPA Rescate DLocal a Bco.Bice USD " &amp;AV31&amp;" USD T/C "&amp;AU31&amp;".- "&amp;TEXT($G60,"dd-mm-aaa")</f>
        <v>CPA Rescate DLocal a Bco.Bice USD 400K USD T/C 945,88.- 30-06-2024</v>
      </c>
      <c r="BC60" s="3">
        <f>+AW31</f>
        <v>378352000</v>
      </c>
      <c r="BD60" s="10"/>
      <c r="BN60" s="15">
        <v>45473</v>
      </c>
      <c r="BO60">
        <v>110292</v>
      </c>
      <c r="BP60" t="s">
        <v>142</v>
      </c>
      <c r="BQ60" t="str">
        <f>"CPA Fondeo Bice USD a OZ CAMBIO USD " &amp;BK31&amp;" USD T/C "&amp;BJ31</f>
        <v>CPA Fondeo Bice USD a OZ CAMBIO USD 400K USD T/C 950,89</v>
      </c>
      <c r="BR60" s="3">
        <f>+BL31</f>
        <v>380356000</v>
      </c>
      <c r="BS60" s="10"/>
      <c r="CE60" s="20"/>
      <c r="CF60">
        <v>110316</v>
      </c>
      <c r="CG60" t="s">
        <v>165</v>
      </c>
      <c r="CH60" t="str">
        <f t="shared" ref="CH60" si="234">+CH59</f>
        <v>CPA Comisión bancaria rescate LOCALPAYMENT a Bco.Bice USD</v>
      </c>
      <c r="CI60" s="3"/>
      <c r="CJ60" s="10">
        <f t="shared" ref="CJ60" si="235">+CI59</f>
        <v>0</v>
      </c>
      <c r="CV60" s="20"/>
      <c r="CW60">
        <v>110316</v>
      </c>
      <c r="CX60" t="s">
        <v>165</v>
      </c>
      <c r="CY60" t="str">
        <f t="shared" ref="CY60" si="236">+CY59</f>
        <v>CPA Comisión bancaria rescate LOCALPAYMENT a Bco.Bice USD</v>
      </c>
      <c r="CZ60" s="3"/>
      <c r="DA60" s="10">
        <f t="shared" ref="DA60" si="237">+CZ59</f>
        <v>0</v>
      </c>
      <c r="DM60" s="20"/>
      <c r="DN60">
        <v>110316</v>
      </c>
      <c r="DO60" t="s">
        <v>165</v>
      </c>
      <c r="DP60" t="str">
        <f t="shared" ref="DP60" si="238">+DP59</f>
        <v>CPA Comisión bancaria rescate LOCALPAYMENT a Bco.Bice USD</v>
      </c>
      <c r="DQ60" s="3"/>
      <c r="DR60" s="10">
        <f t="shared" ref="DR60" si="239">+DQ59</f>
        <v>27851.1</v>
      </c>
    </row>
    <row r="61" spans="2:122" x14ac:dyDescent="0.25">
      <c r="G61" s="11"/>
      <c r="H61" s="12">
        <v>110205</v>
      </c>
      <c r="I61" s="12" t="s">
        <v>59</v>
      </c>
      <c r="J61" s="12" t="str">
        <f>+J60</f>
        <v>CPA Fondeo Bice USD a NIUM 0 USD T/C 950,89</v>
      </c>
      <c r="K61" s="13"/>
      <c r="L61" s="18">
        <f t="shared" si="5"/>
        <v>0</v>
      </c>
      <c r="V61" s="11"/>
      <c r="W61" s="12">
        <v>110205</v>
      </c>
      <c r="X61" s="12" t="s">
        <v>59</v>
      </c>
      <c r="Y61" s="12" t="str">
        <f>+Y60</f>
        <v>CPA Fondeo Bice USD a Facilita Pay 0 USD T/C 950,89.- 30-06-2024</v>
      </c>
      <c r="Z61" s="13"/>
      <c r="AA61" s="18">
        <f t="shared" si="6"/>
        <v>0</v>
      </c>
      <c r="AJ61" s="11"/>
      <c r="AK61" s="12">
        <v>110205</v>
      </c>
      <c r="AL61" s="12" t="s">
        <v>59</v>
      </c>
      <c r="AM61" s="12" t="str">
        <f>+AM60</f>
        <v>CPA Fondeo Bice USD a JPM COL 1.555 M USD T/C 950,89.- 30-06-2024</v>
      </c>
      <c r="AN61" s="13"/>
      <c r="AO61" s="18">
        <f t="shared" si="7"/>
        <v>1478633950</v>
      </c>
      <c r="AY61" s="11"/>
      <c r="AZ61" s="12">
        <v>110276</v>
      </c>
      <c r="BA61" s="12" t="s">
        <v>97</v>
      </c>
      <c r="BB61" s="12" t="str">
        <f>+BB60</f>
        <v>CPA Rescate DLocal a Bco.Bice USD 400K USD T/C 945,88.- 30-06-2024</v>
      </c>
      <c r="BC61" s="13"/>
      <c r="BD61" s="18">
        <f t="shared" si="8"/>
        <v>378352000</v>
      </c>
      <c r="BN61" s="11"/>
      <c r="BO61" s="12">
        <v>110205</v>
      </c>
      <c r="BP61" s="12" t="s">
        <v>59</v>
      </c>
      <c r="BQ61" s="12" t="str">
        <f>+BQ60</f>
        <v>CPA Fondeo Bice USD a OZ CAMBIO USD 400K USD T/C 950,89</v>
      </c>
      <c r="BR61" s="13"/>
      <c r="BS61" s="18">
        <f t="shared" ref="BS61" si="240">+BR60</f>
        <v>380356000</v>
      </c>
      <c r="CE61" s="11"/>
      <c r="CF61" s="12">
        <v>110316</v>
      </c>
      <c r="CG61" s="12" t="s">
        <v>165</v>
      </c>
      <c r="CH61" s="12" t="str">
        <f t="shared" ref="CH61" si="241">+CH58</f>
        <v>CPA Rescate LOCALPAYMENT USD SET a Bco.Bice USD 0,00 T/C 0</v>
      </c>
      <c r="CI61" s="13"/>
      <c r="CJ61" s="18">
        <f t="shared" ref="CJ61" si="242">+CI58</f>
        <v>0</v>
      </c>
      <c r="CV61" s="11"/>
      <c r="CW61" s="12">
        <v>110316</v>
      </c>
      <c r="CX61" s="12" t="s">
        <v>165</v>
      </c>
      <c r="CY61" s="12" t="str">
        <f t="shared" ref="CY61" si="243">+CY58</f>
        <v>CPA Rescate LOCALPAYMENT USD SET a Bco.Bice USD 0,00 T/C 0</v>
      </c>
      <c r="CZ61" s="13"/>
      <c r="DA61" s="18">
        <f t="shared" ref="DA61" si="244">+CZ58</f>
        <v>0</v>
      </c>
      <c r="DM61" s="11"/>
      <c r="DN61" s="12">
        <v>110316</v>
      </c>
      <c r="DO61" s="12" t="s">
        <v>165</v>
      </c>
      <c r="DP61" s="12" t="str">
        <f t="shared" ref="DP61" si="245">+DP58</f>
        <v>CPA Rescate LOCALPAYMENT USD SET a Bco.Bice USD 773.196,95 T/C 928,37</v>
      </c>
      <c r="DQ61" s="13"/>
      <c r="DR61" s="18">
        <f t="shared" ref="DR61" si="246">+DQ58</f>
        <v>717812852.47149992</v>
      </c>
    </row>
    <row r="62" spans="2:122" x14ac:dyDescent="0.25">
      <c r="G62" s="15" t="s">
        <v>143</v>
      </c>
      <c r="H62">
        <v>110275</v>
      </c>
      <c r="I62" t="s">
        <v>82</v>
      </c>
      <c r="J62" t="str">
        <f>"CPA Fondeo Bice USD a NIUM " &amp;D32&amp;" USD T/C "&amp;C32</f>
        <v>CPA Fondeo Bice USD a NIUM 0 USD T/C 950,89</v>
      </c>
      <c r="K62" s="3">
        <f>+E32</f>
        <v>0</v>
      </c>
      <c r="L62" s="10"/>
      <c r="V62" s="15" t="s">
        <v>143</v>
      </c>
      <c r="W62">
        <v>110274</v>
      </c>
      <c r="X62" t="s">
        <v>84</v>
      </c>
      <c r="Y62" t="str">
        <f>"CPA Fondeo Bice USD a Facilita Pay " &amp;S32&amp;" USD T/C "&amp;R32&amp;".- "&amp;TEXT($G62,"dd-mm-aaa")</f>
        <v>CPA Fondeo Bice USD a Facilita Pay 0 USD T/C 950,89.- 31/06/2024</v>
      </c>
      <c r="Z62" s="3">
        <f>+T32</f>
        <v>0</v>
      </c>
      <c r="AA62" s="10"/>
      <c r="AJ62" s="15" t="s">
        <v>143</v>
      </c>
      <c r="AK62">
        <v>110820</v>
      </c>
      <c r="AL62" t="s">
        <v>92</v>
      </c>
      <c r="AM62" t="str">
        <f>"CPA Fondeo Bice USD a JPM COL " &amp;AG32&amp;" USD T/C "&amp;AF32&amp;".- "&amp;TEXT($G62,"dd-mm-aaa")</f>
        <v>CPA Fondeo Bice USD a JPM COL 0 USD T/C 950,89.- 31/06/2024</v>
      </c>
      <c r="AN62" s="3">
        <f>+AH32</f>
        <v>0</v>
      </c>
      <c r="AO62" s="10"/>
      <c r="AY62" s="15" t="s">
        <v>143</v>
      </c>
      <c r="AZ62">
        <v>110205</v>
      </c>
      <c r="BA62" t="s">
        <v>59</v>
      </c>
      <c r="BB62" t="str">
        <f>"CPA Rescate DLocal a Bco.Bice USD " &amp;AV32&amp;" USD T/C "&amp;AU32&amp;".- "&amp;TEXT($G62,"dd-mm-aaa")</f>
        <v>CPA Rescate DLocal a Bco.Bice USD 0 USD T/C 0.- 31/06/2024</v>
      </c>
      <c r="BC62" s="3">
        <f>+AW32</f>
        <v>0</v>
      </c>
      <c r="BD62" s="10"/>
      <c r="BN62" s="15" t="s">
        <v>143</v>
      </c>
      <c r="BO62">
        <v>110292</v>
      </c>
      <c r="BP62" t="s">
        <v>142</v>
      </c>
      <c r="BQ62" t="str">
        <f>"CPA Fondeo Bice USD a OZ CAMBIO USD " &amp;BK32&amp;" USD T/C "&amp;BJ32</f>
        <v>CPA Fondeo Bice USD a OZ CAMBIO USD 0 USD T/C 950,89</v>
      </c>
      <c r="BR62" s="3">
        <f>+BL32</f>
        <v>0</v>
      </c>
      <c r="BS62" s="10"/>
      <c r="CE62" s="9">
        <v>45459</v>
      </c>
      <c r="CF62">
        <v>110205</v>
      </c>
      <c r="CG62" t="s">
        <v>59</v>
      </c>
      <c r="CH62" t="str">
        <f>"CPA Rescate LOCALPAYMENT " &amp; CB17 &amp; " a Bco.Bice USD " &amp; TEXT(BZ17,"#.##0,00") &amp; " T/C " &amp; BY17</f>
        <v>CPA Rescate LOCALPAYMENT USD SET a Bco.Bice USD 510.566,74 T/C 937,29</v>
      </c>
      <c r="CI62" s="3">
        <f>+CA17</f>
        <v>478549099.73459995</v>
      </c>
      <c r="CJ62" s="10"/>
      <c r="CV62" s="9">
        <v>45459</v>
      </c>
      <c r="CW62">
        <v>110205</v>
      </c>
      <c r="CX62" t="s">
        <v>59</v>
      </c>
      <c r="CY62" t="str">
        <f>"CPA Rescate LOCALPAYMENT " &amp; CS17 &amp; " a Bco.Bice USD " &amp; TEXT(CQ17,"#.##0,00") &amp; " T/C " &amp; CP17</f>
        <v>CPA Rescate LOCALPAYMENT USD SET a Bco.Bice USD 510.566,74 T/C 937,29</v>
      </c>
      <c r="CZ62" s="3">
        <f>+CR17</f>
        <v>478549099.73459995</v>
      </c>
      <c r="DA62" s="10"/>
      <c r="DM62" s="9">
        <v>45459</v>
      </c>
      <c r="DN62">
        <v>110205</v>
      </c>
      <c r="DO62" t="s">
        <v>59</v>
      </c>
      <c r="DP62" t="str">
        <f>"CPA Rescate LOCALPAYMENT " &amp; DJ17 &amp; " a Bco.Bice USD " &amp; TEXT(DH17,"#.##0,00") &amp; " T/C " &amp; DG17</f>
        <v>CPA Rescate LOCALPAYMENT USD SET a Bco.Bice USD 202.657,46 T/C 928,37</v>
      </c>
      <c r="DQ62" s="3">
        <f>+DI17</f>
        <v>188141106.14019999</v>
      </c>
      <c r="DR62" s="10"/>
    </row>
    <row r="63" spans="2:122" x14ac:dyDescent="0.25">
      <c r="G63" s="11"/>
      <c r="H63" s="12">
        <v>110205</v>
      </c>
      <c r="I63" s="12" t="s">
        <v>59</v>
      </c>
      <c r="J63" s="12" t="str">
        <f>+J62</f>
        <v>CPA Fondeo Bice USD a NIUM 0 USD T/C 950,89</v>
      </c>
      <c r="K63" s="13"/>
      <c r="L63" s="18">
        <f t="shared" si="5"/>
        <v>0</v>
      </c>
      <c r="V63" s="11"/>
      <c r="W63" s="12">
        <v>110205</v>
      </c>
      <c r="X63" s="12" t="s">
        <v>59</v>
      </c>
      <c r="Y63" s="12" t="str">
        <f>+Y62</f>
        <v>CPA Fondeo Bice USD a Facilita Pay 0 USD T/C 950,89.- 31/06/2024</v>
      </c>
      <c r="Z63" s="13"/>
      <c r="AA63" s="18">
        <f t="shared" si="6"/>
        <v>0</v>
      </c>
      <c r="AJ63" s="11"/>
      <c r="AK63" s="12">
        <v>110205</v>
      </c>
      <c r="AL63" s="12" t="s">
        <v>59</v>
      </c>
      <c r="AM63" s="12" t="str">
        <f>+AM62</f>
        <v>CPA Fondeo Bice USD a JPM COL 0 USD T/C 950,89.- 31/06/2024</v>
      </c>
      <c r="AN63" s="13"/>
      <c r="AO63" s="18">
        <f t="shared" si="7"/>
        <v>0</v>
      </c>
      <c r="AY63" s="11"/>
      <c r="AZ63" s="12">
        <v>110276</v>
      </c>
      <c r="BA63" s="12" t="s">
        <v>97</v>
      </c>
      <c r="BB63" s="12" t="str">
        <f>+BB62</f>
        <v>CPA Rescate DLocal a Bco.Bice USD 0 USD T/C 0.- 31/06/2024</v>
      </c>
      <c r="BC63" s="13"/>
      <c r="BD63" s="18">
        <f t="shared" si="8"/>
        <v>0</v>
      </c>
      <c r="BN63" s="11"/>
      <c r="BO63" s="12">
        <v>110205</v>
      </c>
      <c r="BP63" s="12" t="s">
        <v>59</v>
      </c>
      <c r="BQ63" s="12" t="str">
        <f>+BQ62</f>
        <v>CPA Fondeo Bice USD a OZ CAMBIO USD 0 USD T/C 950,89</v>
      </c>
      <c r="BR63" s="13"/>
      <c r="BS63" s="18">
        <f t="shared" ref="BS63" si="247">+BR62</f>
        <v>0</v>
      </c>
      <c r="CE63" s="20"/>
      <c r="CF63">
        <v>420604</v>
      </c>
      <c r="CG63" t="s">
        <v>164</v>
      </c>
      <c r="CH63" t="str">
        <f t="shared" ref="CH63" si="248">"CPA Comisión bancaria rescate LOCALPAYMENT a Bco.Bice USD"</f>
        <v>CPA Comisión bancaria rescate LOCALPAYMENT a Bco.Bice USD</v>
      </c>
      <c r="CI63" s="3">
        <f>+CC17</f>
        <v>9372.9</v>
      </c>
      <c r="CJ63" s="10"/>
      <c r="CV63" s="20"/>
      <c r="CW63">
        <v>420604</v>
      </c>
      <c r="CX63" t="s">
        <v>164</v>
      </c>
      <c r="CY63" t="str">
        <f t="shared" ref="CY63" si="249">"CPA Comisión bancaria rescate LOCALPAYMENT a Bco.Bice USD"</f>
        <v>CPA Comisión bancaria rescate LOCALPAYMENT a Bco.Bice USD</v>
      </c>
      <c r="CZ63" s="3">
        <f>+CT17</f>
        <v>9372.9</v>
      </c>
      <c r="DA63" s="10"/>
      <c r="DM63" s="20"/>
      <c r="DN63">
        <v>420604</v>
      </c>
      <c r="DO63" t="s">
        <v>164</v>
      </c>
      <c r="DP63" t="str">
        <f t="shared" ref="DP63" si="250">"CPA Comisión bancaria rescate LOCALPAYMENT a Bco.Bice USD"</f>
        <v>CPA Comisión bancaria rescate LOCALPAYMENT a Bco.Bice USD</v>
      </c>
      <c r="DQ63" s="3">
        <f>+DK17</f>
        <v>64985.9</v>
      </c>
      <c r="DR63" s="10"/>
    </row>
    <row r="64" spans="2:122" x14ac:dyDescent="0.25">
      <c r="CE64" s="20"/>
      <c r="CF64">
        <v>110316</v>
      </c>
      <c r="CG64" t="s">
        <v>165</v>
      </c>
      <c r="CH64" t="str">
        <f t="shared" ref="CH64" si="251">+CH63</f>
        <v>CPA Comisión bancaria rescate LOCALPAYMENT a Bco.Bice USD</v>
      </c>
      <c r="CI64" s="3"/>
      <c r="CJ64" s="10">
        <f t="shared" ref="CJ64" si="252">+CI63</f>
        <v>9372.9</v>
      </c>
      <c r="CV64" s="20"/>
      <c r="CW64">
        <v>110316</v>
      </c>
      <c r="CX64" t="s">
        <v>165</v>
      </c>
      <c r="CY64" t="str">
        <f t="shared" ref="CY64" si="253">+CY63</f>
        <v>CPA Comisión bancaria rescate LOCALPAYMENT a Bco.Bice USD</v>
      </c>
      <c r="CZ64" s="3"/>
      <c r="DA64" s="10">
        <f t="shared" ref="DA64" si="254">+CZ63</f>
        <v>9372.9</v>
      </c>
      <c r="DM64" s="20"/>
      <c r="DN64">
        <v>110316</v>
      </c>
      <c r="DO64" t="s">
        <v>165</v>
      </c>
      <c r="DP64" t="str">
        <f t="shared" ref="DP64" si="255">+DP63</f>
        <v>CPA Comisión bancaria rescate LOCALPAYMENT a Bco.Bice USD</v>
      </c>
      <c r="DQ64" s="3"/>
      <c r="DR64" s="10">
        <f t="shared" ref="DR64" si="256">+DQ63</f>
        <v>64985.9</v>
      </c>
    </row>
    <row r="65" spans="83:122" x14ac:dyDescent="0.25">
      <c r="CE65" s="11"/>
      <c r="CF65" s="12">
        <v>110316</v>
      </c>
      <c r="CG65" s="12" t="s">
        <v>165</v>
      </c>
      <c r="CH65" s="12" t="str">
        <f t="shared" ref="CH65" si="257">+CH62</f>
        <v>CPA Rescate LOCALPAYMENT USD SET a Bco.Bice USD 510.566,74 T/C 937,29</v>
      </c>
      <c r="CI65" s="13"/>
      <c r="CJ65" s="18">
        <f t="shared" ref="CJ65" si="258">+CI62</f>
        <v>478549099.73459995</v>
      </c>
      <c r="CV65" s="11"/>
      <c r="CW65" s="12">
        <v>110316</v>
      </c>
      <c r="CX65" s="12" t="s">
        <v>165</v>
      </c>
      <c r="CY65" s="12" t="str">
        <f t="shared" ref="CY65" si="259">+CY62</f>
        <v>CPA Rescate LOCALPAYMENT USD SET a Bco.Bice USD 510.566,74 T/C 937,29</v>
      </c>
      <c r="CZ65" s="13"/>
      <c r="DA65" s="18">
        <f t="shared" ref="DA65" si="260">+CZ62</f>
        <v>478549099.73459995</v>
      </c>
      <c r="DM65" s="11"/>
      <c r="DN65" s="12">
        <v>110316</v>
      </c>
      <c r="DO65" s="12" t="s">
        <v>165</v>
      </c>
      <c r="DP65" s="12" t="str">
        <f t="shared" ref="DP65" si="261">+DP62</f>
        <v>CPA Rescate LOCALPAYMENT USD SET a Bco.Bice USD 202.657,46 T/C 928,37</v>
      </c>
      <c r="DQ65" s="13"/>
      <c r="DR65" s="18">
        <f t="shared" ref="DR65" si="262">+DQ62</f>
        <v>188141106.14019999</v>
      </c>
    </row>
    <row r="66" spans="83:122" x14ac:dyDescent="0.25">
      <c r="CE66" s="9">
        <v>45460</v>
      </c>
      <c r="CF66">
        <v>110205</v>
      </c>
      <c r="CG66" t="s">
        <v>59</v>
      </c>
      <c r="CH66" t="str">
        <f>"CPA Rescate LOCALPAYMENT " &amp; CB18 &amp; " a Bco.Bice USD " &amp; TEXT(BZ18,"#.##0,00") &amp; " T/C " &amp; BY18</f>
        <v>CPA Rescate LOCALPAYMENT USD SET a Bco.Bice USD 350.890,60 T/C 941,3</v>
      </c>
      <c r="CI66" s="3">
        <f>+CA18</f>
        <v>330293321.77999997</v>
      </c>
      <c r="CJ66" s="10"/>
      <c r="CV66" s="9">
        <v>45460</v>
      </c>
      <c r="CW66">
        <v>110205</v>
      </c>
      <c r="CX66" t="s">
        <v>59</v>
      </c>
      <c r="CY66" t="str">
        <f>"CPA Rescate LOCALPAYMENT " &amp; CS18 &amp; " a Bco.Bice USD " &amp; TEXT(CQ18,"#.##0,00") &amp; " T/C " &amp; CP18</f>
        <v>CPA Rescate LOCALPAYMENT USD SET a Bco.Bice USD 350.890,60 T/C 941,3</v>
      </c>
      <c r="CZ66" s="3">
        <f>+CR18</f>
        <v>330293321.77999997</v>
      </c>
      <c r="DA66" s="10"/>
      <c r="DM66" s="9">
        <v>45460</v>
      </c>
      <c r="DN66">
        <v>110205</v>
      </c>
      <c r="DO66" t="s">
        <v>59</v>
      </c>
      <c r="DP66" t="str">
        <f>"CPA Rescate LOCALPAYMENT " &amp; DJ18 &amp; " a Bco.Bice USD " &amp; TEXT(DH18,"#.##0,00") &amp; " T/C " &amp; DG18</f>
        <v>CPA Rescate LOCALPAYMENT USD SET a Bco.Bice USD 0,00 T/C 0</v>
      </c>
      <c r="DQ66" s="3">
        <f>+DI18</f>
        <v>0</v>
      </c>
      <c r="DR66" s="10"/>
    </row>
    <row r="67" spans="83:122" x14ac:dyDescent="0.25">
      <c r="CE67" s="20"/>
      <c r="CF67">
        <v>420604</v>
      </c>
      <c r="CG67" t="s">
        <v>164</v>
      </c>
      <c r="CH67" t="str">
        <f t="shared" ref="CH67" si="263">"CPA Comisión bancaria rescate LOCALPAYMENT a Bco.Bice USD"</f>
        <v>CPA Comisión bancaria rescate LOCALPAYMENT a Bco.Bice USD</v>
      </c>
      <c r="CI67" s="3">
        <f>+CC18</f>
        <v>65891</v>
      </c>
      <c r="CJ67" s="10"/>
      <c r="CV67" s="20"/>
      <c r="CW67">
        <v>420604</v>
      </c>
      <c r="CX67" t="s">
        <v>164</v>
      </c>
      <c r="CY67" t="str">
        <f t="shared" ref="CY67" si="264">"CPA Comisión bancaria rescate LOCALPAYMENT a Bco.Bice USD"</f>
        <v>CPA Comisión bancaria rescate LOCALPAYMENT a Bco.Bice USD</v>
      </c>
      <c r="CZ67" s="3">
        <f>+CT18</f>
        <v>65891</v>
      </c>
      <c r="DA67" s="10"/>
      <c r="DM67" s="20"/>
      <c r="DN67">
        <v>420604</v>
      </c>
      <c r="DO67" t="s">
        <v>164</v>
      </c>
      <c r="DP67" t="str">
        <f t="shared" ref="DP67" si="265">"CPA Comisión bancaria rescate LOCALPAYMENT a Bco.Bice USD"</f>
        <v>CPA Comisión bancaria rescate LOCALPAYMENT a Bco.Bice USD</v>
      </c>
      <c r="DQ67" s="3">
        <f>+DK18</f>
        <v>0</v>
      </c>
      <c r="DR67" s="10"/>
    </row>
    <row r="68" spans="83:122" x14ac:dyDescent="0.25">
      <c r="CE68" s="20"/>
      <c r="CF68">
        <v>110316</v>
      </c>
      <c r="CG68" t="s">
        <v>165</v>
      </c>
      <c r="CH68" t="str">
        <f t="shared" ref="CH68" si="266">+CH67</f>
        <v>CPA Comisión bancaria rescate LOCALPAYMENT a Bco.Bice USD</v>
      </c>
      <c r="CI68" s="3"/>
      <c r="CJ68" s="10">
        <f t="shared" ref="CJ68" si="267">+CI67</f>
        <v>65891</v>
      </c>
      <c r="CV68" s="20"/>
      <c r="CW68">
        <v>110316</v>
      </c>
      <c r="CX68" t="s">
        <v>165</v>
      </c>
      <c r="CY68" t="str">
        <f t="shared" ref="CY68" si="268">+CY67</f>
        <v>CPA Comisión bancaria rescate LOCALPAYMENT a Bco.Bice USD</v>
      </c>
      <c r="CZ68" s="3"/>
      <c r="DA68" s="10">
        <f t="shared" ref="DA68" si="269">+CZ67</f>
        <v>65891</v>
      </c>
      <c r="DM68" s="20"/>
      <c r="DN68">
        <v>110316</v>
      </c>
      <c r="DO68" t="s">
        <v>165</v>
      </c>
      <c r="DP68" t="str">
        <f t="shared" ref="DP68" si="270">+DP67</f>
        <v>CPA Comisión bancaria rescate LOCALPAYMENT a Bco.Bice USD</v>
      </c>
      <c r="DQ68" s="3"/>
      <c r="DR68" s="10">
        <f t="shared" ref="DR68" si="271">+DQ67</f>
        <v>0</v>
      </c>
    </row>
    <row r="69" spans="83:122" x14ac:dyDescent="0.25">
      <c r="CE69" s="11"/>
      <c r="CF69" s="12">
        <v>110316</v>
      </c>
      <c r="CG69" s="12" t="s">
        <v>165</v>
      </c>
      <c r="CH69" s="12" t="str">
        <f t="shared" ref="CH69" si="272">+CH66</f>
        <v>CPA Rescate LOCALPAYMENT USD SET a Bco.Bice USD 350.890,60 T/C 941,3</v>
      </c>
      <c r="CI69" s="13"/>
      <c r="CJ69" s="18">
        <f t="shared" ref="CJ69" si="273">+CI66</f>
        <v>330293321.77999997</v>
      </c>
      <c r="CV69" s="11"/>
      <c r="CW69" s="12">
        <v>110316</v>
      </c>
      <c r="CX69" s="12" t="s">
        <v>165</v>
      </c>
      <c r="CY69" s="12" t="str">
        <f t="shared" ref="CY69" si="274">+CY66</f>
        <v>CPA Rescate LOCALPAYMENT USD SET a Bco.Bice USD 350.890,60 T/C 941,3</v>
      </c>
      <c r="CZ69" s="13"/>
      <c r="DA69" s="18">
        <f t="shared" ref="DA69" si="275">+CZ66</f>
        <v>330293321.77999997</v>
      </c>
      <c r="DM69" s="11"/>
      <c r="DN69" s="12">
        <v>110316</v>
      </c>
      <c r="DO69" s="12" t="s">
        <v>165</v>
      </c>
      <c r="DP69" s="12" t="str">
        <f t="shared" ref="DP69" si="276">+DP66</f>
        <v>CPA Rescate LOCALPAYMENT USD SET a Bco.Bice USD 0,00 T/C 0</v>
      </c>
      <c r="DQ69" s="13"/>
      <c r="DR69" s="18">
        <f t="shared" ref="DR69" si="277">+DQ66</f>
        <v>0</v>
      </c>
    </row>
    <row r="70" spans="83:122" x14ac:dyDescent="0.25">
      <c r="CE70" s="9">
        <v>45461</v>
      </c>
      <c r="CF70">
        <v>110205</v>
      </c>
      <c r="CG70" t="s">
        <v>59</v>
      </c>
      <c r="CH70" t="str">
        <f>"CPA Rescate LOCALPAYMENT " &amp; CB19 &amp; " a Bco.Bice USD " &amp; TEXT(BZ19,"#.##0,00") &amp; " T/C " &amp; BY19</f>
        <v>CPA Rescate LOCALPAYMENT USD SET a Bco.Bice USD 750.852,21 T/C 945,01</v>
      </c>
      <c r="CI70" s="3">
        <f>+CA19</f>
        <v>709562846.9720999</v>
      </c>
      <c r="CJ70" s="10"/>
      <c r="CV70" s="9">
        <v>45461</v>
      </c>
      <c r="CW70">
        <v>110205</v>
      </c>
      <c r="CX70" t="s">
        <v>59</v>
      </c>
      <c r="CY70" t="str">
        <f>"CPA Rescate LOCALPAYMENT " &amp; CS19 &amp; " a Bco.Bice USD " &amp; TEXT(CQ19,"#.##0,00") &amp; " T/C " &amp; CP19</f>
        <v>CPA Rescate LOCALPAYMENT USD SET a Bco.Bice USD 750.852,21 T/C 945,01</v>
      </c>
      <c r="CZ70" s="3">
        <f>+CR19</f>
        <v>709562846.9720999</v>
      </c>
      <c r="DA70" s="10"/>
      <c r="DM70" s="9">
        <v>45461</v>
      </c>
      <c r="DN70">
        <v>110205</v>
      </c>
      <c r="DO70" t="s">
        <v>59</v>
      </c>
      <c r="DP70" t="str">
        <f>"CPA Rescate LOCALPAYMENT " &amp; DJ19 &amp; " a Bco.Bice USD " &amp; TEXT(DH19,"#.##0,00") &amp; " T/C " &amp; DG19</f>
        <v>CPA Rescate LOCALPAYMENT USD SET a Bco.Bice USD 0,00 T/C 0</v>
      </c>
      <c r="DQ70" s="3">
        <f>+DI19</f>
        <v>0</v>
      </c>
      <c r="DR70" s="10"/>
    </row>
    <row r="71" spans="83:122" x14ac:dyDescent="0.25">
      <c r="CE71" s="20"/>
      <c r="CF71">
        <v>420604</v>
      </c>
      <c r="CG71" t="s">
        <v>164</v>
      </c>
      <c r="CH71" t="str">
        <f t="shared" ref="CH71" si="278">"CPA Comisión bancaria rescate LOCALPAYMENT a Bco.Bice USD"</f>
        <v>CPA Comisión bancaria rescate LOCALPAYMENT a Bco.Bice USD</v>
      </c>
      <c r="CI71" s="3">
        <f>+CC19</f>
        <v>9450.1</v>
      </c>
      <c r="CJ71" s="10"/>
      <c r="CV71" s="20"/>
      <c r="CW71">
        <v>420604</v>
      </c>
      <c r="CX71" t="s">
        <v>164</v>
      </c>
      <c r="CY71" t="str">
        <f t="shared" ref="CY71" si="279">"CPA Comisión bancaria rescate LOCALPAYMENT a Bco.Bice USD"</f>
        <v>CPA Comisión bancaria rescate LOCALPAYMENT a Bco.Bice USD</v>
      </c>
      <c r="CZ71" s="3">
        <f>+CT19</f>
        <v>9450.1</v>
      </c>
      <c r="DA71" s="10"/>
      <c r="DM71" s="20"/>
      <c r="DN71">
        <v>420604</v>
      </c>
      <c r="DO71" t="s">
        <v>164</v>
      </c>
      <c r="DP71" t="str">
        <f t="shared" ref="DP71" si="280">"CPA Comisión bancaria rescate LOCALPAYMENT a Bco.Bice USD"</f>
        <v>CPA Comisión bancaria rescate LOCALPAYMENT a Bco.Bice USD</v>
      </c>
      <c r="DQ71" s="3">
        <f>+DK19</f>
        <v>0</v>
      </c>
      <c r="DR71" s="10"/>
    </row>
    <row r="72" spans="83:122" x14ac:dyDescent="0.25">
      <c r="CE72" s="20"/>
      <c r="CF72">
        <v>110316</v>
      </c>
      <c r="CG72" t="s">
        <v>165</v>
      </c>
      <c r="CH72" t="str">
        <f t="shared" ref="CH72" si="281">+CH71</f>
        <v>CPA Comisión bancaria rescate LOCALPAYMENT a Bco.Bice USD</v>
      </c>
      <c r="CI72" s="3"/>
      <c r="CJ72" s="10">
        <f t="shared" ref="CJ72" si="282">+CI71</f>
        <v>9450.1</v>
      </c>
      <c r="CV72" s="20"/>
      <c r="CW72">
        <v>110316</v>
      </c>
      <c r="CX72" t="s">
        <v>165</v>
      </c>
      <c r="CY72" t="str">
        <f t="shared" ref="CY72" si="283">+CY71</f>
        <v>CPA Comisión bancaria rescate LOCALPAYMENT a Bco.Bice USD</v>
      </c>
      <c r="CZ72" s="3"/>
      <c r="DA72" s="10">
        <f t="shared" ref="DA72" si="284">+CZ71</f>
        <v>9450.1</v>
      </c>
      <c r="DM72" s="20"/>
      <c r="DN72">
        <v>110316</v>
      </c>
      <c r="DO72" t="s">
        <v>165</v>
      </c>
      <c r="DP72" t="str">
        <f t="shared" ref="DP72" si="285">+DP71</f>
        <v>CPA Comisión bancaria rescate LOCALPAYMENT a Bco.Bice USD</v>
      </c>
      <c r="DQ72" s="3"/>
      <c r="DR72" s="10">
        <f t="shared" ref="DR72" si="286">+DQ71</f>
        <v>0</v>
      </c>
    </row>
    <row r="73" spans="83:122" x14ac:dyDescent="0.25">
      <c r="CE73" s="11"/>
      <c r="CF73" s="12">
        <v>110316</v>
      </c>
      <c r="CG73" s="12" t="s">
        <v>165</v>
      </c>
      <c r="CH73" s="12" t="str">
        <f t="shared" ref="CH73" si="287">+CH70</f>
        <v>CPA Rescate LOCALPAYMENT USD SET a Bco.Bice USD 750.852,21 T/C 945,01</v>
      </c>
      <c r="CI73" s="13"/>
      <c r="CJ73" s="18">
        <f t="shared" ref="CJ73" si="288">+CI70</f>
        <v>709562846.9720999</v>
      </c>
      <c r="CV73" s="11"/>
      <c r="CW73" s="12">
        <v>110316</v>
      </c>
      <c r="CX73" s="12" t="s">
        <v>165</v>
      </c>
      <c r="CY73" s="12" t="str">
        <f t="shared" ref="CY73" si="289">+CY70</f>
        <v>CPA Rescate LOCALPAYMENT USD SET a Bco.Bice USD 750.852,21 T/C 945,01</v>
      </c>
      <c r="CZ73" s="13"/>
      <c r="DA73" s="18">
        <f t="shared" ref="DA73" si="290">+CZ70</f>
        <v>709562846.9720999</v>
      </c>
      <c r="DM73" s="11"/>
      <c r="DN73" s="12">
        <v>110316</v>
      </c>
      <c r="DO73" s="12" t="s">
        <v>165</v>
      </c>
      <c r="DP73" s="12" t="str">
        <f t="shared" ref="DP73" si="291">+DP70</f>
        <v>CPA Rescate LOCALPAYMENT USD SET a Bco.Bice USD 0,00 T/C 0</v>
      </c>
      <c r="DQ73" s="13"/>
      <c r="DR73" s="18">
        <f t="shared" ref="DR73" si="292">+DQ70</f>
        <v>0</v>
      </c>
    </row>
    <row r="74" spans="83:122" x14ac:dyDescent="0.25">
      <c r="CE74" s="9">
        <v>45462</v>
      </c>
      <c r="CF74">
        <v>110205</v>
      </c>
      <c r="CG74" t="s">
        <v>59</v>
      </c>
      <c r="CH74" t="str">
        <f>"CPA Rescate LOCALPAYMENT " &amp; CB20 &amp; " a Bco.Bice USD " &amp; TEXT(BZ20,"#.##0,00") &amp; " T/C " &amp; BY20</f>
        <v>CPA Rescate LOCALPAYMENT USD SET a Bco.Bice USD 0,00 T/C 0</v>
      </c>
      <c r="CI74" s="3">
        <f>+CA20</f>
        <v>0</v>
      </c>
      <c r="CJ74" s="10"/>
      <c r="CV74" s="9">
        <v>45462</v>
      </c>
      <c r="CW74">
        <v>110205</v>
      </c>
      <c r="CX74" t="s">
        <v>59</v>
      </c>
      <c r="CY74" t="str">
        <f>"CPA Rescate LOCALPAYMENT " &amp; CS20 &amp; " a Bco.Bice USD " &amp; TEXT(CQ20,"#.##0,00") &amp; " T/C " &amp; CP20</f>
        <v>CPA Rescate LOCALPAYMENT USD SET a Bco.Bice USD 0,00 T/C 0</v>
      </c>
      <c r="CZ74" s="3">
        <f>+CR20</f>
        <v>0</v>
      </c>
      <c r="DA74" s="10"/>
      <c r="DM74" s="9">
        <v>45462</v>
      </c>
      <c r="DN74">
        <v>110205</v>
      </c>
      <c r="DO74" t="s">
        <v>59</v>
      </c>
      <c r="DP74" t="str">
        <f>"CPA Rescate LOCALPAYMENT " &amp; DJ20 &amp; " a Bco.Bice USD " &amp; TEXT(DH20,"#.##0,00") &amp; " T/C " &amp; DG20</f>
        <v>CPA Rescate LOCALPAYMENT USD SET a Bco.Bice USD 0,00 T/C 0</v>
      </c>
      <c r="DQ74" s="3">
        <f>+DI20</f>
        <v>0</v>
      </c>
      <c r="DR74" s="10"/>
    </row>
    <row r="75" spans="83:122" x14ac:dyDescent="0.25">
      <c r="CE75" s="20"/>
      <c r="CF75">
        <v>420604</v>
      </c>
      <c r="CG75" t="s">
        <v>164</v>
      </c>
      <c r="CH75" t="str">
        <f t="shared" ref="CH75" si="293">"CPA Comisión bancaria rescate LOCALPAYMENT a Bco.Bice USD"</f>
        <v>CPA Comisión bancaria rescate LOCALPAYMENT a Bco.Bice USD</v>
      </c>
      <c r="CI75" s="3">
        <f>+CC20</f>
        <v>0</v>
      </c>
      <c r="CJ75" s="10"/>
      <c r="CV75" s="20"/>
      <c r="CW75">
        <v>420604</v>
      </c>
      <c r="CX75" t="s">
        <v>164</v>
      </c>
      <c r="CY75" t="str">
        <f t="shared" ref="CY75" si="294">"CPA Comisión bancaria rescate LOCALPAYMENT a Bco.Bice USD"</f>
        <v>CPA Comisión bancaria rescate LOCALPAYMENT a Bco.Bice USD</v>
      </c>
      <c r="CZ75" s="3">
        <f>+CT20</f>
        <v>0</v>
      </c>
      <c r="DA75" s="10"/>
      <c r="DM75" s="20"/>
      <c r="DN75">
        <v>420604</v>
      </c>
      <c r="DO75" t="s">
        <v>164</v>
      </c>
      <c r="DP75" t="str">
        <f t="shared" ref="DP75" si="295">"CPA Comisión bancaria rescate LOCALPAYMENT a Bco.Bice USD"</f>
        <v>CPA Comisión bancaria rescate LOCALPAYMENT a Bco.Bice USD</v>
      </c>
      <c r="DQ75" s="3">
        <f>+DK20</f>
        <v>0</v>
      </c>
      <c r="DR75" s="10"/>
    </row>
    <row r="76" spans="83:122" x14ac:dyDescent="0.25">
      <c r="CE76" s="20"/>
      <c r="CF76">
        <v>110316</v>
      </c>
      <c r="CG76" t="s">
        <v>165</v>
      </c>
      <c r="CH76" t="str">
        <f t="shared" ref="CH76" si="296">+CH75</f>
        <v>CPA Comisión bancaria rescate LOCALPAYMENT a Bco.Bice USD</v>
      </c>
      <c r="CI76" s="3"/>
      <c r="CJ76" s="10">
        <f t="shared" ref="CJ76" si="297">+CI75</f>
        <v>0</v>
      </c>
      <c r="CV76" s="20"/>
      <c r="CW76">
        <v>110316</v>
      </c>
      <c r="CX76" t="s">
        <v>165</v>
      </c>
      <c r="CY76" t="str">
        <f t="shared" ref="CY76" si="298">+CY75</f>
        <v>CPA Comisión bancaria rescate LOCALPAYMENT a Bco.Bice USD</v>
      </c>
      <c r="CZ76" s="3"/>
      <c r="DA76" s="10">
        <f t="shared" ref="DA76" si="299">+CZ75</f>
        <v>0</v>
      </c>
      <c r="DM76" s="20"/>
      <c r="DN76">
        <v>110316</v>
      </c>
      <c r="DO76" t="s">
        <v>165</v>
      </c>
      <c r="DP76" t="str">
        <f t="shared" ref="DP76" si="300">+DP75</f>
        <v>CPA Comisión bancaria rescate LOCALPAYMENT a Bco.Bice USD</v>
      </c>
      <c r="DQ76" s="3"/>
      <c r="DR76" s="10">
        <f t="shared" ref="DR76" si="301">+DQ75</f>
        <v>0</v>
      </c>
    </row>
    <row r="77" spans="83:122" x14ac:dyDescent="0.25">
      <c r="CE77" s="11"/>
      <c r="CF77" s="12">
        <v>110316</v>
      </c>
      <c r="CG77" s="12" t="s">
        <v>165</v>
      </c>
      <c r="CH77" s="12" t="str">
        <f t="shared" ref="CH77" si="302">+CH74</f>
        <v>CPA Rescate LOCALPAYMENT USD SET a Bco.Bice USD 0,00 T/C 0</v>
      </c>
      <c r="CI77" s="13"/>
      <c r="CJ77" s="18">
        <f t="shared" ref="CJ77" si="303">+CI74</f>
        <v>0</v>
      </c>
      <c r="CV77" s="11"/>
      <c r="CW77" s="12">
        <v>110316</v>
      </c>
      <c r="CX77" s="12" t="s">
        <v>165</v>
      </c>
      <c r="CY77" s="12" t="str">
        <f t="shared" ref="CY77" si="304">+CY74</f>
        <v>CPA Rescate LOCALPAYMENT USD SET a Bco.Bice USD 0,00 T/C 0</v>
      </c>
      <c r="CZ77" s="13"/>
      <c r="DA77" s="18">
        <f t="shared" ref="DA77" si="305">+CZ74</f>
        <v>0</v>
      </c>
      <c r="DM77" s="11"/>
      <c r="DN77" s="12">
        <v>110316</v>
      </c>
      <c r="DO77" s="12" t="s">
        <v>165</v>
      </c>
      <c r="DP77" s="12" t="str">
        <f t="shared" ref="DP77" si="306">+DP74</f>
        <v>CPA Rescate LOCALPAYMENT USD SET a Bco.Bice USD 0,00 T/C 0</v>
      </c>
      <c r="DQ77" s="13"/>
      <c r="DR77" s="18">
        <f t="shared" ref="DR77" si="307">+DQ74</f>
        <v>0</v>
      </c>
    </row>
    <row r="78" spans="83:122" x14ac:dyDescent="0.25">
      <c r="CE78" s="9">
        <v>45463</v>
      </c>
      <c r="CF78">
        <v>110205</v>
      </c>
      <c r="CG78" t="s">
        <v>59</v>
      </c>
      <c r="CH78" t="str">
        <f>"CPA Rescate LOCALPAYMENT " &amp; CB21 &amp; " a Bco.Bice USD " &amp; TEXT(BZ21,"#.##0,00") &amp; " T/C " &amp; BY21</f>
        <v>CPA Rescate LOCALPAYMENT USD SET a Bco.Bice USD 0,00 T/C 0</v>
      </c>
      <c r="CI78" s="3">
        <f>+CA21</f>
        <v>0</v>
      </c>
      <c r="CJ78" s="10"/>
      <c r="CV78" s="9">
        <v>45463</v>
      </c>
      <c r="CW78">
        <v>110205</v>
      </c>
      <c r="CX78" t="s">
        <v>59</v>
      </c>
      <c r="CY78" t="str">
        <f>"CPA Rescate LOCALPAYMENT " &amp; CS21 &amp; " a Bco.Bice USD " &amp; TEXT(CQ21,"#.##0,00") &amp; " T/C " &amp; CP21</f>
        <v>CPA Rescate LOCALPAYMENT USD SET a Bco.Bice USD 0,00 T/C 0</v>
      </c>
      <c r="CZ78" s="3">
        <f>+CR21</f>
        <v>0</v>
      </c>
      <c r="DA78" s="10"/>
      <c r="DM78" s="9">
        <v>45463</v>
      </c>
      <c r="DN78">
        <v>110205</v>
      </c>
      <c r="DO78" t="s">
        <v>59</v>
      </c>
      <c r="DP78" t="str">
        <f>"CPA Rescate LOCALPAYMENT " &amp; DJ21 &amp; " a Bco.Bice USD " &amp; TEXT(DH21,"#.##0,00") &amp; " T/C " &amp; DG21</f>
        <v>CPA Rescate LOCALPAYMENT USD SET a Bco.Bice USD 0,00 T/C 0</v>
      </c>
      <c r="DQ78" s="3">
        <f>+DI21</f>
        <v>0</v>
      </c>
      <c r="DR78" s="10"/>
    </row>
    <row r="79" spans="83:122" x14ac:dyDescent="0.25">
      <c r="CE79" s="20"/>
      <c r="CF79">
        <v>420604</v>
      </c>
      <c r="CG79" t="s">
        <v>164</v>
      </c>
      <c r="CH79" t="str">
        <f t="shared" ref="CH79" si="308">"CPA Comisión bancaria rescate LOCALPAYMENT a Bco.Bice USD"</f>
        <v>CPA Comisión bancaria rescate LOCALPAYMENT a Bco.Bice USD</v>
      </c>
      <c r="CI79" s="3">
        <f>+CC21</f>
        <v>0</v>
      </c>
      <c r="CJ79" s="10"/>
      <c r="CV79" s="20"/>
      <c r="CW79">
        <v>420604</v>
      </c>
      <c r="CX79" t="s">
        <v>164</v>
      </c>
      <c r="CY79" t="str">
        <f t="shared" ref="CY79" si="309">"CPA Comisión bancaria rescate LOCALPAYMENT a Bco.Bice USD"</f>
        <v>CPA Comisión bancaria rescate LOCALPAYMENT a Bco.Bice USD</v>
      </c>
      <c r="CZ79" s="3">
        <f>+CT21</f>
        <v>0</v>
      </c>
      <c r="DA79" s="10"/>
      <c r="DM79" s="20"/>
      <c r="DN79">
        <v>420604</v>
      </c>
      <c r="DO79" t="s">
        <v>164</v>
      </c>
      <c r="DP79" t="str">
        <f t="shared" ref="DP79" si="310">"CPA Comisión bancaria rescate LOCALPAYMENT a Bco.Bice USD"</f>
        <v>CPA Comisión bancaria rescate LOCALPAYMENT a Bco.Bice USD</v>
      </c>
      <c r="DQ79" s="3">
        <f>+DK21</f>
        <v>0</v>
      </c>
      <c r="DR79" s="10"/>
    </row>
    <row r="80" spans="83:122" x14ac:dyDescent="0.25">
      <c r="CE80" s="20"/>
      <c r="CF80">
        <v>110316</v>
      </c>
      <c r="CG80" t="s">
        <v>165</v>
      </c>
      <c r="CH80" t="str">
        <f t="shared" ref="CH80" si="311">+CH79</f>
        <v>CPA Comisión bancaria rescate LOCALPAYMENT a Bco.Bice USD</v>
      </c>
      <c r="CI80" s="3"/>
      <c r="CJ80" s="10">
        <f t="shared" ref="CJ80" si="312">+CI79</f>
        <v>0</v>
      </c>
      <c r="CV80" s="20"/>
      <c r="CW80">
        <v>110316</v>
      </c>
      <c r="CX80" t="s">
        <v>165</v>
      </c>
      <c r="CY80" t="str">
        <f t="shared" ref="CY80" si="313">+CY79</f>
        <v>CPA Comisión bancaria rescate LOCALPAYMENT a Bco.Bice USD</v>
      </c>
      <c r="CZ80" s="3"/>
      <c r="DA80" s="10">
        <f t="shared" ref="DA80" si="314">+CZ79</f>
        <v>0</v>
      </c>
      <c r="DM80" s="20"/>
      <c r="DN80">
        <v>110316</v>
      </c>
      <c r="DO80" t="s">
        <v>165</v>
      </c>
      <c r="DP80" t="str">
        <f t="shared" ref="DP80" si="315">+DP79</f>
        <v>CPA Comisión bancaria rescate LOCALPAYMENT a Bco.Bice USD</v>
      </c>
      <c r="DQ80" s="3"/>
      <c r="DR80" s="10">
        <f t="shared" ref="DR80" si="316">+DQ79</f>
        <v>0</v>
      </c>
    </row>
    <row r="81" spans="83:122" x14ac:dyDescent="0.25">
      <c r="CE81" s="11"/>
      <c r="CF81" s="12">
        <v>110316</v>
      </c>
      <c r="CG81" s="12" t="s">
        <v>165</v>
      </c>
      <c r="CH81" s="12" t="str">
        <f t="shared" ref="CH81" si="317">+CH78</f>
        <v>CPA Rescate LOCALPAYMENT USD SET a Bco.Bice USD 0,00 T/C 0</v>
      </c>
      <c r="CI81" s="13"/>
      <c r="CJ81" s="18">
        <f t="shared" ref="CJ81" si="318">+CI78</f>
        <v>0</v>
      </c>
      <c r="CV81" s="11"/>
      <c r="CW81" s="12">
        <v>110316</v>
      </c>
      <c r="CX81" s="12" t="s">
        <v>165</v>
      </c>
      <c r="CY81" s="12" t="str">
        <f t="shared" ref="CY81" si="319">+CY78</f>
        <v>CPA Rescate LOCALPAYMENT USD SET a Bco.Bice USD 0,00 T/C 0</v>
      </c>
      <c r="CZ81" s="13"/>
      <c r="DA81" s="18">
        <f t="shared" ref="DA81" si="320">+CZ78</f>
        <v>0</v>
      </c>
      <c r="DM81" s="11"/>
      <c r="DN81" s="12">
        <v>110316</v>
      </c>
      <c r="DO81" s="12" t="s">
        <v>165</v>
      </c>
      <c r="DP81" s="12" t="str">
        <f t="shared" ref="DP81" si="321">+DP78</f>
        <v>CPA Rescate LOCALPAYMENT USD SET a Bco.Bice USD 0,00 T/C 0</v>
      </c>
      <c r="DQ81" s="13"/>
      <c r="DR81" s="18">
        <f t="shared" ref="DR81" si="322">+DQ78</f>
        <v>0</v>
      </c>
    </row>
    <row r="82" spans="83:122" x14ac:dyDescent="0.25">
      <c r="CE82" s="9">
        <v>45464</v>
      </c>
      <c r="CF82">
        <v>110205</v>
      </c>
      <c r="CG82" t="s">
        <v>59</v>
      </c>
      <c r="CH82" t="str">
        <f>"CPA Rescate LOCALPAYMENT " &amp; CB22 &amp; " a Bco.Bice USD " &amp; TEXT(BZ22,"#.##0,00") &amp; " T/C " &amp; BY22</f>
        <v>CPA Rescate LOCALPAYMENT USD SET a Bco.Bice USD 756.536,43 T/C 945,01</v>
      </c>
      <c r="CI82" s="3">
        <f>+CA22</f>
        <v>714934491.71430004</v>
      </c>
      <c r="CJ82" s="10"/>
      <c r="CV82" s="9">
        <v>45464</v>
      </c>
      <c r="CW82">
        <v>110205</v>
      </c>
      <c r="CX82" t="s">
        <v>59</v>
      </c>
      <c r="CY82" t="str">
        <f>"CPA Rescate LOCALPAYMENT " &amp; CS22 &amp; " a Bco.Bice USD " &amp; TEXT(CQ22,"#.##0,00") &amp; " T/C " &amp; CP22</f>
        <v>CPA Rescate LOCALPAYMENT USD SET a Bco.Bice USD 756.536,43 T/C 945,01</v>
      </c>
      <c r="CZ82" s="3">
        <f>+CR22</f>
        <v>714934491.71430004</v>
      </c>
      <c r="DA82" s="10"/>
      <c r="DM82" s="9">
        <v>45464</v>
      </c>
      <c r="DN82">
        <v>110205</v>
      </c>
      <c r="DO82" t="s">
        <v>59</v>
      </c>
      <c r="DP82" t="str">
        <f>"CPA Rescate LOCALPAYMENT " &amp; DJ22 &amp; " a Bco.Bice USD " &amp; TEXT(DH22,"#.##0,00") &amp; " T/C " &amp; DG22</f>
        <v>CPA Rescate LOCALPAYMENT USD SET a Bco.Bice USD 0,00 T/C 0</v>
      </c>
      <c r="DQ82" s="3">
        <f>+DI22</f>
        <v>0</v>
      </c>
      <c r="DR82" s="10"/>
    </row>
    <row r="83" spans="83:122" x14ac:dyDescent="0.25">
      <c r="CE83" s="20"/>
      <c r="CF83">
        <v>420604</v>
      </c>
      <c r="CG83" t="s">
        <v>164</v>
      </c>
      <c r="CH83" t="str">
        <f t="shared" ref="CH83" si="323">"CPA Comisión bancaria rescate LOCALPAYMENT a Bco.Bice USD"</f>
        <v>CPA Comisión bancaria rescate LOCALPAYMENT a Bco.Bice USD</v>
      </c>
      <c r="CI83" s="3">
        <f>+CC22</f>
        <v>28350.3</v>
      </c>
      <c r="CJ83" s="10"/>
      <c r="CV83" s="20"/>
      <c r="CW83">
        <v>420604</v>
      </c>
      <c r="CX83" t="s">
        <v>164</v>
      </c>
      <c r="CY83" t="str">
        <f t="shared" ref="CY83" si="324">"CPA Comisión bancaria rescate LOCALPAYMENT a Bco.Bice USD"</f>
        <v>CPA Comisión bancaria rescate LOCALPAYMENT a Bco.Bice USD</v>
      </c>
      <c r="CZ83" s="3">
        <f>+CT22</f>
        <v>28350.3</v>
      </c>
      <c r="DA83" s="10"/>
      <c r="DM83" s="20"/>
      <c r="DN83">
        <v>420604</v>
      </c>
      <c r="DO83" t="s">
        <v>164</v>
      </c>
      <c r="DP83" t="str">
        <f t="shared" ref="DP83" si="325">"CPA Comisión bancaria rescate LOCALPAYMENT a Bco.Bice USD"</f>
        <v>CPA Comisión bancaria rescate LOCALPAYMENT a Bco.Bice USD</v>
      </c>
      <c r="DQ83" s="3">
        <f>+DK22</f>
        <v>0</v>
      </c>
      <c r="DR83" s="10"/>
    </row>
    <row r="84" spans="83:122" x14ac:dyDescent="0.25">
      <c r="CE84" s="20"/>
      <c r="CF84">
        <v>110316</v>
      </c>
      <c r="CG84" t="s">
        <v>165</v>
      </c>
      <c r="CH84" t="str">
        <f t="shared" ref="CH84" si="326">+CH83</f>
        <v>CPA Comisión bancaria rescate LOCALPAYMENT a Bco.Bice USD</v>
      </c>
      <c r="CI84" s="3"/>
      <c r="CJ84" s="10">
        <f t="shared" ref="CJ84" si="327">+CI83</f>
        <v>28350.3</v>
      </c>
      <c r="CV84" s="20"/>
      <c r="CW84">
        <v>110316</v>
      </c>
      <c r="CX84" t="s">
        <v>165</v>
      </c>
      <c r="CY84" t="str">
        <f t="shared" ref="CY84" si="328">+CY83</f>
        <v>CPA Comisión bancaria rescate LOCALPAYMENT a Bco.Bice USD</v>
      </c>
      <c r="CZ84" s="3"/>
      <c r="DA84" s="10">
        <f t="shared" ref="DA84" si="329">+CZ83</f>
        <v>28350.3</v>
      </c>
      <c r="DM84" s="20"/>
      <c r="DN84">
        <v>110316</v>
      </c>
      <c r="DO84" t="s">
        <v>165</v>
      </c>
      <c r="DP84" t="str">
        <f t="shared" ref="DP84" si="330">+DP83</f>
        <v>CPA Comisión bancaria rescate LOCALPAYMENT a Bco.Bice USD</v>
      </c>
      <c r="DQ84" s="3"/>
      <c r="DR84" s="10">
        <f t="shared" ref="DR84" si="331">+DQ83</f>
        <v>0</v>
      </c>
    </row>
    <row r="85" spans="83:122" x14ac:dyDescent="0.25">
      <c r="CE85" s="11"/>
      <c r="CF85" s="12">
        <v>110316</v>
      </c>
      <c r="CG85" s="12" t="s">
        <v>165</v>
      </c>
      <c r="CH85" s="12" t="str">
        <f t="shared" ref="CH85" si="332">+CH82</f>
        <v>CPA Rescate LOCALPAYMENT USD SET a Bco.Bice USD 756.536,43 T/C 945,01</v>
      </c>
      <c r="CI85" s="13"/>
      <c r="CJ85" s="18">
        <f t="shared" ref="CJ85" si="333">+CI82</f>
        <v>714934491.71430004</v>
      </c>
      <c r="CV85" s="11"/>
      <c r="CW85" s="12">
        <v>110316</v>
      </c>
      <c r="CX85" s="12" t="s">
        <v>165</v>
      </c>
      <c r="CY85" s="12" t="str">
        <f t="shared" ref="CY85" si="334">+CY82</f>
        <v>CPA Rescate LOCALPAYMENT USD SET a Bco.Bice USD 756.536,43 T/C 945,01</v>
      </c>
      <c r="CZ85" s="13"/>
      <c r="DA85" s="18">
        <f t="shared" ref="DA85" si="335">+CZ82</f>
        <v>714934491.71430004</v>
      </c>
      <c r="DM85" s="11"/>
      <c r="DN85" s="12">
        <v>110316</v>
      </c>
      <c r="DO85" s="12" t="s">
        <v>165</v>
      </c>
      <c r="DP85" s="12" t="str">
        <f t="shared" ref="DP85" si="336">+DP82</f>
        <v>CPA Rescate LOCALPAYMENT USD SET a Bco.Bice USD 0,00 T/C 0</v>
      </c>
      <c r="DQ85" s="13"/>
      <c r="DR85" s="18">
        <f t="shared" ref="DR85" si="337">+DQ82</f>
        <v>0</v>
      </c>
    </row>
    <row r="86" spans="83:122" x14ac:dyDescent="0.25">
      <c r="CE86" s="9">
        <v>45465</v>
      </c>
      <c r="CF86">
        <v>110205</v>
      </c>
      <c r="CG86" t="s">
        <v>59</v>
      </c>
      <c r="CH86" t="str">
        <f>"CPA Rescate LOCALPAYMENT " &amp; CB23 &amp; " a Bco.Bice USD " &amp; TEXT(BZ23,"#.##0,00") &amp; " T/C " &amp; BY23</f>
        <v>CPA Rescate LOCALPAYMENT USD SET a Bco.Bice USD 996.413,06 T/C 954,39</v>
      </c>
      <c r="CI86" s="3">
        <f>+CA23</f>
        <v>950966660.33340001</v>
      </c>
      <c r="CJ86" s="10"/>
      <c r="CV86" s="9">
        <v>45465</v>
      </c>
      <c r="CW86">
        <v>110205</v>
      </c>
      <c r="CX86" t="s">
        <v>59</v>
      </c>
      <c r="CY86" t="str">
        <f>"CPA Rescate LOCALPAYMENT " &amp; CS23 &amp; " a Bco.Bice USD " &amp; TEXT(CQ23,"#.##0,00") &amp; " T/C " &amp; CP23</f>
        <v>CPA Rescate LOCALPAYMENT USD SET a Bco.Bice USD 996.413,06 T/C 954,39</v>
      </c>
      <c r="CZ86" s="3">
        <f>+CR23</f>
        <v>950966660.33340001</v>
      </c>
      <c r="DA86" s="10"/>
      <c r="DM86" s="9">
        <v>45465</v>
      </c>
      <c r="DN86">
        <v>110205</v>
      </c>
      <c r="DO86" t="s">
        <v>59</v>
      </c>
      <c r="DP86" t="str">
        <f>"CPA Rescate LOCALPAYMENT " &amp; DJ23 &amp; " a Bco.Bice USD " &amp; TEXT(DH23,"#.##0,00") &amp; " T/C " &amp; DG23</f>
        <v>CPA Rescate LOCALPAYMENT USD SET a Bco.Bice USD 0,00 T/C 0</v>
      </c>
      <c r="DQ86" s="3">
        <f>+DI23</f>
        <v>0</v>
      </c>
      <c r="DR86" s="10"/>
    </row>
    <row r="87" spans="83:122" x14ac:dyDescent="0.25">
      <c r="CE87" s="20"/>
      <c r="CF87">
        <v>420604</v>
      </c>
      <c r="CG87" t="s">
        <v>164</v>
      </c>
      <c r="CH87" t="str">
        <f t="shared" ref="CH87" si="338">"CPA Comisión bancaria rescate LOCALPAYMENT a Bco.Bice USD"</f>
        <v>CPA Comisión bancaria rescate LOCALPAYMENT a Bco.Bice USD</v>
      </c>
      <c r="CI87" s="3">
        <f>+CC23</f>
        <v>0</v>
      </c>
      <c r="CJ87" s="10"/>
      <c r="CV87" s="20"/>
      <c r="CW87">
        <v>420604</v>
      </c>
      <c r="CX87" t="s">
        <v>164</v>
      </c>
      <c r="CY87" t="str">
        <f t="shared" ref="CY87" si="339">"CPA Comisión bancaria rescate LOCALPAYMENT a Bco.Bice USD"</f>
        <v>CPA Comisión bancaria rescate LOCALPAYMENT a Bco.Bice USD</v>
      </c>
      <c r="CZ87" s="3">
        <f>+CT23</f>
        <v>0</v>
      </c>
      <c r="DA87" s="10"/>
      <c r="DM87" s="20"/>
      <c r="DN87">
        <v>420604</v>
      </c>
      <c r="DO87" t="s">
        <v>164</v>
      </c>
      <c r="DP87" t="str">
        <f t="shared" ref="DP87" si="340">"CPA Comisión bancaria rescate LOCALPAYMENT a Bco.Bice USD"</f>
        <v>CPA Comisión bancaria rescate LOCALPAYMENT a Bco.Bice USD</v>
      </c>
      <c r="DQ87" s="3">
        <f>+DK23</f>
        <v>0</v>
      </c>
      <c r="DR87" s="10"/>
    </row>
    <row r="88" spans="83:122" x14ac:dyDescent="0.25">
      <c r="CE88" s="20"/>
      <c r="CF88">
        <v>110316</v>
      </c>
      <c r="CG88" t="s">
        <v>165</v>
      </c>
      <c r="CH88" t="str">
        <f t="shared" ref="CH88" si="341">+CH87</f>
        <v>CPA Comisión bancaria rescate LOCALPAYMENT a Bco.Bice USD</v>
      </c>
      <c r="CI88" s="3"/>
      <c r="CJ88" s="10">
        <f t="shared" ref="CJ88" si="342">+CI87</f>
        <v>0</v>
      </c>
      <c r="CV88" s="20"/>
      <c r="CW88">
        <v>110316</v>
      </c>
      <c r="CX88" t="s">
        <v>165</v>
      </c>
      <c r="CY88" t="str">
        <f t="shared" ref="CY88" si="343">+CY87</f>
        <v>CPA Comisión bancaria rescate LOCALPAYMENT a Bco.Bice USD</v>
      </c>
      <c r="CZ88" s="3"/>
      <c r="DA88" s="10">
        <f t="shared" ref="DA88" si="344">+CZ87</f>
        <v>0</v>
      </c>
      <c r="DM88" s="20"/>
      <c r="DN88">
        <v>110316</v>
      </c>
      <c r="DO88" t="s">
        <v>165</v>
      </c>
      <c r="DP88" t="str">
        <f t="shared" ref="DP88" si="345">+DP87</f>
        <v>CPA Comisión bancaria rescate LOCALPAYMENT a Bco.Bice USD</v>
      </c>
      <c r="DQ88" s="3"/>
      <c r="DR88" s="10">
        <f t="shared" ref="DR88" si="346">+DQ87</f>
        <v>0</v>
      </c>
    </row>
    <row r="89" spans="83:122" x14ac:dyDescent="0.25">
      <c r="CE89" s="11"/>
      <c r="CF89" s="12">
        <v>110316</v>
      </c>
      <c r="CG89" s="12" t="s">
        <v>165</v>
      </c>
      <c r="CH89" s="12" t="str">
        <f t="shared" ref="CH89" si="347">+CH86</f>
        <v>CPA Rescate LOCALPAYMENT USD SET a Bco.Bice USD 996.413,06 T/C 954,39</v>
      </c>
      <c r="CI89" s="13"/>
      <c r="CJ89" s="18">
        <f t="shared" ref="CJ89" si="348">+CI86</f>
        <v>950966660.33340001</v>
      </c>
      <c r="CV89" s="11"/>
      <c r="CW89" s="12">
        <v>110316</v>
      </c>
      <c r="CX89" s="12" t="s">
        <v>165</v>
      </c>
      <c r="CY89" s="12" t="str">
        <f t="shared" ref="CY89" si="349">+CY86</f>
        <v>CPA Rescate LOCALPAYMENT USD SET a Bco.Bice USD 996.413,06 T/C 954,39</v>
      </c>
      <c r="CZ89" s="13"/>
      <c r="DA89" s="18">
        <f t="shared" ref="DA89" si="350">+CZ86</f>
        <v>950966660.33340001</v>
      </c>
      <c r="DM89" s="11"/>
      <c r="DN89" s="12">
        <v>110316</v>
      </c>
      <c r="DO89" s="12" t="s">
        <v>165</v>
      </c>
      <c r="DP89" s="12" t="str">
        <f t="shared" ref="DP89" si="351">+DP86</f>
        <v>CPA Rescate LOCALPAYMENT USD SET a Bco.Bice USD 0,00 T/C 0</v>
      </c>
      <c r="DQ89" s="13"/>
      <c r="DR89" s="18">
        <f t="shared" ref="DR89" si="352">+DQ86</f>
        <v>0</v>
      </c>
    </row>
    <row r="90" spans="83:122" x14ac:dyDescent="0.25">
      <c r="CE90" s="9">
        <v>45466</v>
      </c>
      <c r="CF90">
        <v>110205</v>
      </c>
      <c r="CG90" t="s">
        <v>59</v>
      </c>
      <c r="CH90" t="str">
        <f>"CPA Rescate LOCALPAYMENT " &amp; CB24 &amp; " a Bco.Bice USD " &amp; TEXT(BZ24,"#.##0,00") &amp; " T/C " &amp; BY24</f>
        <v>CPA Rescate LOCALPAYMENT USD SET a Bco.Bice USD 0,00 T/C 0</v>
      </c>
      <c r="CI90" s="3">
        <f>+CA24</f>
        <v>0</v>
      </c>
      <c r="CJ90" s="10"/>
      <c r="CV90" s="9">
        <v>45466</v>
      </c>
      <c r="CW90">
        <v>110205</v>
      </c>
      <c r="CX90" t="s">
        <v>59</v>
      </c>
      <c r="CY90" t="str">
        <f>"CPA Rescate LOCALPAYMENT " &amp; CS24 &amp; " a Bco.Bice USD " &amp; TEXT(CQ24,"#.##0,00") &amp; " T/C " &amp; CP24</f>
        <v>CPA Rescate LOCALPAYMENT USD SET a Bco.Bice USD 0,00 T/C 0</v>
      </c>
      <c r="CZ90" s="3">
        <f>+CR24</f>
        <v>0</v>
      </c>
      <c r="DA90" s="10"/>
      <c r="DM90" s="9">
        <v>45466</v>
      </c>
      <c r="DN90">
        <v>110205</v>
      </c>
      <c r="DO90" t="s">
        <v>59</v>
      </c>
      <c r="DP90" t="str">
        <f>"CPA Rescate LOCALPAYMENT " &amp; DJ24 &amp; " a Bco.Bice USD " &amp; TEXT(DH24,"#.##0,00") &amp; " T/C " &amp; DG24</f>
        <v>CPA Rescate LOCALPAYMENT USD SET a Bco.Bice USD 0,00 T/C 0</v>
      </c>
      <c r="DQ90" s="3">
        <f>+DI24</f>
        <v>0</v>
      </c>
      <c r="DR90" s="10"/>
    </row>
    <row r="91" spans="83:122" x14ac:dyDescent="0.25">
      <c r="CE91" s="20"/>
      <c r="CF91">
        <v>420604</v>
      </c>
      <c r="CG91" t="s">
        <v>164</v>
      </c>
      <c r="CH91" t="str">
        <f t="shared" ref="CH91" si="353">"CPA Comisión bancaria rescate LOCALPAYMENT a Bco.Bice USD"</f>
        <v>CPA Comisión bancaria rescate LOCALPAYMENT a Bco.Bice USD</v>
      </c>
      <c r="CI91" s="3">
        <f>+CC24</f>
        <v>0</v>
      </c>
      <c r="CJ91" s="10"/>
      <c r="CV91" s="20"/>
      <c r="CW91">
        <v>420604</v>
      </c>
      <c r="CX91" t="s">
        <v>164</v>
      </c>
      <c r="CY91" t="str">
        <f t="shared" ref="CY91" si="354">"CPA Comisión bancaria rescate LOCALPAYMENT a Bco.Bice USD"</f>
        <v>CPA Comisión bancaria rescate LOCALPAYMENT a Bco.Bice USD</v>
      </c>
      <c r="CZ91" s="3">
        <f>+CT24</f>
        <v>0</v>
      </c>
      <c r="DA91" s="10"/>
      <c r="DM91" s="20"/>
      <c r="DN91">
        <v>420604</v>
      </c>
      <c r="DO91" t="s">
        <v>164</v>
      </c>
      <c r="DP91" t="str">
        <f t="shared" ref="DP91" si="355">"CPA Comisión bancaria rescate LOCALPAYMENT a Bco.Bice USD"</f>
        <v>CPA Comisión bancaria rescate LOCALPAYMENT a Bco.Bice USD</v>
      </c>
      <c r="DQ91" s="3">
        <f>+DK24</f>
        <v>0</v>
      </c>
      <c r="DR91" s="10"/>
    </row>
    <row r="92" spans="83:122" x14ac:dyDescent="0.25">
      <c r="CE92" s="20"/>
      <c r="CF92">
        <v>110316</v>
      </c>
      <c r="CG92" t="s">
        <v>165</v>
      </c>
      <c r="CH92" t="str">
        <f t="shared" ref="CH92" si="356">+CH91</f>
        <v>CPA Comisión bancaria rescate LOCALPAYMENT a Bco.Bice USD</v>
      </c>
      <c r="CI92" s="3"/>
      <c r="CJ92" s="10">
        <f t="shared" ref="CJ92" si="357">+CI91</f>
        <v>0</v>
      </c>
      <c r="CV92" s="20"/>
      <c r="CW92">
        <v>110316</v>
      </c>
      <c r="CX92" t="s">
        <v>165</v>
      </c>
      <c r="CY92" t="str">
        <f t="shared" ref="CY92" si="358">+CY91</f>
        <v>CPA Comisión bancaria rescate LOCALPAYMENT a Bco.Bice USD</v>
      </c>
      <c r="CZ92" s="3"/>
      <c r="DA92" s="10">
        <f t="shared" ref="DA92" si="359">+CZ91</f>
        <v>0</v>
      </c>
      <c r="DM92" s="20"/>
      <c r="DN92">
        <v>110316</v>
      </c>
      <c r="DO92" t="s">
        <v>165</v>
      </c>
      <c r="DP92" t="str">
        <f t="shared" ref="DP92" si="360">+DP91</f>
        <v>CPA Comisión bancaria rescate LOCALPAYMENT a Bco.Bice USD</v>
      </c>
      <c r="DQ92" s="3"/>
      <c r="DR92" s="10">
        <f t="shared" ref="DR92" si="361">+DQ91</f>
        <v>0</v>
      </c>
    </row>
    <row r="93" spans="83:122" x14ac:dyDescent="0.25">
      <c r="CE93" s="11"/>
      <c r="CF93" s="12">
        <v>110316</v>
      </c>
      <c r="CG93" s="12" t="s">
        <v>165</v>
      </c>
      <c r="CH93" s="12" t="str">
        <f t="shared" ref="CH93" si="362">+CH90</f>
        <v>CPA Rescate LOCALPAYMENT USD SET a Bco.Bice USD 0,00 T/C 0</v>
      </c>
      <c r="CI93" s="13"/>
      <c r="CJ93" s="18">
        <f t="shared" ref="CJ93" si="363">+CI90</f>
        <v>0</v>
      </c>
      <c r="CV93" s="11"/>
      <c r="CW93" s="12">
        <v>110316</v>
      </c>
      <c r="CX93" s="12" t="s">
        <v>165</v>
      </c>
      <c r="CY93" s="12" t="str">
        <f t="shared" ref="CY93" si="364">+CY90</f>
        <v>CPA Rescate LOCALPAYMENT USD SET a Bco.Bice USD 0,00 T/C 0</v>
      </c>
      <c r="CZ93" s="13"/>
      <c r="DA93" s="18">
        <f t="shared" ref="DA93" si="365">+CZ90</f>
        <v>0</v>
      </c>
      <c r="DM93" s="11"/>
      <c r="DN93" s="12">
        <v>110316</v>
      </c>
      <c r="DO93" s="12" t="s">
        <v>165</v>
      </c>
      <c r="DP93" s="12" t="str">
        <f t="shared" ref="DP93" si="366">+DP90</f>
        <v>CPA Rescate LOCALPAYMENT USD SET a Bco.Bice USD 0,00 T/C 0</v>
      </c>
      <c r="DQ93" s="13"/>
      <c r="DR93" s="18">
        <f t="shared" ref="DR93" si="367">+DQ90</f>
        <v>0</v>
      </c>
    </row>
    <row r="94" spans="83:122" x14ac:dyDescent="0.25">
      <c r="CE94" s="9">
        <v>45467</v>
      </c>
      <c r="CF94">
        <v>110205</v>
      </c>
      <c r="CG94" t="s">
        <v>59</v>
      </c>
      <c r="CH94" t="str">
        <f>"CPA Rescate LOCALPAYMENT " &amp; CB25 &amp; " a Bco.Bice USD " &amp; TEXT(BZ25,"#.##0,00") &amp; " T/C " &amp; BY25</f>
        <v>CPA Rescate LOCALPAYMENT USD SET a Bco.Bice USD 239.762,30 T/C 949</v>
      </c>
      <c r="CI94" s="3">
        <f>+CA25</f>
        <v>227534422.69999999</v>
      </c>
      <c r="CJ94" s="10"/>
      <c r="CV94" s="9">
        <v>45467</v>
      </c>
      <c r="CW94">
        <v>110205</v>
      </c>
      <c r="CX94" t="s">
        <v>59</v>
      </c>
      <c r="CY94" t="str">
        <f>"CPA Rescate LOCALPAYMENT " &amp; CS25 &amp; " a Bco.Bice USD " &amp; TEXT(CQ25,"#.##0,00") &amp; " T/C " &amp; CP25</f>
        <v>CPA Rescate LOCALPAYMENT USD SET a Bco.Bice USD 239.762,30 T/C 949</v>
      </c>
      <c r="CZ94" s="3">
        <f>+CR25</f>
        <v>227534422.69999999</v>
      </c>
      <c r="DA94" s="10"/>
      <c r="DM94" s="9">
        <v>45467</v>
      </c>
      <c r="DN94">
        <v>110205</v>
      </c>
      <c r="DO94" t="s">
        <v>59</v>
      </c>
      <c r="DP94" t="str">
        <f>"CPA Rescate LOCALPAYMENT " &amp; DJ25 &amp; " a Bco.Bice USD " &amp; TEXT(DH25,"#.##0,00") &amp; " T/C " &amp; DG25</f>
        <v>CPA Rescate LOCALPAYMENT USD SET a Bco.Bice USD 801.402,44 T/C 948,2</v>
      </c>
      <c r="DQ94" s="3">
        <f>+DI25</f>
        <v>759889793.60800004</v>
      </c>
      <c r="DR94" s="10"/>
    </row>
    <row r="95" spans="83:122" x14ac:dyDescent="0.25">
      <c r="CE95" s="20"/>
      <c r="CF95">
        <v>420604</v>
      </c>
      <c r="CG95" t="s">
        <v>164</v>
      </c>
      <c r="CH95" t="str">
        <f t="shared" ref="CH95" si="368">"CPA Comisión bancaria rescate LOCALPAYMENT a Bco.Bice USD"</f>
        <v>CPA Comisión bancaria rescate LOCALPAYMENT a Bco.Bice USD</v>
      </c>
      <c r="CI95" s="3">
        <f>+CC25</f>
        <v>9490</v>
      </c>
      <c r="CJ95" s="10"/>
      <c r="CV95" s="20"/>
      <c r="CW95">
        <v>420604</v>
      </c>
      <c r="CX95" t="s">
        <v>164</v>
      </c>
      <c r="CY95" t="str">
        <f t="shared" ref="CY95" si="369">"CPA Comisión bancaria rescate LOCALPAYMENT a Bco.Bice USD"</f>
        <v>CPA Comisión bancaria rescate LOCALPAYMENT a Bco.Bice USD</v>
      </c>
      <c r="CZ95" s="3">
        <f>+CT25</f>
        <v>9490</v>
      </c>
      <c r="DA95" s="10"/>
      <c r="DM95" s="20"/>
      <c r="DN95">
        <v>420604</v>
      </c>
      <c r="DO95" t="s">
        <v>164</v>
      </c>
      <c r="DP95" t="str">
        <f t="shared" ref="DP95" si="370">"CPA Comisión bancaria rescate LOCALPAYMENT a Bco.Bice USD"</f>
        <v>CPA Comisión bancaria rescate LOCALPAYMENT a Bco.Bice USD</v>
      </c>
      <c r="DQ95" s="3">
        <f>+DK25</f>
        <v>9482</v>
      </c>
      <c r="DR95" s="10"/>
    </row>
    <row r="96" spans="83:122" x14ac:dyDescent="0.25">
      <c r="CE96" s="20"/>
      <c r="CF96">
        <v>110316</v>
      </c>
      <c r="CG96" t="s">
        <v>165</v>
      </c>
      <c r="CH96" t="str">
        <f t="shared" ref="CH96" si="371">+CH95</f>
        <v>CPA Comisión bancaria rescate LOCALPAYMENT a Bco.Bice USD</v>
      </c>
      <c r="CI96" s="3"/>
      <c r="CJ96" s="10">
        <f t="shared" ref="CJ96" si="372">+CI95</f>
        <v>9490</v>
      </c>
      <c r="CV96" s="20"/>
      <c r="CW96">
        <v>110316</v>
      </c>
      <c r="CX96" t="s">
        <v>165</v>
      </c>
      <c r="CY96" t="str">
        <f t="shared" ref="CY96" si="373">+CY95</f>
        <v>CPA Comisión bancaria rescate LOCALPAYMENT a Bco.Bice USD</v>
      </c>
      <c r="CZ96" s="3"/>
      <c r="DA96" s="10">
        <f t="shared" ref="DA96" si="374">+CZ95</f>
        <v>9490</v>
      </c>
      <c r="DM96" s="20"/>
      <c r="DN96">
        <v>110316</v>
      </c>
      <c r="DO96" t="s">
        <v>165</v>
      </c>
      <c r="DP96" t="str">
        <f t="shared" ref="DP96" si="375">+DP95</f>
        <v>CPA Comisión bancaria rescate LOCALPAYMENT a Bco.Bice USD</v>
      </c>
      <c r="DQ96" s="3"/>
      <c r="DR96" s="10">
        <f t="shared" ref="DR96" si="376">+DQ95</f>
        <v>9482</v>
      </c>
    </row>
    <row r="97" spans="83:122" x14ac:dyDescent="0.25">
      <c r="CE97" s="11"/>
      <c r="CF97" s="12">
        <v>110316</v>
      </c>
      <c r="CG97" s="12" t="s">
        <v>165</v>
      </c>
      <c r="CH97" s="12" t="str">
        <f t="shared" ref="CH97" si="377">+CH94</f>
        <v>CPA Rescate LOCALPAYMENT USD SET a Bco.Bice USD 239.762,30 T/C 949</v>
      </c>
      <c r="CI97" s="13"/>
      <c r="CJ97" s="18">
        <f t="shared" ref="CJ97" si="378">+CI94</f>
        <v>227534422.69999999</v>
      </c>
      <c r="CV97" s="11"/>
      <c r="CW97" s="12">
        <v>110316</v>
      </c>
      <c r="CX97" s="12" t="s">
        <v>165</v>
      </c>
      <c r="CY97" s="12" t="str">
        <f t="shared" ref="CY97" si="379">+CY94</f>
        <v>CPA Rescate LOCALPAYMENT USD SET a Bco.Bice USD 239.762,30 T/C 949</v>
      </c>
      <c r="CZ97" s="13"/>
      <c r="DA97" s="18">
        <f t="shared" ref="DA97" si="380">+CZ94</f>
        <v>227534422.69999999</v>
      </c>
      <c r="DM97" s="11"/>
      <c r="DN97" s="12">
        <v>110316</v>
      </c>
      <c r="DO97" s="12" t="s">
        <v>165</v>
      </c>
      <c r="DP97" s="12" t="str">
        <f t="shared" ref="DP97" si="381">+DP94</f>
        <v>CPA Rescate LOCALPAYMENT USD SET a Bco.Bice USD 801.402,44 T/C 948,2</v>
      </c>
      <c r="DQ97" s="13"/>
      <c r="DR97" s="18">
        <f t="shared" ref="DR97" si="382">+DQ94</f>
        <v>759889793.60800004</v>
      </c>
    </row>
    <row r="98" spans="83:122" x14ac:dyDescent="0.25">
      <c r="CE98" s="9">
        <v>45468</v>
      </c>
      <c r="CF98">
        <v>110205</v>
      </c>
      <c r="CG98" t="s">
        <v>59</v>
      </c>
      <c r="CH98" t="str">
        <f>"CPA Rescate LOCALPAYMENT " &amp; CB26 &amp; " a Bco.Bice USD " &amp; TEXT(BZ26,"#.##0,00") &amp; " T/C " &amp; BY26</f>
        <v>CPA Rescate LOCALPAYMENT USD SET a Bco.Bice USD 0,00 T/C 0</v>
      </c>
      <c r="CI98" s="3">
        <f>+CA26</f>
        <v>0</v>
      </c>
      <c r="CJ98" s="10"/>
      <c r="CV98" s="9">
        <v>45468</v>
      </c>
      <c r="CW98">
        <v>110205</v>
      </c>
      <c r="CX98" t="s">
        <v>59</v>
      </c>
      <c r="CY98" t="str">
        <f>"CPA Rescate LOCALPAYMENT " &amp; CS26 &amp; " a Bco.Bice USD " &amp; TEXT(CQ26,"#.##0,00") &amp; " T/C " &amp; CP26</f>
        <v>CPA Rescate LOCALPAYMENT USD SET a Bco.Bice USD 0,00 T/C 0</v>
      </c>
      <c r="CZ98" s="3">
        <f>+CR26</f>
        <v>0</v>
      </c>
      <c r="DA98" s="10"/>
      <c r="DM98" s="9">
        <v>45468</v>
      </c>
      <c r="DN98">
        <v>110205</v>
      </c>
      <c r="DO98" t="s">
        <v>59</v>
      </c>
      <c r="DP98" t="str">
        <f>"CPA Rescate LOCALPAYMENT " &amp; DJ26 &amp; " a Bco.Bice USD " &amp; TEXT(DH26,"#.##0,00") &amp; " T/C " &amp; DG26</f>
        <v>CPA Rescate LOCALPAYMENT USD SET a Bco.Bice USD 0,00 T/C 0</v>
      </c>
      <c r="DQ98" s="3">
        <f>+DI26</f>
        <v>0</v>
      </c>
      <c r="DR98" s="10"/>
    </row>
    <row r="99" spans="83:122" x14ac:dyDescent="0.25">
      <c r="CE99" s="20"/>
      <c r="CF99">
        <v>420604</v>
      </c>
      <c r="CG99" t="s">
        <v>164</v>
      </c>
      <c r="CH99" t="str">
        <f t="shared" ref="CH99" si="383">"CPA Comisión bancaria rescate LOCALPAYMENT a Bco.Bice USD"</f>
        <v>CPA Comisión bancaria rescate LOCALPAYMENT a Bco.Bice USD</v>
      </c>
      <c r="CI99" s="3">
        <f>+CC26</f>
        <v>0</v>
      </c>
      <c r="CJ99" s="10"/>
      <c r="CV99" s="20"/>
      <c r="CW99">
        <v>420604</v>
      </c>
      <c r="CX99" t="s">
        <v>164</v>
      </c>
      <c r="CY99" t="str">
        <f t="shared" ref="CY99" si="384">"CPA Comisión bancaria rescate LOCALPAYMENT a Bco.Bice USD"</f>
        <v>CPA Comisión bancaria rescate LOCALPAYMENT a Bco.Bice USD</v>
      </c>
      <c r="CZ99" s="3">
        <f>+CT26</f>
        <v>0</v>
      </c>
      <c r="DA99" s="10"/>
      <c r="DM99" s="20"/>
      <c r="DN99">
        <v>420604</v>
      </c>
      <c r="DO99" t="s">
        <v>164</v>
      </c>
      <c r="DP99" t="str">
        <f t="shared" ref="DP99" si="385">"CPA Comisión bancaria rescate LOCALPAYMENT a Bco.Bice USD"</f>
        <v>CPA Comisión bancaria rescate LOCALPAYMENT a Bco.Bice USD</v>
      </c>
      <c r="DQ99" s="3">
        <f>+DK26</f>
        <v>0</v>
      </c>
      <c r="DR99" s="10"/>
    </row>
    <row r="100" spans="83:122" x14ac:dyDescent="0.25">
      <c r="CE100" s="20"/>
      <c r="CF100">
        <v>110316</v>
      </c>
      <c r="CG100" t="s">
        <v>165</v>
      </c>
      <c r="CH100" t="str">
        <f t="shared" ref="CH100" si="386">+CH99</f>
        <v>CPA Comisión bancaria rescate LOCALPAYMENT a Bco.Bice USD</v>
      </c>
      <c r="CI100" s="3"/>
      <c r="CJ100" s="10">
        <f t="shared" ref="CJ100" si="387">+CI99</f>
        <v>0</v>
      </c>
      <c r="CV100" s="20"/>
      <c r="CW100">
        <v>110316</v>
      </c>
      <c r="CX100" t="s">
        <v>165</v>
      </c>
      <c r="CY100" t="str">
        <f t="shared" ref="CY100" si="388">+CY99</f>
        <v>CPA Comisión bancaria rescate LOCALPAYMENT a Bco.Bice USD</v>
      </c>
      <c r="CZ100" s="3"/>
      <c r="DA100" s="10">
        <f t="shared" ref="DA100" si="389">+CZ99</f>
        <v>0</v>
      </c>
      <c r="DM100" s="20"/>
      <c r="DN100">
        <v>110316</v>
      </c>
      <c r="DO100" t="s">
        <v>165</v>
      </c>
      <c r="DP100" t="str">
        <f t="shared" ref="DP100" si="390">+DP99</f>
        <v>CPA Comisión bancaria rescate LOCALPAYMENT a Bco.Bice USD</v>
      </c>
      <c r="DQ100" s="3"/>
      <c r="DR100" s="10">
        <f t="shared" ref="DR100" si="391">+DQ99</f>
        <v>0</v>
      </c>
    </row>
    <row r="101" spans="83:122" x14ac:dyDescent="0.25">
      <c r="CE101" s="11"/>
      <c r="CF101" s="12">
        <v>110316</v>
      </c>
      <c r="CG101" s="12" t="s">
        <v>165</v>
      </c>
      <c r="CH101" s="12" t="str">
        <f t="shared" ref="CH101" si="392">+CH98</f>
        <v>CPA Rescate LOCALPAYMENT USD SET a Bco.Bice USD 0,00 T/C 0</v>
      </c>
      <c r="CI101" s="13"/>
      <c r="CJ101" s="18">
        <f t="shared" ref="CJ101" si="393">+CI98</f>
        <v>0</v>
      </c>
      <c r="CV101" s="11"/>
      <c r="CW101" s="12">
        <v>110316</v>
      </c>
      <c r="CX101" s="12" t="s">
        <v>165</v>
      </c>
      <c r="CY101" s="12" t="str">
        <f t="shared" ref="CY101" si="394">+CY98</f>
        <v>CPA Rescate LOCALPAYMENT USD SET a Bco.Bice USD 0,00 T/C 0</v>
      </c>
      <c r="CZ101" s="13"/>
      <c r="DA101" s="18">
        <f t="shared" ref="DA101" si="395">+CZ98</f>
        <v>0</v>
      </c>
      <c r="DM101" s="11"/>
      <c r="DN101" s="12">
        <v>110316</v>
      </c>
      <c r="DO101" s="12" t="s">
        <v>165</v>
      </c>
      <c r="DP101" s="12" t="str">
        <f t="shared" ref="DP101" si="396">+DP98</f>
        <v>CPA Rescate LOCALPAYMENT USD SET a Bco.Bice USD 0,00 T/C 0</v>
      </c>
      <c r="DQ101" s="13"/>
      <c r="DR101" s="18">
        <f t="shared" ref="DR101" si="397">+DQ98</f>
        <v>0</v>
      </c>
    </row>
    <row r="102" spans="83:122" x14ac:dyDescent="0.25">
      <c r="CE102" s="9">
        <v>45469</v>
      </c>
      <c r="CF102">
        <v>110205</v>
      </c>
      <c r="CG102" t="s">
        <v>59</v>
      </c>
      <c r="CH102" t="str">
        <f>"CPA Rescate LOCALPAYMENT " &amp; CB27 &amp; " a Bco.Bice USD " &amp; TEXT(BZ27,"#.##0,00") &amp; " T/C " &amp; BY27</f>
        <v>CPA Rescate LOCALPAYMENT USD SET a Bco.Bice USD 0,00 T/C 0</v>
      </c>
      <c r="CI102" s="3">
        <f>+CA27</f>
        <v>0</v>
      </c>
      <c r="CJ102" s="10"/>
      <c r="CV102" s="9">
        <v>45469</v>
      </c>
      <c r="CW102">
        <v>110205</v>
      </c>
      <c r="CX102" t="s">
        <v>59</v>
      </c>
      <c r="CY102" t="str">
        <f>"CPA Rescate LOCALPAYMENT " &amp; CS27 &amp; " a Bco.Bice USD " &amp; TEXT(CQ27,"#.##0,00") &amp; " T/C " &amp; CP27</f>
        <v>CPA Rescate LOCALPAYMENT USD SET a Bco.Bice USD 0,00 T/C 0</v>
      </c>
      <c r="CZ102" s="3">
        <f>+CR27</f>
        <v>0</v>
      </c>
      <c r="DA102" s="10"/>
      <c r="DM102" s="9">
        <v>45469</v>
      </c>
      <c r="DN102">
        <v>110205</v>
      </c>
      <c r="DO102" t="s">
        <v>59</v>
      </c>
      <c r="DP102" t="str">
        <f>"CPA Rescate LOCALPAYMENT " &amp; DJ27 &amp; " a Bco.Bice USD " &amp; TEXT(DH27,"#.##0,00") &amp; " T/C " &amp; DG27</f>
        <v>CPA Rescate LOCALPAYMENT USD SET a Bco.Bice USD 0,00 T/C 0</v>
      </c>
      <c r="DQ102" s="3">
        <f>+DI27</f>
        <v>0</v>
      </c>
      <c r="DR102" s="10"/>
    </row>
    <row r="103" spans="83:122" x14ac:dyDescent="0.25">
      <c r="CE103" s="20"/>
      <c r="CF103">
        <v>420604</v>
      </c>
      <c r="CG103" t="s">
        <v>164</v>
      </c>
      <c r="CH103" t="str">
        <f t="shared" ref="CH103" si="398">"CPA Comisión bancaria rescate LOCALPAYMENT a Bco.Bice USD"</f>
        <v>CPA Comisión bancaria rescate LOCALPAYMENT a Bco.Bice USD</v>
      </c>
      <c r="CI103" s="3">
        <f>+CC27</f>
        <v>0</v>
      </c>
      <c r="CJ103" s="10"/>
      <c r="CV103" s="20"/>
      <c r="CW103">
        <v>420604</v>
      </c>
      <c r="CX103" t="s">
        <v>164</v>
      </c>
      <c r="CY103" t="str">
        <f t="shared" ref="CY103" si="399">"CPA Comisión bancaria rescate LOCALPAYMENT a Bco.Bice USD"</f>
        <v>CPA Comisión bancaria rescate LOCALPAYMENT a Bco.Bice USD</v>
      </c>
      <c r="CZ103" s="3">
        <f>+CT27</f>
        <v>0</v>
      </c>
      <c r="DA103" s="10"/>
      <c r="DM103" s="20"/>
      <c r="DN103">
        <v>420604</v>
      </c>
      <c r="DO103" t="s">
        <v>164</v>
      </c>
      <c r="DP103" t="str">
        <f t="shared" ref="DP103" si="400">"CPA Comisión bancaria rescate LOCALPAYMENT a Bco.Bice USD"</f>
        <v>CPA Comisión bancaria rescate LOCALPAYMENT a Bco.Bice USD</v>
      </c>
      <c r="DQ103" s="3">
        <f>+DK27</f>
        <v>0</v>
      </c>
      <c r="DR103" s="10"/>
    </row>
    <row r="104" spans="83:122" x14ac:dyDescent="0.25">
      <c r="CE104" s="20"/>
      <c r="CF104">
        <v>110316</v>
      </c>
      <c r="CG104" t="s">
        <v>165</v>
      </c>
      <c r="CH104" t="str">
        <f t="shared" ref="CH104" si="401">+CH103</f>
        <v>CPA Comisión bancaria rescate LOCALPAYMENT a Bco.Bice USD</v>
      </c>
      <c r="CI104" s="3"/>
      <c r="CJ104" s="10">
        <f t="shared" ref="CJ104" si="402">+CI103</f>
        <v>0</v>
      </c>
      <c r="CV104" s="20"/>
      <c r="CW104">
        <v>110316</v>
      </c>
      <c r="CX104" t="s">
        <v>165</v>
      </c>
      <c r="CY104" t="str">
        <f t="shared" ref="CY104" si="403">+CY103</f>
        <v>CPA Comisión bancaria rescate LOCALPAYMENT a Bco.Bice USD</v>
      </c>
      <c r="CZ104" s="3"/>
      <c r="DA104" s="10">
        <f t="shared" ref="DA104" si="404">+CZ103</f>
        <v>0</v>
      </c>
      <c r="DM104" s="20"/>
      <c r="DN104">
        <v>110316</v>
      </c>
      <c r="DO104" t="s">
        <v>165</v>
      </c>
      <c r="DP104" t="str">
        <f t="shared" ref="DP104" si="405">+DP103</f>
        <v>CPA Comisión bancaria rescate LOCALPAYMENT a Bco.Bice USD</v>
      </c>
      <c r="DQ104" s="3"/>
      <c r="DR104" s="10">
        <f t="shared" ref="DR104" si="406">+DQ103</f>
        <v>0</v>
      </c>
    </row>
    <row r="105" spans="83:122" x14ac:dyDescent="0.25">
      <c r="CE105" s="11"/>
      <c r="CF105" s="12">
        <v>110316</v>
      </c>
      <c r="CG105" s="12" t="s">
        <v>165</v>
      </c>
      <c r="CH105" s="12" t="str">
        <f t="shared" ref="CH105" si="407">+CH102</f>
        <v>CPA Rescate LOCALPAYMENT USD SET a Bco.Bice USD 0,00 T/C 0</v>
      </c>
      <c r="CI105" s="13"/>
      <c r="CJ105" s="18">
        <f t="shared" ref="CJ105" si="408">+CI102</f>
        <v>0</v>
      </c>
      <c r="CV105" s="11"/>
      <c r="CW105" s="12">
        <v>110316</v>
      </c>
      <c r="CX105" s="12" t="s">
        <v>165</v>
      </c>
      <c r="CY105" s="12" t="str">
        <f t="shared" ref="CY105" si="409">+CY102</f>
        <v>CPA Rescate LOCALPAYMENT USD SET a Bco.Bice USD 0,00 T/C 0</v>
      </c>
      <c r="CZ105" s="13"/>
      <c r="DA105" s="18">
        <f t="shared" ref="DA105" si="410">+CZ102</f>
        <v>0</v>
      </c>
      <c r="DM105" s="11"/>
      <c r="DN105" s="12">
        <v>110316</v>
      </c>
      <c r="DO105" s="12" t="s">
        <v>165</v>
      </c>
      <c r="DP105" s="12" t="str">
        <f t="shared" ref="DP105" si="411">+DP102</f>
        <v>CPA Rescate LOCALPAYMENT USD SET a Bco.Bice USD 0,00 T/C 0</v>
      </c>
      <c r="DQ105" s="13"/>
      <c r="DR105" s="18">
        <f t="shared" ref="DR105" si="412">+DQ102</f>
        <v>0</v>
      </c>
    </row>
    <row r="106" spans="83:122" x14ac:dyDescent="0.25">
      <c r="CE106" s="9">
        <v>45470</v>
      </c>
      <c r="CF106">
        <v>110205</v>
      </c>
      <c r="CG106" t="s">
        <v>59</v>
      </c>
      <c r="CH106" t="str">
        <f>"CPA Rescate LOCALPAYMENT " &amp; CB28 &amp; " a Bco.Bice USD " &amp; TEXT(BZ28,"#.##0,00") &amp; " T/C " &amp; BY28</f>
        <v>CPA Rescate LOCALPAYMENT USD SET a Bco.Bice USD 0,00 T/C 0</v>
      </c>
      <c r="CI106" s="3">
        <f>+CA28</f>
        <v>0</v>
      </c>
      <c r="CJ106" s="10"/>
      <c r="CV106" s="9">
        <v>45470</v>
      </c>
      <c r="CW106">
        <v>110205</v>
      </c>
      <c r="CX106" t="s">
        <v>59</v>
      </c>
      <c r="CY106" t="str">
        <f>"CPA Rescate LOCALPAYMENT " &amp; CS28 &amp; " a Bco.Bice USD " &amp; TEXT(CQ28,"#.##0,00") &amp; " T/C " &amp; CP28</f>
        <v>CPA Rescate LOCALPAYMENT USD SET a Bco.Bice USD 0,00 T/C 0</v>
      </c>
      <c r="CZ106" s="3">
        <f>+CR28</f>
        <v>0</v>
      </c>
      <c r="DA106" s="10"/>
      <c r="DM106" s="9">
        <v>45470</v>
      </c>
      <c r="DN106">
        <v>110205</v>
      </c>
      <c r="DO106" t="s">
        <v>59</v>
      </c>
      <c r="DP106" t="str">
        <f>"CPA Rescate LOCALPAYMENT " &amp; DJ28 &amp; " a Bco.Bice USD " &amp; TEXT(DH28,"#.##0,00") &amp; " T/C " &amp; DG28</f>
        <v>CPA Rescate LOCALPAYMENT USD SET a Bco.Bice USD 0,00 T/C 0</v>
      </c>
      <c r="DQ106" s="3">
        <f>+DI28</f>
        <v>0</v>
      </c>
      <c r="DR106" s="10"/>
    </row>
    <row r="107" spans="83:122" x14ac:dyDescent="0.25">
      <c r="CE107" s="20"/>
      <c r="CF107">
        <v>420604</v>
      </c>
      <c r="CG107" t="s">
        <v>164</v>
      </c>
      <c r="CH107" t="str">
        <f t="shared" ref="CH107" si="413">"CPA Comisión bancaria rescate LOCALPAYMENT a Bco.Bice USD"</f>
        <v>CPA Comisión bancaria rescate LOCALPAYMENT a Bco.Bice USD</v>
      </c>
      <c r="CI107" s="3">
        <f>+CC28</f>
        <v>0</v>
      </c>
      <c r="CJ107" s="10"/>
      <c r="CV107" s="20"/>
      <c r="CW107">
        <v>420604</v>
      </c>
      <c r="CX107" t="s">
        <v>164</v>
      </c>
      <c r="CY107" t="str">
        <f t="shared" ref="CY107" si="414">"CPA Comisión bancaria rescate LOCALPAYMENT a Bco.Bice USD"</f>
        <v>CPA Comisión bancaria rescate LOCALPAYMENT a Bco.Bice USD</v>
      </c>
      <c r="CZ107" s="3">
        <f>+CT28</f>
        <v>0</v>
      </c>
      <c r="DA107" s="10"/>
      <c r="DM107" s="20"/>
      <c r="DN107">
        <v>420604</v>
      </c>
      <c r="DO107" t="s">
        <v>164</v>
      </c>
      <c r="DP107" t="str">
        <f t="shared" ref="DP107" si="415">"CPA Comisión bancaria rescate LOCALPAYMENT a Bco.Bice USD"</f>
        <v>CPA Comisión bancaria rescate LOCALPAYMENT a Bco.Bice USD</v>
      </c>
      <c r="DQ107" s="3">
        <f>+DK28</f>
        <v>0</v>
      </c>
      <c r="DR107" s="10"/>
    </row>
    <row r="108" spans="83:122" x14ac:dyDescent="0.25">
      <c r="CE108" s="20"/>
      <c r="CF108">
        <v>110316</v>
      </c>
      <c r="CG108" t="s">
        <v>165</v>
      </c>
      <c r="CH108" t="str">
        <f t="shared" ref="CH108" si="416">+CH107</f>
        <v>CPA Comisión bancaria rescate LOCALPAYMENT a Bco.Bice USD</v>
      </c>
      <c r="CI108" s="3"/>
      <c r="CJ108" s="10">
        <f t="shared" ref="CJ108" si="417">+CI107</f>
        <v>0</v>
      </c>
      <c r="CV108" s="20"/>
      <c r="CW108">
        <v>110316</v>
      </c>
      <c r="CX108" t="s">
        <v>165</v>
      </c>
      <c r="CY108" t="str">
        <f t="shared" ref="CY108" si="418">+CY107</f>
        <v>CPA Comisión bancaria rescate LOCALPAYMENT a Bco.Bice USD</v>
      </c>
      <c r="CZ108" s="3"/>
      <c r="DA108" s="10">
        <f t="shared" ref="DA108" si="419">+CZ107</f>
        <v>0</v>
      </c>
      <c r="DM108" s="20"/>
      <c r="DN108">
        <v>110316</v>
      </c>
      <c r="DO108" t="s">
        <v>165</v>
      </c>
      <c r="DP108" t="str">
        <f t="shared" ref="DP108" si="420">+DP107</f>
        <v>CPA Comisión bancaria rescate LOCALPAYMENT a Bco.Bice USD</v>
      </c>
      <c r="DQ108" s="3"/>
      <c r="DR108" s="10">
        <f t="shared" ref="DR108" si="421">+DQ107</f>
        <v>0</v>
      </c>
    </row>
    <row r="109" spans="83:122" x14ac:dyDescent="0.25">
      <c r="CE109" s="11"/>
      <c r="CF109" s="12">
        <v>110316</v>
      </c>
      <c r="CG109" s="12" t="s">
        <v>165</v>
      </c>
      <c r="CH109" s="12" t="str">
        <f t="shared" ref="CH109" si="422">+CH106</f>
        <v>CPA Rescate LOCALPAYMENT USD SET a Bco.Bice USD 0,00 T/C 0</v>
      </c>
      <c r="CI109" s="13"/>
      <c r="CJ109" s="18">
        <f t="shared" ref="CJ109" si="423">+CI106</f>
        <v>0</v>
      </c>
      <c r="CV109" s="11"/>
      <c r="CW109" s="12">
        <v>110316</v>
      </c>
      <c r="CX109" s="12" t="s">
        <v>165</v>
      </c>
      <c r="CY109" s="12" t="str">
        <f t="shared" ref="CY109" si="424">+CY106</f>
        <v>CPA Rescate LOCALPAYMENT USD SET a Bco.Bice USD 0,00 T/C 0</v>
      </c>
      <c r="CZ109" s="13"/>
      <c r="DA109" s="18">
        <f t="shared" ref="DA109" si="425">+CZ106</f>
        <v>0</v>
      </c>
      <c r="DM109" s="11"/>
      <c r="DN109" s="12">
        <v>110316</v>
      </c>
      <c r="DO109" s="12" t="s">
        <v>165</v>
      </c>
      <c r="DP109" s="12" t="str">
        <f t="shared" ref="DP109" si="426">+DP106</f>
        <v>CPA Rescate LOCALPAYMENT USD SET a Bco.Bice USD 0,00 T/C 0</v>
      </c>
      <c r="DQ109" s="13"/>
      <c r="DR109" s="18">
        <f t="shared" ref="DR109" si="427">+DQ106</f>
        <v>0</v>
      </c>
    </row>
    <row r="110" spans="83:122" x14ac:dyDescent="0.25">
      <c r="CE110" s="9">
        <v>45471</v>
      </c>
      <c r="CF110">
        <v>110205</v>
      </c>
      <c r="CG110" t="s">
        <v>59</v>
      </c>
      <c r="CH110" t="str">
        <f>"CPA Rescate LOCALPAYMENT " &amp; CB29 &amp; " a Bco.Bice USD " &amp; TEXT(BZ29,"#.##0,00") &amp; " T/C " &amp; BY29</f>
        <v>CPA Rescate LOCALPAYMENT USD SET a Bco.Bice USD 250.696,61 T/C 945,29</v>
      </c>
      <c r="CI110" s="3">
        <f>+CA29</f>
        <v>236980998.46689999</v>
      </c>
      <c r="CJ110" s="10"/>
      <c r="CV110" s="9">
        <v>45471</v>
      </c>
      <c r="CW110">
        <v>110205</v>
      </c>
      <c r="CX110" t="s">
        <v>59</v>
      </c>
      <c r="CY110" t="str">
        <f>"CPA Rescate LOCALPAYMENT " &amp; CS29 &amp; " a Bco.Bice USD " &amp; TEXT(CQ29,"#.##0,00") &amp; " T/C " &amp; CP29</f>
        <v>CPA Rescate LOCALPAYMENT USD SET a Bco.Bice USD 250.696,61 T/C 945,29</v>
      </c>
      <c r="CZ110" s="3">
        <f>+CR29</f>
        <v>236980998.46689999</v>
      </c>
      <c r="DA110" s="10"/>
      <c r="DM110" s="9">
        <v>45471</v>
      </c>
      <c r="DN110">
        <v>110205</v>
      </c>
      <c r="DO110" t="s">
        <v>59</v>
      </c>
      <c r="DP110" t="str">
        <f>"CPA Rescate LOCALPAYMENT " &amp; DJ29 &amp; " a Bco.Bice USD " &amp; TEXT(DH29,"#.##0,00") &amp; " T/C " &amp; DG29</f>
        <v>CPA Rescate LOCALPAYMENT USD SET a Bco.Bice USD 753.080,88 T/C 945,29</v>
      </c>
      <c r="DQ110" s="3">
        <f>+DI29</f>
        <v>711879825.05519998</v>
      </c>
      <c r="DR110" s="10"/>
    </row>
    <row r="111" spans="83:122" x14ac:dyDescent="0.25">
      <c r="CE111" s="20"/>
      <c r="CF111">
        <v>420604</v>
      </c>
      <c r="CG111" t="s">
        <v>164</v>
      </c>
      <c r="CH111" t="str">
        <f t="shared" ref="CH111" si="428">"CPA Comisión bancaria rescate LOCALPAYMENT a Bco.Bice USD"</f>
        <v>CPA Comisión bancaria rescate LOCALPAYMENT a Bco.Bice USD</v>
      </c>
      <c r="CI111" s="3">
        <f>+CC29</f>
        <v>66170.3</v>
      </c>
      <c r="CJ111" s="10"/>
      <c r="CV111" s="20"/>
      <c r="CW111">
        <v>420604</v>
      </c>
      <c r="CX111" t="s">
        <v>164</v>
      </c>
      <c r="CY111" t="str">
        <f t="shared" ref="CY111" si="429">"CPA Comisión bancaria rescate LOCALPAYMENT a Bco.Bice USD"</f>
        <v>CPA Comisión bancaria rescate LOCALPAYMENT a Bco.Bice USD</v>
      </c>
      <c r="CZ111" s="3">
        <f>+CT29</f>
        <v>66170.3</v>
      </c>
      <c r="DA111" s="10"/>
      <c r="DM111" s="20"/>
      <c r="DN111">
        <v>420604</v>
      </c>
      <c r="DO111" t="s">
        <v>164</v>
      </c>
      <c r="DP111" t="str">
        <f t="shared" ref="DP111" si="430">"CPA Comisión bancaria rescate LOCALPAYMENT a Bco.Bice USD"</f>
        <v>CPA Comisión bancaria rescate LOCALPAYMENT a Bco.Bice USD</v>
      </c>
      <c r="DQ111" s="3">
        <f>+DK29</f>
        <v>28358.699999999997</v>
      </c>
      <c r="DR111" s="10"/>
    </row>
    <row r="112" spans="83:122" x14ac:dyDescent="0.25">
      <c r="CE112" s="20"/>
      <c r="CF112">
        <v>110316</v>
      </c>
      <c r="CG112" t="s">
        <v>165</v>
      </c>
      <c r="CH112" t="str">
        <f t="shared" ref="CH112" si="431">+CH111</f>
        <v>CPA Comisión bancaria rescate LOCALPAYMENT a Bco.Bice USD</v>
      </c>
      <c r="CI112" s="3"/>
      <c r="CJ112" s="10">
        <f t="shared" ref="CJ112" si="432">+CI111</f>
        <v>66170.3</v>
      </c>
      <c r="CV112" s="20"/>
      <c r="CW112">
        <v>110316</v>
      </c>
      <c r="CX112" t="s">
        <v>165</v>
      </c>
      <c r="CY112" t="str">
        <f t="shared" ref="CY112" si="433">+CY111</f>
        <v>CPA Comisión bancaria rescate LOCALPAYMENT a Bco.Bice USD</v>
      </c>
      <c r="CZ112" s="3"/>
      <c r="DA112" s="10">
        <f t="shared" ref="DA112" si="434">+CZ111</f>
        <v>66170.3</v>
      </c>
      <c r="DM112" s="20"/>
      <c r="DN112">
        <v>110316</v>
      </c>
      <c r="DO112" t="s">
        <v>165</v>
      </c>
      <c r="DP112" t="str">
        <f t="shared" ref="DP112" si="435">+DP111</f>
        <v>CPA Comisión bancaria rescate LOCALPAYMENT a Bco.Bice USD</v>
      </c>
      <c r="DQ112" s="3"/>
      <c r="DR112" s="10">
        <f t="shared" ref="DR112" si="436">+DQ111</f>
        <v>28358.699999999997</v>
      </c>
    </row>
    <row r="113" spans="83:122" x14ac:dyDescent="0.25">
      <c r="CE113" s="11"/>
      <c r="CF113" s="12">
        <v>110316</v>
      </c>
      <c r="CG113" s="12" t="s">
        <v>165</v>
      </c>
      <c r="CH113" s="12" t="str">
        <f t="shared" ref="CH113" si="437">+CH110</f>
        <v>CPA Rescate LOCALPAYMENT USD SET a Bco.Bice USD 250.696,61 T/C 945,29</v>
      </c>
      <c r="CI113" s="13"/>
      <c r="CJ113" s="18">
        <f t="shared" ref="CJ113" si="438">+CI110</f>
        <v>236980998.46689999</v>
      </c>
      <c r="CV113" s="11"/>
      <c r="CW113" s="12">
        <v>110316</v>
      </c>
      <c r="CX113" s="12" t="s">
        <v>165</v>
      </c>
      <c r="CY113" s="12" t="str">
        <f t="shared" ref="CY113" si="439">+CY110</f>
        <v>CPA Rescate LOCALPAYMENT USD SET a Bco.Bice USD 250.696,61 T/C 945,29</v>
      </c>
      <c r="CZ113" s="13"/>
      <c r="DA113" s="18">
        <f t="shared" ref="DA113" si="440">+CZ110</f>
        <v>236980998.46689999</v>
      </c>
      <c r="DM113" s="11"/>
      <c r="DN113" s="12">
        <v>110316</v>
      </c>
      <c r="DO113" s="12" t="s">
        <v>165</v>
      </c>
      <c r="DP113" s="12" t="str">
        <f t="shared" ref="DP113" si="441">+DP110</f>
        <v>CPA Rescate LOCALPAYMENT USD SET a Bco.Bice USD 753.080,88 T/C 945,29</v>
      </c>
      <c r="DQ113" s="13"/>
      <c r="DR113" s="18">
        <f t="shared" ref="DR113" si="442">+DQ110</f>
        <v>711879825.05519998</v>
      </c>
    </row>
    <row r="114" spans="83:122" x14ac:dyDescent="0.25">
      <c r="CE114" s="9">
        <v>45472</v>
      </c>
      <c r="CF114">
        <v>110205</v>
      </c>
      <c r="CG114" t="s">
        <v>59</v>
      </c>
      <c r="CH114" t="str">
        <f>"CPA Rescate LOCALPAYMENT " &amp; CB30 &amp; " a Bco.Bice USD " &amp; TEXT(BZ30,"#.##0,00") &amp; " T/C " &amp; BY30</f>
        <v>CPA Rescate LOCALPAYMENT USD SET a Bco.Bice USD 0,00 T/C 0</v>
      </c>
      <c r="CI114" s="3">
        <f>+CA30</f>
        <v>0</v>
      </c>
      <c r="CJ114" s="10"/>
      <c r="CV114" s="9">
        <v>45472</v>
      </c>
      <c r="CW114">
        <v>110205</v>
      </c>
      <c r="CX114" t="s">
        <v>59</v>
      </c>
      <c r="CY114" t="str">
        <f>"CPA Rescate LOCALPAYMENT " &amp; CS30 &amp; " a Bco.Bice USD " &amp; TEXT(CQ30,"#.##0,00") &amp; " T/C " &amp; CP30</f>
        <v>CPA Rescate LOCALPAYMENT USD SET a Bco.Bice USD 0,00 T/C 0</v>
      </c>
      <c r="CZ114" s="3">
        <f>+CR30</f>
        <v>0</v>
      </c>
      <c r="DA114" s="10"/>
      <c r="DM114" s="9">
        <v>45472</v>
      </c>
      <c r="DN114">
        <v>110205</v>
      </c>
      <c r="DO114" t="s">
        <v>59</v>
      </c>
      <c r="DP114" t="str">
        <f>"CPA Rescate LOCALPAYMENT " &amp; DJ30 &amp; " a Bco.Bice USD " &amp; TEXT(DH30,"#.##0,00") &amp; " T/C " &amp; DG30</f>
        <v>CPA Rescate LOCALPAYMENT USD SET a Bco.Bice USD 0,00 T/C 0</v>
      </c>
      <c r="DQ114" s="3">
        <f>+DI30</f>
        <v>0</v>
      </c>
      <c r="DR114" s="10"/>
    </row>
    <row r="115" spans="83:122" x14ac:dyDescent="0.25">
      <c r="CE115" s="20"/>
      <c r="CF115">
        <v>420604</v>
      </c>
      <c r="CG115" t="s">
        <v>164</v>
      </c>
      <c r="CH115" t="str">
        <f t="shared" ref="CH115" si="443">"CPA Comisión bancaria rescate LOCALPAYMENT a Bco.Bice USD"</f>
        <v>CPA Comisión bancaria rescate LOCALPAYMENT a Bco.Bice USD</v>
      </c>
      <c r="CI115" s="3">
        <f>+CC30</f>
        <v>0</v>
      </c>
      <c r="CJ115" s="10"/>
      <c r="CV115" s="20"/>
      <c r="CW115">
        <v>420604</v>
      </c>
      <c r="CX115" t="s">
        <v>164</v>
      </c>
      <c r="CY115" t="str">
        <f t="shared" ref="CY115" si="444">"CPA Comisión bancaria rescate LOCALPAYMENT a Bco.Bice USD"</f>
        <v>CPA Comisión bancaria rescate LOCALPAYMENT a Bco.Bice USD</v>
      </c>
      <c r="CZ115" s="3">
        <f>+CT30</f>
        <v>0</v>
      </c>
      <c r="DA115" s="10"/>
      <c r="DM115" s="20"/>
      <c r="DN115">
        <v>420604</v>
      </c>
      <c r="DO115" t="s">
        <v>164</v>
      </c>
      <c r="DP115" t="str">
        <f t="shared" ref="DP115" si="445">"CPA Comisión bancaria rescate LOCALPAYMENT a Bco.Bice USD"</f>
        <v>CPA Comisión bancaria rescate LOCALPAYMENT a Bco.Bice USD</v>
      </c>
      <c r="DQ115" s="3">
        <f>+DK30</f>
        <v>0</v>
      </c>
      <c r="DR115" s="10"/>
    </row>
    <row r="116" spans="83:122" x14ac:dyDescent="0.25">
      <c r="CE116" s="20"/>
      <c r="CF116">
        <v>110316</v>
      </c>
      <c r="CG116" t="s">
        <v>165</v>
      </c>
      <c r="CH116" t="str">
        <f t="shared" ref="CH116" si="446">+CH115</f>
        <v>CPA Comisión bancaria rescate LOCALPAYMENT a Bco.Bice USD</v>
      </c>
      <c r="CI116" s="3"/>
      <c r="CJ116" s="10">
        <f t="shared" ref="CJ116" si="447">+CI115</f>
        <v>0</v>
      </c>
      <c r="CV116" s="20"/>
      <c r="CW116">
        <v>110316</v>
      </c>
      <c r="CX116" t="s">
        <v>165</v>
      </c>
      <c r="CY116" t="str">
        <f t="shared" ref="CY116" si="448">+CY115</f>
        <v>CPA Comisión bancaria rescate LOCALPAYMENT a Bco.Bice USD</v>
      </c>
      <c r="CZ116" s="3"/>
      <c r="DA116" s="10">
        <f t="shared" ref="DA116" si="449">+CZ115</f>
        <v>0</v>
      </c>
      <c r="DM116" s="20"/>
      <c r="DN116">
        <v>110316</v>
      </c>
      <c r="DO116" t="s">
        <v>165</v>
      </c>
      <c r="DP116" t="str">
        <f t="shared" ref="DP116" si="450">+DP115</f>
        <v>CPA Comisión bancaria rescate LOCALPAYMENT a Bco.Bice USD</v>
      </c>
      <c r="DQ116" s="3"/>
      <c r="DR116" s="10">
        <f t="shared" ref="DR116" si="451">+DQ115</f>
        <v>0</v>
      </c>
    </row>
    <row r="117" spans="83:122" x14ac:dyDescent="0.25">
      <c r="CE117" s="11"/>
      <c r="CF117" s="12">
        <v>110316</v>
      </c>
      <c r="CG117" s="12" t="s">
        <v>165</v>
      </c>
      <c r="CH117" s="12" t="str">
        <f t="shared" ref="CH117" si="452">+CH114</f>
        <v>CPA Rescate LOCALPAYMENT USD SET a Bco.Bice USD 0,00 T/C 0</v>
      </c>
      <c r="CI117" s="13"/>
      <c r="CJ117" s="18">
        <f t="shared" ref="CJ117" si="453">+CI114</f>
        <v>0</v>
      </c>
      <c r="CV117" s="11"/>
      <c r="CW117" s="12">
        <v>110316</v>
      </c>
      <c r="CX117" s="12" t="s">
        <v>165</v>
      </c>
      <c r="CY117" s="12" t="str">
        <f t="shared" ref="CY117" si="454">+CY114</f>
        <v>CPA Rescate LOCALPAYMENT USD SET a Bco.Bice USD 0,00 T/C 0</v>
      </c>
      <c r="CZ117" s="13"/>
      <c r="DA117" s="18">
        <f t="shared" ref="DA117" si="455">+CZ114</f>
        <v>0</v>
      </c>
      <c r="DM117" s="11"/>
      <c r="DN117" s="12">
        <v>110316</v>
      </c>
      <c r="DO117" s="12" t="s">
        <v>165</v>
      </c>
      <c r="DP117" s="12" t="str">
        <f t="shared" ref="DP117" si="456">+DP114</f>
        <v>CPA Rescate LOCALPAYMENT USD SET a Bco.Bice USD 0,00 T/C 0</v>
      </c>
      <c r="DQ117" s="13"/>
      <c r="DR117" s="18">
        <f t="shared" ref="DR117" si="457">+DQ114</f>
        <v>0</v>
      </c>
    </row>
    <row r="118" spans="83:122" x14ac:dyDescent="0.25">
      <c r="CE118" s="9">
        <v>45473</v>
      </c>
      <c r="CF118">
        <v>110205</v>
      </c>
      <c r="CG118" t="s">
        <v>59</v>
      </c>
      <c r="CH118" t="str">
        <f>"CPA Rescate LOCALPAYMENT " &amp; CB31 &amp; " a Bco.Bice USD " &amp; TEXT(BZ31,"#.##0,00") &amp; " T/C " &amp; BY31</f>
        <v>CPA Rescate LOCALPAYMENT USD SET a Bco.Bice USD 849.793,97 T/C 945,88</v>
      </c>
      <c r="CI118" s="3">
        <f>+CA31</f>
        <v>803803120.34359992</v>
      </c>
      <c r="CJ118" s="10"/>
      <c r="CV118" s="9">
        <v>45473</v>
      </c>
      <c r="CW118">
        <v>110205</v>
      </c>
      <c r="CX118" t="s">
        <v>59</v>
      </c>
      <c r="CY118" t="str">
        <f>"CPA Rescate LOCALPAYMENT " &amp; CS31 &amp; " a Bco.Bice USD " &amp; TEXT(CQ31,"#.##0,00") &amp; " T/C " &amp; CP31</f>
        <v>CPA Rescate LOCALPAYMENT USD SET a Bco.Bice USD 849.793,97 T/C 945,88</v>
      </c>
      <c r="CZ118" s="3">
        <f>+CR31</f>
        <v>803803120.34359992</v>
      </c>
      <c r="DA118" s="10"/>
      <c r="DM118" s="9">
        <v>45473</v>
      </c>
      <c r="DN118">
        <v>110205</v>
      </c>
      <c r="DO118" t="s">
        <v>59</v>
      </c>
      <c r="DP118" t="str">
        <f>"CPA Rescate LOCALPAYMENT " &amp; DJ31 &amp; " a Bco.Bice USD " &amp; TEXT(DH31,"#.##0,00") &amp; " T/C " &amp; DG31</f>
        <v>CPA Rescate LOCALPAYMENT USD SET a Bco.Bice USD 706.948,71 T/C 950,89</v>
      </c>
      <c r="DQ118" s="3">
        <f>+DI31</f>
        <v>672230458.85189998</v>
      </c>
      <c r="DR118" s="10"/>
    </row>
    <row r="119" spans="83:122" x14ac:dyDescent="0.25">
      <c r="CE119" s="20"/>
      <c r="CF119">
        <v>420604</v>
      </c>
      <c r="CG119" t="s">
        <v>164</v>
      </c>
      <c r="CH119" t="str">
        <f t="shared" ref="CH119" si="458">"CPA Comisión bancaria rescate LOCALPAYMENT a Bco.Bice USD"</f>
        <v>CPA Comisión bancaria rescate LOCALPAYMENT a Bco.Bice USD</v>
      </c>
      <c r="CI119" s="3">
        <f>+CC31</f>
        <v>0</v>
      </c>
      <c r="CJ119" s="10"/>
      <c r="CV119" s="20"/>
      <c r="CW119">
        <v>420604</v>
      </c>
      <c r="CX119" t="s">
        <v>164</v>
      </c>
      <c r="CY119" t="str">
        <f t="shared" ref="CY119" si="459">"CPA Comisión bancaria rescate LOCALPAYMENT a Bco.Bice USD"</f>
        <v>CPA Comisión bancaria rescate LOCALPAYMENT a Bco.Bice USD</v>
      </c>
      <c r="CZ119" s="3">
        <f>+CT31</f>
        <v>0</v>
      </c>
      <c r="DA119" s="10"/>
      <c r="DM119" s="20"/>
      <c r="DN119">
        <v>420604</v>
      </c>
      <c r="DO119" t="s">
        <v>164</v>
      </c>
      <c r="DP119" t="str">
        <f t="shared" ref="DP119" si="460">"CPA Comisión bancaria rescate LOCALPAYMENT a Bco.Bice USD"</f>
        <v>CPA Comisión bancaria rescate LOCALPAYMENT a Bco.Bice USD</v>
      </c>
      <c r="DQ119" s="3">
        <f>+DK31</f>
        <v>66562.3</v>
      </c>
      <c r="DR119" s="10"/>
    </row>
    <row r="120" spans="83:122" x14ac:dyDescent="0.25">
      <c r="CE120" s="20"/>
      <c r="CF120">
        <v>110316</v>
      </c>
      <c r="CG120" t="s">
        <v>165</v>
      </c>
      <c r="CH120" t="str">
        <f t="shared" ref="CH120" si="461">+CH119</f>
        <v>CPA Comisión bancaria rescate LOCALPAYMENT a Bco.Bice USD</v>
      </c>
      <c r="CI120" s="3"/>
      <c r="CJ120" s="10">
        <f t="shared" ref="CJ120" si="462">+CI119</f>
        <v>0</v>
      </c>
      <c r="CV120" s="20"/>
      <c r="CW120">
        <v>110316</v>
      </c>
      <c r="CX120" t="s">
        <v>165</v>
      </c>
      <c r="CY120" t="str">
        <f t="shared" ref="CY120" si="463">+CY119</f>
        <v>CPA Comisión bancaria rescate LOCALPAYMENT a Bco.Bice USD</v>
      </c>
      <c r="CZ120" s="3"/>
      <c r="DA120" s="10">
        <f t="shared" ref="DA120" si="464">+CZ119</f>
        <v>0</v>
      </c>
      <c r="DM120" s="20"/>
      <c r="DN120">
        <v>110316</v>
      </c>
      <c r="DO120" t="s">
        <v>165</v>
      </c>
      <c r="DP120" t="str">
        <f t="shared" ref="DP120" si="465">+DP119</f>
        <v>CPA Comisión bancaria rescate LOCALPAYMENT a Bco.Bice USD</v>
      </c>
      <c r="DQ120" s="3"/>
      <c r="DR120" s="10">
        <f t="shared" ref="DR120" si="466">+DQ119</f>
        <v>66562.3</v>
      </c>
    </row>
    <row r="121" spans="83:122" x14ac:dyDescent="0.25">
      <c r="CE121" s="11"/>
      <c r="CF121" s="12">
        <v>110316</v>
      </c>
      <c r="CG121" s="12" t="s">
        <v>165</v>
      </c>
      <c r="CH121" s="12" t="str">
        <f t="shared" ref="CH121" si="467">+CH118</f>
        <v>CPA Rescate LOCALPAYMENT USD SET a Bco.Bice USD 849.793,97 T/C 945,88</v>
      </c>
      <c r="CI121" s="13"/>
      <c r="CJ121" s="18">
        <f t="shared" ref="CJ121" si="468">+CI118</f>
        <v>803803120.34359992</v>
      </c>
      <c r="CV121" s="11"/>
      <c r="CW121" s="12">
        <v>110316</v>
      </c>
      <c r="CX121" s="12" t="s">
        <v>165</v>
      </c>
      <c r="CY121" s="12" t="str">
        <f t="shared" ref="CY121" si="469">+CY118</f>
        <v>CPA Rescate LOCALPAYMENT USD SET a Bco.Bice USD 849.793,97 T/C 945,88</v>
      </c>
      <c r="CZ121" s="13"/>
      <c r="DA121" s="18">
        <f t="shared" ref="DA121" si="470">+CZ118</f>
        <v>803803120.34359992</v>
      </c>
      <c r="DM121" s="11"/>
      <c r="DN121" s="12">
        <v>110316</v>
      </c>
      <c r="DO121" s="12" t="s">
        <v>165</v>
      </c>
      <c r="DP121" s="12" t="str">
        <f t="shared" ref="DP121" si="471">+DP118</f>
        <v>CPA Rescate LOCALPAYMENT USD SET a Bco.Bice USD 706.948,71 T/C 950,89</v>
      </c>
      <c r="DQ121" s="13"/>
      <c r="DR121" s="18">
        <f t="shared" ref="DR121" si="472">+DQ118</f>
        <v>672230458.85189998</v>
      </c>
    </row>
    <row r="122" spans="83:122" x14ac:dyDescent="0.25">
      <c r="CE122" s="9" t="s">
        <v>143</v>
      </c>
      <c r="CF122">
        <v>110205</v>
      </c>
      <c r="CG122" t="s">
        <v>59</v>
      </c>
      <c r="CH122" t="str">
        <f>"CPA Rescate LOCALPAYMENT " &amp; CB32 &amp; " a Bco.Bice USD " &amp; TEXT(BZ32,"#.##0,00") &amp; " T/C " &amp; BY32</f>
        <v>CPA Rescate LOCALPAYMENT USD SET a Bco.Bice USD 0,00 T/C 0</v>
      </c>
      <c r="CI122" s="3">
        <f>+CA32</f>
        <v>0</v>
      </c>
      <c r="CJ122" s="10"/>
      <c r="CV122" s="9" t="s">
        <v>143</v>
      </c>
      <c r="CW122">
        <v>110205</v>
      </c>
      <c r="CX122" t="s">
        <v>59</v>
      </c>
      <c r="CY122" t="str">
        <f>"CPA Rescate LOCALPAYMENT " &amp; CS32 &amp; " a Bco.Bice USD " &amp; TEXT(CQ32,"#.##0,00") &amp; " T/C " &amp; CP32</f>
        <v>CPA Rescate LOCALPAYMENT USD SET a Bco.Bice USD 0,00 T/C 0</v>
      </c>
      <c r="CZ122" s="3">
        <f>+CR32</f>
        <v>0</v>
      </c>
      <c r="DA122" s="10"/>
      <c r="DM122" s="9" t="s">
        <v>143</v>
      </c>
      <c r="DN122">
        <v>110205</v>
      </c>
      <c r="DO122" t="s">
        <v>59</v>
      </c>
      <c r="DP122" t="str">
        <f>"CPA Rescate LOCALPAYMENT " &amp; DJ32 &amp; " a Bco.Bice USD " &amp; TEXT(DH32,"#.##0,00") &amp; " T/C " &amp; DG32</f>
        <v>CPA Rescate LOCALPAYMENT USD SET a Bco.Bice USD 0,00 T/C 0</v>
      </c>
      <c r="DQ122" s="3">
        <f>+DI32</f>
        <v>0</v>
      </c>
      <c r="DR122" s="10"/>
    </row>
    <row r="123" spans="83:122" x14ac:dyDescent="0.25">
      <c r="CE123" s="20"/>
      <c r="CF123">
        <v>420604</v>
      </c>
      <c r="CG123" t="s">
        <v>164</v>
      </c>
      <c r="CH123" t="str">
        <f t="shared" ref="CH123" si="473">"CPA Comisión bancaria rescate LOCALPAYMENT a Bco.Bice USD"</f>
        <v>CPA Comisión bancaria rescate LOCALPAYMENT a Bco.Bice USD</v>
      </c>
      <c r="CI123" s="3">
        <f>+CC32</f>
        <v>0</v>
      </c>
      <c r="CJ123" s="10"/>
      <c r="CV123" s="20"/>
      <c r="CW123">
        <v>420604</v>
      </c>
      <c r="CX123" t="s">
        <v>164</v>
      </c>
      <c r="CY123" t="str">
        <f t="shared" ref="CY123" si="474">"CPA Comisión bancaria rescate LOCALPAYMENT a Bco.Bice USD"</f>
        <v>CPA Comisión bancaria rescate LOCALPAYMENT a Bco.Bice USD</v>
      </c>
      <c r="CZ123" s="3">
        <f>+CT32</f>
        <v>0</v>
      </c>
      <c r="DA123" s="10"/>
      <c r="DM123" s="20"/>
      <c r="DN123">
        <v>420604</v>
      </c>
      <c r="DO123" t="s">
        <v>164</v>
      </c>
      <c r="DP123" t="str">
        <f t="shared" ref="DP123" si="475">"CPA Comisión bancaria rescate LOCALPAYMENT a Bco.Bice USD"</f>
        <v>CPA Comisión bancaria rescate LOCALPAYMENT a Bco.Bice USD</v>
      </c>
      <c r="DQ123" s="3">
        <f>+DK32</f>
        <v>0</v>
      </c>
      <c r="DR123" s="10"/>
    </row>
    <row r="124" spans="83:122" x14ac:dyDescent="0.25">
      <c r="CE124" s="20"/>
      <c r="CF124">
        <v>110316</v>
      </c>
      <c r="CG124" t="s">
        <v>165</v>
      </c>
      <c r="CH124" t="str">
        <f t="shared" ref="CH124" si="476">+CH123</f>
        <v>CPA Comisión bancaria rescate LOCALPAYMENT a Bco.Bice USD</v>
      </c>
      <c r="CI124" s="3"/>
      <c r="CJ124" s="10">
        <f t="shared" ref="CJ124" si="477">+CI123</f>
        <v>0</v>
      </c>
      <c r="CV124" s="20"/>
      <c r="CW124">
        <v>110316</v>
      </c>
      <c r="CX124" t="s">
        <v>165</v>
      </c>
      <c r="CY124" t="str">
        <f t="shared" ref="CY124" si="478">+CY123</f>
        <v>CPA Comisión bancaria rescate LOCALPAYMENT a Bco.Bice USD</v>
      </c>
      <c r="CZ124" s="3"/>
      <c r="DA124" s="10">
        <f t="shared" ref="DA124" si="479">+CZ123</f>
        <v>0</v>
      </c>
      <c r="DM124" s="20"/>
      <c r="DN124">
        <v>110316</v>
      </c>
      <c r="DO124" t="s">
        <v>165</v>
      </c>
      <c r="DP124" t="str">
        <f t="shared" ref="DP124" si="480">+DP123</f>
        <v>CPA Comisión bancaria rescate LOCALPAYMENT a Bco.Bice USD</v>
      </c>
      <c r="DQ124" s="3"/>
      <c r="DR124" s="10">
        <f t="shared" ref="DR124" si="481">+DQ123</f>
        <v>0</v>
      </c>
    </row>
    <row r="125" spans="83:122" x14ac:dyDescent="0.25">
      <c r="CE125" s="11"/>
      <c r="CF125" s="12">
        <v>110316</v>
      </c>
      <c r="CG125" s="12" t="s">
        <v>165</v>
      </c>
      <c r="CH125" s="12" t="str">
        <f t="shared" ref="CH125" si="482">+CH122</f>
        <v>CPA Rescate LOCALPAYMENT USD SET a Bco.Bice USD 0,00 T/C 0</v>
      </c>
      <c r="CI125" s="13"/>
      <c r="CJ125" s="18">
        <f t="shared" ref="CJ125" si="483">+CI122</f>
        <v>0</v>
      </c>
      <c r="CV125" s="11"/>
      <c r="CW125" s="12">
        <v>110316</v>
      </c>
      <c r="CX125" s="12" t="s">
        <v>165</v>
      </c>
      <c r="CY125" s="12" t="str">
        <f t="shared" ref="CY125" si="484">+CY122</f>
        <v>CPA Rescate LOCALPAYMENT USD SET a Bco.Bice USD 0,00 T/C 0</v>
      </c>
      <c r="CZ125" s="13"/>
      <c r="DA125" s="18">
        <f t="shared" ref="DA125" si="485">+CZ122</f>
        <v>0</v>
      </c>
      <c r="DM125" s="11"/>
      <c r="DN125" s="12">
        <v>110316</v>
      </c>
      <c r="DO125" s="12" t="s">
        <v>165</v>
      </c>
      <c r="DP125" s="12" t="str">
        <f t="shared" ref="DP125" si="486">+DP122</f>
        <v>CPA Rescate LOCALPAYMENT USD SET a Bco.Bice USD 0,00 T/C 0</v>
      </c>
      <c r="DQ125" s="13"/>
      <c r="DR125" s="18">
        <f t="shared" ref="DR125" si="487">+DQ122</f>
        <v>0</v>
      </c>
    </row>
  </sheetData>
  <autoFilter ref="CV1:DA125" xr:uid="{9FA6E447-EF11-452A-A67B-F6EF9070379E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15</vt:i4>
      </vt:variant>
    </vt:vector>
  </HeadingPairs>
  <TitlesOfParts>
    <vt:vector size="15" baseType="lpstr">
      <vt:lpstr>NIUM</vt:lpstr>
      <vt:lpstr>PAYCASH</vt:lpstr>
      <vt:lpstr>FACILITAPAY PayIn</vt:lpstr>
      <vt:lpstr>BCI OPE</vt:lpstr>
      <vt:lpstr>BCI AMD</vt:lpstr>
      <vt:lpstr>BCI RRHH</vt:lpstr>
      <vt:lpstr>Estado</vt:lpstr>
      <vt:lpstr>BICE</vt:lpstr>
      <vt:lpstr>BICE U</vt:lpstr>
      <vt:lpstr>MBI</vt:lpstr>
      <vt:lpstr>INTER OR</vt:lpstr>
      <vt:lpstr>CFSB</vt:lpstr>
      <vt:lpstr>Renta4</vt:lpstr>
      <vt:lpstr>TC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Constanza Perez</dc:creator>
  <cp:lastModifiedBy>Constanza Perez</cp:lastModifiedBy>
  <dcterms:created xsi:type="dcterms:W3CDTF">2023-01-09T19:06:03Z</dcterms:created>
  <dcterms:modified xsi:type="dcterms:W3CDTF">2024-11-12T14:06:47Z</dcterms:modified>
</cp:coreProperties>
</file>