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ll\Desktop\APP\ordenes\archivos\"/>
    </mc:Choice>
  </mc:AlternateContent>
  <bookViews>
    <workbookView xWindow="0" yWindow="465" windowWidth="24585" windowHeight="14460" tabRatio="801" activeTab="4"/>
  </bookViews>
  <sheets>
    <sheet name="COSTOS" sheetId="19" r:id="rId1"/>
    <sheet name="TIEMPOS" sheetId="20" r:id="rId2"/>
    <sheet name="HORAS HOMBRE" sheetId="28" r:id="rId3"/>
    <sheet name="PREVENTIVO" sheetId="33" r:id="rId4"/>
    <sheet name="AÑO 7" sheetId="30" r:id="rId5"/>
  </sheets>
  <definedNames>
    <definedName name="CostoInsumos">Tbl_Insumos[INSUMO]</definedName>
    <definedName name="CostoRepuesto">Tbl_Repuestos[[REPUESTOS ]]</definedName>
    <definedName name="EppMovilidad">Tbl_Epps[EPPS Y MOVILIDAD]</definedName>
    <definedName name="InsumosPreventivoAño7">'AÑO 7'!$C$56:$G$70</definedName>
    <definedName name="PerfilTécnico">Tbl_HorasHombre[PERFIL DE PARKING SOLUTIONS]</definedName>
    <definedName name="RepuestosAño7">'AÑO 7'!$C$26:$G$29</definedName>
    <definedName name="RepuestosGarantiaAño7">'AÑO 7'!$C$33:$G$52</definedName>
    <definedName name="TiempoRepuesto">Tbl_TiempoRespuestos[[CAMBIO DE REPUESTOS ]]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30" l="1"/>
  <c r="I109" i="30"/>
  <c r="I8" i="28" l="1"/>
  <c r="I81" i="30"/>
  <c r="D61" i="30" l="1"/>
  <c r="F60" i="30"/>
  <c r="F59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33" i="30"/>
  <c r="I107" i="30" l="1"/>
  <c r="I105" i="30"/>
  <c r="F58" i="30"/>
  <c r="F62" i="30"/>
  <c r="D70" i="30"/>
  <c r="F70" i="30" s="1"/>
  <c r="L104" i="30" l="1"/>
  <c r="L106" i="30"/>
  <c r="C3" i="33" l="1"/>
  <c r="C4" i="33"/>
  <c r="C2" i="33"/>
  <c r="I54" i="30"/>
  <c r="K53" i="30" s="1"/>
  <c r="G42" i="30"/>
  <c r="F42" i="30" s="1"/>
  <c r="J18" i="19"/>
  <c r="K18" i="19" s="1"/>
  <c r="K123" i="30"/>
  <c r="K121" i="30"/>
  <c r="K119" i="30"/>
  <c r="K117" i="30"/>
  <c r="K115" i="30"/>
  <c r="F69" i="30"/>
  <c r="K106" i="30" s="1"/>
  <c r="M106" i="30" s="1"/>
  <c r="G16" i="30"/>
  <c r="E13" i="30"/>
  <c r="I93" i="30"/>
  <c r="I91" i="30"/>
  <c r="D66" i="30"/>
  <c r="F66" i="30" s="1"/>
  <c r="D65" i="30"/>
  <c r="F65" i="30" s="1"/>
  <c r="D63" i="30"/>
  <c r="I44" i="30"/>
  <c r="K43" i="30" s="1"/>
  <c r="G37" i="30"/>
  <c r="I60" i="30"/>
  <c r="G45" i="30"/>
  <c r="F45" i="30" s="1"/>
  <c r="N106" i="30" l="1"/>
  <c r="P106" i="30" s="1"/>
  <c r="M53" i="30"/>
  <c r="K59" i="30"/>
  <c r="F37" i="30"/>
  <c r="L90" i="30"/>
  <c r="L92" i="30"/>
  <c r="M59" i="30"/>
  <c r="N53" i="30" l="1"/>
  <c r="P53" i="30" s="1"/>
  <c r="N59" i="30"/>
  <c r="P59" i="30" s="1"/>
  <c r="I42" i="30" l="1"/>
  <c r="K41" i="30" s="1"/>
  <c r="M41" i="30" s="1"/>
  <c r="G36" i="30"/>
  <c r="F36" i="30" s="1"/>
  <c r="I46" i="30"/>
  <c r="K45" i="30" s="1"/>
  <c r="I68" i="30"/>
  <c r="G49" i="30"/>
  <c r="F49" i="30" s="1"/>
  <c r="N41" i="30" l="1"/>
  <c r="P41" i="30" s="1"/>
  <c r="M45" i="30"/>
  <c r="K67" i="30"/>
  <c r="N45" i="30" l="1"/>
  <c r="P45" i="30" s="1"/>
  <c r="D68" i="30" l="1"/>
  <c r="F68" i="30" s="1"/>
  <c r="D67" i="30"/>
  <c r="F67" i="30" s="1"/>
  <c r="G34" i="30" l="1"/>
  <c r="F34" i="30" s="1"/>
  <c r="G35" i="30"/>
  <c r="F35" i="30" s="1"/>
  <c r="G38" i="30"/>
  <c r="F38" i="30" s="1"/>
  <c r="G39" i="30"/>
  <c r="F39" i="30" s="1"/>
  <c r="G40" i="30"/>
  <c r="F40" i="30" s="1"/>
  <c r="G41" i="30"/>
  <c r="F41" i="30" s="1"/>
  <c r="G43" i="30"/>
  <c r="F43" i="30" s="1"/>
  <c r="G44" i="30"/>
  <c r="F44" i="30" s="1"/>
  <c r="G46" i="30"/>
  <c r="F46" i="30" s="1"/>
  <c r="G47" i="30"/>
  <c r="F47" i="30" s="1"/>
  <c r="G48" i="30"/>
  <c r="F48" i="30" s="1"/>
  <c r="G50" i="30"/>
  <c r="F50" i="30" s="1"/>
  <c r="G51" i="30"/>
  <c r="F51" i="30" s="1"/>
  <c r="G52" i="30"/>
  <c r="F52" i="30" s="1"/>
  <c r="G33" i="30"/>
  <c r="F33" i="30" s="1"/>
  <c r="G27" i="30"/>
  <c r="G28" i="30"/>
  <c r="G29" i="30"/>
  <c r="G26" i="30"/>
  <c r="G17" i="30" l="1"/>
  <c r="L108" i="30" l="1"/>
  <c r="I103" i="30"/>
  <c r="L102" i="30" s="1"/>
  <c r="I101" i="30"/>
  <c r="L100" i="30" s="1"/>
  <c r="I99" i="30"/>
  <c r="L98" i="30" s="1"/>
  <c r="I97" i="30"/>
  <c r="L96" i="30" s="1"/>
  <c r="I95" i="30"/>
  <c r="L94" i="30" s="1"/>
  <c r="I89" i="30"/>
  <c r="L88" i="30" s="1"/>
  <c r="I87" i="30"/>
  <c r="L86" i="30" s="1"/>
  <c r="I85" i="30"/>
  <c r="L84" i="30" s="1"/>
  <c r="I83" i="30"/>
  <c r="L82" i="30" s="1"/>
  <c r="L80" i="30"/>
  <c r="I74" i="30"/>
  <c r="I72" i="30"/>
  <c r="I70" i="30"/>
  <c r="I66" i="30"/>
  <c r="I64" i="30"/>
  <c r="I62" i="30"/>
  <c r="I58" i="30"/>
  <c r="I56" i="30"/>
  <c r="K55" i="30" s="1"/>
  <c r="I52" i="30"/>
  <c r="I50" i="30"/>
  <c r="I48" i="30"/>
  <c r="I40" i="30"/>
  <c r="I38" i="30"/>
  <c r="I36" i="30"/>
  <c r="I29" i="30"/>
  <c r="I27" i="30"/>
  <c r="I25" i="30"/>
  <c r="I23" i="30"/>
  <c r="D27" i="30" l="1"/>
  <c r="D28" i="30"/>
  <c r="E28" i="30" s="1"/>
  <c r="F28" i="30" s="1"/>
  <c r="D29" i="30"/>
  <c r="D26" i="30"/>
  <c r="M117" i="30" l="1"/>
  <c r="N117" i="30" s="1"/>
  <c r="M119" i="30"/>
  <c r="N119" i="30" s="1"/>
  <c r="M121" i="30"/>
  <c r="N121" i="30" s="1"/>
  <c r="M123" i="30"/>
  <c r="N123" i="30" s="1"/>
  <c r="M115" i="30"/>
  <c r="M126" i="30" l="1"/>
  <c r="P123" i="30"/>
  <c r="P121" i="30"/>
  <c r="P119" i="30"/>
  <c r="P117" i="30"/>
  <c r="K71" i="30" l="1"/>
  <c r="K73" i="30"/>
  <c r="M73" i="30" s="1"/>
  <c r="N73" i="30" s="1"/>
  <c r="K51" i="30"/>
  <c r="M51" i="30" s="1"/>
  <c r="N51" i="30" s="1"/>
  <c r="M55" i="30"/>
  <c r="N55" i="30" s="1"/>
  <c r="K57" i="30"/>
  <c r="M57" i="30" s="1"/>
  <c r="N57" i="30" s="1"/>
  <c r="K61" i="30"/>
  <c r="M61" i="30" s="1"/>
  <c r="N61" i="30" s="1"/>
  <c r="K63" i="30"/>
  <c r="M63" i="30" s="1"/>
  <c r="N63" i="30" s="1"/>
  <c r="K65" i="30"/>
  <c r="M65" i="30" s="1"/>
  <c r="N65" i="30" s="1"/>
  <c r="K69" i="30"/>
  <c r="N115" i="30" l="1"/>
  <c r="P73" i="30"/>
  <c r="P51" i="30"/>
  <c r="P65" i="30"/>
  <c r="P63" i="30"/>
  <c r="P61" i="30"/>
  <c r="P57" i="30"/>
  <c r="P55" i="30"/>
  <c r="K49" i="30"/>
  <c r="M49" i="30" s="1"/>
  <c r="K47" i="30"/>
  <c r="M47" i="30" s="1"/>
  <c r="N47" i="30" s="1"/>
  <c r="K39" i="30"/>
  <c r="M39" i="30" s="1"/>
  <c r="N39" i="30" s="1"/>
  <c r="K37" i="30"/>
  <c r="K35" i="30"/>
  <c r="K8" i="19"/>
  <c r="F61" i="30"/>
  <c r="F56" i="30"/>
  <c r="D64" i="30"/>
  <c r="F64" i="30" s="1"/>
  <c r="K94" i="30"/>
  <c r="M94" i="30" s="1"/>
  <c r="N94" i="30" s="1"/>
  <c r="F63" i="30"/>
  <c r="F57" i="30"/>
  <c r="K86" i="30" l="1"/>
  <c r="M86" i="30" s="1"/>
  <c r="N86" i="30" s="1"/>
  <c r="P86" i="30" s="1"/>
  <c r="K88" i="30"/>
  <c r="M88" i="30" s="1"/>
  <c r="N88" i="30" s="1"/>
  <c r="K104" i="30"/>
  <c r="M104" i="30" s="1"/>
  <c r="N104" i="30" s="1"/>
  <c r="P104" i="30" s="1"/>
  <c r="K82" i="30"/>
  <c r="M82" i="30" s="1"/>
  <c r="N82" i="30" s="1"/>
  <c r="K80" i="30"/>
  <c r="K92" i="30"/>
  <c r="M92" i="30" s="1"/>
  <c r="N92" i="30" s="1"/>
  <c r="P92" i="30" s="1"/>
  <c r="K90" i="30"/>
  <c r="M90" i="30" s="1"/>
  <c r="N90" i="30" s="1"/>
  <c r="P90" i="30" s="1"/>
  <c r="K84" i="30"/>
  <c r="M84" i="30" s="1"/>
  <c r="N84" i="30" s="1"/>
  <c r="K100" i="30"/>
  <c r="M100" i="30" s="1"/>
  <c r="N100" i="30" s="1"/>
  <c r="K102" i="30"/>
  <c r="M102" i="30" s="1"/>
  <c r="N102" i="30" s="1"/>
  <c r="K96" i="30"/>
  <c r="M96" i="30" s="1"/>
  <c r="N96" i="30" s="1"/>
  <c r="K108" i="30"/>
  <c r="M108" i="30" s="1"/>
  <c r="N108" i="30" s="1"/>
  <c r="P108" i="30" s="1"/>
  <c r="K98" i="30"/>
  <c r="M98" i="30" s="1"/>
  <c r="N98" i="30" s="1"/>
  <c r="P94" i="30"/>
  <c r="P88" i="30"/>
  <c r="N49" i="30"/>
  <c r="P49" i="30" s="1"/>
  <c r="P115" i="30"/>
  <c r="P126" i="30" s="1"/>
  <c r="N126" i="30"/>
  <c r="P47" i="30"/>
  <c r="M80" i="30" l="1"/>
  <c r="N80" i="30" s="1"/>
  <c r="P82" i="30"/>
  <c r="P100" i="30"/>
  <c r="P96" i="30"/>
  <c r="P98" i="30"/>
  <c r="P102" i="30"/>
  <c r="P84" i="30"/>
  <c r="P39" i="30"/>
  <c r="E29" i="30"/>
  <c r="F29" i="30" s="1"/>
  <c r="E27" i="30"/>
  <c r="K26" i="30" s="1"/>
  <c r="M26" i="30" s="1"/>
  <c r="E26" i="30"/>
  <c r="E18" i="30"/>
  <c r="G18" i="30" s="1"/>
  <c r="G13" i="30"/>
  <c r="E11" i="30"/>
  <c r="M111" i="30" l="1"/>
  <c r="N111" i="30"/>
  <c r="P80" i="30"/>
  <c r="K22" i="30"/>
  <c r="F26" i="30"/>
  <c r="K24" i="30"/>
  <c r="F27" i="30"/>
  <c r="G11" i="30"/>
  <c r="G12" i="30" s="1"/>
  <c r="L9" i="30" s="1"/>
  <c r="P111" i="30"/>
  <c r="N26" i="30"/>
  <c r="P26" i="30" s="1"/>
  <c r="K28" i="30"/>
  <c r="G14" i="30" l="1"/>
  <c r="G19" i="30" s="1"/>
  <c r="L11" i="30" s="1"/>
  <c r="F8" i="28"/>
  <c r="F9" i="28"/>
  <c r="F10" i="28"/>
  <c r="F11" i="28"/>
  <c r="E9" i="28"/>
  <c r="E10" i="28"/>
  <c r="E11" i="28"/>
  <c r="E8" i="28"/>
  <c r="D9" i="28"/>
  <c r="D10" i="28"/>
  <c r="D11" i="28"/>
  <c r="D8" i="28"/>
  <c r="C9" i="28"/>
  <c r="C10" i="28"/>
  <c r="C11" i="28"/>
  <c r="C8" i="28"/>
  <c r="J8" i="28" l="1"/>
  <c r="K8" i="28" s="1"/>
  <c r="M9" i="30" s="1"/>
  <c r="N9" i="30" s="1"/>
  <c r="P9" i="30" s="1"/>
  <c r="I11" i="28"/>
  <c r="J11" i="28" s="1"/>
  <c r="K11" i="28" s="1"/>
  <c r="M15" i="30" s="1"/>
  <c r="I10" i="28"/>
  <c r="J10" i="28" s="1"/>
  <c r="K10" i="28" s="1"/>
  <c r="M13" i="30" s="1"/>
  <c r="I9" i="28"/>
  <c r="J9" i="28" s="1"/>
  <c r="K9" i="28" s="1"/>
  <c r="M11" i="30" s="1"/>
  <c r="N11" i="30" s="1"/>
  <c r="M18" i="30" l="1"/>
  <c r="N13" i="30"/>
  <c r="N18" i="30" s="1"/>
  <c r="N15" i="30"/>
  <c r="P15" i="30"/>
  <c r="P11" i="30"/>
  <c r="J22" i="19"/>
  <c r="K22" i="19" s="1"/>
  <c r="K32" i="19"/>
  <c r="M37" i="30"/>
  <c r="J6" i="19"/>
  <c r="K6" i="19" s="1"/>
  <c r="J4" i="19"/>
  <c r="K4" i="19" s="1"/>
  <c r="M35" i="30" s="1"/>
  <c r="J13" i="19"/>
  <c r="K13" i="19" s="1"/>
  <c r="J19" i="19"/>
  <c r="K19" i="19" s="1"/>
  <c r="J20" i="19"/>
  <c r="K20" i="19" s="1"/>
  <c r="J21" i="19"/>
  <c r="K21" i="19" s="1"/>
  <c r="M22" i="30" s="1"/>
  <c r="J31" i="19"/>
  <c r="K31" i="19" s="1"/>
  <c r="M67" i="30" s="1"/>
  <c r="N67" i="30" s="1"/>
  <c r="P67" i="30" s="1"/>
  <c r="J33" i="19"/>
  <c r="K33" i="19" s="1"/>
  <c r="M69" i="30" s="1"/>
  <c r="J34" i="19"/>
  <c r="K34" i="19" s="1"/>
  <c r="J36" i="19"/>
  <c r="K36" i="19" s="1"/>
  <c r="J37" i="19"/>
  <c r="K37" i="19" s="1"/>
  <c r="P13" i="30" l="1"/>
  <c r="P18" i="30"/>
  <c r="M24" i="30"/>
  <c r="N24" i="30" s="1"/>
  <c r="P24" i="30" s="1"/>
  <c r="M43" i="30"/>
  <c r="N43" i="30" s="1"/>
  <c r="P43" i="30" s="1"/>
  <c r="M71" i="30"/>
  <c r="N71" i="30" s="1"/>
  <c r="P71" i="30" s="1"/>
  <c r="M28" i="30"/>
  <c r="N28" i="30" s="1"/>
  <c r="P28" i="30" s="1"/>
  <c r="N37" i="30"/>
  <c r="P37" i="30" s="1"/>
  <c r="N22" i="30"/>
  <c r="N35" i="30"/>
  <c r="P35" i="30" s="1"/>
  <c r="N69" i="30"/>
  <c r="P69" i="30" s="1"/>
  <c r="M31" i="30" l="1"/>
  <c r="M76" i="30"/>
  <c r="N31" i="30"/>
  <c r="P76" i="30"/>
  <c r="P22" i="30"/>
  <c r="P31" i="30" s="1"/>
  <c r="N76" i="30"/>
  <c r="M129" i="30" l="1"/>
  <c r="N129" i="30"/>
  <c r="P129" i="30"/>
  <c r="P131" i="30" s="1"/>
  <c r="P133" i="30" s="1"/>
</calcChain>
</file>

<file path=xl/comments1.xml><?xml version="1.0" encoding="utf-8"?>
<comments xmlns="http://schemas.openxmlformats.org/spreadsheetml/2006/main">
  <authors>
    <author>Dell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40% adicional al costo de fabrica por gastos de importacion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Tipo de cambio:
USD 1 = 3.5 soles</t>
        </r>
      </text>
    </comment>
  </commentList>
</comments>
</file>

<file path=xl/sharedStrings.xml><?xml version="1.0" encoding="utf-8"?>
<sst xmlns="http://schemas.openxmlformats.org/spreadsheetml/2006/main" count="519" uniqueCount="208">
  <si>
    <t>UNIDAD DE MEDIDA</t>
  </si>
  <si>
    <t>und</t>
  </si>
  <si>
    <t>kg</t>
  </si>
  <si>
    <t>Jefe de Mantenimiento</t>
  </si>
  <si>
    <t>Solenoide de traba</t>
  </si>
  <si>
    <t>Electrovalvula</t>
  </si>
  <si>
    <t xml:space="preserve">PROYECTO </t>
  </si>
  <si>
    <t>CANTIDAD DE EQUIPOS PS001</t>
  </si>
  <si>
    <t>Caja de control</t>
  </si>
  <si>
    <t>PERSONAL</t>
  </si>
  <si>
    <t>COSTO</t>
  </si>
  <si>
    <t>UTILIDAD</t>
  </si>
  <si>
    <t>VALOR DE VENTA</t>
  </si>
  <si>
    <t>Movilidad</t>
  </si>
  <si>
    <t>SALARIO MENSUAL</t>
  </si>
  <si>
    <t>SUPERVISOR DE MANTENIMIENTO</t>
  </si>
  <si>
    <t>JEFE DE MANTENIMIENTO</t>
  </si>
  <si>
    <t>Técnico 1</t>
  </si>
  <si>
    <t>Técnico 2</t>
  </si>
  <si>
    <t xml:space="preserve">DESCRIPCIÓN DE INSUMOS </t>
  </si>
  <si>
    <t>CANTIDAD POR EQUIPO</t>
  </si>
  <si>
    <t>CANTIDAD TOTAL</t>
  </si>
  <si>
    <t>INSUMO</t>
  </si>
  <si>
    <t>COSTO UNITARIO</t>
  </si>
  <si>
    <t xml:space="preserve">Abrazadera metálica </t>
  </si>
  <si>
    <t>Aceite (por litro)</t>
  </si>
  <si>
    <t>Bolsa de basura 70 L (por unidad)</t>
  </si>
  <si>
    <t>Broca para metal 10 mm HSS-G - BOSCH</t>
  </si>
  <si>
    <t>Broca para metal 5 mm HSS-G - BOSCH</t>
  </si>
  <si>
    <t>Broca para metal 8 mm HSS-G - BOSCH</t>
  </si>
  <si>
    <t>Cable FLAT o plano 12 x 1.5 mm2 ( por metro)</t>
  </si>
  <si>
    <t>Caja de paso 85x85x50 mm</t>
  </si>
  <si>
    <t xml:space="preserve">Cinta Aislante 1700 - 3M </t>
  </si>
  <si>
    <t>Disco de corte 4 1/2"x1/16"x7/8" - DEWALT</t>
  </si>
  <si>
    <t>Disco de desnbaste 4 1/2" x 3/16" x 7/8"- DEWALT</t>
  </si>
  <si>
    <t>Electrodo 6011 - 1/8" x 1 kg</t>
  </si>
  <si>
    <t>Electrodo 7018 - 1/8" x 1 kg</t>
  </si>
  <si>
    <t>Grasa en pasta (por kilo)</t>
  </si>
  <si>
    <t xml:space="preserve">Guantes de seguridad </t>
  </si>
  <si>
    <t>Lentes de seguridad luna oscura</t>
  </si>
  <si>
    <t>Lentes de seguridad luna transparente</t>
  </si>
  <si>
    <t>Lija para metal #60</t>
  </si>
  <si>
    <t>Lija para metal #80</t>
  </si>
  <si>
    <t>Perno M5 + tuerca (por unidad)</t>
  </si>
  <si>
    <t>Perno M6 + tuerca (por unidad)</t>
  </si>
  <si>
    <t>Portafusible + fusible 0.5A</t>
  </si>
  <si>
    <t>SikaBond AT Metal 12x300 ml - 400g</t>
  </si>
  <si>
    <t>Spray Aflojatodo 10 oz o 296 ml - VISTONY</t>
  </si>
  <si>
    <t>Spray Lubricante 10 oz o 296 ml - VISTONY</t>
  </si>
  <si>
    <t>Trapos Industriales (por kilo)</t>
  </si>
  <si>
    <t xml:space="preserve">REPUESTOS </t>
  </si>
  <si>
    <t>COSTO UNITARIO (S/.)</t>
  </si>
  <si>
    <t xml:space="preserve">Bomba hidráulica </t>
  </si>
  <si>
    <t xml:space="preserve">Contactor </t>
  </si>
  <si>
    <t>Diferencial unipolar</t>
  </si>
  <si>
    <t xml:space="preserve">Interruptor pulsador de emergencia </t>
  </si>
  <si>
    <t>Manguera hidráulica L=1130 mm</t>
  </si>
  <si>
    <t>Manguera hidráulica L=3600 mm</t>
  </si>
  <si>
    <t>Manguera hidráulica L=5500 mm</t>
  </si>
  <si>
    <t>Motor eléctrico</t>
  </si>
  <si>
    <t xml:space="preserve">Pulsador </t>
  </si>
  <si>
    <t>Relé encapsulado 220V 3A - 14 pines</t>
  </si>
  <si>
    <t>Selector rotativo - 3 posiciones</t>
  </si>
  <si>
    <t>Sensor óptico PEPPERL + FUCHS</t>
  </si>
  <si>
    <t>Solenoide de electroválvula</t>
  </si>
  <si>
    <t>Temporizador 220V</t>
  </si>
  <si>
    <t>Traba mecánica</t>
  </si>
  <si>
    <t>PERFIL DE PARKING SOLUTIONS</t>
  </si>
  <si>
    <t xml:space="preserve">TOTAL PERSONAL </t>
  </si>
  <si>
    <t>Cantidad</t>
  </si>
  <si>
    <t>Valvula Check</t>
  </si>
  <si>
    <t>Beneficios</t>
  </si>
  <si>
    <t>&gt;&gt;</t>
  </si>
  <si>
    <t xml:space="preserve"> </t>
  </si>
  <si>
    <t>SCTR</t>
  </si>
  <si>
    <t>Gastos administrativos</t>
  </si>
  <si>
    <t>Teneduria de nominas</t>
  </si>
  <si>
    <t>BENEFICIOS</t>
  </si>
  <si>
    <t>GASTOS ADMIN</t>
  </si>
  <si>
    <t>TENEDURIA</t>
  </si>
  <si>
    <t>EPPs</t>
  </si>
  <si>
    <t>HERRAMIENTAS</t>
  </si>
  <si>
    <t>COSTO TOTAL</t>
  </si>
  <si>
    <t>COSTO DIA</t>
  </si>
  <si>
    <t>COSTO HORA</t>
  </si>
  <si>
    <t>Supervisor Mantenimiento</t>
  </si>
  <si>
    <t>TIEMPO</t>
  </si>
  <si>
    <t>TECNICOS</t>
  </si>
  <si>
    <t>Cilindro hidráulico (kit de reten y oring)</t>
  </si>
  <si>
    <t>Final de carrera superior</t>
  </si>
  <si>
    <t>Final de carrera inferior</t>
  </si>
  <si>
    <t>Final de carrera del sensor optico</t>
  </si>
  <si>
    <t>Resorte de traba (kit)</t>
  </si>
  <si>
    <t>Piloto de señalización 220V</t>
  </si>
  <si>
    <t>Selector rotativo cerradura con llave</t>
  </si>
  <si>
    <t>PRECIO DE LISTA</t>
  </si>
  <si>
    <t>Motor eléctrico (rebobinado)</t>
  </si>
  <si>
    <t xml:space="preserve">Motor eléctrico </t>
  </si>
  <si>
    <t>Tapon de oido</t>
  </si>
  <si>
    <t>Corta viento</t>
  </si>
  <si>
    <t>Mascarilla para polvo N95</t>
  </si>
  <si>
    <t>Barbiquejo</t>
  </si>
  <si>
    <t>Prueba de funcionamiento del equipo en sus dos niveles.</t>
  </si>
  <si>
    <t>Ajuste y regulación  de limitador superior de plataforma.</t>
  </si>
  <si>
    <t>Ajuste y regulación de limitador inferior de plataforma.</t>
  </si>
  <si>
    <t>Ajuste y regulación de limitador puente de sensor óptico de plataforma.</t>
  </si>
  <si>
    <t>Ajuste, calibración y limpieza de sensor óptico.</t>
  </si>
  <si>
    <t>Ajuste, regulación, limpieza y lubricación de trabas de seguridad.</t>
  </si>
  <si>
    <t>Reajuste de pernos de anclaje columna y extensiones delanteras y posteriores.</t>
  </si>
  <si>
    <t>Verificación de botón look – bajada manual de forma eléctrica.</t>
  </si>
  <si>
    <t>Verificación del botón de parada de emergencia.</t>
  </si>
  <si>
    <t>Verificación y ajustes de componentes eléctricos de caja de control.</t>
  </si>
  <si>
    <t>Verificación de posibles fugas de aceite de cilindros hidráulicos.</t>
  </si>
  <si>
    <t xml:space="preserve">Verificación, limpieza y lubricación de cadenas de transmisión. </t>
  </si>
  <si>
    <t>Verificación de ruidos anormales presentes en su funcionamiento.</t>
  </si>
  <si>
    <t>Lubricación de columna y carros de elevación en sus partes rodantes.</t>
  </si>
  <si>
    <t>Limpieza de área de elevador duplicador de estacionamiento.</t>
  </si>
  <si>
    <t>Pruebas de funcionamiento final.</t>
  </si>
  <si>
    <t>Traslado de cosas de un equipo a otro</t>
  </si>
  <si>
    <t xml:space="preserve">Verificación estado de unidad de poder </t>
  </si>
  <si>
    <t>TOTAL</t>
  </si>
  <si>
    <t>CLIENTE</t>
  </si>
  <si>
    <t xml:space="preserve">PREVENTIVOS AL AÑO </t>
  </si>
  <si>
    <t xml:space="preserve">HORAS HOMBRE POR PREVENTIVO </t>
  </si>
  <si>
    <t>HORAS HOMBRE POR PREVENTIVO ANUAL</t>
  </si>
  <si>
    <t>CANTIDAD DE TECNICOS PARA PREVENTIVO</t>
  </si>
  <si>
    <t>Llenado de fichas</t>
  </si>
  <si>
    <t>ACTIVIDADES</t>
  </si>
  <si>
    <t>ACTIVIDADES DE PREVENTIVO</t>
  </si>
  <si>
    <t>HORAS PERDIDAS (movilidad, retrasos, registros)</t>
  </si>
  <si>
    <t>Retrasos - imprevistos</t>
  </si>
  <si>
    <t>HORAS HOMBRE POR CORRECTIVO ANUAL</t>
  </si>
  <si>
    <t xml:space="preserve">DESCRIPCIÓN DE REPUESTOS </t>
  </si>
  <si>
    <t xml:space="preserve">CANTIDAD </t>
  </si>
  <si>
    <t xml:space="preserve"> MEDIDA</t>
  </si>
  <si>
    <t>Sensor óptico CHIIB</t>
  </si>
  <si>
    <t>CORRECTIVOS AL AÑO</t>
  </si>
  <si>
    <t>HORAS POR CAMBIO DE REPUESTOS</t>
  </si>
  <si>
    <t>REPUESTOS CUBIERTOS POR GARANTIA ANUAL</t>
  </si>
  <si>
    <t>Vinil de caja de control</t>
  </si>
  <si>
    <t>Vinil de caja de motor</t>
  </si>
  <si>
    <t xml:space="preserve">TOTAL DE HORAS HOMBRE AL AÑO </t>
  </si>
  <si>
    <t>DESCRIPCION</t>
  </si>
  <si>
    <t>Hrs</t>
  </si>
  <si>
    <t xml:space="preserve">CAMBIO DE REPUESTOS </t>
  </si>
  <si>
    <t>Cintillo plástico 250 x 3.6 mm  (por unidad)</t>
  </si>
  <si>
    <t>Cintillo plástico 370 x 4.8 mm  (por unidad)</t>
  </si>
  <si>
    <t>Teflon</t>
  </si>
  <si>
    <t>Thinner acrilico 1 gal</t>
  </si>
  <si>
    <t>L</t>
  </si>
  <si>
    <t>REPUESTOS POR GARANTIA</t>
  </si>
  <si>
    <t>TOTAL REPUESTOS GARANTIA</t>
  </si>
  <si>
    <t>INSUMOS</t>
  </si>
  <si>
    <t>EPPS Y MOVILIDAD</t>
  </si>
  <si>
    <t>TOTAL COSTO</t>
  </si>
  <si>
    <t>Gastos de Ventas</t>
  </si>
  <si>
    <t>TOTAL GENERAL</t>
  </si>
  <si>
    <t>Cinta reflectiva (25 cm)</t>
  </si>
  <si>
    <t>TOTAL EPPS Y MOVILIDAD</t>
  </si>
  <si>
    <t>TOTAL DE INSUMOS</t>
  </si>
  <si>
    <t>PROYECTO:</t>
  </si>
  <si>
    <t>CLIENTE:</t>
  </si>
  <si>
    <t>CRONOGRAMA PARA CAMBIO DE REPUESTOS</t>
  </si>
  <si>
    <t>ITEM</t>
  </si>
  <si>
    <t>REPUESTOS</t>
  </si>
  <si>
    <t>CANTIDAD:</t>
  </si>
  <si>
    <t>* todos los repuestos cotizados tienen garantia de un año ante desperfectos de fabrica</t>
  </si>
  <si>
    <t>Condensador de trabajo</t>
  </si>
  <si>
    <t>Condensador de arraque</t>
  </si>
  <si>
    <t>por confirmar</t>
  </si>
  <si>
    <t>Vinil numerico</t>
  </si>
  <si>
    <t>Salida 1</t>
  </si>
  <si>
    <t>Salida 2</t>
  </si>
  <si>
    <t>Salida 3</t>
  </si>
  <si>
    <t>Salida 4</t>
  </si>
  <si>
    <t>DESCARGA DE REPUESTOS EN GARANTIA</t>
  </si>
  <si>
    <t>HORAS HOMBRE POR REPUESTOS EN GARANTIA</t>
  </si>
  <si>
    <t>Matto Correctivo</t>
  </si>
  <si>
    <t>Seleccionar repuesto…</t>
  </si>
  <si>
    <t>Kit de traba mecanica (traba, resorte, rotula, brazo regulador)</t>
  </si>
  <si>
    <t/>
  </si>
  <si>
    <t>Realizado</t>
  </si>
  <si>
    <t>No realizado</t>
  </si>
  <si>
    <t>MANTENIMIENTO INTEGRAL PS001 - AÑO 7</t>
  </si>
  <si>
    <t>DELOSI OFICINA CAR 01</t>
  </si>
  <si>
    <t>DELOSI S.A.</t>
  </si>
  <si>
    <t>MANTENIEMIENTO INTEGRAL AÑO 7 (GARANTÍA)</t>
  </si>
  <si>
    <t>CAMBIO DE REPUESTO - AÑO 7</t>
  </si>
  <si>
    <t>REPUESTOS - AÑO 7</t>
  </si>
  <si>
    <t>TOTAL REPUESTOS AÑO 7</t>
  </si>
  <si>
    <t>Aceite Hidraulico ISO 46</t>
  </si>
  <si>
    <t>Cinta reflectiva</t>
  </si>
  <si>
    <t>X</t>
  </si>
  <si>
    <t>Finales de carrera (3 und)</t>
  </si>
  <si>
    <t>Fusibles 0.5 A</t>
  </si>
  <si>
    <t>AÑO 5 - 2018</t>
  </si>
  <si>
    <t>AÑO 6 - 2019</t>
  </si>
  <si>
    <t>AÑO 7 - 2020</t>
  </si>
  <si>
    <t>AÑO 8 - 2021</t>
  </si>
  <si>
    <t>AÑO 9 - 2022</t>
  </si>
  <si>
    <t>AÑO 10 - 2023</t>
  </si>
  <si>
    <t>Protector de puerta (microporoso)</t>
  </si>
  <si>
    <t>Cable Flat</t>
  </si>
  <si>
    <t>Cinta reflectiva 3M (Amarillo) - 1 mts</t>
  </si>
  <si>
    <t>Fusibles 5A - 100 und</t>
  </si>
  <si>
    <t>Desengrasante industrial biodegradable - Hidrosol (1 gal)</t>
  </si>
  <si>
    <t>Spray aerosol Alumnio - Rust Oleum</t>
  </si>
  <si>
    <t>Spray aerosol Negro - Rust 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</si>
</sst>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S/&quot;* #,##0.00_-;\-&quot;S/&quot;* #,##0.00_-;_-&quot;S/&quot;* &quot;-&quot;??_-;_-@_-"/>
    <numFmt numFmtId="165" formatCode="_ &quot;S/&quot;\ * #,##0.00_ ;_ &quot;S/&quot;\ * \-#,##0.00_ ;_ &quot;S/&quot;\ * &quot;-&quot;??_ ;_ @_ "/>
    <numFmt numFmtId="166" formatCode="_ * #,##0.00_ ;_ * \-#,##0.00_ ;_ * &quot;-&quot;??_ ;_ @_ "/>
    <numFmt numFmtId="167" formatCode="_ * #,##0_ ;_ * \-#,##0_ ;_ * &quot;-&quot;??_ ;_ @_ "/>
    <numFmt numFmtId="168" formatCode="_ &quot;S/.&quot;\ * #,##0.00_ ;_ &quot;S/.&quot;\ * \-#,##0.00_ ;_ &quot;S/.&quot;\ * &quot;-&quot;??_ ;_ @_ "/>
    <numFmt numFmtId="169" formatCode="_-[$$-540A]* #,##0.00_ ;_-[$$-540A]* \-#,##0.00\ ;_-[$$-540A]* &quot;-&quot;??_ ;_-@_ "/>
    <numFmt numFmtId="170" formatCode="[$$-409]#,##0.00"/>
    <numFmt numFmtId="171" formatCode="[h]:mm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1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3">
    <xf numFmtId="0" fontId="0" fillId="0" borderId="0" xfId="0"/>
    <xf numFmtId="169" fontId="0" fillId="0" borderId="1" xfId="0" applyNumberFormat="1" applyBorder="1"/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2" fontId="8" fillId="0" borderId="0" xfId="0" applyNumberFormat="1" applyFont="1" applyFill="1" applyBorder="1" applyAlignment="1">
      <alignment horizontal="center" vertical="center"/>
    </xf>
    <xf numFmtId="2" fontId="8" fillId="0" borderId="0" xfId="112" applyNumberFormat="1" applyFont="1" applyAlignment="1">
      <alignment horizontal="center"/>
    </xf>
    <xf numFmtId="167" fontId="8" fillId="0" borderId="0" xfId="112" applyNumberFormat="1" applyFont="1" applyAlignment="1">
      <alignment horizontal="right"/>
    </xf>
    <xf numFmtId="0" fontId="8" fillId="0" borderId="0" xfId="0" applyFont="1" applyBorder="1" applyAlignment="1">
      <alignment horizontal="center" vertical="center"/>
    </xf>
    <xf numFmtId="2" fontId="8" fillId="0" borderId="1" xfId="11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Border="1"/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/>
    <xf numFmtId="164" fontId="0" fillId="0" borderId="5" xfId="0" applyNumberFormat="1" applyBorder="1"/>
    <xf numFmtId="0" fontId="0" fillId="0" borderId="6" xfId="0" applyFill="1" applyBorder="1"/>
    <xf numFmtId="0" fontId="0" fillId="0" borderId="9" xfId="0" applyFill="1" applyBorder="1"/>
    <xf numFmtId="164" fontId="0" fillId="0" borderId="8" xfId="0" applyNumberFormat="1" applyBorder="1"/>
    <xf numFmtId="0" fontId="0" fillId="0" borderId="9" xfId="0" applyBorder="1"/>
    <xf numFmtId="164" fontId="0" fillId="0" borderId="0" xfId="0" applyNumberFormat="1"/>
    <xf numFmtId="169" fontId="0" fillId="0" borderId="0" xfId="0" applyNumberFormat="1"/>
    <xf numFmtId="169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169" fontId="0" fillId="0" borderId="7" xfId="0" applyNumberFormat="1" applyBorder="1"/>
    <xf numFmtId="0" fontId="0" fillId="7" borderId="1" xfId="0" applyNumberFormat="1" applyFill="1" applyBorder="1" applyAlignment="1">
      <alignment horizontal="center"/>
    </xf>
    <xf numFmtId="168" fontId="5" fillId="2" borderId="1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169" fontId="0" fillId="0" borderId="10" xfId="0" applyNumberFormat="1" applyBorder="1" applyAlignment="1">
      <alignment horizontal="center" wrapText="1"/>
    </xf>
    <xf numFmtId="20" fontId="0" fillId="0" borderId="1" xfId="0" applyNumberFormat="1" applyBorder="1"/>
    <xf numFmtId="0" fontId="0" fillId="0" borderId="5" xfId="0" applyNumberFormat="1" applyBorder="1"/>
    <xf numFmtId="0" fontId="0" fillId="0" borderId="8" xfId="0" applyNumberFormat="1" applyBorder="1"/>
    <xf numFmtId="169" fontId="0" fillId="0" borderId="3" xfId="0" applyNumberFormat="1" applyBorder="1" applyAlignment="1">
      <alignment horizontal="center" wrapText="1"/>
    </xf>
    <xf numFmtId="169" fontId="0" fillId="0" borderId="5" xfId="0" applyNumberFormat="1" applyBorder="1"/>
    <xf numFmtId="169" fontId="0" fillId="0" borderId="8" xfId="0" applyNumberFormat="1" applyBorder="1"/>
    <xf numFmtId="0" fontId="0" fillId="7" borderId="1" xfId="113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 wrapText="1"/>
    </xf>
    <xf numFmtId="164" fontId="0" fillId="0" borderId="0" xfId="0" applyNumberFormat="1" applyBorder="1"/>
    <xf numFmtId="168" fontId="5" fillId="3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9" borderId="0" xfId="0" applyFill="1"/>
    <xf numFmtId="0" fontId="0" fillId="10" borderId="0" xfId="0" applyFill="1"/>
    <xf numFmtId="170" fontId="0" fillId="10" borderId="0" xfId="0" applyNumberFormat="1" applyFill="1"/>
    <xf numFmtId="9" fontId="0" fillId="10" borderId="0" xfId="113" applyFont="1" applyFill="1" applyAlignment="1">
      <alignment horizontal="center"/>
    </xf>
    <xf numFmtId="165" fontId="0" fillId="10" borderId="0" xfId="113" applyNumberFormat="1" applyFont="1" applyFill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0" fillId="0" borderId="0" xfId="0" applyNumberFormat="1"/>
    <xf numFmtId="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2" fontId="7" fillId="2" borderId="1" xfId="112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2" fontId="8" fillId="0" borderId="0" xfId="11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2" fontId="11" fillId="2" borderId="1" xfId="112" applyNumberFormat="1" applyFont="1" applyFill="1" applyBorder="1" applyAlignment="1">
      <alignment horizontal="center" vertical="center" wrapText="1"/>
    </xf>
    <xf numFmtId="169" fontId="0" fillId="0" borderId="11" xfId="0" applyNumberFormat="1" applyBorder="1"/>
    <xf numFmtId="2" fontId="0" fillId="0" borderId="0" xfId="0" applyNumberFormat="1"/>
    <xf numFmtId="168" fontId="5" fillId="3" borderId="1" xfId="0" applyNumberFormat="1" applyFont="1" applyFill="1" applyBorder="1" applyAlignment="1">
      <alignment horizontal="center" vertical="center"/>
    </xf>
    <xf numFmtId="0" fontId="0" fillId="0" borderId="11" xfId="0" applyBorder="1"/>
    <xf numFmtId="0" fontId="6" fillId="0" borderId="1" xfId="0" applyFont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9" fontId="13" fillId="2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/>
    <xf numFmtId="0" fontId="8" fillId="0" borderId="5" xfId="0" applyFont="1" applyBorder="1" applyAlignment="1"/>
    <xf numFmtId="20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8" fillId="0" borderId="8" xfId="0" applyFont="1" applyBorder="1" applyAlignment="1"/>
    <xf numFmtId="0" fontId="8" fillId="0" borderId="13" xfId="0" applyFont="1" applyBorder="1" applyAlignment="1"/>
    <xf numFmtId="0" fontId="8" fillId="0" borderId="13" xfId="0" applyFont="1" applyBorder="1" applyAlignment="1">
      <alignment horizontal="center"/>
    </xf>
    <xf numFmtId="1" fontId="8" fillId="0" borderId="1" xfId="11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/>
    <xf numFmtId="20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9" fontId="13" fillId="2" borderId="1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5" fillId="7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/>
    <xf numFmtId="0" fontId="0" fillId="0" borderId="14" xfId="0" applyBorder="1"/>
    <xf numFmtId="171" fontId="6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171" fontId="7" fillId="5" borderId="1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5" fillId="12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/>
    <xf numFmtId="0" fontId="0" fillId="10" borderId="1" xfId="0" applyFill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0" fillId="0" borderId="0" xfId="0" applyFill="1" applyAlignment="1"/>
    <xf numFmtId="0" fontId="6" fillId="0" borderId="1" xfId="0" applyFont="1" applyBorder="1" applyAlignment="1">
      <alignment horizontal="center"/>
    </xf>
    <xf numFmtId="20" fontId="0" fillId="15" borderId="1" xfId="0" applyNumberFormat="1" applyFont="1" applyFill="1" applyBorder="1"/>
    <xf numFmtId="0" fontId="0" fillId="16" borderId="0" xfId="0" applyFill="1"/>
    <xf numFmtId="0" fontId="7" fillId="7" borderId="1" xfId="0" applyFont="1" applyFill="1" applyBorder="1" applyAlignment="1">
      <alignment horizontal="center" vertical="center"/>
    </xf>
    <xf numFmtId="2" fontId="7" fillId="7" borderId="1" xfId="112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2" fillId="14" borderId="1" xfId="0" applyFont="1" applyFill="1" applyBorder="1" applyAlignment="1">
      <alignment horizontal="center"/>
    </xf>
    <xf numFmtId="169" fontId="12" fillId="14" borderId="1" xfId="0" applyNumberFormat="1" applyFont="1" applyFill="1" applyBorder="1" applyAlignment="1">
      <alignment horizontal="center"/>
    </xf>
    <xf numFmtId="0" fontId="0" fillId="15" borderId="1" xfId="0" applyFont="1" applyFill="1" applyBorder="1" applyAlignment="1">
      <alignment horizontal="left"/>
    </xf>
    <xf numFmtId="0" fontId="0" fillId="0" borderId="7" xfId="0" applyBorder="1"/>
    <xf numFmtId="20" fontId="8" fillId="0" borderId="1" xfId="0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0" fillId="4" borderId="0" xfId="0" applyFill="1" applyAlignment="1"/>
    <xf numFmtId="167" fontId="8" fillId="5" borderId="1" xfId="112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167" fontId="8" fillId="5" borderId="10" xfId="112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17" fillId="17" borderId="1" xfId="0" applyFont="1" applyFill="1" applyBorder="1" applyAlignment="1">
      <alignment horizontal="center" vertical="center"/>
    </xf>
    <xf numFmtId="0" fontId="0" fillId="17" borderId="0" xfId="0" applyFill="1" applyAlignment="1"/>
    <xf numFmtId="0" fontId="8" fillId="18" borderId="1" xfId="0" applyFont="1" applyFill="1" applyBorder="1" applyAlignment="1">
      <alignment horizontal="left" vertical="center"/>
    </xf>
    <xf numFmtId="0" fontId="12" fillId="8" borderId="12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168" fontId="5" fillId="3" borderId="1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left"/>
    </xf>
    <xf numFmtId="0" fontId="12" fillId="8" borderId="12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11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Millares" xfId="112" builtinId="3"/>
    <cellStyle name="Normal" xfId="0" builtinId="0"/>
    <cellStyle name="Normal 2" xfId="111"/>
    <cellStyle name="Porcentaje" xfId="113" builtinId="5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9" formatCode="_-[$$-540A]* #,##0.00_ ;_-[$$-540A]* \-#,##0.00\ ;_-[$$-540A]* &quot;-&quot;??_ ;_-@_ 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_-[$$-540A]* #,##0.00_ ;_-[$$-540A]* \-#,##0.00\ ;_-[$$-540A]* &quot;-&quot;??_ ;_-@_ 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2" formatCode="hh:mm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&quot;S/&quot;* #,##0.00_-;\-&quot;S/&quot;* #,##0.00_-;_-&quot;S/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S/&quot;* #,##0.00_-;\-&quot;S/&quot;* #,##0.00_-;_-&quot;S/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_-[$$-540A]* #,##0.00_ ;_-[$$-540A]* \-#,##0.00\ ;_-[$$-540A]* &quot;-&quot;??_ ;_-@_ 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9" formatCode="_-[$$-540A]* #,##0.00_ ;_-[$$-540A]* \-#,##0.00\ ;_-[$$-540A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&quot;S/&quot;* #,##0.00_-;\-&quot;S/&quot;* #,##0.00_-;_-&quot;S/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theme="8" tint="0.79995117038483843"/>
          <bgColor rgb="FF002060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color rgb="FF002060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rgb="FF002060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</dxfs>
  <tableStyles count="1" defaultTableStyle="TableStyleMedium9" defaultPivotStyle="PivotStyleLight16">
    <tableStyle name="CHRISTIAN" pivot="0" count="7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bl_Insumos" displayName="Tbl_Insumos" ref="B3:C35" totalsRowShown="0" headerRowBorderDxfId="49" tableBorderDxfId="48" totalsRowBorderDxfId="47">
  <sortState ref="B4:C32">
    <sortCondition ref="B4"/>
  </sortState>
  <tableColumns count="2">
    <tableColumn id="1" name="INSUMO" dataDxfId="46"/>
    <tableColumn id="2" name="COSTO UNITARIO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bl_Repuestos" displayName="Tbl_Repuestos" ref="H3:L41" totalsRowShown="0" headerRowDxfId="44" headerRowBorderDxfId="43" tableBorderDxfId="42" totalsRowBorderDxfId="41">
  <sortState ref="H4:K34">
    <sortCondition ref="H4"/>
  </sortState>
  <tableColumns count="5">
    <tableColumn id="1" name="REPUESTOS " dataDxfId="40"/>
    <tableColumn id="2" name="PRECIO DE LISTA" dataDxfId="39"/>
    <tableColumn id="4" name="COSTO UNITARIO" dataDxfId="38">
      <calculatedColumnFormula>Tbl_Repuestos[[#This Row],[PRECIO DE LISTA]]*1.4</calculatedColumnFormula>
    </tableColumn>
    <tableColumn id="3" name="COSTO UNITARIO (S/.)" dataDxfId="37">
      <calculatedColumnFormula>I4*$G$2</calculatedColumnFormula>
    </tableColumn>
    <tableColumn id="5" name="Cantidad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bl_Epps" displayName="Tbl_Epps" ref="E3:F11" totalsRowShown="0" headerRowBorderDxfId="35" tableBorderDxfId="34" totalsRowBorderDxfId="33">
  <sortState ref="E4:F35">
    <sortCondition ref="E3"/>
  </sortState>
  <tableColumns count="2">
    <tableColumn id="1" name="EPPS Y MOVILIDAD" dataDxfId="32"/>
    <tableColumn id="2" name="COSTO UNITARIO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bl_TiempoActividades" displayName="Tbl_TiempoActividades" ref="B2:C20" totalsRowShown="0" headerRowDxfId="30" headerRowBorderDxfId="29" tableBorderDxfId="28" totalsRowBorderDxfId="27">
  <sortState ref="B4:D33">
    <sortCondition ref="B4"/>
  </sortState>
  <tableColumns count="2">
    <tableColumn id="1" name="ACTIVIDADES DE PREVENTIVO" dataDxfId="26"/>
    <tableColumn id="2" name="TIEMPO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bl_TiempoRespuestos" displayName="Tbl_TiempoRespuestos" ref="E2:G40" totalsRowShown="0" headerRowDxfId="24" headerRowBorderDxfId="23" tableBorderDxfId="22" totalsRowBorderDxfId="21">
  <sortState ref="E3:G33">
    <sortCondition ref="E3"/>
  </sortState>
  <tableColumns count="3">
    <tableColumn id="1" name="CAMBIO DE REPUESTOS " dataDxfId="20"/>
    <tableColumn id="2" name="TIEMPO" dataDxfId="19"/>
    <tableColumn id="3" name="TECNICOS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bl_TiempoMuertos" displayName="Tbl_TiempoMuertos" ref="I2:J5" totalsRowShown="0" headerRowDxfId="17" headerRowBorderDxfId="16" tableBorderDxfId="15" totalsRowBorderDxfId="14">
  <sortState ref="I3:K32">
    <sortCondition ref="I4"/>
  </sortState>
  <tableColumns count="2">
    <tableColumn id="1" name="ACTIVIDADES" dataDxfId="13"/>
    <tableColumn id="2" name="TIEMPO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bl_HorasHombre" displayName="Tbl_HorasHombre" ref="A7:K11" totalsRowShown="0">
  <autoFilter ref="A7:K11"/>
  <tableColumns count="11">
    <tableColumn id="1" name="PERFIL DE PARKING SOLUTIONS"/>
    <tableColumn id="2" name="SALARIO MENSUAL" dataDxfId="11"/>
    <tableColumn id="3" name="BENEFICIOS" dataDxfId="10">
      <calculatedColumnFormula>Tbl_HorasHombre[[#This Row],[SALARIO MENSUAL]]*$E$2</calculatedColumnFormula>
    </tableColumn>
    <tableColumn id="4" name="SCTR" dataDxfId="9">
      <calculatedColumnFormula>Tbl_HorasHombre[[#This Row],[SALARIO MENSUAL]]*$E$3</calculatedColumnFormula>
    </tableColumn>
    <tableColumn id="5" name="GASTOS ADMIN" dataDxfId="8">
      <calculatedColumnFormula>Tbl_HorasHombre[[#This Row],[SALARIO MENSUAL]]*$E$4</calculatedColumnFormula>
    </tableColumn>
    <tableColumn id="6" name="TENEDURIA" dataDxfId="7">
      <calculatedColumnFormula>$E$5</calculatedColumnFormula>
    </tableColumn>
    <tableColumn id="7" name="EPPs" dataDxfId="6"/>
    <tableColumn id="8" name="HERRAMIENTAS" dataDxfId="5"/>
    <tableColumn id="9" name="COSTO TOTAL" dataDxfId="4">
      <calculatedColumnFormula>SUM(Tbl_HorasHombre[[#This Row],[SALARIO MENSUAL]:[HERRAMIENTAS]])</calculatedColumnFormula>
    </tableColumn>
    <tableColumn id="10" name="COSTO DIA" dataDxfId="3">
      <calculatedColumnFormula>Tbl_HorasHombre[[#This Row],[COSTO TOTAL]]/30</calculatedColumnFormula>
    </tableColumn>
    <tableColumn id="11" name="COSTO HORA" dataDxfId="2">
      <calculatedColumnFormula>Tbl_HorasHombre[[#This Row],[COSTO DIA]]/8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1"/>
  <sheetViews>
    <sheetView topLeftCell="D1" zoomScaleNormal="100" workbookViewId="0">
      <selection activeCell="I25" sqref="I25"/>
    </sheetView>
  </sheetViews>
  <sheetFormatPr baseColWidth="10" defaultRowHeight="15" x14ac:dyDescent="0.25"/>
  <cols>
    <col min="1" max="1" width="3.28515625" customWidth="1"/>
    <col min="2" max="2" width="44.5703125" customWidth="1"/>
    <col min="3" max="3" width="13.28515625" style="22" customWidth="1"/>
    <col min="4" max="4" width="4.7109375" style="22" customWidth="1"/>
    <col min="5" max="5" width="37.5703125" style="22" customWidth="1"/>
    <col min="6" max="6" width="13.7109375" style="22" customWidth="1"/>
    <col min="7" max="7" width="4.28515625" customWidth="1"/>
    <col min="8" max="8" width="40.28515625" customWidth="1"/>
    <col min="9" max="10" width="12.85546875" customWidth="1"/>
    <col min="11" max="11" width="15.42578125" customWidth="1"/>
  </cols>
  <sheetData>
    <row r="2" spans="2:13" x14ac:dyDescent="0.25">
      <c r="I2" s="23"/>
      <c r="J2" s="39">
        <v>1.4</v>
      </c>
      <c r="K2" s="28">
        <v>3.5</v>
      </c>
    </row>
    <row r="3" spans="2:13" ht="29.25" customHeight="1" x14ac:dyDescent="0.25">
      <c r="B3" s="31" t="s">
        <v>22</v>
      </c>
      <c r="C3" s="30" t="s">
        <v>23</v>
      </c>
      <c r="D3" s="40"/>
      <c r="E3" s="31" t="s">
        <v>153</v>
      </c>
      <c r="F3" s="30" t="s">
        <v>23</v>
      </c>
      <c r="H3" s="31" t="s">
        <v>50</v>
      </c>
      <c r="I3" s="32" t="s">
        <v>95</v>
      </c>
      <c r="J3" s="36" t="s">
        <v>23</v>
      </c>
      <c r="K3" s="30" t="s">
        <v>51</v>
      </c>
      <c r="L3" s="98" t="s">
        <v>69</v>
      </c>
    </row>
    <row r="4" spans="2:13" x14ac:dyDescent="0.25">
      <c r="B4" s="16" t="s">
        <v>24</v>
      </c>
      <c r="C4" s="17">
        <v>5</v>
      </c>
      <c r="D4" s="41"/>
      <c r="E4" s="16" t="s">
        <v>38</v>
      </c>
      <c r="F4" s="17">
        <v>7</v>
      </c>
      <c r="H4" s="25" t="s">
        <v>52</v>
      </c>
      <c r="I4" s="1">
        <v>25</v>
      </c>
      <c r="J4" s="37">
        <f>Tbl_Repuestos[[#This Row],[PRECIO DE LISTA]]*J2</f>
        <v>35</v>
      </c>
      <c r="K4" s="17">
        <f>Tbl_Repuestos[[#This Row],[COSTO UNITARIO]]*$K$2</f>
        <v>122.5</v>
      </c>
      <c r="L4" s="99">
        <v>1</v>
      </c>
    </row>
    <row r="5" spans="2:13" x14ac:dyDescent="0.25">
      <c r="B5" s="16" t="s">
        <v>25</v>
      </c>
      <c r="C5" s="17">
        <v>9</v>
      </c>
      <c r="D5" s="41"/>
      <c r="E5" s="16" t="s">
        <v>39</v>
      </c>
      <c r="F5" s="17">
        <v>9</v>
      </c>
      <c r="H5" s="25" t="s">
        <v>202</v>
      </c>
      <c r="I5" s="17">
        <v>77</v>
      </c>
      <c r="J5" s="37"/>
      <c r="K5" s="17">
        <v>90</v>
      </c>
      <c r="L5" s="99">
        <v>1</v>
      </c>
    </row>
    <row r="6" spans="2:13" x14ac:dyDescent="0.25">
      <c r="B6" s="16" t="s">
        <v>26</v>
      </c>
      <c r="C6" s="17">
        <v>0.2</v>
      </c>
      <c r="D6" s="41"/>
      <c r="E6" s="16" t="s">
        <v>40</v>
      </c>
      <c r="F6" s="17">
        <v>9</v>
      </c>
      <c r="H6" s="25" t="s">
        <v>8</v>
      </c>
      <c r="I6" s="1">
        <v>10</v>
      </c>
      <c r="J6" s="37">
        <f>Tbl_Repuestos[[#This Row],[PRECIO DE LISTA]]*J2</f>
        <v>14</v>
      </c>
      <c r="K6" s="17">
        <f>Tbl_Repuestos[[#This Row],[COSTO UNITARIO]]*$K$2</f>
        <v>49</v>
      </c>
      <c r="L6" s="99">
        <v>1</v>
      </c>
    </row>
    <row r="7" spans="2:13" x14ac:dyDescent="0.25">
      <c r="B7" s="16" t="s">
        <v>27</v>
      </c>
      <c r="C7" s="17">
        <v>15</v>
      </c>
      <c r="D7" s="41"/>
      <c r="E7" s="16" t="s">
        <v>98</v>
      </c>
      <c r="F7" s="20">
        <v>2</v>
      </c>
      <c r="H7" s="25" t="s">
        <v>88</v>
      </c>
      <c r="I7" s="1">
        <v>25</v>
      </c>
      <c r="J7" s="37"/>
      <c r="K7" s="17">
        <v>225</v>
      </c>
      <c r="L7" s="99">
        <v>1</v>
      </c>
    </row>
    <row r="8" spans="2:13" x14ac:dyDescent="0.25">
      <c r="B8" s="16" t="s">
        <v>28</v>
      </c>
      <c r="C8" s="17">
        <v>10</v>
      </c>
      <c r="D8" s="41"/>
      <c r="E8" s="16" t="s">
        <v>99</v>
      </c>
      <c r="F8" s="20">
        <v>7</v>
      </c>
      <c r="H8" s="25" t="s">
        <v>157</v>
      </c>
      <c r="I8" s="1"/>
      <c r="J8" s="37"/>
      <c r="K8" s="17">
        <f>8/4</f>
        <v>2</v>
      </c>
      <c r="L8" s="99">
        <v>1</v>
      </c>
    </row>
    <row r="9" spans="2:13" x14ac:dyDescent="0.25">
      <c r="B9" s="16" t="s">
        <v>29</v>
      </c>
      <c r="C9" s="17">
        <v>15</v>
      </c>
      <c r="D9" s="41"/>
      <c r="E9" s="16" t="s">
        <v>100</v>
      </c>
      <c r="F9" s="20">
        <v>6</v>
      </c>
      <c r="H9" s="25" t="s">
        <v>53</v>
      </c>
      <c r="I9" s="1"/>
      <c r="J9" s="37"/>
      <c r="K9" s="17">
        <v>60</v>
      </c>
      <c r="L9" s="99">
        <v>1</v>
      </c>
      <c r="M9" s="115" t="s">
        <v>169</v>
      </c>
    </row>
    <row r="10" spans="2:13" x14ac:dyDescent="0.25">
      <c r="B10" s="16" t="s">
        <v>30</v>
      </c>
      <c r="C10" s="17">
        <v>17</v>
      </c>
      <c r="D10" s="41"/>
      <c r="E10" s="16" t="s">
        <v>101</v>
      </c>
      <c r="F10" s="20">
        <v>2</v>
      </c>
      <c r="H10" s="25" t="s">
        <v>167</v>
      </c>
      <c r="I10" s="1"/>
      <c r="J10" s="37"/>
      <c r="K10" s="17">
        <v>80</v>
      </c>
      <c r="L10" s="99">
        <v>1</v>
      </c>
      <c r="M10" s="115" t="s">
        <v>169</v>
      </c>
    </row>
    <row r="11" spans="2:13" x14ac:dyDescent="0.25">
      <c r="B11" s="16" t="s">
        <v>31</v>
      </c>
      <c r="C11" s="17">
        <v>5</v>
      </c>
      <c r="D11" s="41"/>
      <c r="E11" s="16" t="s">
        <v>13</v>
      </c>
      <c r="F11" s="20">
        <v>50</v>
      </c>
      <c r="H11" s="25" t="s">
        <v>168</v>
      </c>
      <c r="I11" s="1"/>
      <c r="J11" s="37"/>
      <c r="K11" s="17">
        <v>80</v>
      </c>
      <c r="L11" s="99">
        <v>1</v>
      </c>
    </row>
    <row r="12" spans="2:13" x14ac:dyDescent="0.25">
      <c r="B12" s="16" t="s">
        <v>32</v>
      </c>
      <c r="C12" s="17">
        <v>5</v>
      </c>
      <c r="D12" s="41"/>
      <c r="H12" s="25" t="s">
        <v>54</v>
      </c>
      <c r="I12" s="1"/>
      <c r="J12" s="37"/>
      <c r="K12" s="17">
        <v>25</v>
      </c>
      <c r="L12" s="99">
        <v>1</v>
      </c>
    </row>
    <row r="13" spans="2:13" x14ac:dyDescent="0.25">
      <c r="B13" s="16" t="s">
        <v>203</v>
      </c>
      <c r="C13" s="17">
        <v>9</v>
      </c>
      <c r="D13" s="41"/>
      <c r="H13" s="25" t="s">
        <v>5</v>
      </c>
      <c r="I13" s="1">
        <v>40</v>
      </c>
      <c r="J13" s="37">
        <f>Tbl_Repuestos[[#This Row],[PRECIO DE LISTA]]*1.4</f>
        <v>56</v>
      </c>
      <c r="K13" s="17">
        <f>Tbl_Repuestos[[#This Row],[COSTO UNITARIO]]*$K$2</f>
        <v>196</v>
      </c>
      <c r="L13" s="99">
        <v>1</v>
      </c>
    </row>
    <row r="14" spans="2:13" x14ac:dyDescent="0.25">
      <c r="B14" s="16" t="s">
        <v>145</v>
      </c>
      <c r="C14" s="17">
        <v>0.15</v>
      </c>
      <c r="D14" s="41"/>
      <c r="H14" s="25" t="s">
        <v>91</v>
      </c>
      <c r="I14" s="1"/>
      <c r="J14" s="37"/>
      <c r="K14" s="17">
        <v>30</v>
      </c>
      <c r="L14" s="99">
        <v>1</v>
      </c>
    </row>
    <row r="15" spans="2:13" x14ac:dyDescent="0.25">
      <c r="B15" s="16" t="s">
        <v>146</v>
      </c>
      <c r="C15" s="17">
        <v>0.2</v>
      </c>
      <c r="D15" s="41"/>
      <c r="H15" s="25" t="s">
        <v>90</v>
      </c>
      <c r="I15" s="1"/>
      <c r="J15" s="37"/>
      <c r="K15" s="17">
        <v>30</v>
      </c>
      <c r="L15" s="99">
        <v>1</v>
      </c>
    </row>
    <row r="16" spans="2:13" x14ac:dyDescent="0.25">
      <c r="B16" s="16" t="s">
        <v>205</v>
      </c>
      <c r="C16" s="17">
        <v>60</v>
      </c>
      <c r="D16" s="41"/>
      <c r="H16" s="25" t="s">
        <v>89</v>
      </c>
      <c r="I16" s="1"/>
      <c r="J16" s="37"/>
      <c r="K16" s="17">
        <v>30</v>
      </c>
      <c r="L16" s="99">
        <v>1</v>
      </c>
    </row>
    <row r="17" spans="2:12" x14ac:dyDescent="0.25">
      <c r="B17" s="16" t="s">
        <v>33</v>
      </c>
      <c r="C17" s="17">
        <v>5.5</v>
      </c>
      <c r="D17" s="41"/>
      <c r="H17" s="25" t="s">
        <v>55</v>
      </c>
      <c r="I17" s="1"/>
      <c r="J17" s="37"/>
      <c r="K17" s="17">
        <v>20</v>
      </c>
      <c r="L17" s="99">
        <v>1</v>
      </c>
    </row>
    <row r="18" spans="2:12" x14ac:dyDescent="0.25">
      <c r="B18" s="16" t="s">
        <v>34</v>
      </c>
      <c r="C18" s="17">
        <v>5</v>
      </c>
      <c r="D18" s="41"/>
      <c r="H18" s="25" t="s">
        <v>179</v>
      </c>
      <c r="I18" s="1">
        <v>20</v>
      </c>
      <c r="J18" s="37">
        <f>Tbl_Repuestos[[#This Row],[PRECIO DE LISTA]]*1.4</f>
        <v>28</v>
      </c>
      <c r="K18" s="17">
        <f>Tbl_Repuestos[[#This Row],[COSTO UNITARIO]]*$K$2</f>
        <v>98</v>
      </c>
      <c r="L18" s="99">
        <v>1</v>
      </c>
    </row>
    <row r="19" spans="2:12" x14ac:dyDescent="0.25">
      <c r="B19" s="16" t="s">
        <v>35</v>
      </c>
      <c r="C19" s="17">
        <v>13</v>
      </c>
      <c r="D19" s="41"/>
      <c r="H19" s="25" t="s">
        <v>56</v>
      </c>
      <c r="I19" s="1">
        <v>9</v>
      </c>
      <c r="J19" s="37">
        <f>Tbl_Repuestos[[#This Row],[PRECIO DE LISTA]]*1.4</f>
        <v>12.6</v>
      </c>
      <c r="K19" s="17">
        <f>Tbl_Repuestos[[#This Row],[COSTO UNITARIO]]*$K$2</f>
        <v>44.1</v>
      </c>
      <c r="L19" s="99">
        <v>1</v>
      </c>
    </row>
    <row r="20" spans="2:12" x14ac:dyDescent="0.25">
      <c r="B20" s="16" t="s">
        <v>36</v>
      </c>
      <c r="C20" s="17">
        <v>13</v>
      </c>
      <c r="D20" s="41"/>
      <c r="H20" s="25" t="s">
        <v>57</v>
      </c>
      <c r="I20" s="1">
        <v>20</v>
      </c>
      <c r="J20" s="37">
        <f>Tbl_Repuestos[[#This Row],[PRECIO DE LISTA]]*1.4</f>
        <v>28</v>
      </c>
      <c r="K20" s="17">
        <f>Tbl_Repuestos[[#This Row],[COSTO UNITARIO]]*$K$2</f>
        <v>98</v>
      </c>
      <c r="L20" s="99">
        <v>1</v>
      </c>
    </row>
    <row r="21" spans="2:12" x14ac:dyDescent="0.25">
      <c r="B21" s="16" t="s">
        <v>204</v>
      </c>
      <c r="C21" s="17">
        <v>20</v>
      </c>
      <c r="D21" s="41"/>
      <c r="H21" s="25" t="s">
        <v>58</v>
      </c>
      <c r="I21" s="1">
        <v>29</v>
      </c>
      <c r="J21" s="37">
        <f>Tbl_Repuestos[[#This Row],[PRECIO DE LISTA]]*1.4</f>
        <v>40.599999999999994</v>
      </c>
      <c r="K21" s="17">
        <f>Tbl_Repuestos[[#This Row],[COSTO UNITARIO]]*$K$2</f>
        <v>142.09999999999997</v>
      </c>
      <c r="L21" s="99">
        <v>1</v>
      </c>
    </row>
    <row r="22" spans="2:12" x14ac:dyDescent="0.25">
      <c r="B22" s="16" t="s">
        <v>37</v>
      </c>
      <c r="C22" s="17">
        <v>10</v>
      </c>
      <c r="D22" s="41"/>
      <c r="H22" s="25" t="s">
        <v>97</v>
      </c>
      <c r="I22" s="1">
        <v>90</v>
      </c>
      <c r="J22" s="37">
        <f>Tbl_Repuestos[[#This Row],[PRECIO DE LISTA]]*1.4</f>
        <v>125.99999999999999</v>
      </c>
      <c r="K22" s="17">
        <f>Tbl_Repuestos[[#This Row],[COSTO UNITARIO]]*$K$2</f>
        <v>440.99999999999994</v>
      </c>
      <c r="L22" s="99">
        <v>1</v>
      </c>
    </row>
    <row r="23" spans="2:12" x14ac:dyDescent="0.25">
      <c r="B23" s="16" t="s">
        <v>41</v>
      </c>
      <c r="C23" s="17">
        <v>2.5</v>
      </c>
      <c r="D23" s="41"/>
      <c r="H23" s="25" t="s">
        <v>96</v>
      </c>
      <c r="I23" s="1"/>
      <c r="J23" s="37"/>
      <c r="K23" s="17">
        <v>354</v>
      </c>
      <c r="L23" s="99">
        <v>1</v>
      </c>
    </row>
    <row r="24" spans="2:12" x14ac:dyDescent="0.25">
      <c r="B24" s="16" t="s">
        <v>42</v>
      </c>
      <c r="C24" s="17">
        <v>2.5</v>
      </c>
      <c r="D24" s="41"/>
      <c r="H24" s="25" t="s">
        <v>93</v>
      </c>
      <c r="I24" s="1"/>
      <c r="J24" s="37"/>
      <c r="K24" s="17">
        <v>5</v>
      </c>
      <c r="L24" s="99">
        <v>1</v>
      </c>
    </row>
    <row r="25" spans="2:12" x14ac:dyDescent="0.25">
      <c r="B25" s="16" t="s">
        <v>43</v>
      </c>
      <c r="C25" s="17">
        <v>0.5</v>
      </c>
      <c r="D25" s="41"/>
      <c r="H25" s="25" t="s">
        <v>201</v>
      </c>
      <c r="I25" s="17">
        <v>34</v>
      </c>
      <c r="J25" s="37"/>
      <c r="K25" s="17">
        <v>25</v>
      </c>
      <c r="L25" s="99">
        <v>2</v>
      </c>
    </row>
    <row r="26" spans="2:12" x14ac:dyDescent="0.25">
      <c r="B26" s="16" t="s">
        <v>44</v>
      </c>
      <c r="C26" s="17">
        <v>0.7</v>
      </c>
      <c r="D26" s="41"/>
      <c r="H26" s="25" t="s">
        <v>60</v>
      </c>
      <c r="I26" s="1"/>
      <c r="J26" s="37"/>
      <c r="K26" s="17">
        <v>5</v>
      </c>
      <c r="L26" s="99">
        <v>1</v>
      </c>
    </row>
    <row r="27" spans="2:12" x14ac:dyDescent="0.25">
      <c r="B27" s="16" t="s">
        <v>45</v>
      </c>
      <c r="C27" s="17">
        <v>1.5</v>
      </c>
      <c r="D27" s="41"/>
      <c r="H27" s="25" t="s">
        <v>61</v>
      </c>
      <c r="I27" s="1"/>
      <c r="J27" s="37"/>
      <c r="K27" s="17">
        <v>20</v>
      </c>
      <c r="L27" s="99">
        <v>1</v>
      </c>
    </row>
    <row r="28" spans="2:12" x14ac:dyDescent="0.25">
      <c r="B28" s="16" t="s">
        <v>46</v>
      </c>
      <c r="C28" s="17">
        <v>36</v>
      </c>
      <c r="D28" s="41"/>
      <c r="H28" s="25" t="s">
        <v>92</v>
      </c>
      <c r="I28" s="1"/>
      <c r="J28" s="37"/>
      <c r="K28" s="17">
        <v>5</v>
      </c>
      <c r="L28" s="99">
        <v>1</v>
      </c>
    </row>
    <row r="29" spans="2:12" x14ac:dyDescent="0.25">
      <c r="B29" s="18" t="s">
        <v>206</v>
      </c>
      <c r="C29" s="17">
        <v>22</v>
      </c>
      <c r="D29" s="41"/>
      <c r="H29" s="25" t="s">
        <v>62</v>
      </c>
      <c r="I29" s="1"/>
      <c r="J29" s="37"/>
      <c r="K29" s="17">
        <v>11</v>
      </c>
      <c r="L29" s="99">
        <v>1</v>
      </c>
    </row>
    <row r="30" spans="2:12" x14ac:dyDescent="0.25">
      <c r="B30" s="19" t="s">
        <v>207</v>
      </c>
      <c r="C30" s="20">
        <v>22</v>
      </c>
      <c r="D30" s="41"/>
      <c r="H30" s="25" t="s">
        <v>94</v>
      </c>
      <c r="I30" s="1"/>
      <c r="J30" s="37"/>
      <c r="K30" s="17">
        <v>15</v>
      </c>
      <c r="L30" s="99">
        <v>1</v>
      </c>
    </row>
    <row r="31" spans="2:12" x14ac:dyDescent="0.25">
      <c r="B31" s="21" t="s">
        <v>47</v>
      </c>
      <c r="C31" s="20">
        <v>14</v>
      </c>
      <c r="D31" s="41"/>
      <c r="H31" s="26" t="s">
        <v>135</v>
      </c>
      <c r="I31" s="1">
        <v>15</v>
      </c>
      <c r="J31" s="37">
        <f>Tbl_Repuestos[[#This Row],[PRECIO DE LISTA]]*1.4</f>
        <v>21</v>
      </c>
      <c r="K31" s="17">
        <f>Tbl_Repuestos[[#This Row],[COSTO UNITARIO]]*$K$2</f>
        <v>73.5</v>
      </c>
      <c r="L31" s="99">
        <v>1</v>
      </c>
    </row>
    <row r="32" spans="2:12" x14ac:dyDescent="0.25">
      <c r="B32" s="21" t="s">
        <v>48</v>
      </c>
      <c r="C32" s="20">
        <v>14</v>
      </c>
      <c r="D32" s="41"/>
      <c r="H32" s="26" t="s">
        <v>63</v>
      </c>
      <c r="I32" s="1"/>
      <c r="J32" s="37">
        <v>120</v>
      </c>
      <c r="K32" s="17">
        <f>Tbl_Repuestos[[#This Row],[COSTO UNITARIO]]*$K$2</f>
        <v>420</v>
      </c>
      <c r="L32" s="99">
        <v>1</v>
      </c>
    </row>
    <row r="33" spans="2:12" x14ac:dyDescent="0.25">
      <c r="B33" s="21" t="s">
        <v>148</v>
      </c>
      <c r="C33" s="20">
        <v>18</v>
      </c>
      <c r="D33" s="41"/>
      <c r="H33" s="26" t="s">
        <v>64</v>
      </c>
      <c r="I33" s="1">
        <v>20</v>
      </c>
      <c r="J33" s="37">
        <f>Tbl_Repuestos[[#This Row],[PRECIO DE LISTA]]*1.4</f>
        <v>28</v>
      </c>
      <c r="K33" s="17">
        <f>Tbl_Repuestos[[#This Row],[COSTO UNITARIO]]*$K$2</f>
        <v>98</v>
      </c>
      <c r="L33" s="99">
        <v>1</v>
      </c>
    </row>
    <row r="34" spans="2:12" x14ac:dyDescent="0.25">
      <c r="B34" s="21" t="s">
        <v>147</v>
      </c>
      <c r="C34" s="20">
        <v>5</v>
      </c>
      <c r="D34" s="41"/>
      <c r="H34" s="26" t="s">
        <v>4</v>
      </c>
      <c r="I34" s="1">
        <v>15</v>
      </c>
      <c r="J34" s="37">
        <f>Tbl_Repuestos[[#This Row],[PRECIO DE LISTA]]*1.4</f>
        <v>21</v>
      </c>
      <c r="K34" s="17">
        <f>Tbl_Repuestos[[#This Row],[COSTO UNITARIO]]*$K$2</f>
        <v>73.5</v>
      </c>
      <c r="L34" s="99">
        <v>2</v>
      </c>
    </row>
    <row r="35" spans="2:12" x14ac:dyDescent="0.25">
      <c r="B35" s="21" t="s">
        <v>49</v>
      </c>
      <c r="C35" s="20">
        <v>5</v>
      </c>
      <c r="H35" s="26" t="s">
        <v>65</v>
      </c>
      <c r="I35" s="27"/>
      <c r="J35" s="38"/>
      <c r="K35" s="17">
        <v>30</v>
      </c>
      <c r="L35" s="99">
        <v>1</v>
      </c>
    </row>
    <row r="36" spans="2:12" x14ac:dyDescent="0.25">
      <c r="H36" s="26" t="s">
        <v>66</v>
      </c>
      <c r="I36" s="27">
        <v>9</v>
      </c>
      <c r="J36" s="38">
        <f>Tbl_Repuestos[[#This Row],[PRECIO DE LISTA]]*1.4</f>
        <v>12.6</v>
      </c>
      <c r="K36" s="17">
        <f>Tbl_Repuestos[[#This Row],[COSTO UNITARIO]]*$K$2</f>
        <v>44.1</v>
      </c>
      <c r="L36" s="99">
        <v>2</v>
      </c>
    </row>
    <row r="37" spans="2:12" x14ac:dyDescent="0.25">
      <c r="H37" s="26" t="s">
        <v>70</v>
      </c>
      <c r="I37" s="1">
        <v>40</v>
      </c>
      <c r="J37" s="38">
        <f>Tbl_Repuestos[[#This Row],[PRECIO DE LISTA]]*1.4</f>
        <v>56</v>
      </c>
      <c r="K37" s="17">
        <f>Tbl_Repuestos[[#This Row],[COSTO UNITARIO]]*$K$2</f>
        <v>196</v>
      </c>
      <c r="L37" s="99">
        <v>1</v>
      </c>
    </row>
    <row r="38" spans="2:12" x14ac:dyDescent="0.25">
      <c r="H38" s="26" t="s">
        <v>170</v>
      </c>
      <c r="I38" s="1"/>
      <c r="J38" s="38"/>
      <c r="K38" s="17">
        <v>5</v>
      </c>
      <c r="L38" s="99">
        <v>1</v>
      </c>
    </row>
    <row r="39" spans="2:12" x14ac:dyDescent="0.25">
      <c r="H39" s="26" t="s">
        <v>139</v>
      </c>
      <c r="I39" s="1"/>
      <c r="J39" s="1"/>
      <c r="K39" s="17">
        <v>14</v>
      </c>
      <c r="L39" s="99">
        <v>1</v>
      </c>
    </row>
    <row r="40" spans="2:12" x14ac:dyDescent="0.25">
      <c r="H40" s="25" t="s">
        <v>140</v>
      </c>
      <c r="I40" s="27"/>
      <c r="J40" s="62"/>
      <c r="K40" s="20">
        <v>25</v>
      </c>
      <c r="L40" s="99">
        <v>1</v>
      </c>
    </row>
    <row r="41" spans="2:12" x14ac:dyDescent="0.25">
      <c r="H41" s="26" t="s">
        <v>178</v>
      </c>
      <c r="I41" s="27"/>
      <c r="J41" s="27"/>
      <c r="K41" s="20">
        <v>0</v>
      </c>
      <c r="L41" s="122">
        <v>0</v>
      </c>
    </row>
  </sheetData>
  <pageMargins left="0.7" right="0.7" top="0.75" bottom="0.75" header="0.3" footer="0.3"/>
  <ignoredErrors>
    <ignoredError sqref="J6 J32 K25:K41 J4 K4:K7 K8:K24" calculatedColumn="1"/>
  </ignoredErrors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F25" sqref="F25"/>
    </sheetView>
  </sheetViews>
  <sheetFormatPr baseColWidth="10" defaultRowHeight="15" x14ac:dyDescent="0.25"/>
  <cols>
    <col min="1" max="1" width="6.28515625" customWidth="1"/>
    <col min="2" max="2" width="69.85546875" customWidth="1"/>
    <col min="3" max="3" width="12" style="23" customWidth="1"/>
    <col min="4" max="4" width="6.7109375" customWidth="1"/>
    <col min="5" max="5" width="36.42578125" customWidth="1"/>
    <col min="6" max="6" width="11.7109375" customWidth="1"/>
    <col min="8" max="8" width="6.5703125" customWidth="1"/>
    <col min="9" max="9" width="29.140625" customWidth="1"/>
  </cols>
  <sheetData>
    <row r="2" spans="2:10" x14ac:dyDescent="0.25">
      <c r="B2" s="14" t="s">
        <v>128</v>
      </c>
      <c r="C2" s="24" t="s">
        <v>86</v>
      </c>
      <c r="E2" s="14" t="s">
        <v>144</v>
      </c>
      <c r="F2" s="24" t="s">
        <v>86</v>
      </c>
      <c r="G2" s="15" t="s">
        <v>87</v>
      </c>
      <c r="I2" s="14" t="s">
        <v>127</v>
      </c>
      <c r="J2" s="24" t="s">
        <v>86</v>
      </c>
    </row>
    <row r="3" spans="2:10" x14ac:dyDescent="0.25">
      <c r="B3" s="25" t="s">
        <v>102</v>
      </c>
      <c r="C3" s="33">
        <v>2.7777777777777779E-3</v>
      </c>
      <c r="E3" s="25" t="s">
        <v>52</v>
      </c>
      <c r="F3" s="33">
        <v>2.7777777777777776E-2</v>
      </c>
      <c r="G3" s="34">
        <v>2</v>
      </c>
      <c r="I3" s="25" t="s">
        <v>13</v>
      </c>
      <c r="J3" s="33">
        <v>4.1666666666666664E-2</v>
      </c>
    </row>
    <row r="4" spans="2:10" x14ac:dyDescent="0.25">
      <c r="B4" s="25" t="s">
        <v>103</v>
      </c>
      <c r="C4" s="33">
        <v>4.1666666666666666E-3</v>
      </c>
      <c r="E4" s="25" t="s">
        <v>202</v>
      </c>
      <c r="F4" s="33">
        <v>3.125E-2</v>
      </c>
      <c r="G4" s="34">
        <v>1</v>
      </c>
      <c r="I4" s="25" t="s">
        <v>126</v>
      </c>
      <c r="J4" s="33">
        <v>1.0416666666666666E-2</v>
      </c>
    </row>
    <row r="5" spans="2:10" x14ac:dyDescent="0.25">
      <c r="B5" s="25" t="s">
        <v>104</v>
      </c>
      <c r="C5" s="33">
        <v>4.1666666666666666E-3</v>
      </c>
      <c r="E5" s="25" t="s">
        <v>8</v>
      </c>
      <c r="F5" s="33">
        <v>2.7777777777777776E-2</v>
      </c>
      <c r="G5" s="34">
        <v>1</v>
      </c>
      <c r="I5" s="25" t="s">
        <v>130</v>
      </c>
      <c r="J5" s="33">
        <v>6.9444444444444441E-3</v>
      </c>
    </row>
    <row r="6" spans="2:10" x14ac:dyDescent="0.25">
      <c r="B6" s="25" t="s">
        <v>105</v>
      </c>
      <c r="C6" s="33">
        <v>2.0833333333333333E-3</v>
      </c>
      <c r="E6" s="25" t="s">
        <v>88</v>
      </c>
      <c r="F6" s="33">
        <v>4.1666666666666664E-2</v>
      </c>
      <c r="G6" s="34">
        <v>2</v>
      </c>
    </row>
    <row r="7" spans="2:10" x14ac:dyDescent="0.25">
      <c r="B7" s="25" t="s">
        <v>106</v>
      </c>
      <c r="C7" s="33">
        <v>1.3888888888888889E-3</v>
      </c>
      <c r="E7" s="25" t="s">
        <v>157</v>
      </c>
      <c r="F7" s="33">
        <v>3.472222222222222E-3</v>
      </c>
      <c r="G7" s="34">
        <v>1</v>
      </c>
      <c r="I7" s="119" t="s">
        <v>127</v>
      </c>
      <c r="J7" s="120" t="s">
        <v>86</v>
      </c>
    </row>
    <row r="8" spans="2:10" x14ac:dyDescent="0.25">
      <c r="B8" s="25" t="s">
        <v>107</v>
      </c>
      <c r="C8" s="33">
        <v>3.472222222222222E-3</v>
      </c>
      <c r="E8" s="25" t="s">
        <v>53</v>
      </c>
      <c r="F8" s="33">
        <v>6.9444444444444441E-3</v>
      </c>
      <c r="G8" s="34">
        <v>1</v>
      </c>
      <c r="I8" s="121" t="s">
        <v>177</v>
      </c>
      <c r="J8" s="114">
        <v>4.1666666666666664E-2</v>
      </c>
    </row>
    <row r="9" spans="2:10" x14ac:dyDescent="0.25">
      <c r="B9" s="25" t="s">
        <v>108</v>
      </c>
      <c r="C9" s="33">
        <v>3.472222222222222E-3</v>
      </c>
      <c r="E9" s="25" t="s">
        <v>167</v>
      </c>
      <c r="F9" s="33">
        <v>2.0833333333333332E-2</v>
      </c>
      <c r="G9" s="34">
        <v>1</v>
      </c>
    </row>
    <row r="10" spans="2:10" x14ac:dyDescent="0.25">
      <c r="B10" s="25" t="s">
        <v>109</v>
      </c>
      <c r="C10" s="33">
        <v>6.9444444444444447E-4</v>
      </c>
      <c r="E10" s="25" t="s">
        <v>168</v>
      </c>
      <c r="F10" s="33">
        <v>2.0833333333333332E-2</v>
      </c>
      <c r="G10" s="34">
        <v>1</v>
      </c>
    </row>
    <row r="11" spans="2:10" x14ac:dyDescent="0.25">
      <c r="B11" s="25" t="s">
        <v>110</v>
      </c>
      <c r="C11" s="33">
        <v>6.9444444444444447E-4</v>
      </c>
      <c r="E11" s="25" t="s">
        <v>54</v>
      </c>
      <c r="F11" s="33">
        <v>6.9444444444444441E-3</v>
      </c>
      <c r="G11" s="34">
        <v>1</v>
      </c>
    </row>
    <row r="12" spans="2:10" x14ac:dyDescent="0.25">
      <c r="B12" s="25" t="s">
        <v>111</v>
      </c>
      <c r="C12" s="33">
        <v>1.3888888888888889E-3</v>
      </c>
      <c r="E12" s="25" t="s">
        <v>5</v>
      </c>
      <c r="F12" s="33">
        <v>1.0416666666666666E-2</v>
      </c>
      <c r="G12" s="34">
        <v>1</v>
      </c>
    </row>
    <row r="13" spans="2:10" x14ac:dyDescent="0.25">
      <c r="B13" s="25" t="s">
        <v>112</v>
      </c>
      <c r="C13" s="33">
        <v>6.9444444444444447E-4</v>
      </c>
      <c r="E13" s="25" t="s">
        <v>91</v>
      </c>
      <c r="F13" s="33">
        <v>1.3888888888888888E-2</v>
      </c>
      <c r="G13" s="34">
        <v>1</v>
      </c>
    </row>
    <row r="14" spans="2:10" x14ac:dyDescent="0.25">
      <c r="B14" s="25" t="s">
        <v>113</v>
      </c>
      <c r="C14" s="33">
        <v>6.9444444444444441E-3</v>
      </c>
      <c r="E14" s="25" t="s">
        <v>90</v>
      </c>
      <c r="F14" s="33">
        <v>1.3888888888888888E-2</v>
      </c>
      <c r="G14" s="34">
        <v>1</v>
      </c>
    </row>
    <row r="15" spans="2:10" x14ac:dyDescent="0.25">
      <c r="B15" s="25" t="s">
        <v>114</v>
      </c>
      <c r="C15" s="33">
        <v>6.9444444444444447E-4</v>
      </c>
      <c r="E15" s="25" t="s">
        <v>89</v>
      </c>
      <c r="F15" s="33">
        <v>1.3888888888888888E-2</v>
      </c>
      <c r="G15" s="34">
        <v>1</v>
      </c>
      <c r="J15" s="50"/>
    </row>
    <row r="16" spans="2:10" x14ac:dyDescent="0.25">
      <c r="B16" s="25" t="s">
        <v>119</v>
      </c>
      <c r="C16" s="33">
        <v>6.9444444444444447E-4</v>
      </c>
      <c r="E16" s="25" t="s">
        <v>55</v>
      </c>
      <c r="F16" s="33">
        <v>5.5555555555555558E-3</v>
      </c>
      <c r="G16" s="34">
        <v>1</v>
      </c>
      <c r="J16" s="50"/>
    </row>
    <row r="17" spans="2:10" x14ac:dyDescent="0.25">
      <c r="B17" s="25" t="s">
        <v>115</v>
      </c>
      <c r="C17" s="33">
        <v>1.3888888888888889E-3</v>
      </c>
      <c r="E17" s="25" t="s">
        <v>179</v>
      </c>
      <c r="F17" s="33">
        <v>1.0416666666666666E-2</v>
      </c>
      <c r="G17" s="34">
        <v>1</v>
      </c>
    </row>
    <row r="18" spans="2:10" x14ac:dyDescent="0.25">
      <c r="B18" s="25" t="s">
        <v>116</v>
      </c>
      <c r="C18" s="33">
        <v>3.472222222222222E-3</v>
      </c>
      <c r="E18" s="25" t="s">
        <v>56</v>
      </c>
      <c r="F18" s="33">
        <v>1.0416666666666666E-2</v>
      </c>
      <c r="G18" s="34">
        <v>1</v>
      </c>
    </row>
    <row r="19" spans="2:10" x14ac:dyDescent="0.25">
      <c r="B19" s="25" t="s">
        <v>117</v>
      </c>
      <c r="C19" s="33">
        <v>3.472222222222222E-3</v>
      </c>
      <c r="E19" s="25" t="s">
        <v>57</v>
      </c>
      <c r="F19" s="33">
        <v>1.0416666666666666E-2</v>
      </c>
      <c r="G19" s="34">
        <v>1</v>
      </c>
      <c r="J19" s="50"/>
    </row>
    <row r="20" spans="2:10" x14ac:dyDescent="0.25">
      <c r="B20" s="25" t="s">
        <v>118</v>
      </c>
      <c r="C20" s="33">
        <v>2.0833333333333333E-3</v>
      </c>
      <c r="E20" s="25" t="s">
        <v>58</v>
      </c>
      <c r="F20" s="33">
        <v>1.3888888888888888E-2</v>
      </c>
      <c r="G20" s="34">
        <v>1</v>
      </c>
    </row>
    <row r="21" spans="2:10" x14ac:dyDescent="0.25">
      <c r="E21" s="25" t="s">
        <v>59</v>
      </c>
      <c r="F21" s="33">
        <v>2.7777777777777776E-2</v>
      </c>
      <c r="G21" s="34">
        <v>2</v>
      </c>
    </row>
    <row r="22" spans="2:10" x14ac:dyDescent="0.25">
      <c r="E22" s="25" t="s">
        <v>96</v>
      </c>
      <c r="F22" s="33">
        <v>2.7777777777777776E-2</v>
      </c>
      <c r="G22" s="34">
        <v>2</v>
      </c>
    </row>
    <row r="23" spans="2:10" x14ac:dyDescent="0.25">
      <c r="E23" s="25" t="s">
        <v>93</v>
      </c>
      <c r="F23" s="33">
        <v>3.472222222222222E-3</v>
      </c>
      <c r="G23" s="34">
        <v>1</v>
      </c>
    </row>
    <row r="24" spans="2:10" x14ac:dyDescent="0.25">
      <c r="E24" s="25" t="s">
        <v>201</v>
      </c>
      <c r="F24" s="33">
        <v>1.5972222222222224E-2</v>
      </c>
      <c r="G24" s="34">
        <v>1</v>
      </c>
    </row>
    <row r="25" spans="2:10" x14ac:dyDescent="0.25">
      <c r="E25" s="25" t="s">
        <v>60</v>
      </c>
      <c r="F25" s="33">
        <v>3.472222222222222E-3</v>
      </c>
      <c r="G25" s="34">
        <v>1</v>
      </c>
    </row>
    <row r="26" spans="2:10" x14ac:dyDescent="0.25">
      <c r="E26" s="25" t="s">
        <v>61</v>
      </c>
      <c r="F26" s="33">
        <v>3.472222222222222E-3</v>
      </c>
      <c r="G26" s="34">
        <v>1</v>
      </c>
    </row>
    <row r="27" spans="2:10" x14ac:dyDescent="0.25">
      <c r="E27" s="25" t="s">
        <v>92</v>
      </c>
      <c r="F27" s="33">
        <v>2.0833333333333333E-3</v>
      </c>
      <c r="G27" s="34">
        <v>1</v>
      </c>
    </row>
    <row r="28" spans="2:10" x14ac:dyDescent="0.25">
      <c r="E28" s="25" t="s">
        <v>62</v>
      </c>
      <c r="F28" s="33">
        <v>4.8611111111111112E-3</v>
      </c>
      <c r="G28" s="34">
        <v>1</v>
      </c>
    </row>
    <row r="29" spans="2:10" x14ac:dyDescent="0.25">
      <c r="E29" s="25" t="s">
        <v>94</v>
      </c>
      <c r="F29" s="33">
        <v>3.472222222222222E-3</v>
      </c>
      <c r="G29" s="34">
        <v>1</v>
      </c>
    </row>
    <row r="30" spans="2:10" x14ac:dyDescent="0.25">
      <c r="E30" s="26" t="s">
        <v>135</v>
      </c>
      <c r="F30" s="33">
        <v>1.3888888888888888E-2</v>
      </c>
      <c r="G30" s="34">
        <v>1</v>
      </c>
    </row>
    <row r="31" spans="2:10" x14ac:dyDescent="0.25">
      <c r="E31" s="26" t="s">
        <v>63</v>
      </c>
      <c r="F31" s="33">
        <v>1.3888888888888888E-2</v>
      </c>
      <c r="G31" s="35">
        <v>1</v>
      </c>
    </row>
    <row r="32" spans="2:10" x14ac:dyDescent="0.25">
      <c r="E32" s="26" t="s">
        <v>64</v>
      </c>
      <c r="F32" s="33">
        <v>5.5555555555555558E-3</v>
      </c>
      <c r="G32" s="35">
        <v>1</v>
      </c>
    </row>
    <row r="33" spans="5:7" x14ac:dyDescent="0.25">
      <c r="E33" s="26" t="s">
        <v>4</v>
      </c>
      <c r="F33" s="33">
        <v>6.9444444444444441E-3</v>
      </c>
      <c r="G33" s="35">
        <v>1</v>
      </c>
    </row>
    <row r="34" spans="5:7" x14ac:dyDescent="0.25">
      <c r="E34" s="26" t="s">
        <v>65</v>
      </c>
      <c r="F34" s="33">
        <v>3.472222222222222E-3</v>
      </c>
      <c r="G34" s="35">
        <v>1</v>
      </c>
    </row>
    <row r="35" spans="5:7" x14ac:dyDescent="0.25">
      <c r="E35" s="26" t="s">
        <v>66</v>
      </c>
      <c r="F35" s="33">
        <v>2.0833333333333333E-3</v>
      </c>
      <c r="G35" s="35">
        <v>1</v>
      </c>
    </row>
    <row r="36" spans="5:7" x14ac:dyDescent="0.25">
      <c r="E36" s="25" t="s">
        <v>70</v>
      </c>
      <c r="F36" s="33">
        <v>5.5555555555555558E-3</v>
      </c>
      <c r="G36" s="34">
        <v>1</v>
      </c>
    </row>
    <row r="37" spans="5:7" x14ac:dyDescent="0.25">
      <c r="E37" s="26" t="s">
        <v>170</v>
      </c>
      <c r="F37" s="33">
        <v>3.472222222222222E-3</v>
      </c>
      <c r="G37" s="35">
        <v>1</v>
      </c>
    </row>
    <row r="38" spans="5:7" x14ac:dyDescent="0.25">
      <c r="E38" s="26" t="s">
        <v>139</v>
      </c>
      <c r="F38" s="33">
        <v>3.472222222222222E-3</v>
      </c>
      <c r="G38" s="35">
        <v>1</v>
      </c>
    </row>
    <row r="39" spans="5:7" x14ac:dyDescent="0.25">
      <c r="E39" s="26" t="s">
        <v>140</v>
      </c>
      <c r="F39" s="33">
        <v>3.472222222222222E-3</v>
      </c>
      <c r="G39" s="34">
        <v>1</v>
      </c>
    </row>
    <row r="40" spans="5:7" x14ac:dyDescent="0.25">
      <c r="E40" s="26" t="s">
        <v>178</v>
      </c>
      <c r="F40" s="33">
        <v>0</v>
      </c>
      <c r="G40" s="3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H11" sqref="H11"/>
    </sheetView>
  </sheetViews>
  <sheetFormatPr baseColWidth="10" defaultRowHeight="15" x14ac:dyDescent="0.25"/>
  <cols>
    <col min="1" max="1" width="32" customWidth="1"/>
    <col min="2" max="2" width="20" customWidth="1"/>
    <col min="3" max="3" width="22.42578125" customWidth="1"/>
    <col min="5" max="5" width="17.140625" customWidth="1"/>
    <col min="6" max="6" width="13.28515625" customWidth="1"/>
    <col min="8" max="8" width="17.140625" customWidth="1"/>
    <col min="9" max="9" width="15.140625" customWidth="1"/>
    <col min="10" max="10" width="12.7109375" customWidth="1"/>
    <col min="11" max="11" width="14.7109375" customWidth="1"/>
  </cols>
  <sheetData>
    <row r="2" spans="1:11" x14ac:dyDescent="0.25">
      <c r="C2" s="44" t="s">
        <v>71</v>
      </c>
      <c r="D2" s="45" t="s">
        <v>72</v>
      </c>
      <c r="E2" s="47">
        <v>0.46</v>
      </c>
      <c r="F2" t="s">
        <v>73</v>
      </c>
    </row>
    <row r="3" spans="1:11" x14ac:dyDescent="0.25">
      <c r="C3" s="44" t="s">
        <v>74</v>
      </c>
      <c r="D3" s="45" t="s">
        <v>72</v>
      </c>
      <c r="E3" s="47">
        <v>0.06</v>
      </c>
    </row>
    <row r="4" spans="1:11" x14ac:dyDescent="0.25">
      <c r="C4" s="44" t="s">
        <v>75</v>
      </c>
      <c r="D4" s="45" t="s">
        <v>72</v>
      </c>
      <c r="E4" s="47">
        <v>0.02</v>
      </c>
    </row>
    <row r="5" spans="1:11" x14ac:dyDescent="0.25">
      <c r="C5" s="44" t="s">
        <v>76</v>
      </c>
      <c r="D5" s="46">
        <v>10</v>
      </c>
      <c r="E5" s="48">
        <v>33</v>
      </c>
    </row>
    <row r="7" spans="1:11" x14ac:dyDescent="0.25">
      <c r="A7" t="s">
        <v>67</v>
      </c>
      <c r="B7" t="s">
        <v>14</v>
      </c>
      <c r="C7" t="s">
        <v>77</v>
      </c>
      <c r="D7" t="s">
        <v>74</v>
      </c>
      <c r="E7" t="s">
        <v>78</v>
      </c>
      <c r="F7" t="s">
        <v>79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</row>
    <row r="8" spans="1:11" x14ac:dyDescent="0.25">
      <c r="A8" t="s">
        <v>17</v>
      </c>
      <c r="B8" s="43">
        <v>1800</v>
      </c>
      <c r="C8" s="43">
        <f>Tbl_HorasHombre[[#This Row],[SALARIO MENSUAL]]*$E$2</f>
        <v>828</v>
      </c>
      <c r="D8" s="43">
        <f>Tbl_HorasHombre[[#This Row],[SALARIO MENSUAL]]*$E$3</f>
        <v>108</v>
      </c>
      <c r="E8" s="43">
        <f>Tbl_HorasHombre[[#This Row],[SALARIO MENSUAL]]*$E$4</f>
        <v>36</v>
      </c>
      <c r="F8" s="43">
        <f>$E$5</f>
        <v>33</v>
      </c>
      <c r="G8" s="43">
        <v>85</v>
      </c>
      <c r="H8" s="43">
        <v>127.20833333333333</v>
      </c>
      <c r="I8" s="43">
        <f>SUM(Tbl_HorasHombre[[#This Row],[SALARIO MENSUAL]:[HERRAMIENTAS]])</f>
        <v>3017.2083333333335</v>
      </c>
      <c r="J8" s="43">
        <f>Tbl_HorasHombre[[#This Row],[COSTO TOTAL]]/30</f>
        <v>100.57361111111112</v>
      </c>
      <c r="K8" s="43">
        <f>Tbl_HorasHombre[[#This Row],[COSTO DIA]]/8</f>
        <v>12.57170138888889</v>
      </c>
    </row>
    <row r="9" spans="1:11" x14ac:dyDescent="0.25">
      <c r="A9" t="s">
        <v>18</v>
      </c>
      <c r="B9" s="43">
        <v>2000</v>
      </c>
      <c r="C9" s="43">
        <f>Tbl_HorasHombre[[#This Row],[SALARIO MENSUAL]]*$E$2</f>
        <v>920</v>
      </c>
      <c r="D9" s="43">
        <f>Tbl_HorasHombre[[#This Row],[SALARIO MENSUAL]]*$E$3</f>
        <v>120</v>
      </c>
      <c r="E9" s="43">
        <f>Tbl_HorasHombre[[#This Row],[SALARIO MENSUAL]]*$E$4</f>
        <v>40</v>
      </c>
      <c r="F9" s="43">
        <f t="shared" ref="F9:F11" si="0">$E$5</f>
        <v>33</v>
      </c>
      <c r="G9" s="43">
        <v>85</v>
      </c>
      <c r="H9" s="43">
        <v>127.20833333333333</v>
      </c>
      <c r="I9" s="43">
        <f>SUM(Tbl_HorasHombre[[#This Row],[SALARIO MENSUAL]:[HERRAMIENTAS]])</f>
        <v>3325.2083333333335</v>
      </c>
      <c r="J9" s="43">
        <f>Tbl_HorasHombre[[#This Row],[COSTO TOTAL]]/30</f>
        <v>110.84027777777779</v>
      </c>
      <c r="K9" s="43">
        <f>Tbl_HorasHombre[[#This Row],[COSTO DIA]]/8</f>
        <v>13.855034722222223</v>
      </c>
    </row>
    <row r="10" spans="1:11" x14ac:dyDescent="0.25">
      <c r="A10" t="s">
        <v>85</v>
      </c>
      <c r="B10" s="43">
        <v>3000</v>
      </c>
      <c r="C10" s="43">
        <f>Tbl_HorasHombre[[#This Row],[SALARIO MENSUAL]]*$E$2</f>
        <v>1380</v>
      </c>
      <c r="D10" s="43">
        <f>Tbl_HorasHombre[[#This Row],[SALARIO MENSUAL]]*$E$3</f>
        <v>180</v>
      </c>
      <c r="E10" s="43">
        <f>Tbl_HorasHombre[[#This Row],[SALARIO MENSUAL]]*$E$4</f>
        <v>60</v>
      </c>
      <c r="F10" s="43">
        <f t="shared" si="0"/>
        <v>33</v>
      </c>
      <c r="G10" s="43">
        <v>85</v>
      </c>
      <c r="H10" s="43">
        <v>127.20833333333333</v>
      </c>
      <c r="I10" s="43">
        <f>SUM(Tbl_HorasHombre[[#This Row],[SALARIO MENSUAL]:[HERRAMIENTAS]])</f>
        <v>4865.208333333333</v>
      </c>
      <c r="J10" s="43">
        <f>Tbl_HorasHombre[[#This Row],[COSTO TOTAL]]/30</f>
        <v>162.17361111111111</v>
      </c>
      <c r="K10" s="43">
        <f>Tbl_HorasHombre[[#This Row],[COSTO DIA]]/8</f>
        <v>20.271701388888889</v>
      </c>
    </row>
    <row r="11" spans="1:11" x14ac:dyDescent="0.25">
      <c r="A11" t="s">
        <v>3</v>
      </c>
      <c r="B11" s="43">
        <v>3500</v>
      </c>
      <c r="C11" s="43">
        <f>Tbl_HorasHombre[[#This Row],[SALARIO MENSUAL]]*$E$2</f>
        <v>1610</v>
      </c>
      <c r="D11" s="43">
        <f>Tbl_HorasHombre[[#This Row],[SALARIO MENSUAL]]*$E$3</f>
        <v>210</v>
      </c>
      <c r="E11" s="43">
        <f>Tbl_HorasHombre[[#This Row],[SALARIO MENSUAL]]*$E$4</f>
        <v>70</v>
      </c>
      <c r="F11" s="43">
        <f t="shared" si="0"/>
        <v>33</v>
      </c>
      <c r="G11" s="43">
        <v>85</v>
      </c>
      <c r="H11" s="43">
        <v>0</v>
      </c>
      <c r="I11" s="43">
        <f>SUM(Tbl_HorasHombre[[#This Row],[SALARIO MENSUAL]:[HERRAMIENTAS]])</f>
        <v>5508</v>
      </c>
      <c r="J11" s="43">
        <f>Tbl_HorasHombre[[#This Row],[COSTO TOTAL]]/30</f>
        <v>183.6</v>
      </c>
      <c r="K11" s="43">
        <f>Tbl_HorasHombre[[#This Row],[COSTO DIA]]/8</f>
        <v>22.95</v>
      </c>
    </row>
    <row r="18" spans="3:6" x14ac:dyDescent="0.25">
      <c r="C18" s="63"/>
      <c r="F18" s="22"/>
    </row>
    <row r="19" spans="3:6" x14ac:dyDescent="0.25">
      <c r="C19" s="63"/>
    </row>
    <row r="20" spans="3:6" x14ac:dyDescent="0.25">
      <c r="C20" s="6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opLeftCell="A10" zoomScaleNormal="100" workbookViewId="0">
      <selection activeCell="K12" sqref="K12"/>
    </sheetView>
  </sheetViews>
  <sheetFormatPr baseColWidth="10" defaultRowHeight="15" x14ac:dyDescent="0.25"/>
  <cols>
    <col min="1" max="1" width="2" customWidth="1"/>
    <col min="2" max="2" width="12.5703125" customWidth="1"/>
    <col min="3" max="3" width="32.7109375" customWidth="1"/>
    <col min="9" max="9" width="12.85546875" customWidth="1"/>
    <col min="10" max="10" width="3.7109375" customWidth="1"/>
  </cols>
  <sheetData>
    <row r="2" spans="2:9" x14ac:dyDescent="0.25">
      <c r="B2" s="109" t="s">
        <v>160</v>
      </c>
      <c r="C2" s="110" t="str">
        <f>'AÑO 7'!D3</f>
        <v>DELOSI OFICINA CAR 01</v>
      </c>
    </row>
    <row r="3" spans="2:9" x14ac:dyDescent="0.25">
      <c r="B3" s="109" t="s">
        <v>161</v>
      </c>
      <c r="C3" s="110" t="str">
        <f>'AÑO 7'!D4</f>
        <v>DELOSI S.A.</v>
      </c>
    </row>
    <row r="4" spans="2:9" x14ac:dyDescent="0.25">
      <c r="B4" s="109" t="s">
        <v>165</v>
      </c>
      <c r="C4" s="110">
        <f>'AÑO 7'!D5</f>
        <v>12</v>
      </c>
    </row>
    <row r="5" spans="2:9" x14ac:dyDescent="0.25">
      <c r="B5" s="103"/>
      <c r="C5" s="104"/>
    </row>
    <row r="6" spans="2:9" x14ac:dyDescent="0.25">
      <c r="B6" s="136" t="s">
        <v>162</v>
      </c>
      <c r="C6" s="136"/>
      <c r="D6" s="136"/>
      <c r="E6" s="136"/>
      <c r="F6" s="136"/>
      <c r="G6" s="136"/>
      <c r="H6" s="136"/>
      <c r="I6" s="136"/>
    </row>
    <row r="7" spans="2:9" x14ac:dyDescent="0.25">
      <c r="B7" s="105" t="s">
        <v>163</v>
      </c>
      <c r="C7" s="105" t="s">
        <v>164</v>
      </c>
      <c r="D7" s="106" t="s">
        <v>195</v>
      </c>
      <c r="E7" s="106" t="s">
        <v>196</v>
      </c>
      <c r="F7" s="106" t="s">
        <v>197</v>
      </c>
      <c r="G7" s="106" t="s">
        <v>198</v>
      </c>
      <c r="H7" s="106" t="s">
        <v>199</v>
      </c>
      <c r="I7" s="106" t="s">
        <v>200</v>
      </c>
    </row>
    <row r="8" spans="2:9" x14ac:dyDescent="0.25">
      <c r="B8" s="107">
        <v>1</v>
      </c>
      <c r="C8" s="99" t="s">
        <v>190</v>
      </c>
      <c r="D8" s="126" t="s">
        <v>192</v>
      </c>
      <c r="E8" s="125"/>
      <c r="F8" s="125"/>
      <c r="G8" s="111"/>
      <c r="H8" s="111"/>
      <c r="I8" s="111"/>
    </row>
    <row r="9" spans="2:9" x14ac:dyDescent="0.25">
      <c r="B9" s="107">
        <v>2</v>
      </c>
      <c r="C9" s="99" t="s">
        <v>202</v>
      </c>
      <c r="D9" s="111"/>
      <c r="E9" s="125"/>
      <c r="F9" s="133" t="s">
        <v>192</v>
      </c>
      <c r="G9" s="111"/>
      <c r="H9" s="111"/>
      <c r="I9" s="111"/>
    </row>
    <row r="10" spans="2:9" x14ac:dyDescent="0.25">
      <c r="B10" s="107">
        <v>3</v>
      </c>
      <c r="C10" s="99" t="s">
        <v>191</v>
      </c>
      <c r="D10" s="111"/>
      <c r="E10" s="126" t="s">
        <v>192</v>
      </c>
      <c r="F10" s="125"/>
      <c r="G10" s="111"/>
      <c r="H10" s="111"/>
      <c r="I10" s="111"/>
    </row>
    <row r="11" spans="2:9" x14ac:dyDescent="0.25">
      <c r="B11" s="107">
        <v>4</v>
      </c>
      <c r="C11" s="99" t="s">
        <v>53</v>
      </c>
      <c r="D11" s="111"/>
      <c r="E11" s="125"/>
      <c r="F11" s="125"/>
      <c r="G11" s="111"/>
      <c r="H11" s="111"/>
      <c r="I11" s="111"/>
    </row>
    <row r="12" spans="2:9" x14ac:dyDescent="0.25">
      <c r="B12" s="107">
        <v>5</v>
      </c>
      <c r="C12" s="99" t="s">
        <v>5</v>
      </c>
      <c r="D12" s="111"/>
      <c r="E12" s="125"/>
      <c r="F12" s="125"/>
      <c r="G12" s="111"/>
      <c r="H12" s="111"/>
      <c r="I12" s="111"/>
    </row>
    <row r="13" spans="2:9" x14ac:dyDescent="0.25">
      <c r="B13" s="107">
        <v>6</v>
      </c>
      <c r="C13" s="99" t="s">
        <v>193</v>
      </c>
      <c r="D13" s="126" t="s">
        <v>192</v>
      </c>
      <c r="E13" s="125"/>
      <c r="F13" s="125"/>
      <c r="G13" s="111"/>
      <c r="H13" s="111"/>
      <c r="I13" s="111"/>
    </row>
    <row r="14" spans="2:9" x14ac:dyDescent="0.25">
      <c r="B14" s="107">
        <v>7</v>
      </c>
      <c r="C14" s="99" t="s">
        <v>194</v>
      </c>
      <c r="D14" s="125"/>
      <c r="E14" s="125"/>
      <c r="F14" s="125"/>
      <c r="G14" s="111"/>
      <c r="H14" s="111"/>
      <c r="I14" s="111"/>
    </row>
    <row r="15" spans="2:9" x14ac:dyDescent="0.25">
      <c r="B15" s="107">
        <v>8</v>
      </c>
      <c r="C15" s="99" t="s">
        <v>55</v>
      </c>
      <c r="D15" s="125"/>
      <c r="E15" s="126" t="s">
        <v>192</v>
      </c>
      <c r="F15" s="125"/>
      <c r="G15" s="111"/>
      <c r="H15" s="111"/>
      <c r="I15" s="111"/>
    </row>
    <row r="16" spans="2:9" x14ac:dyDescent="0.25">
      <c r="B16" s="107">
        <v>9</v>
      </c>
      <c r="C16" s="99" t="s">
        <v>58</v>
      </c>
      <c r="D16" s="126" t="s">
        <v>192</v>
      </c>
      <c r="E16" s="125"/>
      <c r="F16" s="125"/>
      <c r="G16" s="111"/>
      <c r="H16" s="111"/>
      <c r="I16" s="111"/>
    </row>
    <row r="17" spans="2:10" x14ac:dyDescent="0.25">
      <c r="B17" s="107">
        <v>10</v>
      </c>
      <c r="C17" s="99" t="s">
        <v>93</v>
      </c>
      <c r="D17" s="125"/>
      <c r="E17" s="126" t="s">
        <v>192</v>
      </c>
      <c r="F17" s="125"/>
      <c r="G17" s="111"/>
      <c r="H17" s="111"/>
      <c r="I17" s="111"/>
    </row>
    <row r="18" spans="2:10" x14ac:dyDescent="0.25">
      <c r="B18" s="107">
        <v>11</v>
      </c>
      <c r="C18" s="99" t="s">
        <v>60</v>
      </c>
      <c r="D18" s="125"/>
      <c r="E18" s="126" t="s">
        <v>192</v>
      </c>
      <c r="F18" s="125"/>
      <c r="G18" s="111"/>
      <c r="H18" s="111"/>
      <c r="I18" s="111"/>
    </row>
    <row r="19" spans="2:10" x14ac:dyDescent="0.25">
      <c r="B19" s="107">
        <v>12</v>
      </c>
      <c r="C19" s="99" t="s">
        <v>201</v>
      </c>
      <c r="D19" s="125"/>
      <c r="E19" s="125"/>
      <c r="F19" s="133" t="s">
        <v>192</v>
      </c>
      <c r="G19" s="111"/>
      <c r="H19" s="111"/>
      <c r="I19" s="111"/>
    </row>
    <row r="20" spans="2:10" x14ac:dyDescent="0.25">
      <c r="B20" s="107">
        <v>13</v>
      </c>
      <c r="C20" s="99" t="s">
        <v>61</v>
      </c>
      <c r="D20" s="125"/>
      <c r="E20" s="125"/>
      <c r="F20" s="125"/>
      <c r="G20" s="111"/>
      <c r="H20" s="111"/>
      <c r="I20" s="111"/>
    </row>
    <row r="21" spans="2:10" x14ac:dyDescent="0.25">
      <c r="B21" s="107">
        <v>14</v>
      </c>
      <c r="C21" s="99" t="s">
        <v>92</v>
      </c>
      <c r="D21" s="126" t="s">
        <v>192</v>
      </c>
      <c r="E21" s="125"/>
      <c r="F21" s="125"/>
      <c r="G21" s="111"/>
      <c r="H21" s="111"/>
      <c r="I21" s="111"/>
    </row>
    <row r="22" spans="2:10" x14ac:dyDescent="0.25">
      <c r="B22" s="107">
        <v>15</v>
      </c>
      <c r="C22" s="99" t="s">
        <v>62</v>
      </c>
      <c r="D22" s="125"/>
      <c r="E22" s="126" t="s">
        <v>192</v>
      </c>
      <c r="F22" s="125"/>
      <c r="G22" s="111"/>
      <c r="H22" s="111"/>
      <c r="I22" s="111"/>
    </row>
    <row r="23" spans="2:10" x14ac:dyDescent="0.25">
      <c r="B23" s="107">
        <v>16</v>
      </c>
      <c r="C23" s="99" t="s">
        <v>94</v>
      </c>
      <c r="D23" s="125"/>
      <c r="E23" s="126" t="s">
        <v>192</v>
      </c>
      <c r="F23" s="125"/>
      <c r="G23" s="111"/>
      <c r="H23" s="111"/>
      <c r="I23" s="111"/>
    </row>
    <row r="24" spans="2:10" x14ac:dyDescent="0.25">
      <c r="B24" s="107">
        <v>17</v>
      </c>
      <c r="C24" s="99" t="s">
        <v>135</v>
      </c>
      <c r="D24" s="125"/>
      <c r="E24" s="125"/>
      <c r="F24" s="125"/>
      <c r="G24" s="111"/>
      <c r="H24" s="111"/>
      <c r="I24" s="111"/>
    </row>
    <row r="25" spans="2:10" x14ac:dyDescent="0.25">
      <c r="B25" s="107">
        <v>18</v>
      </c>
      <c r="C25" s="99" t="s">
        <v>63</v>
      </c>
      <c r="D25" s="125"/>
      <c r="E25" s="126" t="s">
        <v>192</v>
      </c>
      <c r="F25" s="125"/>
      <c r="G25" s="111"/>
      <c r="H25" s="111"/>
      <c r="I25" s="111"/>
    </row>
    <row r="26" spans="2:10" x14ac:dyDescent="0.25">
      <c r="B26" s="107">
        <v>19</v>
      </c>
      <c r="C26" s="99" t="s">
        <v>64</v>
      </c>
      <c r="D26" s="126" t="s">
        <v>192</v>
      </c>
      <c r="E26" s="125"/>
      <c r="F26" s="125"/>
      <c r="G26" s="111"/>
      <c r="H26" s="111"/>
      <c r="I26" s="111"/>
    </row>
    <row r="27" spans="2:10" x14ac:dyDescent="0.25">
      <c r="B27" s="107">
        <v>20</v>
      </c>
      <c r="C27" s="99" t="s">
        <v>4</v>
      </c>
      <c r="D27" s="126" t="s">
        <v>192</v>
      </c>
      <c r="E27" s="125"/>
      <c r="F27" s="133" t="s">
        <v>192</v>
      </c>
      <c r="G27" s="111"/>
      <c r="H27" s="111"/>
      <c r="I27" s="111"/>
    </row>
    <row r="28" spans="2:10" x14ac:dyDescent="0.25">
      <c r="B28" s="107">
        <v>21</v>
      </c>
      <c r="C28" s="99" t="s">
        <v>65</v>
      </c>
      <c r="D28" s="125"/>
      <c r="E28" s="125"/>
      <c r="F28" s="125"/>
      <c r="G28" s="111"/>
      <c r="H28" s="111"/>
      <c r="I28" s="111"/>
    </row>
    <row r="29" spans="2:10" x14ac:dyDescent="0.25">
      <c r="B29" s="107">
        <v>22</v>
      </c>
      <c r="C29" s="99" t="s">
        <v>70</v>
      </c>
      <c r="D29" s="125"/>
      <c r="E29" s="125"/>
      <c r="F29" s="125"/>
      <c r="G29" s="111"/>
      <c r="H29" s="111"/>
      <c r="I29" s="111"/>
    </row>
    <row r="30" spans="2:10" x14ac:dyDescent="0.25">
      <c r="B30" s="107">
        <v>23</v>
      </c>
      <c r="C30" s="99" t="s">
        <v>139</v>
      </c>
      <c r="D30" s="111"/>
      <c r="E30" s="126" t="s">
        <v>192</v>
      </c>
      <c r="F30" s="125"/>
      <c r="G30" s="111"/>
      <c r="H30" s="111"/>
      <c r="I30" s="111"/>
    </row>
    <row r="31" spans="2:10" x14ac:dyDescent="0.25">
      <c r="B31" s="107">
        <v>24</v>
      </c>
      <c r="C31" s="99" t="s">
        <v>140</v>
      </c>
      <c r="D31" s="111"/>
      <c r="E31" s="126" t="s">
        <v>192</v>
      </c>
      <c r="F31" s="125"/>
      <c r="G31" s="111"/>
      <c r="H31" s="111"/>
      <c r="I31" s="111"/>
      <c r="J31" s="108"/>
    </row>
    <row r="32" spans="2:10" x14ac:dyDescent="0.25">
      <c r="B32" s="103"/>
      <c r="C32" s="104"/>
    </row>
    <row r="33" spans="2:9" x14ac:dyDescent="0.25">
      <c r="B33" s="112" t="s">
        <v>166</v>
      </c>
      <c r="C33" s="112"/>
      <c r="D33" s="112"/>
      <c r="E33" s="112"/>
      <c r="F33" s="112"/>
      <c r="G33" s="112"/>
      <c r="H33" s="112"/>
      <c r="I33" s="112"/>
    </row>
    <row r="34" spans="2:9" x14ac:dyDescent="0.25">
      <c r="B34" s="112"/>
      <c r="C34" s="112"/>
      <c r="D34" s="112"/>
      <c r="E34" s="112"/>
      <c r="F34" s="112"/>
      <c r="G34" s="112"/>
      <c r="H34" s="112"/>
      <c r="I34" s="112"/>
    </row>
    <row r="35" spans="2:9" x14ac:dyDescent="0.25">
      <c r="B35" s="127"/>
      <c r="C35" s="112" t="s">
        <v>181</v>
      </c>
      <c r="D35" s="112"/>
      <c r="E35" s="112"/>
      <c r="F35" s="112"/>
      <c r="G35" s="112"/>
      <c r="H35" s="112"/>
      <c r="I35" s="112"/>
    </row>
    <row r="36" spans="2:9" x14ac:dyDescent="0.25">
      <c r="B36" s="134"/>
      <c r="C36" s="112" t="s">
        <v>182</v>
      </c>
      <c r="D36" s="112"/>
      <c r="E36" s="112"/>
      <c r="F36" s="112"/>
      <c r="G36" s="112"/>
      <c r="H36" s="112"/>
      <c r="I36" s="112"/>
    </row>
    <row r="37" spans="2:9" x14ac:dyDescent="0.25">
      <c r="B37" s="112"/>
      <c r="C37" s="112"/>
      <c r="D37" s="112"/>
      <c r="E37" s="112"/>
      <c r="F37" s="112"/>
      <c r="G37" s="112"/>
      <c r="H37" s="112"/>
      <c r="I37" s="112"/>
    </row>
    <row r="38" spans="2:9" x14ac:dyDescent="0.25">
      <c r="B38" s="112"/>
      <c r="C38" s="112"/>
      <c r="D38" s="112"/>
      <c r="E38" s="112"/>
      <c r="F38" s="112"/>
      <c r="G38" s="112"/>
      <c r="H38" s="112"/>
      <c r="I38" s="112"/>
    </row>
    <row r="39" spans="2:9" x14ac:dyDescent="0.25">
      <c r="B39" s="112"/>
      <c r="C39" s="112"/>
      <c r="D39" s="112"/>
      <c r="E39" s="112"/>
      <c r="F39" s="112"/>
      <c r="G39" s="112"/>
      <c r="H39" s="112"/>
      <c r="I39" s="112"/>
    </row>
    <row r="40" spans="2:9" x14ac:dyDescent="0.25">
      <c r="B40" s="112"/>
      <c r="C40" s="112"/>
      <c r="D40" s="112"/>
      <c r="E40" s="112"/>
      <c r="F40" s="112"/>
      <c r="G40" s="112"/>
      <c r="H40" s="112"/>
      <c r="I40" s="112"/>
    </row>
    <row r="41" spans="2:9" x14ac:dyDescent="0.25">
      <c r="B41" s="112"/>
      <c r="C41" s="112"/>
      <c r="D41" s="112"/>
      <c r="E41" s="112"/>
      <c r="F41" s="112"/>
      <c r="G41" s="112"/>
      <c r="H41" s="112"/>
      <c r="I41" s="112"/>
    </row>
    <row r="42" spans="2:9" x14ac:dyDescent="0.25">
      <c r="B42" s="112"/>
      <c r="C42" s="112"/>
      <c r="D42" s="112"/>
      <c r="E42" s="112"/>
      <c r="F42" s="112"/>
      <c r="G42" s="112"/>
      <c r="H42" s="112"/>
      <c r="I42" s="112"/>
    </row>
    <row r="43" spans="2:9" x14ac:dyDescent="0.25">
      <c r="B43" s="112"/>
      <c r="C43" s="112"/>
      <c r="D43" s="112"/>
      <c r="E43" s="112"/>
      <c r="F43" s="112"/>
      <c r="G43" s="112"/>
      <c r="H43" s="112"/>
      <c r="I43" s="112"/>
    </row>
    <row r="44" spans="2:9" x14ac:dyDescent="0.25">
      <c r="B44" s="112"/>
      <c r="C44" s="112"/>
      <c r="D44" s="112"/>
      <c r="E44" s="112"/>
      <c r="F44" s="112"/>
      <c r="G44" s="112"/>
      <c r="H44" s="112"/>
      <c r="I44" s="112"/>
    </row>
    <row r="45" spans="2:9" x14ac:dyDescent="0.25">
      <c r="B45" s="112"/>
      <c r="C45" s="112"/>
      <c r="D45" s="112"/>
      <c r="E45" s="112"/>
      <c r="F45" s="112"/>
      <c r="G45" s="112"/>
      <c r="H45" s="112"/>
      <c r="I45" s="112"/>
    </row>
    <row r="46" spans="2:9" x14ac:dyDescent="0.25">
      <c r="B46" s="112"/>
      <c r="C46" s="112"/>
      <c r="D46" s="112"/>
      <c r="E46" s="112"/>
      <c r="F46" s="112"/>
      <c r="G46" s="112"/>
      <c r="H46" s="112"/>
      <c r="I46" s="112"/>
    </row>
    <row r="47" spans="2:9" x14ac:dyDescent="0.25">
      <c r="B47" s="112"/>
      <c r="C47" s="112"/>
      <c r="D47" s="112"/>
      <c r="E47" s="112"/>
      <c r="F47" s="112"/>
      <c r="G47" s="112"/>
      <c r="H47" s="112"/>
      <c r="I47" s="112"/>
    </row>
    <row r="48" spans="2:9" x14ac:dyDescent="0.25">
      <c r="B48" s="112"/>
      <c r="C48" s="112"/>
      <c r="D48" s="112"/>
      <c r="E48" s="112"/>
      <c r="F48" s="112"/>
      <c r="G48" s="112"/>
      <c r="H48" s="112"/>
      <c r="I48" s="112"/>
    </row>
    <row r="49" spans="2:9" x14ac:dyDescent="0.25">
      <c r="B49" s="112"/>
      <c r="C49" s="112"/>
      <c r="D49" s="112"/>
      <c r="E49" s="112"/>
      <c r="F49" s="112"/>
      <c r="G49" s="112"/>
      <c r="H49" s="112"/>
      <c r="I49" s="112"/>
    </row>
    <row r="50" spans="2:9" x14ac:dyDescent="0.25">
      <c r="B50" s="112"/>
      <c r="C50" s="112"/>
      <c r="D50" s="112"/>
      <c r="E50" s="112"/>
      <c r="F50" s="112"/>
      <c r="G50" s="112"/>
      <c r="H50" s="112"/>
      <c r="I50" s="112"/>
    </row>
    <row r="51" spans="2:9" x14ac:dyDescent="0.25">
      <c r="B51" s="112"/>
      <c r="C51" s="112"/>
      <c r="D51" s="112"/>
      <c r="E51" s="112"/>
      <c r="F51" s="112"/>
      <c r="G51" s="112"/>
      <c r="H51" s="112"/>
      <c r="I51" s="112"/>
    </row>
    <row r="52" spans="2:9" x14ac:dyDescent="0.25">
      <c r="B52" s="112"/>
      <c r="C52" s="112"/>
      <c r="D52" s="112"/>
      <c r="E52" s="112"/>
      <c r="F52" s="112"/>
      <c r="G52" s="112"/>
      <c r="H52" s="112"/>
      <c r="I52" s="112"/>
    </row>
  </sheetData>
  <mergeCells count="1">
    <mergeCell ref="B6:I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3"/>
  <sheetViews>
    <sheetView showGridLines="0" tabSelected="1" topLeftCell="A52" workbookViewId="0">
      <selection activeCell="D4" sqref="D4"/>
    </sheetView>
  </sheetViews>
  <sheetFormatPr baseColWidth="10" defaultRowHeight="15" x14ac:dyDescent="0.25"/>
  <cols>
    <col min="1" max="1" width="6.28515625" customWidth="1"/>
    <col min="2" max="2" width="3.5703125" customWidth="1"/>
    <col min="3" max="3" width="40.7109375" customWidth="1"/>
    <col min="4" max="4" width="10.85546875" bestFit="1" customWidth="1"/>
    <col min="5" max="5" width="9.85546875" customWidth="1"/>
    <col min="6" max="6" width="9" customWidth="1"/>
    <col min="7" max="7" width="9.7109375" customWidth="1"/>
    <col min="8" max="8" width="9.85546875" customWidth="1"/>
    <col min="9" max="9" width="19.85546875" customWidth="1"/>
    <col min="10" max="10" width="3.7109375" customWidth="1"/>
    <col min="11" max="11" width="4.85546875" customWidth="1"/>
    <col min="12" max="12" width="5.85546875" customWidth="1"/>
    <col min="13" max="13" width="13.7109375" customWidth="1"/>
    <col min="14" max="14" width="10.7109375" customWidth="1"/>
    <col min="15" max="15" width="3.7109375" customWidth="1"/>
    <col min="16" max="16" width="13.7109375" customWidth="1"/>
  </cols>
  <sheetData>
    <row r="2" spans="2:16" x14ac:dyDescent="0.25">
      <c r="B2" s="167" t="s">
        <v>183</v>
      </c>
      <c r="C2" s="167"/>
      <c r="D2" s="3"/>
      <c r="E2" s="4"/>
      <c r="F2" s="5"/>
      <c r="G2" s="5"/>
    </row>
    <row r="3" spans="2:16" x14ac:dyDescent="0.25">
      <c r="B3" s="168" t="s">
        <v>6</v>
      </c>
      <c r="C3" s="168"/>
      <c r="D3" s="128" t="s">
        <v>184</v>
      </c>
      <c r="E3" s="128"/>
      <c r="F3" s="5"/>
      <c r="G3" s="5"/>
    </row>
    <row r="4" spans="2:16" x14ac:dyDescent="0.25">
      <c r="B4" s="168" t="s">
        <v>121</v>
      </c>
      <c r="C4" s="168"/>
      <c r="D4" s="131" t="s">
        <v>185</v>
      </c>
      <c r="E4" s="4"/>
      <c r="F4" s="5"/>
      <c r="G4" s="5"/>
    </row>
    <row r="5" spans="2:16" x14ac:dyDescent="0.25">
      <c r="B5" s="169" t="s">
        <v>7</v>
      </c>
      <c r="C5" s="169"/>
      <c r="D5" s="71">
        <v>12</v>
      </c>
      <c r="E5" s="4"/>
      <c r="F5" s="5"/>
      <c r="G5" s="5"/>
    </row>
    <row r="6" spans="2:16" x14ac:dyDescent="0.25">
      <c r="C6" s="6"/>
      <c r="D6" s="7"/>
      <c r="E6" s="4"/>
      <c r="F6" s="5"/>
      <c r="G6" s="5"/>
    </row>
    <row r="7" spans="2:16" x14ac:dyDescent="0.25">
      <c r="B7" s="162" t="s">
        <v>186</v>
      </c>
      <c r="C7" s="162"/>
      <c r="D7" s="162"/>
      <c r="E7" s="162"/>
      <c r="F7" s="162"/>
      <c r="G7" s="162"/>
      <c r="I7" s="68" t="s">
        <v>9</v>
      </c>
    </row>
    <row r="8" spans="2:16" x14ac:dyDescent="0.25">
      <c r="C8" s="2"/>
      <c r="D8" s="8"/>
      <c r="E8" s="9"/>
      <c r="F8" s="5"/>
      <c r="G8" s="10"/>
      <c r="I8" s="170" t="s">
        <v>142</v>
      </c>
      <c r="J8" s="170"/>
      <c r="K8" s="170"/>
      <c r="L8" s="170"/>
      <c r="M8" s="69" t="s">
        <v>10</v>
      </c>
      <c r="N8" s="69" t="s">
        <v>11</v>
      </c>
      <c r="O8" s="70">
        <v>0.5</v>
      </c>
      <c r="P8" s="29" t="s">
        <v>12</v>
      </c>
    </row>
    <row r="9" spans="2:16" x14ac:dyDescent="0.25">
      <c r="B9" s="163" t="s">
        <v>122</v>
      </c>
      <c r="C9" s="164"/>
      <c r="D9" s="83"/>
      <c r="E9" s="83"/>
      <c r="F9" s="83"/>
      <c r="G9" s="102">
        <v>3</v>
      </c>
      <c r="I9" s="67" t="s">
        <v>69</v>
      </c>
      <c r="J9" s="66">
        <v>1</v>
      </c>
      <c r="K9" s="67" t="s">
        <v>143</v>
      </c>
      <c r="L9" s="97">
        <f>SUM(G12:G13)</f>
        <v>1.752083333333333</v>
      </c>
      <c r="M9" s="140">
        <f>PRODUCT(J9,L9,VLOOKUP(I10,Tbl_HorasHombre[],11,0),24)</f>
        <v>528.64004340277768</v>
      </c>
      <c r="N9" s="141">
        <f t="shared" ref="N9" si="0">PRODUCT(M9,$O$8)</f>
        <v>264.32002170138884</v>
      </c>
      <c r="O9" s="141"/>
      <c r="P9" s="141">
        <f t="shared" ref="P9" si="1">SUM(M9,N9)</f>
        <v>792.96006510416646</v>
      </c>
    </row>
    <row r="10" spans="2:16" x14ac:dyDescent="0.25">
      <c r="B10" s="65"/>
      <c r="C10" s="73" t="s">
        <v>125</v>
      </c>
      <c r="D10" s="72"/>
      <c r="E10" s="72"/>
      <c r="F10" s="72"/>
      <c r="G10" s="76">
        <v>2</v>
      </c>
      <c r="I10" s="143" t="s">
        <v>17</v>
      </c>
      <c r="J10" s="143"/>
      <c r="K10" s="143"/>
      <c r="L10" s="143"/>
      <c r="M10" s="140"/>
      <c r="N10" s="141"/>
      <c r="O10" s="141"/>
      <c r="P10" s="141"/>
    </row>
    <row r="11" spans="2:16" x14ac:dyDescent="0.25">
      <c r="B11" s="65"/>
      <c r="C11" s="73" t="s">
        <v>123</v>
      </c>
      <c r="D11" s="72"/>
      <c r="E11" s="49">
        <f>SUM(Tbl_TiempoActividades[TIEMPO])</f>
        <v>4.3749999999999997E-2</v>
      </c>
      <c r="F11" s="75" t="s">
        <v>120</v>
      </c>
      <c r="G11" s="77">
        <f>E11*D5</f>
        <v>0.52499999999999991</v>
      </c>
      <c r="I11" s="67" t="s">
        <v>69</v>
      </c>
      <c r="J11" s="66">
        <v>1</v>
      </c>
      <c r="K11" s="67" t="s">
        <v>143</v>
      </c>
      <c r="L11" s="97">
        <f>G19</f>
        <v>4.1708333333333325</v>
      </c>
      <c r="M11" s="140">
        <f>PRODUCT(J11,L11,VLOOKUP(I12,Tbl_HorasHombre[],11,0),24)</f>
        <v>1386.8889756944443</v>
      </c>
      <c r="N11" s="141">
        <f t="shared" ref="N11" si="2">PRODUCT(M11,$O$8)</f>
        <v>693.44448784722215</v>
      </c>
      <c r="O11" s="141"/>
      <c r="P11" s="141">
        <f t="shared" ref="P11" si="3">SUM(M11,N11)</f>
        <v>2080.3334635416663</v>
      </c>
    </row>
    <row r="12" spans="2:16" x14ac:dyDescent="0.25">
      <c r="B12" s="65"/>
      <c r="C12" s="73" t="s">
        <v>124</v>
      </c>
      <c r="D12" s="72"/>
      <c r="E12" s="72"/>
      <c r="F12" s="72"/>
      <c r="G12" s="77">
        <f>G11*G9</f>
        <v>1.5749999999999997</v>
      </c>
      <c r="I12" s="143" t="s">
        <v>18</v>
      </c>
      <c r="J12" s="143"/>
      <c r="K12" s="143"/>
      <c r="L12" s="143"/>
      <c r="M12" s="140"/>
      <c r="N12" s="141"/>
      <c r="O12" s="141"/>
      <c r="P12" s="141"/>
    </row>
    <row r="13" spans="2:16" x14ac:dyDescent="0.25">
      <c r="B13" s="65"/>
      <c r="C13" s="73" t="s">
        <v>129</v>
      </c>
      <c r="D13" s="72"/>
      <c r="E13" s="49">
        <f>SUM(TIEMPOS!J3:J5)</f>
        <v>5.9027777777777776E-2</v>
      </c>
      <c r="F13" s="75" t="s">
        <v>120</v>
      </c>
      <c r="G13" s="77">
        <f>E13*G9</f>
        <v>0.17708333333333331</v>
      </c>
      <c r="I13" s="67" t="s">
        <v>69</v>
      </c>
      <c r="J13" s="66">
        <v>1</v>
      </c>
      <c r="K13" s="67" t="s">
        <v>143</v>
      </c>
      <c r="L13" s="66">
        <v>12</v>
      </c>
      <c r="M13" s="141">
        <f>PRODUCT(J13,L13,VLOOKUP(I14,Tbl_HorasHombre[],11,0))</f>
        <v>243.26041666666669</v>
      </c>
      <c r="N13" s="141">
        <f t="shared" ref="N13" si="4">PRODUCT(M13,$O$8)</f>
        <v>121.63020833333334</v>
      </c>
      <c r="O13" s="141"/>
      <c r="P13" s="141">
        <f t="shared" ref="P13" si="5">SUM(M13,N13)</f>
        <v>364.890625</v>
      </c>
    </row>
    <row r="14" spans="2:16" x14ac:dyDescent="0.25">
      <c r="B14" s="65"/>
      <c r="C14" s="73" t="s">
        <v>137</v>
      </c>
      <c r="D14" s="72"/>
      <c r="E14" s="74"/>
      <c r="F14" s="75"/>
      <c r="G14" s="77">
        <f>SUM(F26:F29)</f>
        <v>0.92500000000000004</v>
      </c>
      <c r="I14" s="143" t="s">
        <v>85</v>
      </c>
      <c r="J14" s="143"/>
      <c r="K14" s="143"/>
      <c r="L14" s="143"/>
      <c r="M14" s="141"/>
      <c r="N14" s="141"/>
      <c r="O14" s="141"/>
      <c r="P14" s="141"/>
    </row>
    <row r="15" spans="2:16" x14ac:dyDescent="0.25">
      <c r="B15" s="163" t="s">
        <v>136</v>
      </c>
      <c r="C15" s="164"/>
      <c r="D15" s="83"/>
      <c r="E15" s="83"/>
      <c r="F15" s="83"/>
      <c r="G15" s="101">
        <v>9</v>
      </c>
      <c r="I15" s="67" t="s">
        <v>69</v>
      </c>
      <c r="J15" s="66">
        <v>1</v>
      </c>
      <c r="K15" s="67" t="s">
        <v>143</v>
      </c>
      <c r="L15" s="66">
        <v>3</v>
      </c>
      <c r="M15" s="141">
        <f>PRODUCT(J15,L15,VLOOKUP(I16,Tbl_HorasHombre[],11,0))</f>
        <v>68.849999999999994</v>
      </c>
      <c r="N15" s="141">
        <f t="shared" ref="N15" si="6">PRODUCT(M15,$O$8)</f>
        <v>34.424999999999997</v>
      </c>
      <c r="O15" s="141"/>
      <c r="P15" s="141">
        <f t="shared" ref="P15" si="7">SUM(M15,N15)</f>
        <v>103.27499999999999</v>
      </c>
    </row>
    <row r="16" spans="2:16" x14ac:dyDescent="0.25">
      <c r="B16" s="65"/>
      <c r="C16" s="73" t="s">
        <v>131</v>
      </c>
      <c r="D16" s="72"/>
      <c r="E16" s="72"/>
      <c r="F16" s="72"/>
      <c r="G16" s="77">
        <f>TIEMPOS!J8*G15</f>
        <v>0.375</v>
      </c>
      <c r="I16" s="143" t="s">
        <v>3</v>
      </c>
      <c r="J16" s="143"/>
      <c r="K16" s="143"/>
      <c r="L16" s="143"/>
      <c r="M16" s="141"/>
      <c r="N16" s="141"/>
      <c r="O16" s="141"/>
      <c r="P16" s="141"/>
    </row>
    <row r="17" spans="2:16" x14ac:dyDescent="0.25">
      <c r="B17" s="65"/>
      <c r="C17" s="78" t="s">
        <v>176</v>
      </c>
      <c r="D17" s="79"/>
      <c r="E17" s="72"/>
      <c r="F17" s="79"/>
      <c r="G17" s="77">
        <f>SUM(F33:F52)</f>
        <v>0.58749999999999991</v>
      </c>
    </row>
    <row r="18" spans="2:16" x14ac:dyDescent="0.25">
      <c r="B18" s="65"/>
      <c r="C18" s="78" t="s">
        <v>129</v>
      </c>
      <c r="D18" s="79"/>
      <c r="E18" s="49">
        <f>SUM(Tbl_TiempoMuertos[TIEMPO])</f>
        <v>5.9027777777777776E-2</v>
      </c>
      <c r="F18" s="80" t="s">
        <v>120</v>
      </c>
      <c r="G18" s="49">
        <f>E18*G15</f>
        <v>0.53125</v>
      </c>
      <c r="I18" s="144" t="s">
        <v>68</v>
      </c>
      <c r="J18" s="145"/>
      <c r="K18" s="145"/>
      <c r="L18" s="146"/>
      <c r="M18" s="42">
        <f>SUM(M9:M16)</f>
        <v>2227.6394357638883</v>
      </c>
      <c r="N18" s="147">
        <f>+SUM(N9:O16)</f>
        <v>1113.8197178819441</v>
      </c>
      <c r="O18" s="147"/>
      <c r="P18" s="29">
        <f>SUM(P9:P16)</f>
        <v>3341.4591536458329</v>
      </c>
    </row>
    <row r="19" spans="2:16" x14ac:dyDescent="0.25">
      <c r="B19" s="163" t="s">
        <v>141</v>
      </c>
      <c r="C19" s="164"/>
      <c r="D19" s="83"/>
      <c r="E19" s="84"/>
      <c r="F19" s="85"/>
      <c r="G19" s="100">
        <f>SUM(G12:G14,G16:G18)</f>
        <v>4.1708333333333325</v>
      </c>
    </row>
    <row r="20" spans="2:16" x14ac:dyDescent="0.25">
      <c r="B20" s="165" t="s">
        <v>87</v>
      </c>
      <c r="C20" s="166"/>
      <c r="D20" s="72"/>
      <c r="E20" s="72"/>
      <c r="F20" s="72"/>
      <c r="G20" s="76">
        <v>2</v>
      </c>
      <c r="I20" s="68" t="s">
        <v>188</v>
      </c>
    </row>
    <row r="21" spans="2:16" x14ac:dyDescent="0.25">
      <c r="B21" s="165" t="s">
        <v>15</v>
      </c>
      <c r="C21" s="166"/>
      <c r="D21" s="72"/>
      <c r="E21" s="72"/>
      <c r="F21" s="72"/>
      <c r="G21" s="76">
        <v>1</v>
      </c>
      <c r="I21" s="154" t="s">
        <v>142</v>
      </c>
      <c r="J21" s="154"/>
      <c r="K21" s="154"/>
      <c r="L21" s="154"/>
      <c r="M21" s="86" t="s">
        <v>10</v>
      </c>
      <c r="N21" s="86" t="s">
        <v>11</v>
      </c>
      <c r="O21" s="87">
        <v>0.3</v>
      </c>
      <c r="P21" s="29" t="s">
        <v>12</v>
      </c>
    </row>
    <row r="22" spans="2:16" x14ac:dyDescent="0.25">
      <c r="B22" s="165" t="s">
        <v>16</v>
      </c>
      <c r="C22" s="166"/>
      <c r="D22" s="72"/>
      <c r="E22" s="72"/>
      <c r="F22" s="72"/>
      <c r="G22" s="76">
        <v>1</v>
      </c>
      <c r="I22" s="89" t="s">
        <v>69</v>
      </c>
      <c r="J22" s="88"/>
      <c r="K22" s="66">
        <f>VLOOKUP(I23,RepuestosAño7,3,0)</f>
        <v>24</v>
      </c>
      <c r="L22" s="67" t="s">
        <v>1</v>
      </c>
      <c r="M22" s="140">
        <f>PRODUCT(K22,VLOOKUP(I23,Tbl_Repuestos[],4,0))</f>
        <v>1764</v>
      </c>
      <c r="N22" s="141">
        <f>PRODUCT(M22,$O$21)</f>
        <v>529.19999999999993</v>
      </c>
      <c r="O22" s="141"/>
      <c r="P22" s="141">
        <f>SUM(M22,N22)</f>
        <v>2293.1999999999998</v>
      </c>
    </row>
    <row r="23" spans="2:16" x14ac:dyDescent="0.25">
      <c r="C23" s="6"/>
      <c r="D23" s="6"/>
      <c r="E23" s="6"/>
      <c r="F23" s="6"/>
      <c r="G23" s="13"/>
      <c r="I23" s="171" t="str">
        <f>C26</f>
        <v>Solenoide de traba</v>
      </c>
      <c r="J23" s="171"/>
      <c r="K23" s="171"/>
      <c r="L23" s="171"/>
      <c r="M23" s="140"/>
      <c r="N23" s="141"/>
      <c r="O23" s="141"/>
      <c r="P23" s="141"/>
    </row>
    <row r="24" spans="2:16" ht="15.75" x14ac:dyDescent="0.25">
      <c r="C24" s="137" t="s">
        <v>187</v>
      </c>
      <c r="D24" s="137"/>
      <c r="E24" s="137"/>
      <c r="F24" s="137"/>
      <c r="G24" s="137"/>
      <c r="I24" s="89" t="s">
        <v>69</v>
      </c>
      <c r="J24" s="88"/>
      <c r="K24" s="66">
        <f>VLOOKUP(I25,RepuestosAño7,3,0)</f>
        <v>12</v>
      </c>
      <c r="L24" s="67" t="s">
        <v>1</v>
      </c>
      <c r="M24" s="140">
        <f>PRODUCT(K24,VLOOKUP(I25,Tbl_Repuestos[],4,0))</f>
        <v>1080</v>
      </c>
      <c r="N24" s="141">
        <f t="shared" ref="N24" si="8">PRODUCT(M24,$O$21)</f>
        <v>324</v>
      </c>
      <c r="O24" s="141"/>
      <c r="P24" s="141">
        <f t="shared" ref="P24" si="9">SUM(M24,N24)</f>
        <v>1404</v>
      </c>
    </row>
    <row r="25" spans="2:16" ht="22.5" x14ac:dyDescent="0.25">
      <c r="C25" s="53" t="s">
        <v>132</v>
      </c>
      <c r="D25" s="61" t="s">
        <v>20</v>
      </c>
      <c r="E25" s="60" t="s">
        <v>21</v>
      </c>
      <c r="F25" s="56" t="s">
        <v>86</v>
      </c>
      <c r="G25" s="56" t="s">
        <v>87</v>
      </c>
      <c r="I25" s="171" t="str">
        <f>C27</f>
        <v>Cable Flat</v>
      </c>
      <c r="J25" s="171"/>
      <c r="K25" s="171"/>
      <c r="L25" s="171"/>
      <c r="M25" s="140"/>
      <c r="N25" s="141"/>
      <c r="O25" s="141"/>
      <c r="P25" s="141"/>
    </row>
    <row r="26" spans="2:16" x14ac:dyDescent="0.25">
      <c r="C26" s="135" t="s">
        <v>4</v>
      </c>
      <c r="D26" s="51">
        <f>VLOOKUP(C26,Tbl_Repuestos[],5,0)</f>
        <v>2</v>
      </c>
      <c r="E26" s="12">
        <f>D26*$D$5</f>
        <v>24</v>
      </c>
      <c r="F26" s="123">
        <f>PRODUCT(E26*G26*(VLOOKUP(C26,Tbl_TiempoRespuestos[],2,0)))</f>
        <v>0.16666666666666666</v>
      </c>
      <c r="G26" s="12">
        <f>VLOOKUP(C26,Tbl_TiempoRespuestos[],3,0)</f>
        <v>1</v>
      </c>
      <c r="I26" s="89" t="s">
        <v>69</v>
      </c>
      <c r="J26" s="88"/>
      <c r="K26" s="66">
        <f>VLOOKUP(I27,RepuestosAño7,3,0)</f>
        <v>24</v>
      </c>
      <c r="L26" s="67" t="s">
        <v>1</v>
      </c>
      <c r="M26" s="140">
        <f>PRODUCT(K26,VLOOKUP(I27,Tbl_Repuestos[],4,0))</f>
        <v>600</v>
      </c>
      <c r="N26" s="141">
        <f t="shared" ref="N26" si="10">PRODUCT(M26,$O$21)</f>
        <v>180</v>
      </c>
      <c r="O26" s="141"/>
      <c r="P26" s="141">
        <f t="shared" ref="P26" si="11">SUM(M26,N26)</f>
        <v>780</v>
      </c>
    </row>
    <row r="27" spans="2:16" x14ac:dyDescent="0.25">
      <c r="C27" s="135" t="s">
        <v>202</v>
      </c>
      <c r="D27" s="51">
        <f>VLOOKUP(C27,Tbl_Repuestos[],5,0)</f>
        <v>1</v>
      </c>
      <c r="E27" s="12">
        <f t="shared" ref="E27:E29" si="12">D27*$D$5</f>
        <v>12</v>
      </c>
      <c r="F27" s="123">
        <f>PRODUCT(E27*G27*(VLOOKUP(C27,Tbl_TiempoRespuestos[],2,0)))</f>
        <v>0.375</v>
      </c>
      <c r="G27" s="12">
        <f>VLOOKUP(C27,Tbl_TiempoRespuestos[],3,0)</f>
        <v>1</v>
      </c>
      <c r="I27" s="171" t="str">
        <f>C28</f>
        <v>Protector de puerta (microporoso)</v>
      </c>
      <c r="J27" s="171"/>
      <c r="K27" s="171"/>
      <c r="L27" s="171"/>
      <c r="M27" s="140"/>
      <c r="N27" s="141"/>
      <c r="O27" s="141"/>
      <c r="P27" s="141"/>
    </row>
    <row r="28" spans="2:16" x14ac:dyDescent="0.25">
      <c r="C28" s="135" t="s">
        <v>201</v>
      </c>
      <c r="D28" s="51">
        <f>VLOOKUP(C28,Tbl_Repuestos[],5,0)</f>
        <v>2</v>
      </c>
      <c r="E28" s="12">
        <f t="shared" si="12"/>
        <v>24</v>
      </c>
      <c r="F28" s="123">
        <f>PRODUCT(E28*G28*(VLOOKUP(C28,Tbl_TiempoRespuestos[],2,0)))</f>
        <v>0.38333333333333341</v>
      </c>
      <c r="G28" s="12">
        <f>VLOOKUP(C28,Tbl_TiempoRespuestos[],3,0)</f>
        <v>1</v>
      </c>
      <c r="I28" s="89" t="s">
        <v>69</v>
      </c>
      <c r="J28" s="88"/>
      <c r="K28" s="66">
        <f>VLOOKUP(I29,RepuestosAño7,3,0)</f>
        <v>0</v>
      </c>
      <c r="L28" s="67" t="s">
        <v>1</v>
      </c>
      <c r="M28" s="140">
        <f>PRODUCT(K28,VLOOKUP(I29,Tbl_Repuestos[],4,0))</f>
        <v>0</v>
      </c>
      <c r="N28" s="141">
        <f t="shared" ref="N28" si="13">PRODUCT(M28,$O$21)</f>
        <v>0</v>
      </c>
      <c r="O28" s="141"/>
      <c r="P28" s="141">
        <f t="shared" ref="P28" si="14">SUM(M28,N28)</f>
        <v>0</v>
      </c>
    </row>
    <row r="29" spans="2:16" x14ac:dyDescent="0.25">
      <c r="C29" s="52" t="s">
        <v>178</v>
      </c>
      <c r="D29" s="51">
        <f>VLOOKUP(C29,Tbl_Repuestos[],5,0)</f>
        <v>0</v>
      </c>
      <c r="E29" s="12">
        <f t="shared" si="12"/>
        <v>0</v>
      </c>
      <c r="F29" s="123">
        <f>PRODUCT(E29*G29*(VLOOKUP(C29,Tbl_TiempoRespuestos[],2,0)))</f>
        <v>0</v>
      </c>
      <c r="G29" s="12">
        <f>VLOOKUP(C29,Tbl_TiempoRespuestos[],3,0)</f>
        <v>0</v>
      </c>
      <c r="I29" s="172" t="str">
        <f>C29</f>
        <v>Seleccionar repuesto…</v>
      </c>
      <c r="J29" s="172"/>
      <c r="K29" s="172"/>
      <c r="L29" s="172"/>
      <c r="M29" s="140"/>
      <c r="N29" s="141"/>
      <c r="O29" s="141"/>
      <c r="P29" s="141"/>
    </row>
    <row r="30" spans="2:16" x14ac:dyDescent="0.25">
      <c r="C30" s="57"/>
      <c r="D30" s="58"/>
      <c r="E30" s="59"/>
      <c r="F30" s="59"/>
      <c r="G30" s="59"/>
    </row>
    <row r="31" spans="2:16" ht="15.75" x14ac:dyDescent="0.25">
      <c r="C31" s="137" t="s">
        <v>138</v>
      </c>
      <c r="D31" s="137"/>
      <c r="E31" s="137"/>
      <c r="F31" s="137"/>
      <c r="G31" s="137"/>
      <c r="I31" s="144" t="s">
        <v>189</v>
      </c>
      <c r="J31" s="145"/>
      <c r="K31" s="145"/>
      <c r="L31" s="146"/>
      <c r="M31" s="42">
        <f>SUM(M22:M29)</f>
        <v>3444</v>
      </c>
      <c r="N31" s="147">
        <f>+SUM(N22:O29)</f>
        <v>1033.1999999999998</v>
      </c>
      <c r="O31" s="147"/>
      <c r="P31" s="29">
        <f>SUM(P22:P29)</f>
        <v>4477.2</v>
      </c>
    </row>
    <row r="32" spans="2:16" x14ac:dyDescent="0.25">
      <c r="C32" s="53" t="s">
        <v>132</v>
      </c>
      <c r="D32" s="54" t="s">
        <v>133</v>
      </c>
      <c r="E32" s="55" t="s">
        <v>134</v>
      </c>
      <c r="F32" s="56" t="s">
        <v>86</v>
      </c>
      <c r="G32" s="56" t="s">
        <v>87</v>
      </c>
    </row>
    <row r="33" spans="2:16" x14ac:dyDescent="0.25">
      <c r="B33" s="118">
        <v>2</v>
      </c>
      <c r="C33" s="52" t="s">
        <v>52</v>
      </c>
      <c r="D33" s="129">
        <f>B33-(SUM(D74:G74))</f>
        <v>2</v>
      </c>
      <c r="E33" s="12" t="s">
        <v>1</v>
      </c>
      <c r="F33" s="49">
        <f>PRODUCT(D33*(VLOOKUP(C33,Tbl_TiempoRespuestos[],2,0))*G33)</f>
        <v>0.1111111111111111</v>
      </c>
      <c r="G33" s="12">
        <f>VLOOKUP(C33,Tbl_TiempoRespuestos[],3,0)</f>
        <v>2</v>
      </c>
      <c r="I33" s="152" t="s">
        <v>150</v>
      </c>
      <c r="J33" s="153"/>
      <c r="K33" s="153"/>
      <c r="L33" s="153"/>
    </row>
    <row r="34" spans="2:16" x14ac:dyDescent="0.25">
      <c r="B34" s="118">
        <v>3</v>
      </c>
      <c r="C34" s="52" t="s">
        <v>88</v>
      </c>
      <c r="D34" s="129">
        <f t="shared" ref="D34:D52" si="15">B34-(SUM(D75:G75))</f>
        <v>3</v>
      </c>
      <c r="E34" s="12" t="s">
        <v>1</v>
      </c>
      <c r="F34" s="49">
        <f>PRODUCT(D34*(VLOOKUP(C34,Tbl_TiempoRespuestos[],2,0))*G34)</f>
        <v>0.25</v>
      </c>
      <c r="G34" s="12">
        <f>VLOOKUP(C34,Tbl_TiempoRespuestos[],3,0)</f>
        <v>2</v>
      </c>
      <c r="I34" s="154" t="s">
        <v>142</v>
      </c>
      <c r="J34" s="154"/>
      <c r="K34" s="154"/>
      <c r="L34" s="154"/>
      <c r="M34" s="86" t="s">
        <v>10</v>
      </c>
      <c r="N34" s="86" t="s">
        <v>11</v>
      </c>
      <c r="O34" s="87">
        <v>0.3</v>
      </c>
      <c r="P34" s="29" t="s">
        <v>12</v>
      </c>
    </row>
    <row r="35" spans="2:16" x14ac:dyDescent="0.25">
      <c r="B35" s="118">
        <v>1</v>
      </c>
      <c r="C35" s="52" t="s">
        <v>53</v>
      </c>
      <c r="D35" s="129">
        <f t="shared" si="15"/>
        <v>1</v>
      </c>
      <c r="E35" s="12" t="s">
        <v>1</v>
      </c>
      <c r="F35" s="49">
        <f>PRODUCT(D35*(VLOOKUP(C35,Tbl_TiempoRespuestos[],2,0))*G35)</f>
        <v>6.9444444444444441E-3</v>
      </c>
      <c r="G35" s="12">
        <f>VLOOKUP(C35,Tbl_TiempoRespuestos[],3,0)</f>
        <v>1</v>
      </c>
      <c r="I35" s="138" t="s">
        <v>69</v>
      </c>
      <c r="J35" s="139"/>
      <c r="K35" s="66">
        <f>VLOOKUP(I36,RepuestosGarantiaAño7,2,0)</f>
        <v>2</v>
      </c>
      <c r="L35" s="67" t="s">
        <v>1</v>
      </c>
      <c r="M35" s="140">
        <f>PRODUCT(K35,VLOOKUP(I36,Tbl_Repuestos[],4,0))</f>
        <v>245</v>
      </c>
      <c r="N35" s="141">
        <f>PRODUCT(M35,$O$34)</f>
        <v>73.5</v>
      </c>
      <c r="O35" s="141"/>
      <c r="P35" s="141">
        <f>SUM(M35,N35)</f>
        <v>318.5</v>
      </c>
    </row>
    <row r="36" spans="2:16" x14ac:dyDescent="0.25">
      <c r="B36" s="118">
        <v>1</v>
      </c>
      <c r="C36" s="52" t="s">
        <v>167</v>
      </c>
      <c r="D36" s="129">
        <f t="shared" si="15"/>
        <v>1</v>
      </c>
      <c r="E36" s="12" t="s">
        <v>1</v>
      </c>
      <c r="F36" s="49">
        <f>PRODUCT(D36*(VLOOKUP(C36,Tbl_TiempoRespuestos[],2,0))*G36)</f>
        <v>2.0833333333333332E-2</v>
      </c>
      <c r="G36" s="12">
        <f>VLOOKUP(C36,Tbl_TiempoRespuestos[],3,0)</f>
        <v>1</v>
      </c>
      <c r="I36" s="143" t="str">
        <f>C33</f>
        <v xml:space="preserve">Bomba hidráulica </v>
      </c>
      <c r="J36" s="143"/>
      <c r="K36" s="143"/>
      <c r="L36" s="143"/>
      <c r="M36" s="140"/>
      <c r="N36" s="141"/>
      <c r="O36" s="141"/>
      <c r="P36" s="141"/>
    </row>
    <row r="37" spans="2:16" x14ac:dyDescent="0.25">
      <c r="B37" s="118">
        <v>1</v>
      </c>
      <c r="C37" s="52" t="s">
        <v>5</v>
      </c>
      <c r="D37" s="129">
        <f t="shared" si="15"/>
        <v>1</v>
      </c>
      <c r="E37" s="12" t="s">
        <v>1</v>
      </c>
      <c r="F37" s="49">
        <f>PRODUCT(D37*(VLOOKUP(C37,Tbl_TiempoRespuestos[],2,0))*G37)</f>
        <v>1.0416666666666666E-2</v>
      </c>
      <c r="G37" s="12">
        <f>VLOOKUP(C37,Tbl_TiempoRespuestos[],3,0)</f>
        <v>1</v>
      </c>
      <c r="I37" s="138" t="s">
        <v>69</v>
      </c>
      <c r="J37" s="139"/>
      <c r="K37" s="66">
        <f>VLOOKUP(I38,RepuestosGarantiaAño7,2,0)</f>
        <v>3</v>
      </c>
      <c r="L37" s="67" t="s">
        <v>1</v>
      </c>
      <c r="M37" s="140">
        <f>PRODUCT(K37,VLOOKUP(I38,Tbl_Repuestos[],4,0))</f>
        <v>675</v>
      </c>
      <c r="N37" s="141">
        <f t="shared" ref="N37" si="16">PRODUCT(M37,$O$34)</f>
        <v>202.5</v>
      </c>
      <c r="O37" s="141"/>
      <c r="P37" s="141">
        <f t="shared" ref="P37" si="17">SUM(M37,N37)</f>
        <v>877.5</v>
      </c>
    </row>
    <row r="38" spans="2:16" x14ac:dyDescent="0.25">
      <c r="B38" s="118">
        <v>0</v>
      </c>
      <c r="C38" s="52" t="s">
        <v>55</v>
      </c>
      <c r="D38" s="129">
        <f t="shared" si="15"/>
        <v>0</v>
      </c>
      <c r="E38" s="12" t="s">
        <v>1</v>
      </c>
      <c r="F38" s="49">
        <f>PRODUCT(D38*(VLOOKUP(C38,Tbl_TiempoRespuestos[],2,0))*G38)</f>
        <v>0</v>
      </c>
      <c r="G38" s="12">
        <f>VLOOKUP(C38,Tbl_TiempoRespuestos[],3,0)</f>
        <v>1</v>
      </c>
      <c r="I38" s="143" t="str">
        <f>C34</f>
        <v>Cilindro hidráulico (kit de reten y oring)</v>
      </c>
      <c r="J38" s="143"/>
      <c r="K38" s="143"/>
      <c r="L38" s="143"/>
      <c r="M38" s="140"/>
      <c r="N38" s="141"/>
      <c r="O38" s="141"/>
      <c r="P38" s="141"/>
    </row>
    <row r="39" spans="2:16" x14ac:dyDescent="0.25">
      <c r="B39" s="118">
        <v>1</v>
      </c>
      <c r="C39" s="52" t="s">
        <v>89</v>
      </c>
      <c r="D39" s="129">
        <f t="shared" si="15"/>
        <v>1</v>
      </c>
      <c r="E39" s="12" t="s">
        <v>1</v>
      </c>
      <c r="F39" s="49">
        <f>PRODUCT(D39*(VLOOKUP(C39,Tbl_TiempoRespuestos[],2,0))*G39)</f>
        <v>1.3888888888888888E-2</v>
      </c>
      <c r="G39" s="12">
        <f>VLOOKUP(C39,Tbl_TiempoRespuestos[],3,0)</f>
        <v>1</v>
      </c>
      <c r="I39" s="138" t="s">
        <v>69</v>
      </c>
      <c r="J39" s="139"/>
      <c r="K39" s="66">
        <f>VLOOKUP(I40,RepuestosGarantiaAño7,2,0)</f>
        <v>1</v>
      </c>
      <c r="L39" s="67" t="s">
        <v>1</v>
      </c>
      <c r="M39" s="140">
        <f>PRODUCT(K39,VLOOKUP(I40,Tbl_Repuestos[],4,0))</f>
        <v>60</v>
      </c>
      <c r="N39" s="141">
        <f t="shared" ref="N39" si="18">PRODUCT(M39,$O$34)</f>
        <v>18</v>
      </c>
      <c r="O39" s="141"/>
      <c r="P39" s="141">
        <f t="shared" ref="P39" si="19">SUM(M39,N39)</f>
        <v>78</v>
      </c>
    </row>
    <row r="40" spans="2:16" x14ac:dyDescent="0.25">
      <c r="B40" s="118">
        <v>1</v>
      </c>
      <c r="C40" s="52" t="s">
        <v>90</v>
      </c>
      <c r="D40" s="129">
        <f t="shared" si="15"/>
        <v>1</v>
      </c>
      <c r="E40" s="12" t="s">
        <v>1</v>
      </c>
      <c r="F40" s="49">
        <f>PRODUCT(D40*(VLOOKUP(C40,Tbl_TiempoRespuestos[],2,0))*G40)</f>
        <v>1.3888888888888888E-2</v>
      </c>
      <c r="G40" s="12">
        <f>VLOOKUP(C40,Tbl_TiempoRespuestos[],3,0)</f>
        <v>1</v>
      </c>
      <c r="I40" s="143" t="str">
        <f>C35</f>
        <v xml:space="preserve">Contactor </v>
      </c>
      <c r="J40" s="143"/>
      <c r="K40" s="143"/>
      <c r="L40" s="143"/>
      <c r="M40" s="140"/>
      <c r="N40" s="141"/>
      <c r="O40" s="141"/>
      <c r="P40" s="141"/>
    </row>
    <row r="41" spans="2:16" x14ac:dyDescent="0.25">
      <c r="B41" s="118">
        <v>1</v>
      </c>
      <c r="C41" s="52" t="s">
        <v>91</v>
      </c>
      <c r="D41" s="129">
        <f t="shared" si="15"/>
        <v>1</v>
      </c>
      <c r="E41" s="12" t="s">
        <v>1</v>
      </c>
      <c r="F41" s="49">
        <f>PRODUCT(D41*(VLOOKUP(C41,Tbl_TiempoRespuestos[],2,0))*G41)</f>
        <v>1.3888888888888888E-2</v>
      </c>
      <c r="G41" s="12">
        <f>VLOOKUP(C41,Tbl_TiempoRespuestos[],3,0)</f>
        <v>1</v>
      </c>
      <c r="I41" s="138" t="s">
        <v>69</v>
      </c>
      <c r="J41" s="139"/>
      <c r="K41" s="113">
        <f>VLOOKUP(I42,RepuestosGarantiaAño7,2,0)</f>
        <v>1</v>
      </c>
      <c r="L41" s="67" t="s">
        <v>1</v>
      </c>
      <c r="M41" s="140">
        <f>PRODUCT(K41,VLOOKUP(I42,Tbl_Repuestos[],4,0))</f>
        <v>80</v>
      </c>
      <c r="N41" s="141">
        <f t="shared" ref="N41" si="20">PRODUCT(M41,$O$34)</f>
        <v>24</v>
      </c>
      <c r="O41" s="141"/>
      <c r="P41" s="141">
        <f t="shared" ref="P41" si="21">SUM(M41,N41)</f>
        <v>104</v>
      </c>
    </row>
    <row r="42" spans="2:16" x14ac:dyDescent="0.25">
      <c r="B42" s="118">
        <v>4</v>
      </c>
      <c r="C42" s="52" t="s">
        <v>179</v>
      </c>
      <c r="D42" s="129">
        <f t="shared" si="15"/>
        <v>4</v>
      </c>
      <c r="E42" s="12" t="s">
        <v>1</v>
      </c>
      <c r="F42" s="49">
        <f>PRODUCT(D42*(VLOOKUP(C42,Tbl_TiempoRespuestos[],2,0))*G42)</f>
        <v>4.1666666666666664E-2</v>
      </c>
      <c r="G42" s="12">
        <f>VLOOKUP(C42,Tbl_TiempoRespuestos[],3,0)</f>
        <v>1</v>
      </c>
      <c r="I42" s="143" t="str">
        <f>C36</f>
        <v>Condensador de trabajo</v>
      </c>
      <c r="J42" s="143"/>
      <c r="K42" s="143"/>
      <c r="L42" s="143"/>
      <c r="M42" s="140"/>
      <c r="N42" s="141"/>
      <c r="O42" s="141"/>
      <c r="P42" s="141"/>
    </row>
    <row r="43" spans="2:16" x14ac:dyDescent="0.25">
      <c r="B43" s="118">
        <v>1</v>
      </c>
      <c r="C43" s="52" t="s">
        <v>96</v>
      </c>
      <c r="D43" s="129">
        <f t="shared" si="15"/>
        <v>1</v>
      </c>
      <c r="E43" s="12" t="s">
        <v>1</v>
      </c>
      <c r="F43" s="49">
        <f>PRODUCT(D43*(VLOOKUP(C43,Tbl_TiempoRespuestos[],2,0))*G43)</f>
        <v>5.5555555555555552E-2</v>
      </c>
      <c r="G43" s="12">
        <f>VLOOKUP(C43,Tbl_TiempoRespuestos[],3,0)</f>
        <v>2</v>
      </c>
      <c r="I43" s="138" t="s">
        <v>69</v>
      </c>
      <c r="J43" s="139"/>
      <c r="K43" s="113">
        <f>VLOOKUP(I44,RepuestosGarantiaAño7,2,0)</f>
        <v>1</v>
      </c>
      <c r="L43" s="67" t="s">
        <v>1</v>
      </c>
      <c r="M43" s="140">
        <f>PRODUCT(K43,VLOOKUP(I44,Tbl_Repuestos[],4,0))</f>
        <v>196</v>
      </c>
      <c r="N43" s="141">
        <f t="shared" ref="N43" si="22">PRODUCT(M43,$O$34)</f>
        <v>58.8</v>
      </c>
      <c r="O43" s="141"/>
      <c r="P43" s="141">
        <f t="shared" ref="P43" si="23">SUM(M43,N43)</f>
        <v>254.8</v>
      </c>
    </row>
    <row r="44" spans="2:16" x14ac:dyDescent="0.25">
      <c r="B44" s="118">
        <v>0</v>
      </c>
      <c r="C44" s="52" t="s">
        <v>93</v>
      </c>
      <c r="D44" s="129">
        <f t="shared" si="15"/>
        <v>0</v>
      </c>
      <c r="E44" s="12" t="s">
        <v>1</v>
      </c>
      <c r="F44" s="49">
        <f>PRODUCT(D44*(VLOOKUP(C44,Tbl_TiempoRespuestos[],2,0))*G44)</f>
        <v>0</v>
      </c>
      <c r="G44" s="12">
        <f>VLOOKUP(C44,Tbl_TiempoRespuestos[],3,0)</f>
        <v>1</v>
      </c>
      <c r="I44" s="143" t="str">
        <f>C37</f>
        <v>Electrovalvula</v>
      </c>
      <c r="J44" s="143"/>
      <c r="K44" s="143"/>
      <c r="L44" s="143"/>
      <c r="M44" s="140"/>
      <c r="N44" s="141"/>
      <c r="O44" s="141"/>
      <c r="P44" s="141"/>
    </row>
    <row r="45" spans="2:16" x14ac:dyDescent="0.25">
      <c r="B45" s="118">
        <v>0</v>
      </c>
      <c r="C45" s="52" t="s">
        <v>60</v>
      </c>
      <c r="D45" s="129">
        <f t="shared" si="15"/>
        <v>0</v>
      </c>
      <c r="E45" s="12" t="s">
        <v>1</v>
      </c>
      <c r="F45" s="49">
        <f>PRODUCT(D45*(VLOOKUP(C45,Tbl_TiempoRespuestos[],2,0))*G45)</f>
        <v>0</v>
      </c>
      <c r="G45" s="12">
        <f>VLOOKUP(C45,Tbl_TiempoRespuestos[],3,0)</f>
        <v>1</v>
      </c>
      <c r="I45" s="138" t="s">
        <v>69</v>
      </c>
      <c r="J45" s="139"/>
      <c r="K45" s="113">
        <f>VLOOKUP(I46,RepuestosGarantiaAño7,2,0)</f>
        <v>0</v>
      </c>
      <c r="L45" s="67" t="s">
        <v>1</v>
      </c>
      <c r="M45" s="140">
        <f>PRODUCT(K45,VLOOKUP(I46,Tbl_Repuestos[],4,0))</f>
        <v>0</v>
      </c>
      <c r="N45" s="141">
        <f t="shared" ref="N45" si="24">PRODUCT(M45,$O$34)</f>
        <v>0</v>
      </c>
      <c r="O45" s="141"/>
      <c r="P45" s="141">
        <f t="shared" ref="P45" si="25">SUM(M45,N45)</f>
        <v>0</v>
      </c>
    </row>
    <row r="46" spans="2:16" x14ac:dyDescent="0.25">
      <c r="B46" s="118">
        <v>1</v>
      </c>
      <c r="C46" s="52" t="s">
        <v>61</v>
      </c>
      <c r="D46" s="129">
        <f t="shared" si="15"/>
        <v>1</v>
      </c>
      <c r="E46" s="12" t="s">
        <v>1</v>
      </c>
      <c r="F46" s="49">
        <f>PRODUCT(D46*(VLOOKUP(C46,Tbl_TiempoRespuestos[],2,0))*G46)</f>
        <v>3.472222222222222E-3</v>
      </c>
      <c r="G46" s="12">
        <f>VLOOKUP(C46,Tbl_TiempoRespuestos[],3,0)</f>
        <v>1</v>
      </c>
      <c r="I46" s="143" t="str">
        <f>C38</f>
        <v xml:space="preserve">Interruptor pulsador de emergencia </v>
      </c>
      <c r="J46" s="143"/>
      <c r="K46" s="143"/>
      <c r="L46" s="143"/>
      <c r="M46" s="140"/>
      <c r="N46" s="141"/>
      <c r="O46" s="141"/>
      <c r="P46" s="141"/>
    </row>
    <row r="47" spans="2:16" x14ac:dyDescent="0.25">
      <c r="B47" s="118">
        <v>0</v>
      </c>
      <c r="C47" s="52" t="s">
        <v>62</v>
      </c>
      <c r="D47" s="129">
        <f t="shared" si="15"/>
        <v>0</v>
      </c>
      <c r="E47" s="12" t="s">
        <v>1</v>
      </c>
      <c r="F47" s="49">
        <f>PRODUCT(D47*(VLOOKUP(C47,Tbl_TiempoRespuestos[],2,0))*G47)</f>
        <v>0</v>
      </c>
      <c r="G47" s="12">
        <f>VLOOKUP(C47,Tbl_TiempoRespuestos[],3,0)</f>
        <v>1</v>
      </c>
      <c r="I47" s="138" t="s">
        <v>69</v>
      </c>
      <c r="J47" s="139"/>
      <c r="K47" s="66">
        <f>VLOOKUP(I48,RepuestosGarantiaAño7,2,0)</f>
        <v>1</v>
      </c>
      <c r="L47" s="67" t="s">
        <v>1</v>
      </c>
      <c r="M47" s="140">
        <f>PRODUCT(K47,VLOOKUP(I48,Tbl_Repuestos[],4,0))</f>
        <v>30</v>
      </c>
      <c r="N47" s="141">
        <f t="shared" ref="N47" si="26">PRODUCT(M47,$O$34)</f>
        <v>9</v>
      </c>
      <c r="O47" s="141"/>
      <c r="P47" s="141">
        <f t="shared" ref="P47" si="27">SUM(M47,N47)</f>
        <v>39</v>
      </c>
    </row>
    <row r="48" spans="2:16" x14ac:dyDescent="0.25">
      <c r="B48" s="118">
        <v>0</v>
      </c>
      <c r="C48" s="52" t="s">
        <v>94</v>
      </c>
      <c r="D48" s="129">
        <f t="shared" si="15"/>
        <v>0</v>
      </c>
      <c r="E48" s="12" t="s">
        <v>1</v>
      </c>
      <c r="F48" s="49">
        <f>PRODUCT(D48*(VLOOKUP(C48,Tbl_TiempoRespuestos[],2,0))*G48)</f>
        <v>0</v>
      </c>
      <c r="G48" s="12">
        <f>VLOOKUP(C48,Tbl_TiempoRespuestos[],3,0)</f>
        <v>1</v>
      </c>
      <c r="I48" s="143" t="str">
        <f>C39</f>
        <v>Final de carrera superior</v>
      </c>
      <c r="J48" s="143"/>
      <c r="K48" s="143"/>
      <c r="L48" s="143"/>
      <c r="M48" s="140"/>
      <c r="N48" s="141"/>
      <c r="O48" s="141"/>
      <c r="P48" s="141"/>
    </row>
    <row r="49" spans="2:16" x14ac:dyDescent="0.25">
      <c r="B49" s="118">
        <v>2</v>
      </c>
      <c r="C49" s="52" t="s">
        <v>135</v>
      </c>
      <c r="D49" s="129">
        <f t="shared" si="15"/>
        <v>2</v>
      </c>
      <c r="E49" s="12" t="s">
        <v>1</v>
      </c>
      <c r="F49" s="49">
        <f>PRODUCT(D49*(VLOOKUP(C49,Tbl_TiempoRespuestos[],2,0))*G49)</f>
        <v>2.7777777777777776E-2</v>
      </c>
      <c r="G49" s="12">
        <f>VLOOKUP(C49,Tbl_TiempoRespuestos[],3,0)</f>
        <v>1</v>
      </c>
      <c r="I49" s="138" t="s">
        <v>69</v>
      </c>
      <c r="J49" s="139"/>
      <c r="K49" s="66">
        <f>VLOOKUP(I50,RepuestosGarantiaAño7,2,0)</f>
        <v>1</v>
      </c>
      <c r="L49" s="67" t="s">
        <v>1</v>
      </c>
      <c r="M49" s="140">
        <f>PRODUCT(K49,VLOOKUP(I50,Tbl_Repuestos[],4,0))</f>
        <v>30</v>
      </c>
      <c r="N49" s="141">
        <f t="shared" ref="N49" si="28">PRODUCT(M49,$O$34)</f>
        <v>9</v>
      </c>
      <c r="O49" s="141"/>
      <c r="P49" s="141">
        <f t="shared" ref="P49" si="29">SUM(M49,N49)</f>
        <v>39</v>
      </c>
    </row>
    <row r="50" spans="2:16" x14ac:dyDescent="0.25">
      <c r="B50" s="118">
        <v>2</v>
      </c>
      <c r="C50" s="52" t="s">
        <v>64</v>
      </c>
      <c r="D50" s="129">
        <f t="shared" si="15"/>
        <v>2</v>
      </c>
      <c r="E50" s="12" t="s">
        <v>1</v>
      </c>
      <c r="F50" s="49">
        <f>PRODUCT(D50*(VLOOKUP(C50,Tbl_TiempoRespuestos[],2,0))*G50)</f>
        <v>1.1111111111111112E-2</v>
      </c>
      <c r="G50" s="12">
        <f>VLOOKUP(C50,Tbl_TiempoRespuestos[],3,0)</f>
        <v>1</v>
      </c>
      <c r="I50" s="143" t="str">
        <f>C40</f>
        <v>Final de carrera inferior</v>
      </c>
      <c r="J50" s="143"/>
      <c r="K50" s="143"/>
      <c r="L50" s="143"/>
      <c r="M50" s="140"/>
      <c r="N50" s="141"/>
      <c r="O50" s="141"/>
      <c r="P50" s="141"/>
    </row>
    <row r="51" spans="2:16" x14ac:dyDescent="0.25">
      <c r="B51" s="118">
        <v>0</v>
      </c>
      <c r="C51" s="52" t="s">
        <v>4</v>
      </c>
      <c r="D51" s="129">
        <f t="shared" si="15"/>
        <v>0</v>
      </c>
      <c r="E51" s="12" t="s">
        <v>1</v>
      </c>
      <c r="F51" s="49">
        <f>PRODUCT(D51*(VLOOKUP(C51,Tbl_TiempoRespuestos[],2,0))*G51)</f>
        <v>0</v>
      </c>
      <c r="G51" s="12">
        <f>VLOOKUP(C51,Tbl_TiempoRespuestos[],3,0)</f>
        <v>1</v>
      </c>
      <c r="I51" s="138" t="s">
        <v>69</v>
      </c>
      <c r="J51" s="139"/>
      <c r="K51" s="66">
        <f>VLOOKUP(I52,RepuestosGarantiaAño7,2,0)</f>
        <v>1</v>
      </c>
      <c r="L51" s="67" t="s">
        <v>1</v>
      </c>
      <c r="M51" s="140">
        <f>PRODUCT(K51,VLOOKUP(I52,Tbl_Repuestos[],4,0))</f>
        <v>30</v>
      </c>
      <c r="N51" s="141">
        <f t="shared" ref="N51" si="30">PRODUCT(M51,$O$34)</f>
        <v>9</v>
      </c>
      <c r="O51" s="141"/>
      <c r="P51" s="141">
        <f t="shared" ref="P51" si="31">SUM(M51,N51)</f>
        <v>39</v>
      </c>
    </row>
    <row r="52" spans="2:16" x14ac:dyDescent="0.25">
      <c r="B52" s="118">
        <v>2</v>
      </c>
      <c r="C52" s="52" t="s">
        <v>65</v>
      </c>
      <c r="D52" s="129">
        <f t="shared" si="15"/>
        <v>2</v>
      </c>
      <c r="E52" s="12" t="s">
        <v>1</v>
      </c>
      <c r="F52" s="49">
        <f>PRODUCT(D52*(VLOOKUP(C52,Tbl_TiempoRespuestos[],2,0))*G52)</f>
        <v>6.9444444444444441E-3</v>
      </c>
      <c r="G52" s="12">
        <f>VLOOKUP(C52,Tbl_TiempoRespuestos[],3,0)</f>
        <v>1</v>
      </c>
      <c r="I52" s="143" t="str">
        <f>C41</f>
        <v>Final de carrera del sensor optico</v>
      </c>
      <c r="J52" s="143"/>
      <c r="K52" s="143"/>
      <c r="L52" s="143"/>
      <c r="M52" s="140"/>
      <c r="N52" s="141"/>
      <c r="O52" s="141"/>
      <c r="P52" s="141"/>
    </row>
    <row r="53" spans="2:16" x14ac:dyDescent="0.25">
      <c r="B53" s="118">
        <v>1</v>
      </c>
      <c r="I53" s="138" t="s">
        <v>69</v>
      </c>
      <c r="J53" s="139"/>
      <c r="K53" s="113">
        <f>VLOOKUP(I54,RepuestosGarantiaAño7,2,0)</f>
        <v>4</v>
      </c>
      <c r="L53" s="67" t="s">
        <v>1</v>
      </c>
      <c r="M53" s="140">
        <f>PRODUCT(K53,VLOOKUP(I54,Tbl_Repuestos[],4,0))</f>
        <v>392</v>
      </c>
      <c r="N53" s="141">
        <f t="shared" ref="N53" si="32">PRODUCT(M53,$O$34)</f>
        <v>117.6</v>
      </c>
      <c r="O53" s="141"/>
      <c r="P53" s="141">
        <f t="shared" ref="P53" si="33">SUM(M53,N53)</f>
        <v>509.6</v>
      </c>
    </row>
    <row r="54" spans="2:16" ht="15.75" x14ac:dyDescent="0.25">
      <c r="C54" s="137" t="s">
        <v>19</v>
      </c>
      <c r="D54" s="137"/>
      <c r="E54" s="137"/>
      <c r="F54" s="137"/>
      <c r="G54" s="137"/>
      <c r="I54" s="142" t="str">
        <f>C42</f>
        <v>Kit de traba mecanica (traba, resorte, rotula, brazo regulador)</v>
      </c>
      <c r="J54" s="142"/>
      <c r="K54" s="142"/>
      <c r="L54" s="142"/>
      <c r="M54" s="140"/>
      <c r="N54" s="141"/>
      <c r="O54" s="141"/>
      <c r="P54" s="141"/>
    </row>
    <row r="55" spans="2:16" ht="22.5" x14ac:dyDescent="0.25">
      <c r="C55" s="53" t="s">
        <v>19</v>
      </c>
      <c r="D55" s="61" t="s">
        <v>20</v>
      </c>
      <c r="E55" s="60" t="s">
        <v>0</v>
      </c>
      <c r="F55" s="60" t="s">
        <v>21</v>
      </c>
      <c r="G55" s="60" t="s">
        <v>0</v>
      </c>
      <c r="I55" s="138" t="s">
        <v>69</v>
      </c>
      <c r="J55" s="139"/>
      <c r="K55" s="130">
        <f>VLOOKUP(I56,RepuestosGarantiaAño7,2,0)</f>
        <v>1</v>
      </c>
      <c r="L55" s="67" t="s">
        <v>1</v>
      </c>
      <c r="M55" s="140">
        <f>PRODUCT(K55,VLOOKUP(I56,Tbl_Repuestos[],4,0))</f>
        <v>354</v>
      </c>
      <c r="N55" s="141">
        <f t="shared" ref="N55" si="34">PRODUCT(M55,$O$34)</f>
        <v>106.2</v>
      </c>
      <c r="O55" s="141"/>
      <c r="P55" s="141">
        <f t="shared" ref="P55" si="35">SUM(M55,N55)</f>
        <v>460.2</v>
      </c>
    </row>
    <row r="56" spans="2:16" x14ac:dyDescent="0.25">
      <c r="C56" s="82" t="s">
        <v>26</v>
      </c>
      <c r="D56" s="11">
        <f>1/$D$5</f>
        <v>8.3333333333333329E-2</v>
      </c>
      <c r="E56" s="12" t="s">
        <v>1</v>
      </c>
      <c r="F56" s="12">
        <f>ROUNDUP(D56*$D$5,0)*$G$9</f>
        <v>3</v>
      </c>
      <c r="G56" s="12" t="s">
        <v>1</v>
      </c>
      <c r="I56" s="143" t="str">
        <f>C43</f>
        <v>Motor eléctrico (rebobinado)</v>
      </c>
      <c r="J56" s="143"/>
      <c r="K56" s="143"/>
      <c r="L56" s="143"/>
      <c r="M56" s="140"/>
      <c r="N56" s="141"/>
      <c r="O56" s="141"/>
      <c r="P56" s="141"/>
    </row>
    <row r="57" spans="2:16" x14ac:dyDescent="0.25">
      <c r="C57" s="82" t="s">
        <v>32</v>
      </c>
      <c r="D57" s="11">
        <v>0.16666666666666666</v>
      </c>
      <c r="E57" s="12" t="s">
        <v>1</v>
      </c>
      <c r="F57" s="12">
        <f>ROUNDUP(D57*$D$5,0)</f>
        <v>2</v>
      </c>
      <c r="G57" s="12" t="s">
        <v>1</v>
      </c>
      <c r="I57" s="138" t="s">
        <v>69</v>
      </c>
      <c r="J57" s="139"/>
      <c r="K57" s="66">
        <f>VLOOKUP(I58,RepuestosGarantiaAño7,2,0)</f>
        <v>0</v>
      </c>
      <c r="L57" s="67" t="s">
        <v>1</v>
      </c>
      <c r="M57" s="140">
        <f>PRODUCT(K57,VLOOKUP(I58,Tbl_Repuestos[],4,0))</f>
        <v>0</v>
      </c>
      <c r="N57" s="141">
        <f t="shared" ref="N57" si="36">PRODUCT(M57,$O$34)</f>
        <v>0</v>
      </c>
      <c r="O57" s="141"/>
      <c r="P57" s="141">
        <f t="shared" ref="P57" si="37">SUM(M57,N57)</f>
        <v>0</v>
      </c>
    </row>
    <row r="58" spans="2:16" x14ac:dyDescent="0.25">
      <c r="C58" s="82" t="s">
        <v>203</v>
      </c>
      <c r="D58" s="11">
        <v>1</v>
      </c>
      <c r="E58" s="12" t="s">
        <v>1</v>
      </c>
      <c r="F58" s="12">
        <f>ROUNDUP(D58*$D$5,0)</f>
        <v>12</v>
      </c>
      <c r="G58" s="12" t="s">
        <v>1</v>
      </c>
      <c r="I58" s="143" t="str">
        <f>C44</f>
        <v>Piloto de señalización 220V</v>
      </c>
      <c r="J58" s="143"/>
      <c r="K58" s="143"/>
      <c r="L58" s="143"/>
      <c r="M58" s="140"/>
      <c r="N58" s="141"/>
      <c r="O58" s="141"/>
      <c r="P58" s="141"/>
    </row>
    <row r="59" spans="2:16" x14ac:dyDescent="0.25">
      <c r="C59" s="82" t="s">
        <v>145</v>
      </c>
      <c r="D59" s="81">
        <v>5</v>
      </c>
      <c r="E59" s="12" t="s">
        <v>1</v>
      </c>
      <c r="F59" s="12">
        <f>ROUNDUP(D59*$D$5,0)*G9</f>
        <v>180</v>
      </c>
      <c r="G59" s="12" t="s">
        <v>1</v>
      </c>
      <c r="I59" s="138" t="s">
        <v>69</v>
      </c>
      <c r="J59" s="139"/>
      <c r="K59" s="113">
        <f>VLOOKUP(I60,RepuestosGarantiaAño7,2,0)</f>
        <v>0</v>
      </c>
      <c r="L59" s="67" t="s">
        <v>1</v>
      </c>
      <c r="M59" s="140">
        <f>PRODUCT(K59,VLOOKUP(I60,Tbl_Repuestos[],4,0))</f>
        <v>0</v>
      </c>
      <c r="N59" s="141">
        <f t="shared" ref="N59" si="38">PRODUCT(M59,$O$34)</f>
        <v>0</v>
      </c>
      <c r="O59" s="141"/>
      <c r="P59" s="141">
        <f t="shared" ref="P59" si="39">SUM(M59,N59)</f>
        <v>0</v>
      </c>
    </row>
    <row r="60" spans="2:16" x14ac:dyDescent="0.25">
      <c r="C60" s="82" t="s">
        <v>146</v>
      </c>
      <c r="D60" s="81">
        <v>3</v>
      </c>
      <c r="E60" s="12" t="s">
        <v>1</v>
      </c>
      <c r="F60" s="12">
        <f>ROUNDUP(D60*$D$5,0)*G10</f>
        <v>72</v>
      </c>
      <c r="G60" s="12" t="s">
        <v>1</v>
      </c>
      <c r="I60" s="143" t="str">
        <f>C45</f>
        <v xml:space="preserve">Pulsador </v>
      </c>
      <c r="J60" s="143"/>
      <c r="K60" s="143"/>
      <c r="L60" s="143"/>
      <c r="M60" s="140"/>
      <c r="N60" s="141"/>
      <c r="O60" s="141"/>
      <c r="P60" s="141"/>
    </row>
    <row r="61" spans="2:16" x14ac:dyDescent="0.25">
      <c r="C61" s="52" t="s">
        <v>205</v>
      </c>
      <c r="D61" s="11">
        <f>1/6</f>
        <v>0.16666666666666666</v>
      </c>
      <c r="E61" s="12" t="s">
        <v>149</v>
      </c>
      <c r="F61" s="12">
        <f>ROUNDUP(D61*$D$5,0)*$G$9</f>
        <v>6</v>
      </c>
      <c r="G61" s="12" t="s">
        <v>149</v>
      </c>
      <c r="I61" s="138" t="s">
        <v>69</v>
      </c>
      <c r="J61" s="139"/>
      <c r="K61" s="66">
        <f>VLOOKUP(I62,RepuestosGarantiaAño7,2,0)</f>
        <v>1</v>
      </c>
      <c r="L61" s="67" t="s">
        <v>1</v>
      </c>
      <c r="M61" s="140">
        <f>PRODUCT(K61,VLOOKUP(I62,Tbl_Repuestos[],4,0))</f>
        <v>20</v>
      </c>
      <c r="N61" s="141">
        <f t="shared" ref="N61" si="40">PRODUCT(M61,$O$34)</f>
        <v>6</v>
      </c>
      <c r="O61" s="141"/>
      <c r="P61" s="141">
        <f t="shared" ref="P61" si="41">SUM(M61,N61)</f>
        <v>26</v>
      </c>
    </row>
    <row r="62" spans="2:16" x14ac:dyDescent="0.25">
      <c r="C62" s="82" t="s">
        <v>204</v>
      </c>
      <c r="D62" s="11">
        <v>1</v>
      </c>
      <c r="E62" s="12" t="s">
        <v>1</v>
      </c>
      <c r="F62" s="12">
        <f>D62</f>
        <v>1</v>
      </c>
      <c r="G62" s="12" t="s">
        <v>1</v>
      </c>
      <c r="I62" s="143" t="str">
        <f>C46</f>
        <v>Relé encapsulado 220V 3A - 14 pines</v>
      </c>
      <c r="J62" s="143"/>
      <c r="K62" s="143"/>
      <c r="L62" s="143"/>
      <c r="M62" s="140"/>
      <c r="N62" s="141"/>
      <c r="O62" s="141"/>
      <c r="P62" s="141"/>
    </row>
    <row r="63" spans="2:16" x14ac:dyDescent="0.25">
      <c r="C63" s="82" t="s">
        <v>37</v>
      </c>
      <c r="D63" s="11">
        <f>1/$D$5</f>
        <v>8.3333333333333329E-2</v>
      </c>
      <c r="E63" s="12" t="s">
        <v>2</v>
      </c>
      <c r="F63" s="12">
        <f t="shared" ref="F63:F66" si="42">ROUNDUP(D63*$D$5,0)*$G$9</f>
        <v>3</v>
      </c>
      <c r="G63" s="12" t="s">
        <v>2</v>
      </c>
      <c r="I63" s="138" t="s">
        <v>69</v>
      </c>
      <c r="J63" s="139"/>
      <c r="K63" s="66">
        <f>VLOOKUP(I64,RepuestosGarantiaAño7,2,0)</f>
        <v>0</v>
      </c>
      <c r="L63" s="67" t="s">
        <v>1</v>
      </c>
      <c r="M63" s="140">
        <f>PRODUCT(K63,VLOOKUP(I64,Tbl_Repuestos[],4,0))</f>
        <v>0</v>
      </c>
      <c r="N63" s="141">
        <f t="shared" ref="N63" si="43">PRODUCT(M63,$O$34)</f>
        <v>0</v>
      </c>
      <c r="O63" s="141"/>
      <c r="P63" s="141">
        <f t="shared" ref="P63" si="44">SUM(M63,N63)</f>
        <v>0</v>
      </c>
    </row>
    <row r="64" spans="2:16" x14ac:dyDescent="0.25">
      <c r="C64" s="82" t="s">
        <v>42</v>
      </c>
      <c r="D64" s="11">
        <f>1/$D$5</f>
        <v>8.3333333333333329E-2</v>
      </c>
      <c r="E64" s="12" t="s">
        <v>1</v>
      </c>
      <c r="F64" s="12">
        <f t="shared" si="42"/>
        <v>3</v>
      </c>
      <c r="G64" s="12" t="s">
        <v>1</v>
      </c>
      <c r="I64" s="143" t="str">
        <f>C47</f>
        <v>Selector rotativo - 3 posiciones</v>
      </c>
      <c r="J64" s="143"/>
      <c r="K64" s="143"/>
      <c r="L64" s="143"/>
      <c r="M64" s="140"/>
      <c r="N64" s="141"/>
      <c r="O64" s="141"/>
      <c r="P64" s="141"/>
    </row>
    <row r="65" spans="3:16" x14ac:dyDescent="0.25">
      <c r="C65" s="82" t="s">
        <v>206</v>
      </c>
      <c r="D65" s="11">
        <f>1/$D$5</f>
        <v>8.3333333333333329E-2</v>
      </c>
      <c r="E65" s="12" t="s">
        <v>1</v>
      </c>
      <c r="F65" s="12">
        <f t="shared" si="42"/>
        <v>3</v>
      </c>
      <c r="G65" s="12" t="s">
        <v>1</v>
      </c>
      <c r="I65" s="138" t="s">
        <v>69</v>
      </c>
      <c r="J65" s="139"/>
      <c r="K65" s="66">
        <f>VLOOKUP(I66,RepuestosGarantiaAño7,2,0)</f>
        <v>0</v>
      </c>
      <c r="L65" s="67" t="s">
        <v>1</v>
      </c>
      <c r="M65" s="140">
        <f>PRODUCT(K65,VLOOKUP(I66,Tbl_Repuestos[],4,0))</f>
        <v>0</v>
      </c>
      <c r="N65" s="141">
        <f t="shared" ref="N65" si="45">PRODUCT(M65,$O$34)</f>
        <v>0</v>
      </c>
      <c r="O65" s="141"/>
      <c r="P65" s="141">
        <f t="shared" ref="P65" si="46">SUM(M65,N65)</f>
        <v>0</v>
      </c>
    </row>
    <row r="66" spans="3:16" x14ac:dyDescent="0.25">
      <c r="C66" s="82" t="s">
        <v>207</v>
      </c>
      <c r="D66" s="11">
        <f>1/$D$5</f>
        <v>8.3333333333333329E-2</v>
      </c>
      <c r="E66" s="12" t="s">
        <v>1</v>
      </c>
      <c r="F66" s="12">
        <f t="shared" si="42"/>
        <v>3</v>
      </c>
      <c r="G66" s="12" t="s">
        <v>1</v>
      </c>
      <c r="I66" s="143" t="str">
        <f>C48</f>
        <v>Selector rotativo cerradura con llave</v>
      </c>
      <c r="J66" s="143"/>
      <c r="K66" s="143"/>
      <c r="L66" s="143"/>
      <c r="M66" s="140"/>
      <c r="N66" s="141"/>
      <c r="O66" s="141"/>
      <c r="P66" s="141"/>
    </row>
    <row r="67" spans="3:16" x14ac:dyDescent="0.25">
      <c r="C67" s="82" t="s">
        <v>47</v>
      </c>
      <c r="D67" s="11">
        <f>1/3</f>
        <v>0.33333333333333331</v>
      </c>
      <c r="E67" s="12" t="s">
        <v>1</v>
      </c>
      <c r="F67" s="12">
        <f>ROUNDUP(D67*$D$5,0)*$G$9+$G$9</f>
        <v>15</v>
      </c>
      <c r="G67" s="12" t="s">
        <v>1</v>
      </c>
      <c r="I67" s="138" t="s">
        <v>69</v>
      </c>
      <c r="J67" s="139"/>
      <c r="K67" s="113">
        <f>VLOOKUP(I68,RepuestosGarantiaAño7,2,0)</f>
        <v>2</v>
      </c>
      <c r="L67" s="67" t="s">
        <v>1</v>
      </c>
      <c r="M67" s="140">
        <f>PRODUCT(K67,VLOOKUP(I68,Tbl_Repuestos[],4,0))</f>
        <v>147</v>
      </c>
      <c r="N67" s="141">
        <f t="shared" ref="N67" si="47">PRODUCT(M67,$O$34)</f>
        <v>44.1</v>
      </c>
      <c r="O67" s="141"/>
      <c r="P67" s="141">
        <f t="shared" ref="P67" si="48">SUM(M67,N67)</f>
        <v>191.1</v>
      </c>
    </row>
    <row r="68" spans="3:16" x14ac:dyDescent="0.25">
      <c r="C68" s="82" t="s">
        <v>48</v>
      </c>
      <c r="D68" s="11">
        <f>1/3</f>
        <v>0.33333333333333331</v>
      </c>
      <c r="E68" s="12" t="s">
        <v>1</v>
      </c>
      <c r="F68" s="12">
        <f>ROUNDUP(D68*$D$5,0)*$G$9+$G$9</f>
        <v>15</v>
      </c>
      <c r="G68" s="12" t="s">
        <v>1</v>
      </c>
      <c r="I68" s="143" t="str">
        <f>C49</f>
        <v>Sensor óptico CHIIB</v>
      </c>
      <c r="J68" s="143"/>
      <c r="K68" s="143"/>
      <c r="L68" s="143"/>
      <c r="M68" s="140"/>
      <c r="N68" s="141"/>
      <c r="O68" s="141"/>
      <c r="P68" s="141"/>
    </row>
    <row r="69" spans="3:16" x14ac:dyDescent="0.25">
      <c r="C69" s="82" t="s">
        <v>147</v>
      </c>
      <c r="D69" s="11">
        <v>1</v>
      </c>
      <c r="E69" s="12" t="s">
        <v>1</v>
      </c>
      <c r="F69" s="12">
        <f>D69</f>
        <v>1</v>
      </c>
      <c r="G69" s="12" t="s">
        <v>1</v>
      </c>
      <c r="I69" s="138" t="s">
        <v>69</v>
      </c>
      <c r="J69" s="139"/>
      <c r="K69" s="66">
        <f>VLOOKUP(I70,RepuestosGarantiaAño7,2,0)</f>
        <v>2</v>
      </c>
      <c r="L69" s="67" t="s">
        <v>1</v>
      </c>
      <c r="M69" s="140">
        <f>PRODUCT(K69,VLOOKUP(I70,Tbl_Repuestos[],4,0))</f>
        <v>196</v>
      </c>
      <c r="N69" s="141">
        <f t="shared" ref="N69" si="49">PRODUCT(M69,$O$34)</f>
        <v>58.8</v>
      </c>
      <c r="O69" s="141"/>
      <c r="P69" s="141">
        <f t="shared" ref="P69" si="50">SUM(M69,N69)</f>
        <v>254.8</v>
      </c>
    </row>
    <row r="70" spans="3:16" x14ac:dyDescent="0.25">
      <c r="C70" s="82" t="s">
        <v>49</v>
      </c>
      <c r="D70" s="11">
        <f>1/3</f>
        <v>0.33333333333333331</v>
      </c>
      <c r="E70" s="12" t="s">
        <v>2</v>
      </c>
      <c r="F70" s="12">
        <f>ROUNDUP(D70*$D$5,0)*$G$9</f>
        <v>12</v>
      </c>
      <c r="G70" s="12" t="s">
        <v>2</v>
      </c>
      <c r="I70" s="143" t="str">
        <f>C50</f>
        <v>Solenoide de electroválvula</v>
      </c>
      <c r="J70" s="143"/>
      <c r="K70" s="143"/>
      <c r="L70" s="143"/>
      <c r="M70" s="140"/>
      <c r="N70" s="141"/>
      <c r="O70" s="141"/>
      <c r="P70" s="141"/>
    </row>
    <row r="71" spans="3:16" x14ac:dyDescent="0.25">
      <c r="I71" s="138" t="s">
        <v>69</v>
      </c>
      <c r="J71" s="139"/>
      <c r="K71" s="66">
        <f>VLOOKUP(I72,RepuestosGarantiaAño7,2,0)</f>
        <v>0</v>
      </c>
      <c r="L71" s="67" t="s">
        <v>1</v>
      </c>
      <c r="M71" s="140">
        <f>PRODUCT(K71,VLOOKUP(I72,Tbl_Repuestos[],4,0))</f>
        <v>0</v>
      </c>
      <c r="N71" s="141">
        <f t="shared" ref="N71" si="51">PRODUCT(M71,$O$34)</f>
        <v>0</v>
      </c>
      <c r="O71" s="141"/>
      <c r="P71" s="141">
        <f t="shared" ref="P71" si="52">SUM(M71,N71)</f>
        <v>0</v>
      </c>
    </row>
    <row r="72" spans="3:16" ht="15.75" x14ac:dyDescent="0.25">
      <c r="C72" s="137" t="s">
        <v>175</v>
      </c>
      <c r="D72" s="137"/>
      <c r="E72" s="137"/>
      <c r="F72" s="137"/>
      <c r="G72" s="137"/>
      <c r="I72" s="143" t="str">
        <f>C51</f>
        <v>Solenoide de traba</v>
      </c>
      <c r="J72" s="143"/>
      <c r="K72" s="143"/>
      <c r="L72" s="143"/>
      <c r="M72" s="140"/>
      <c r="N72" s="141"/>
      <c r="O72" s="141"/>
      <c r="P72" s="141"/>
    </row>
    <row r="73" spans="3:16" x14ac:dyDescent="0.25">
      <c r="C73" s="116" t="s">
        <v>132</v>
      </c>
      <c r="D73" s="117" t="s">
        <v>171</v>
      </c>
      <c r="E73" s="117" t="s">
        <v>172</v>
      </c>
      <c r="F73" s="117" t="s">
        <v>173</v>
      </c>
      <c r="G73" s="117" t="s">
        <v>174</v>
      </c>
      <c r="I73" s="138" t="s">
        <v>69</v>
      </c>
      <c r="J73" s="139"/>
      <c r="K73" s="66">
        <f>VLOOKUP(I74,RepuestosGarantiaAño7,2,0)</f>
        <v>2</v>
      </c>
      <c r="L73" s="67" t="s">
        <v>1</v>
      </c>
      <c r="M73" s="140">
        <f>PRODUCT(K73,VLOOKUP(I74,Tbl_Repuestos[],4,0))</f>
        <v>60</v>
      </c>
      <c r="N73" s="141">
        <f t="shared" ref="N73" si="53">PRODUCT(M73,$O$34)</f>
        <v>18</v>
      </c>
      <c r="O73" s="141"/>
      <c r="P73" s="141">
        <f t="shared" ref="P73" si="54">SUM(M73,N73)</f>
        <v>78</v>
      </c>
    </row>
    <row r="74" spans="3:16" x14ac:dyDescent="0.25">
      <c r="C74" s="99" t="s">
        <v>52</v>
      </c>
      <c r="D74" s="107"/>
      <c r="E74" s="107"/>
      <c r="F74" s="107"/>
      <c r="G74" s="107"/>
      <c r="I74" s="143" t="str">
        <f>C52</f>
        <v>Temporizador 220V</v>
      </c>
      <c r="J74" s="143"/>
      <c r="K74" s="143"/>
      <c r="L74" s="143"/>
      <c r="M74" s="140"/>
      <c r="N74" s="141"/>
      <c r="O74" s="141"/>
      <c r="P74" s="141"/>
    </row>
    <row r="75" spans="3:16" x14ac:dyDescent="0.25">
      <c r="C75" s="99" t="s">
        <v>88</v>
      </c>
      <c r="D75" s="107"/>
      <c r="E75" s="107"/>
      <c r="F75" s="107"/>
      <c r="G75" s="107"/>
    </row>
    <row r="76" spans="3:16" x14ac:dyDescent="0.25">
      <c r="C76" s="99" t="s">
        <v>53</v>
      </c>
      <c r="D76" s="107"/>
      <c r="E76" s="107"/>
      <c r="F76" s="107"/>
      <c r="G76" s="107"/>
      <c r="I76" s="144" t="s">
        <v>151</v>
      </c>
      <c r="J76" s="145"/>
      <c r="K76" s="145"/>
      <c r="L76" s="146"/>
      <c r="M76" s="42">
        <f>SUM(M35:M74)</f>
        <v>2515</v>
      </c>
      <c r="N76" s="147">
        <f>+SUM(N35:O74)</f>
        <v>754.5</v>
      </c>
      <c r="O76" s="147"/>
      <c r="P76" s="29">
        <f>SUM(P35:P74)</f>
        <v>3269.5</v>
      </c>
    </row>
    <row r="77" spans="3:16" x14ac:dyDescent="0.25">
      <c r="C77" s="99" t="s">
        <v>167</v>
      </c>
      <c r="D77" s="107"/>
      <c r="E77" s="107"/>
      <c r="F77" s="107"/>
      <c r="G77" s="107"/>
    </row>
    <row r="78" spans="3:16" x14ac:dyDescent="0.25">
      <c r="C78" s="99" t="s">
        <v>5</v>
      </c>
      <c r="D78" s="107"/>
      <c r="E78" s="107"/>
      <c r="F78" s="107"/>
      <c r="G78" s="107"/>
      <c r="I78" s="152" t="s">
        <v>152</v>
      </c>
      <c r="J78" s="153"/>
      <c r="K78" s="153"/>
      <c r="L78" s="153"/>
    </row>
    <row r="79" spans="3:16" x14ac:dyDescent="0.25">
      <c r="C79" s="99" t="s">
        <v>55</v>
      </c>
      <c r="D79" s="107"/>
      <c r="E79" s="107"/>
      <c r="F79" s="107"/>
      <c r="G79" s="107"/>
      <c r="I79" s="154" t="s">
        <v>142</v>
      </c>
      <c r="J79" s="154"/>
      <c r="K79" s="154"/>
      <c r="L79" s="154"/>
      <c r="M79" s="86" t="s">
        <v>10</v>
      </c>
      <c r="N79" s="86" t="s">
        <v>11</v>
      </c>
      <c r="O79" s="87">
        <v>0.3</v>
      </c>
      <c r="P79" s="29" t="s">
        <v>12</v>
      </c>
    </row>
    <row r="80" spans="3:16" x14ac:dyDescent="0.25">
      <c r="C80" s="99" t="s">
        <v>89</v>
      </c>
      <c r="D80" s="107"/>
      <c r="E80" s="107"/>
      <c r="F80" s="107"/>
      <c r="G80" s="107"/>
      <c r="I80" s="138" t="s">
        <v>69</v>
      </c>
      <c r="J80" s="139"/>
      <c r="K80" s="66">
        <f>VLOOKUP(I81,InsumosPreventivoAño7,4,0)</f>
        <v>3</v>
      </c>
      <c r="L80" s="67" t="str">
        <f>VLOOKUP(I81,InsumosPreventivoAño7,5,0)</f>
        <v>und</v>
      </c>
      <c r="M80" s="140">
        <f>PRODUCT(K80,VLOOKUP(I81,Tbl_Insumos[],2,0))</f>
        <v>0.60000000000000009</v>
      </c>
      <c r="N80" s="141">
        <f>PRODUCT(M80,$O$79)</f>
        <v>0.18000000000000002</v>
      </c>
      <c r="O80" s="141"/>
      <c r="P80" s="141">
        <f>SUM(M80,N80)</f>
        <v>0.78000000000000014</v>
      </c>
    </row>
    <row r="81" spans="3:16" x14ac:dyDescent="0.25">
      <c r="C81" s="99" t="s">
        <v>90</v>
      </c>
      <c r="D81" s="107"/>
      <c r="E81" s="107"/>
      <c r="F81" s="107"/>
      <c r="G81" s="107"/>
      <c r="I81" s="143" t="str">
        <f>C56</f>
        <v>Bolsa de basura 70 L (por unidad)</v>
      </c>
      <c r="J81" s="143"/>
      <c r="K81" s="143"/>
      <c r="L81" s="143"/>
      <c r="M81" s="140"/>
      <c r="N81" s="141"/>
      <c r="O81" s="141"/>
      <c r="P81" s="141"/>
    </row>
    <row r="82" spans="3:16" x14ac:dyDescent="0.25">
      <c r="C82" s="99" t="s">
        <v>91</v>
      </c>
      <c r="D82" s="107"/>
      <c r="E82" s="107"/>
      <c r="F82" s="107"/>
      <c r="G82" s="107"/>
      <c r="I82" s="138" t="s">
        <v>69</v>
      </c>
      <c r="J82" s="139"/>
      <c r="K82" s="66">
        <f>VLOOKUP(I83,InsumosPreventivoAño7,4,0)</f>
        <v>2</v>
      </c>
      <c r="L82" s="67" t="str">
        <f>VLOOKUP(I83,InsumosPreventivoAño7,5,0)</f>
        <v>und</v>
      </c>
      <c r="M82" s="140">
        <f>PRODUCT(K82,VLOOKUP(I83,Tbl_Insumos[],2,0))</f>
        <v>10</v>
      </c>
      <c r="N82" s="141">
        <f t="shared" ref="N82" si="55">PRODUCT(M82,$O$79)</f>
        <v>3</v>
      </c>
      <c r="O82" s="141"/>
      <c r="P82" s="141">
        <f t="shared" ref="P82" si="56">SUM(M82,N82)</f>
        <v>13</v>
      </c>
    </row>
    <row r="83" spans="3:16" x14ac:dyDescent="0.25">
      <c r="C83" s="52" t="s">
        <v>179</v>
      </c>
      <c r="D83" s="124" t="s">
        <v>180</v>
      </c>
      <c r="E83" s="107"/>
      <c r="F83" s="107"/>
      <c r="G83" s="107"/>
      <c r="I83" s="143" t="str">
        <f>C57</f>
        <v xml:space="preserve">Cinta Aislante 1700 - 3M </v>
      </c>
      <c r="J83" s="143"/>
      <c r="K83" s="143"/>
      <c r="L83" s="143"/>
      <c r="M83" s="140"/>
      <c r="N83" s="141"/>
      <c r="O83" s="141"/>
      <c r="P83" s="141"/>
    </row>
    <row r="84" spans="3:16" x14ac:dyDescent="0.25">
      <c r="C84" s="99" t="s">
        <v>96</v>
      </c>
      <c r="D84" s="107"/>
      <c r="E84" s="107"/>
      <c r="F84" s="107"/>
      <c r="G84" s="107"/>
      <c r="I84" s="138" t="s">
        <v>69</v>
      </c>
      <c r="J84" s="139"/>
      <c r="K84" s="66">
        <f>VLOOKUP(I85,InsumosPreventivoAño7,4,0)</f>
        <v>12</v>
      </c>
      <c r="L84" s="67" t="str">
        <f>VLOOKUP(I85,InsumosPreventivoAño7,5,0)</f>
        <v>und</v>
      </c>
      <c r="M84" s="140">
        <f>PRODUCT(K84,VLOOKUP(I85,Tbl_Insumos[],2,0))</f>
        <v>108</v>
      </c>
      <c r="N84" s="141">
        <f t="shared" ref="N84" si="57">PRODUCT(M84,$O$79)</f>
        <v>32.4</v>
      </c>
      <c r="O84" s="141"/>
      <c r="P84" s="141">
        <f t="shared" ref="P84" si="58">SUM(M84,N84)</f>
        <v>140.4</v>
      </c>
    </row>
    <row r="85" spans="3:16" x14ac:dyDescent="0.25">
      <c r="C85" s="99" t="s">
        <v>93</v>
      </c>
      <c r="D85" s="107"/>
      <c r="E85" s="107"/>
      <c r="F85" s="107"/>
      <c r="G85" s="107"/>
      <c r="I85" s="143" t="str">
        <f>C58</f>
        <v>Cinta reflectiva 3M (Amarillo) - 1 mts</v>
      </c>
      <c r="J85" s="143"/>
      <c r="K85" s="143"/>
      <c r="L85" s="143"/>
      <c r="M85" s="140"/>
      <c r="N85" s="141"/>
      <c r="O85" s="141"/>
      <c r="P85" s="141"/>
    </row>
    <row r="86" spans="3:16" x14ac:dyDescent="0.25">
      <c r="C86" s="99" t="s">
        <v>60</v>
      </c>
      <c r="D86" s="107"/>
      <c r="E86" s="107"/>
      <c r="F86" s="107"/>
      <c r="G86" s="107"/>
      <c r="I86" s="138" t="s">
        <v>69</v>
      </c>
      <c r="J86" s="139"/>
      <c r="K86" s="66">
        <f>VLOOKUP(I87,InsumosPreventivoAño7,4,0)</f>
        <v>180</v>
      </c>
      <c r="L86" s="67" t="str">
        <f>VLOOKUP(I87,InsumosPreventivoAño7,5,0)</f>
        <v>und</v>
      </c>
      <c r="M86" s="140">
        <f>PRODUCT(K86,VLOOKUP(I87,Tbl_Insumos[],2,0))</f>
        <v>27</v>
      </c>
      <c r="N86" s="141">
        <f t="shared" ref="N86" si="59">PRODUCT(M86,$O$79)</f>
        <v>8.1</v>
      </c>
      <c r="O86" s="141"/>
      <c r="P86" s="141">
        <f t="shared" ref="P86" si="60">SUM(M86,N86)</f>
        <v>35.1</v>
      </c>
    </row>
    <row r="87" spans="3:16" x14ac:dyDescent="0.25">
      <c r="C87" s="99" t="s">
        <v>61</v>
      </c>
      <c r="D87" s="107"/>
      <c r="E87" s="107"/>
      <c r="F87" s="107"/>
      <c r="G87" s="107"/>
      <c r="I87" s="143" t="str">
        <f>C59</f>
        <v>Cintillo plástico 250 x 3.6 mm  (por unidad)</v>
      </c>
      <c r="J87" s="143"/>
      <c r="K87" s="143"/>
      <c r="L87" s="143"/>
      <c r="M87" s="140"/>
      <c r="N87" s="141"/>
      <c r="O87" s="141"/>
      <c r="P87" s="141"/>
    </row>
    <row r="88" spans="3:16" x14ac:dyDescent="0.25">
      <c r="C88" s="99" t="s">
        <v>62</v>
      </c>
      <c r="D88" s="107"/>
      <c r="E88" s="107"/>
      <c r="F88" s="107"/>
      <c r="G88" s="107"/>
      <c r="I88" s="138" t="s">
        <v>69</v>
      </c>
      <c r="J88" s="139"/>
      <c r="K88" s="66">
        <f>VLOOKUP(I89,InsumosPreventivoAño7,4,0)</f>
        <v>72</v>
      </c>
      <c r="L88" s="67" t="str">
        <f>VLOOKUP(I89,InsumosPreventivoAño7,5,0)</f>
        <v>und</v>
      </c>
      <c r="M88" s="140">
        <f>PRODUCT(K88,VLOOKUP(I89,Tbl_Insumos[],2,0))</f>
        <v>14.4</v>
      </c>
      <c r="N88" s="141">
        <f t="shared" ref="N88" si="61">PRODUCT(M88,$O$79)</f>
        <v>4.32</v>
      </c>
      <c r="O88" s="141"/>
      <c r="P88" s="141">
        <f t="shared" ref="P88" si="62">SUM(M88,N88)</f>
        <v>18.72</v>
      </c>
    </row>
    <row r="89" spans="3:16" x14ac:dyDescent="0.25">
      <c r="C89" s="99" t="s">
        <v>94</v>
      </c>
      <c r="D89" s="107"/>
      <c r="E89" s="107"/>
      <c r="F89" s="107"/>
      <c r="G89" s="107"/>
      <c r="I89" s="143" t="str">
        <f>C60</f>
        <v>Cintillo plástico 370 x 4.8 mm  (por unidad)</v>
      </c>
      <c r="J89" s="143"/>
      <c r="K89" s="143"/>
      <c r="L89" s="143"/>
      <c r="M89" s="140"/>
      <c r="N89" s="141"/>
      <c r="O89" s="141"/>
      <c r="P89" s="141"/>
    </row>
    <row r="90" spans="3:16" x14ac:dyDescent="0.25">
      <c r="C90" s="99" t="s">
        <v>135</v>
      </c>
      <c r="D90" s="107"/>
      <c r="E90" s="107"/>
      <c r="F90" s="107"/>
      <c r="G90" s="107"/>
      <c r="I90" s="138" t="s">
        <v>69</v>
      </c>
      <c r="J90" s="139"/>
      <c r="K90" s="113">
        <f>VLOOKUP(I91,InsumosPreventivoAño7,4,0)</f>
        <v>6</v>
      </c>
      <c r="L90" s="67" t="str">
        <f>VLOOKUP(I91,InsumosPreventivoAño7,5,0)</f>
        <v>L</v>
      </c>
      <c r="M90" s="140">
        <f>PRODUCT(K90,VLOOKUP(I91,Tbl_Insumos[],2,0))</f>
        <v>360</v>
      </c>
      <c r="N90" s="141">
        <f t="shared" ref="N90" si="63">PRODUCT(M90,$O$79)</f>
        <v>108</v>
      </c>
      <c r="O90" s="141"/>
      <c r="P90" s="141">
        <f t="shared" ref="P90" si="64">SUM(M90,N90)</f>
        <v>468</v>
      </c>
    </row>
    <row r="91" spans="3:16" x14ac:dyDescent="0.25">
      <c r="C91" s="99" t="s">
        <v>64</v>
      </c>
      <c r="D91" s="107"/>
      <c r="E91" s="107"/>
      <c r="F91" s="107"/>
      <c r="G91" s="107"/>
      <c r="I91" s="142" t="str">
        <f>C61</f>
        <v>Desengrasante industrial biodegradable - Hidrosol (1 gal)</v>
      </c>
      <c r="J91" s="142"/>
      <c r="K91" s="142"/>
      <c r="L91" s="142"/>
      <c r="M91" s="140"/>
      <c r="N91" s="141"/>
      <c r="O91" s="141"/>
      <c r="P91" s="141"/>
    </row>
    <row r="92" spans="3:16" x14ac:dyDescent="0.25">
      <c r="C92" s="99" t="s">
        <v>4</v>
      </c>
      <c r="D92" s="107"/>
      <c r="E92" s="107"/>
      <c r="F92" s="107"/>
      <c r="G92" s="107"/>
      <c r="I92" s="138" t="s">
        <v>69</v>
      </c>
      <c r="J92" s="139"/>
      <c r="K92" s="113">
        <f>VLOOKUP(I93,InsumosPreventivoAño7,4,0)</f>
        <v>1</v>
      </c>
      <c r="L92" s="67" t="str">
        <f>VLOOKUP(I93,InsumosPreventivoAño7,5,0)</f>
        <v>und</v>
      </c>
      <c r="M92" s="140">
        <f>PRODUCT(K92,VLOOKUP(I93,Tbl_Insumos[],2,0))</f>
        <v>20</v>
      </c>
      <c r="N92" s="141">
        <f t="shared" ref="N92" si="65">PRODUCT(M92,$O$79)</f>
        <v>6</v>
      </c>
      <c r="O92" s="141"/>
      <c r="P92" s="141">
        <f t="shared" ref="P92" si="66">SUM(M92,N92)</f>
        <v>26</v>
      </c>
    </row>
    <row r="93" spans="3:16" x14ac:dyDescent="0.25">
      <c r="C93" s="99" t="s">
        <v>65</v>
      </c>
      <c r="D93" s="107"/>
      <c r="E93" s="107"/>
      <c r="F93" s="107"/>
      <c r="G93" s="107"/>
      <c r="I93" s="143" t="str">
        <f>C62</f>
        <v>Fusibles 5A - 100 und</v>
      </c>
      <c r="J93" s="143"/>
      <c r="K93" s="143"/>
      <c r="L93" s="143"/>
      <c r="M93" s="140"/>
      <c r="N93" s="141"/>
      <c r="O93" s="141"/>
      <c r="P93" s="141"/>
    </row>
    <row r="94" spans="3:16" x14ac:dyDescent="0.25">
      <c r="I94" s="138" t="s">
        <v>69</v>
      </c>
      <c r="J94" s="139"/>
      <c r="K94" s="66">
        <f>VLOOKUP(I95,InsumosPreventivoAño7,4,0)</f>
        <v>3</v>
      </c>
      <c r="L94" s="67" t="str">
        <f>VLOOKUP(I95,InsumosPreventivoAño7,5,0)</f>
        <v>kg</v>
      </c>
      <c r="M94" s="140">
        <f>PRODUCT(K94,VLOOKUP(I95,Tbl_Insumos[],2,0))</f>
        <v>30</v>
      </c>
      <c r="N94" s="141">
        <f t="shared" ref="N94" si="67">PRODUCT(M94,$O$79)</f>
        <v>9</v>
      </c>
      <c r="O94" s="141"/>
      <c r="P94" s="141">
        <f t="shared" ref="P94" si="68">SUM(M94,N94)</f>
        <v>39</v>
      </c>
    </row>
    <row r="95" spans="3:16" x14ac:dyDescent="0.25">
      <c r="I95" s="143" t="str">
        <f>C63</f>
        <v>Grasa en pasta (por kilo)</v>
      </c>
      <c r="J95" s="143"/>
      <c r="K95" s="143"/>
      <c r="L95" s="143"/>
      <c r="M95" s="140"/>
      <c r="N95" s="141"/>
      <c r="O95" s="141"/>
      <c r="P95" s="141"/>
    </row>
    <row r="96" spans="3:16" x14ac:dyDescent="0.25">
      <c r="I96" s="138" t="s">
        <v>69</v>
      </c>
      <c r="J96" s="139"/>
      <c r="K96" s="66">
        <f>VLOOKUP(I97,InsumosPreventivoAño7,4,0)</f>
        <v>3</v>
      </c>
      <c r="L96" s="67" t="str">
        <f>VLOOKUP(I97,InsumosPreventivoAño7,5,0)</f>
        <v>und</v>
      </c>
      <c r="M96" s="140">
        <f>PRODUCT(K96,VLOOKUP(I97,Tbl_Insumos[],2,0))</f>
        <v>7.5</v>
      </c>
      <c r="N96" s="141">
        <f t="shared" ref="N96" si="69">PRODUCT(M96,$O$79)</f>
        <v>2.25</v>
      </c>
      <c r="O96" s="141"/>
      <c r="P96" s="141">
        <f t="shared" ref="P96" si="70">SUM(M96,N96)</f>
        <v>9.75</v>
      </c>
    </row>
    <row r="97" spans="9:16" x14ac:dyDescent="0.25">
      <c r="I97" s="143" t="str">
        <f>C64</f>
        <v>Lija para metal #80</v>
      </c>
      <c r="J97" s="143"/>
      <c r="K97" s="143"/>
      <c r="L97" s="143"/>
      <c r="M97" s="140"/>
      <c r="N97" s="141"/>
      <c r="O97" s="141"/>
      <c r="P97" s="141"/>
    </row>
    <row r="98" spans="9:16" x14ac:dyDescent="0.25">
      <c r="I98" s="138" t="s">
        <v>69</v>
      </c>
      <c r="J98" s="139"/>
      <c r="K98" s="66">
        <f>VLOOKUP(I99,InsumosPreventivoAño7,4,0)</f>
        <v>3</v>
      </c>
      <c r="L98" s="67" t="str">
        <f>VLOOKUP(I99,InsumosPreventivoAño7,5,0)</f>
        <v>und</v>
      </c>
      <c r="M98" s="140">
        <f>PRODUCT(K98,VLOOKUP(I99,Tbl_Insumos[],2,0))</f>
        <v>66</v>
      </c>
      <c r="N98" s="141">
        <f t="shared" ref="N98" si="71">PRODUCT(M98,$O$79)</f>
        <v>19.8</v>
      </c>
      <c r="O98" s="141"/>
      <c r="P98" s="141">
        <f t="shared" ref="P98" si="72">SUM(M98,N98)</f>
        <v>85.8</v>
      </c>
    </row>
    <row r="99" spans="9:16" x14ac:dyDescent="0.25">
      <c r="I99" s="143" t="str">
        <f>C65</f>
        <v>Spray aerosol Alumnio - Rust Oleum</v>
      </c>
      <c r="J99" s="143"/>
      <c r="K99" s="143"/>
      <c r="L99" s="143"/>
      <c r="M99" s="140"/>
      <c r="N99" s="141"/>
      <c r="O99" s="141"/>
      <c r="P99" s="141"/>
    </row>
    <row r="100" spans="9:16" x14ac:dyDescent="0.25">
      <c r="I100" s="138" t="s">
        <v>69</v>
      </c>
      <c r="J100" s="139"/>
      <c r="K100" s="66">
        <f>VLOOKUP(I101,InsumosPreventivoAño7,4,0)</f>
        <v>3</v>
      </c>
      <c r="L100" s="67" t="str">
        <f>VLOOKUP(I101,InsumosPreventivoAño7,5,0)</f>
        <v>und</v>
      </c>
      <c r="M100" s="140">
        <f>PRODUCT(K100,VLOOKUP(I101,Tbl_Insumos[],2,0))</f>
        <v>66</v>
      </c>
      <c r="N100" s="141">
        <f t="shared" ref="N100" si="73">PRODUCT(M100,$O$79)</f>
        <v>19.8</v>
      </c>
      <c r="O100" s="141"/>
      <c r="P100" s="141">
        <f t="shared" ref="P100" si="74">SUM(M100,N100)</f>
        <v>85.8</v>
      </c>
    </row>
    <row r="101" spans="9:16" x14ac:dyDescent="0.25">
      <c r="I101" s="143" t="str">
        <f>C66</f>
        <v>Spray aerosol Negro - Rust Oleum</v>
      </c>
      <c r="J101" s="143"/>
      <c r="K101" s="143"/>
      <c r="L101" s="143"/>
      <c r="M101" s="140"/>
      <c r="N101" s="141"/>
      <c r="O101" s="141"/>
      <c r="P101" s="141"/>
    </row>
    <row r="102" spans="9:16" x14ac:dyDescent="0.25">
      <c r="I102" s="138" t="s">
        <v>69</v>
      </c>
      <c r="J102" s="139"/>
      <c r="K102" s="66">
        <f>VLOOKUP(I103,InsumosPreventivoAño7,4,0)</f>
        <v>15</v>
      </c>
      <c r="L102" s="67" t="str">
        <f>VLOOKUP(I103,InsumosPreventivoAño7,5,0)</f>
        <v>und</v>
      </c>
      <c r="M102" s="140">
        <f>PRODUCT(K102,VLOOKUP(I103,Tbl_Insumos[],2,0))</f>
        <v>210</v>
      </c>
      <c r="N102" s="141">
        <f t="shared" ref="N102" si="75">PRODUCT(M102,$O$79)</f>
        <v>63</v>
      </c>
      <c r="O102" s="141"/>
      <c r="P102" s="141">
        <f t="shared" ref="P102" si="76">SUM(M102,N102)</f>
        <v>273</v>
      </c>
    </row>
    <row r="103" spans="9:16" x14ac:dyDescent="0.25">
      <c r="I103" s="143" t="str">
        <f>C67</f>
        <v>Spray Aflojatodo 10 oz o 296 ml - VISTONY</v>
      </c>
      <c r="J103" s="143"/>
      <c r="K103" s="143"/>
      <c r="L103" s="143"/>
      <c r="M103" s="140"/>
      <c r="N103" s="141"/>
      <c r="O103" s="141"/>
      <c r="P103" s="141"/>
    </row>
    <row r="104" spans="9:16" x14ac:dyDescent="0.25">
      <c r="I104" s="138" t="s">
        <v>69</v>
      </c>
      <c r="J104" s="139"/>
      <c r="K104" s="132">
        <f>VLOOKUP(I105,InsumosPreventivoAño7,4,0)</f>
        <v>15</v>
      </c>
      <c r="L104" s="67" t="str">
        <f>VLOOKUP(I105,InsumosPreventivoAño7,5,0)</f>
        <v>und</v>
      </c>
      <c r="M104" s="140">
        <f>PRODUCT(K104,VLOOKUP(I105,Tbl_Insumos[],2,0))</f>
        <v>210</v>
      </c>
      <c r="N104" s="141">
        <f t="shared" ref="N104" si="77">PRODUCT(M104,$O$79)</f>
        <v>63</v>
      </c>
      <c r="O104" s="141"/>
      <c r="P104" s="141">
        <f t="shared" ref="P104" si="78">SUM(M104,N104)</f>
        <v>273</v>
      </c>
    </row>
    <row r="105" spans="9:16" x14ac:dyDescent="0.25">
      <c r="I105" s="143" t="str">
        <f>C68</f>
        <v>Spray Lubricante 10 oz o 296 ml - VISTONY</v>
      </c>
      <c r="J105" s="143"/>
      <c r="K105" s="143"/>
      <c r="L105" s="143"/>
      <c r="M105" s="140"/>
      <c r="N105" s="141"/>
      <c r="O105" s="141"/>
      <c r="P105" s="141"/>
    </row>
    <row r="106" spans="9:16" x14ac:dyDescent="0.25">
      <c r="I106" s="138" t="s">
        <v>69</v>
      </c>
      <c r="J106" s="139"/>
      <c r="K106" s="132">
        <f>VLOOKUP(I107,InsumosPreventivoAño7,4,0)</f>
        <v>1</v>
      </c>
      <c r="L106" s="67" t="str">
        <f>VLOOKUP(I107,InsumosPreventivoAño7,5,0)</f>
        <v>und</v>
      </c>
      <c r="M106" s="140">
        <f>PRODUCT(K106,VLOOKUP(I107,Tbl_Insumos[],2,0))</f>
        <v>5</v>
      </c>
      <c r="N106" s="141">
        <f t="shared" ref="N106" si="79">PRODUCT(M106,$O$79)</f>
        <v>1.5</v>
      </c>
      <c r="O106" s="141"/>
      <c r="P106" s="141">
        <f t="shared" ref="P106" si="80">SUM(M106,N106)</f>
        <v>6.5</v>
      </c>
    </row>
    <row r="107" spans="9:16" x14ac:dyDescent="0.25">
      <c r="I107" s="143" t="str">
        <f>C69</f>
        <v>Teflon</v>
      </c>
      <c r="J107" s="143"/>
      <c r="K107" s="143"/>
      <c r="L107" s="143"/>
      <c r="M107" s="140"/>
      <c r="N107" s="141"/>
      <c r="O107" s="141"/>
      <c r="P107" s="141"/>
    </row>
    <row r="108" spans="9:16" x14ac:dyDescent="0.25">
      <c r="I108" s="138" t="s">
        <v>69</v>
      </c>
      <c r="J108" s="139"/>
      <c r="K108" s="90">
        <f>VLOOKUP(I109,InsumosPreventivoAño7,4,0)</f>
        <v>12</v>
      </c>
      <c r="L108" s="67" t="str">
        <f>VLOOKUP(I109,InsumosPreventivoAño7,5,0)</f>
        <v>kg</v>
      </c>
      <c r="M108" s="140">
        <f>PRODUCT(K108,VLOOKUP(I109,Tbl_Insumos[],2,0))</f>
        <v>60</v>
      </c>
      <c r="N108" s="141">
        <f t="shared" ref="N108" si="81">PRODUCT(M108,$O$79)</f>
        <v>18</v>
      </c>
      <c r="O108" s="141"/>
      <c r="P108" s="141">
        <f t="shared" ref="P108" si="82">SUM(M108,N108)</f>
        <v>78</v>
      </c>
    </row>
    <row r="109" spans="9:16" x14ac:dyDescent="0.25">
      <c r="I109" s="143" t="str">
        <f>C70</f>
        <v>Trapos Industriales (por kilo)</v>
      </c>
      <c r="J109" s="143"/>
      <c r="K109" s="143"/>
      <c r="L109" s="143"/>
      <c r="M109" s="140"/>
      <c r="N109" s="141"/>
      <c r="O109" s="141"/>
      <c r="P109" s="141"/>
    </row>
    <row r="111" spans="9:16" x14ac:dyDescent="0.25">
      <c r="I111" s="144" t="s">
        <v>159</v>
      </c>
      <c r="J111" s="145"/>
      <c r="K111" s="145"/>
      <c r="L111" s="146"/>
      <c r="M111" s="64">
        <f>SUM(M80:M109)</f>
        <v>1194.5</v>
      </c>
      <c r="N111" s="147">
        <f>+SUM(N80:O109)</f>
        <v>358.35</v>
      </c>
      <c r="O111" s="147"/>
      <c r="P111" s="29">
        <f>SUM(P80:P109)</f>
        <v>1552.85</v>
      </c>
    </row>
    <row r="113" spans="9:16" x14ac:dyDescent="0.25">
      <c r="I113" s="152" t="s">
        <v>153</v>
      </c>
      <c r="J113" s="153"/>
      <c r="K113" s="153"/>
      <c r="L113" s="153"/>
    </row>
    <row r="114" spans="9:16" x14ac:dyDescent="0.25">
      <c r="I114" s="154" t="s">
        <v>142</v>
      </c>
      <c r="J114" s="154"/>
      <c r="K114" s="154"/>
      <c r="L114" s="154"/>
      <c r="M114" s="86" t="s">
        <v>10</v>
      </c>
      <c r="N114" s="86" t="s">
        <v>11</v>
      </c>
      <c r="O114" s="87">
        <v>0.3</v>
      </c>
      <c r="P114" s="29" t="s">
        <v>12</v>
      </c>
    </row>
    <row r="115" spans="9:16" x14ac:dyDescent="0.25">
      <c r="I115" s="138" t="s">
        <v>69</v>
      </c>
      <c r="J115" s="139"/>
      <c r="K115" s="66">
        <f>G9+G15</f>
        <v>12</v>
      </c>
      <c r="L115" s="67" t="s">
        <v>1</v>
      </c>
      <c r="M115" s="140">
        <f>PRODUCT(K115,VLOOKUP(I116,Tbl_Epps[],2,0))</f>
        <v>600</v>
      </c>
      <c r="N115" s="141">
        <f>PRODUCT(M115,$O$79)</f>
        <v>180</v>
      </c>
      <c r="O115" s="141"/>
      <c r="P115" s="141">
        <f>SUM(M115,N115)</f>
        <v>780</v>
      </c>
    </row>
    <row r="116" spans="9:16" x14ac:dyDescent="0.25">
      <c r="I116" s="143" t="s">
        <v>13</v>
      </c>
      <c r="J116" s="143"/>
      <c r="K116" s="143"/>
      <c r="L116" s="143"/>
      <c r="M116" s="140"/>
      <c r="N116" s="141"/>
      <c r="O116" s="141"/>
      <c r="P116" s="141"/>
    </row>
    <row r="117" spans="9:16" x14ac:dyDescent="0.25">
      <c r="I117" s="138" t="s">
        <v>69</v>
      </c>
      <c r="J117" s="139"/>
      <c r="K117" s="66">
        <f>$G$20*$G$9</f>
        <v>6</v>
      </c>
      <c r="L117" s="67" t="s">
        <v>1</v>
      </c>
      <c r="M117" s="140">
        <f>PRODUCT(K117,VLOOKUP(I118,Tbl_Epps[],2,0))</f>
        <v>42</v>
      </c>
      <c r="N117" s="141">
        <f t="shared" ref="N117" si="83">PRODUCT(M117,$O$79)</f>
        <v>12.6</v>
      </c>
      <c r="O117" s="141"/>
      <c r="P117" s="141">
        <f t="shared" ref="P117" si="84">SUM(M117,N117)</f>
        <v>54.6</v>
      </c>
    </row>
    <row r="118" spans="9:16" x14ac:dyDescent="0.25">
      <c r="I118" s="143" t="s">
        <v>38</v>
      </c>
      <c r="J118" s="143"/>
      <c r="K118" s="143"/>
      <c r="L118" s="143"/>
      <c r="M118" s="140"/>
      <c r="N118" s="141"/>
      <c r="O118" s="141"/>
      <c r="P118" s="141"/>
    </row>
    <row r="119" spans="9:16" x14ac:dyDescent="0.25">
      <c r="I119" s="138" t="s">
        <v>69</v>
      </c>
      <c r="J119" s="139"/>
      <c r="K119" s="113">
        <f>$G$20*$G$9</f>
        <v>6</v>
      </c>
      <c r="L119" s="67" t="s">
        <v>1</v>
      </c>
      <c r="M119" s="140">
        <f>PRODUCT(K119,VLOOKUP(I120,Tbl_Epps[],2,0))</f>
        <v>12</v>
      </c>
      <c r="N119" s="141">
        <f t="shared" ref="N119" si="85">PRODUCT(M119,$O$79)</f>
        <v>3.5999999999999996</v>
      </c>
      <c r="O119" s="141"/>
      <c r="P119" s="141">
        <f t="shared" ref="P119" si="86">SUM(M119,N119)</f>
        <v>15.6</v>
      </c>
    </row>
    <row r="120" spans="9:16" x14ac:dyDescent="0.25">
      <c r="I120" s="143" t="s">
        <v>98</v>
      </c>
      <c r="J120" s="143"/>
      <c r="K120" s="143"/>
      <c r="L120" s="143"/>
      <c r="M120" s="140"/>
      <c r="N120" s="141"/>
      <c r="O120" s="141"/>
      <c r="P120" s="141"/>
    </row>
    <row r="121" spans="9:16" x14ac:dyDescent="0.25">
      <c r="I121" s="138" t="s">
        <v>69</v>
      </c>
      <c r="J121" s="139"/>
      <c r="K121" s="113">
        <f>$G$20*$G$9</f>
        <v>6</v>
      </c>
      <c r="L121" s="67" t="s">
        <v>1</v>
      </c>
      <c r="M121" s="140">
        <f>PRODUCT(K121,VLOOKUP(I122,Tbl_Epps[],2,0))</f>
        <v>12</v>
      </c>
      <c r="N121" s="141">
        <f t="shared" ref="N121" si="87">PRODUCT(M121,$O$79)</f>
        <v>3.5999999999999996</v>
      </c>
      <c r="O121" s="141"/>
      <c r="P121" s="141">
        <f t="shared" ref="P121" si="88">SUM(M121,N121)</f>
        <v>15.6</v>
      </c>
    </row>
    <row r="122" spans="9:16" x14ac:dyDescent="0.25">
      <c r="I122" s="143" t="s">
        <v>101</v>
      </c>
      <c r="J122" s="143"/>
      <c r="K122" s="143"/>
      <c r="L122" s="143"/>
      <c r="M122" s="140"/>
      <c r="N122" s="141"/>
      <c r="O122" s="141"/>
      <c r="P122" s="141"/>
    </row>
    <row r="123" spans="9:16" x14ac:dyDescent="0.25">
      <c r="I123" s="138" t="s">
        <v>69</v>
      </c>
      <c r="J123" s="139"/>
      <c r="K123" s="113">
        <f>G9</f>
        <v>3</v>
      </c>
      <c r="L123" s="67" t="s">
        <v>1</v>
      </c>
      <c r="M123" s="140">
        <f>PRODUCT(K123,VLOOKUP(I124,Tbl_Epps[],2,0))</f>
        <v>18</v>
      </c>
      <c r="N123" s="141">
        <f t="shared" ref="N123" si="89">PRODUCT(M123,$O$79)</f>
        <v>5.3999999999999995</v>
      </c>
      <c r="O123" s="141"/>
      <c r="P123" s="141">
        <f t="shared" ref="P123" si="90">SUM(M123,N123)</f>
        <v>23.4</v>
      </c>
    </row>
    <row r="124" spans="9:16" ht="16.5" customHeight="1" x14ac:dyDescent="0.25">
      <c r="I124" s="143" t="s">
        <v>100</v>
      </c>
      <c r="J124" s="143"/>
      <c r="K124" s="143"/>
      <c r="L124" s="143"/>
      <c r="M124" s="140"/>
      <c r="N124" s="141"/>
      <c r="O124" s="141"/>
      <c r="P124" s="141"/>
    </row>
    <row r="125" spans="9:16" ht="15.75" customHeight="1" x14ac:dyDescent="0.25"/>
    <row r="126" spans="9:16" x14ac:dyDescent="0.25">
      <c r="I126" s="144" t="s">
        <v>158</v>
      </c>
      <c r="J126" s="145"/>
      <c r="K126" s="145"/>
      <c r="L126" s="146"/>
      <c r="M126" s="64">
        <f>SUM(M115:M124)</f>
        <v>684</v>
      </c>
      <c r="N126" s="147">
        <f>+SUM(N115:O124)</f>
        <v>205.2</v>
      </c>
      <c r="O126" s="147"/>
      <c r="P126" s="29">
        <f>SUM(P115:P124)</f>
        <v>889.2</v>
      </c>
    </row>
    <row r="127" spans="9:16" ht="15.75" thickBot="1" x14ac:dyDescent="0.3">
      <c r="I127" s="96"/>
      <c r="J127" s="96"/>
      <c r="K127" s="96"/>
      <c r="L127" s="96"/>
      <c r="M127" s="96"/>
      <c r="N127" s="96"/>
      <c r="O127" s="96"/>
      <c r="P127" s="96"/>
    </row>
    <row r="128" spans="9:16" ht="15.75" thickTop="1" x14ac:dyDescent="0.25"/>
    <row r="129" spans="9:16" x14ac:dyDescent="0.25">
      <c r="I129" s="148" t="s">
        <v>154</v>
      </c>
      <c r="J129" s="149"/>
      <c r="K129" s="149"/>
      <c r="L129" s="150"/>
      <c r="M129" s="91">
        <f>SUM(M18,M31,M76,M111,M126)</f>
        <v>10065.139435763889</v>
      </c>
      <c r="N129" s="151">
        <f>SUM(N18,N31,N76,N111,N126)</f>
        <v>3465.0697178819437</v>
      </c>
      <c r="O129" s="150"/>
      <c r="P129" s="91">
        <f>SUM(P18,P31,P76,P111,P126)</f>
        <v>13530.209153645834</v>
      </c>
    </row>
    <row r="130" spans="9:16" x14ac:dyDescent="0.25">
      <c r="M130" s="22"/>
      <c r="N130" s="22"/>
      <c r="O130" s="92"/>
      <c r="P130" s="22"/>
    </row>
    <row r="131" spans="9:16" x14ac:dyDescent="0.25">
      <c r="I131" s="155" t="s">
        <v>155</v>
      </c>
      <c r="J131" s="156"/>
      <c r="K131" s="157"/>
      <c r="L131" s="93">
        <v>0.05</v>
      </c>
      <c r="M131" s="158"/>
      <c r="N131" s="159"/>
      <c r="O131" s="160"/>
      <c r="P131" s="94">
        <f>P129*L131</f>
        <v>676.51045768229176</v>
      </c>
    </row>
    <row r="132" spans="9:16" x14ac:dyDescent="0.25">
      <c r="M132" s="22"/>
      <c r="N132" s="22"/>
      <c r="O132" s="92"/>
      <c r="P132" s="22"/>
    </row>
    <row r="133" spans="9:16" x14ac:dyDescent="0.25">
      <c r="I133" s="161" t="s">
        <v>156</v>
      </c>
      <c r="J133" s="161"/>
      <c r="K133" s="161"/>
      <c r="L133" s="161"/>
      <c r="M133" s="161"/>
      <c r="N133" s="161"/>
      <c r="O133" s="161"/>
      <c r="P133" s="95">
        <f>SUM(P129:P131)</f>
        <v>14206.719611328126</v>
      </c>
    </row>
  </sheetData>
  <sortState ref="C57:G71">
    <sortCondition ref="C57"/>
  </sortState>
  <mergeCells count="270">
    <mergeCell ref="I104:J104"/>
    <mergeCell ref="M104:M105"/>
    <mergeCell ref="N104:O105"/>
    <mergeCell ref="P104:P105"/>
    <mergeCell ref="I105:L105"/>
    <mergeCell ref="I106:J106"/>
    <mergeCell ref="M106:M107"/>
    <mergeCell ref="N106:O107"/>
    <mergeCell ref="P106:P107"/>
    <mergeCell ref="I107:L107"/>
    <mergeCell ref="M51:M52"/>
    <mergeCell ref="N51:O52"/>
    <mergeCell ref="P51:P52"/>
    <mergeCell ref="I52:L52"/>
    <mergeCell ref="I55:J55"/>
    <mergeCell ref="M55:M56"/>
    <mergeCell ref="I108:J108"/>
    <mergeCell ref="M108:M109"/>
    <mergeCell ref="N108:O109"/>
    <mergeCell ref="P108:P109"/>
    <mergeCell ref="I109:L109"/>
    <mergeCell ref="N55:O56"/>
    <mergeCell ref="P55:P56"/>
    <mergeCell ref="I56:L56"/>
    <mergeCell ref="I57:J57"/>
    <mergeCell ref="M57:M58"/>
    <mergeCell ref="N57:O58"/>
    <mergeCell ref="P57:P58"/>
    <mergeCell ref="I58:L58"/>
    <mergeCell ref="I61:J61"/>
    <mergeCell ref="M61:M62"/>
    <mergeCell ref="N61:O62"/>
    <mergeCell ref="P61:P62"/>
    <mergeCell ref="I62:L62"/>
    <mergeCell ref="M49:M50"/>
    <mergeCell ref="N49:O50"/>
    <mergeCell ref="P49:P50"/>
    <mergeCell ref="I50:L50"/>
    <mergeCell ref="I49:J49"/>
    <mergeCell ref="M47:M48"/>
    <mergeCell ref="N47:O48"/>
    <mergeCell ref="P47:P48"/>
    <mergeCell ref="I48:L48"/>
    <mergeCell ref="I47:J47"/>
    <mergeCell ref="N37:O38"/>
    <mergeCell ref="M37:M38"/>
    <mergeCell ref="P37:P38"/>
    <mergeCell ref="I38:L38"/>
    <mergeCell ref="I37:J37"/>
    <mergeCell ref="M39:M40"/>
    <mergeCell ref="N39:O40"/>
    <mergeCell ref="P39:P40"/>
    <mergeCell ref="I40:L40"/>
    <mergeCell ref="I39:J39"/>
    <mergeCell ref="M35:M36"/>
    <mergeCell ref="N35:O36"/>
    <mergeCell ref="P35:P36"/>
    <mergeCell ref="I36:L36"/>
    <mergeCell ref="I33:L33"/>
    <mergeCell ref="I31:L31"/>
    <mergeCell ref="N31:O31"/>
    <mergeCell ref="M28:M29"/>
    <mergeCell ref="N28:O29"/>
    <mergeCell ref="P28:P29"/>
    <mergeCell ref="I29:L29"/>
    <mergeCell ref="M24:M25"/>
    <mergeCell ref="N24:O25"/>
    <mergeCell ref="P24:P25"/>
    <mergeCell ref="I25:L25"/>
    <mergeCell ref="M26:M27"/>
    <mergeCell ref="N26:O27"/>
    <mergeCell ref="P26:P27"/>
    <mergeCell ref="I27:L27"/>
    <mergeCell ref="N18:O18"/>
    <mergeCell ref="I21:L21"/>
    <mergeCell ref="M22:M23"/>
    <mergeCell ref="N22:O23"/>
    <mergeCell ref="P22:P23"/>
    <mergeCell ref="I23:L23"/>
    <mergeCell ref="M13:M14"/>
    <mergeCell ref="N13:O14"/>
    <mergeCell ref="P13:P14"/>
    <mergeCell ref="I14:L14"/>
    <mergeCell ref="M15:M16"/>
    <mergeCell ref="N15:O16"/>
    <mergeCell ref="P15:P16"/>
    <mergeCell ref="I16:L16"/>
    <mergeCell ref="M9:M10"/>
    <mergeCell ref="N9:O10"/>
    <mergeCell ref="P9:P10"/>
    <mergeCell ref="M11:M12"/>
    <mergeCell ref="N11:O12"/>
    <mergeCell ref="P11:P12"/>
    <mergeCell ref="B22:C22"/>
    <mergeCell ref="C24:G24"/>
    <mergeCell ref="C31:G31"/>
    <mergeCell ref="C54:G54"/>
    <mergeCell ref="I8:L8"/>
    <mergeCell ref="I10:L10"/>
    <mergeCell ref="I12:L12"/>
    <mergeCell ref="I18:L18"/>
    <mergeCell ref="I35:J35"/>
    <mergeCell ref="I34:L34"/>
    <mergeCell ref="I51:J51"/>
    <mergeCell ref="I41:J41"/>
    <mergeCell ref="I45:J45"/>
    <mergeCell ref="B7:G7"/>
    <mergeCell ref="B9:C9"/>
    <mergeCell ref="B15:C15"/>
    <mergeCell ref="B19:C19"/>
    <mergeCell ref="B20:C20"/>
    <mergeCell ref="B21:C21"/>
    <mergeCell ref="B2:C2"/>
    <mergeCell ref="B3:C3"/>
    <mergeCell ref="B4:C4"/>
    <mergeCell ref="B5:C5"/>
    <mergeCell ref="I63:J63"/>
    <mergeCell ref="M63:M64"/>
    <mergeCell ref="N63:O64"/>
    <mergeCell ref="P63:P64"/>
    <mergeCell ref="I64:L64"/>
    <mergeCell ref="I65:J65"/>
    <mergeCell ref="M65:M66"/>
    <mergeCell ref="N65:O66"/>
    <mergeCell ref="P65:P66"/>
    <mergeCell ref="I66:L66"/>
    <mergeCell ref="I69:J69"/>
    <mergeCell ref="M69:M70"/>
    <mergeCell ref="N69:O70"/>
    <mergeCell ref="P69:P70"/>
    <mergeCell ref="I70:L70"/>
    <mergeCell ref="I71:J71"/>
    <mergeCell ref="M71:M72"/>
    <mergeCell ref="N71:O72"/>
    <mergeCell ref="P71:P72"/>
    <mergeCell ref="I72:L72"/>
    <mergeCell ref="P82:P83"/>
    <mergeCell ref="I83:L83"/>
    <mergeCell ref="I84:J84"/>
    <mergeCell ref="M84:M85"/>
    <mergeCell ref="N84:O85"/>
    <mergeCell ref="P84:P85"/>
    <mergeCell ref="I85:L85"/>
    <mergeCell ref="I73:J73"/>
    <mergeCell ref="M73:M74"/>
    <mergeCell ref="N73:O74"/>
    <mergeCell ref="P73:P74"/>
    <mergeCell ref="I74:L74"/>
    <mergeCell ref="I78:L78"/>
    <mergeCell ref="I79:L79"/>
    <mergeCell ref="I80:J80"/>
    <mergeCell ref="M80:M81"/>
    <mergeCell ref="N80:O81"/>
    <mergeCell ref="P80:P81"/>
    <mergeCell ref="I81:L81"/>
    <mergeCell ref="I76:L76"/>
    <mergeCell ref="N76:O76"/>
    <mergeCell ref="N98:O99"/>
    <mergeCell ref="P98:P99"/>
    <mergeCell ref="I99:L99"/>
    <mergeCell ref="I100:J100"/>
    <mergeCell ref="M100:M101"/>
    <mergeCell ref="N100:O101"/>
    <mergeCell ref="P100:P101"/>
    <mergeCell ref="I101:L101"/>
    <mergeCell ref="I94:J94"/>
    <mergeCell ref="M94:M95"/>
    <mergeCell ref="N94:O95"/>
    <mergeCell ref="P94:P95"/>
    <mergeCell ref="I95:L95"/>
    <mergeCell ref="I96:J96"/>
    <mergeCell ref="M96:M97"/>
    <mergeCell ref="N96:O97"/>
    <mergeCell ref="P96:P97"/>
    <mergeCell ref="I97:L97"/>
    <mergeCell ref="I131:K131"/>
    <mergeCell ref="M131:O131"/>
    <mergeCell ref="I133:O133"/>
    <mergeCell ref="I121:J121"/>
    <mergeCell ref="M121:M122"/>
    <mergeCell ref="N121:O122"/>
    <mergeCell ref="I115:J115"/>
    <mergeCell ref="M115:M116"/>
    <mergeCell ref="N115:O116"/>
    <mergeCell ref="I116:L116"/>
    <mergeCell ref="I122:L122"/>
    <mergeCell ref="I123:J123"/>
    <mergeCell ref="M123:M124"/>
    <mergeCell ref="N123:O124"/>
    <mergeCell ref="I124:L124"/>
    <mergeCell ref="I117:J117"/>
    <mergeCell ref="M117:M118"/>
    <mergeCell ref="N117:O118"/>
    <mergeCell ref="I118:L118"/>
    <mergeCell ref="I119:J119"/>
    <mergeCell ref="M119:M120"/>
    <mergeCell ref="N119:O120"/>
    <mergeCell ref="I120:L120"/>
    <mergeCell ref="N45:O46"/>
    <mergeCell ref="P45:P46"/>
    <mergeCell ref="I46:L46"/>
    <mergeCell ref="I126:L126"/>
    <mergeCell ref="N126:O126"/>
    <mergeCell ref="I129:L129"/>
    <mergeCell ref="N129:O129"/>
    <mergeCell ref="P115:P116"/>
    <mergeCell ref="P121:P122"/>
    <mergeCell ref="P123:P124"/>
    <mergeCell ref="P117:P118"/>
    <mergeCell ref="P119:P120"/>
    <mergeCell ref="I102:J102"/>
    <mergeCell ref="M102:M103"/>
    <mergeCell ref="N102:O103"/>
    <mergeCell ref="P102:P103"/>
    <mergeCell ref="I103:L103"/>
    <mergeCell ref="I111:L111"/>
    <mergeCell ref="N111:O111"/>
    <mergeCell ref="I113:L113"/>
    <mergeCell ref="I114:L114"/>
    <mergeCell ref="I98:J98"/>
    <mergeCell ref="I92:J92"/>
    <mergeCell ref="M98:M99"/>
    <mergeCell ref="M92:M93"/>
    <mergeCell ref="N92:O93"/>
    <mergeCell ref="P92:P93"/>
    <mergeCell ref="I93:L93"/>
    <mergeCell ref="M41:M42"/>
    <mergeCell ref="N41:O42"/>
    <mergeCell ref="P41:P42"/>
    <mergeCell ref="I42:L42"/>
    <mergeCell ref="I59:J59"/>
    <mergeCell ref="M59:M60"/>
    <mergeCell ref="N59:O60"/>
    <mergeCell ref="P59:P60"/>
    <mergeCell ref="I60:L60"/>
    <mergeCell ref="I43:J43"/>
    <mergeCell ref="M43:M44"/>
    <mergeCell ref="N43:O44"/>
    <mergeCell ref="P43:P44"/>
    <mergeCell ref="I44:L44"/>
    <mergeCell ref="I67:J67"/>
    <mergeCell ref="M67:M68"/>
    <mergeCell ref="N67:O68"/>
    <mergeCell ref="P67:P68"/>
    <mergeCell ref="I68:L68"/>
    <mergeCell ref="M45:M46"/>
    <mergeCell ref="C72:G72"/>
    <mergeCell ref="I53:J53"/>
    <mergeCell ref="M53:M54"/>
    <mergeCell ref="N53:O54"/>
    <mergeCell ref="P53:P54"/>
    <mergeCell ref="I54:L54"/>
    <mergeCell ref="I90:J90"/>
    <mergeCell ref="M90:M91"/>
    <mergeCell ref="N90:O91"/>
    <mergeCell ref="P90:P91"/>
    <mergeCell ref="I91:L91"/>
    <mergeCell ref="I86:J86"/>
    <mergeCell ref="M86:M87"/>
    <mergeCell ref="N86:O87"/>
    <mergeCell ref="P86:P87"/>
    <mergeCell ref="I87:L87"/>
    <mergeCell ref="I88:J88"/>
    <mergeCell ref="M88:M89"/>
    <mergeCell ref="N88:O89"/>
    <mergeCell ref="P88:P89"/>
    <mergeCell ref="I89:L89"/>
    <mergeCell ref="I82:J82"/>
    <mergeCell ref="M82:M83"/>
    <mergeCell ref="N82:O83"/>
  </mergeCells>
  <conditionalFormatting sqref="D33:D52">
    <cfRule type="cellIs" dxfId="1" priority="1" operator="lessThan">
      <formula>1</formula>
    </cfRule>
    <cfRule type="cellIs" dxfId="0" priority="2" operator="greaterThan">
      <formula>0</formula>
    </cfRule>
  </conditionalFormatting>
  <dataValidations count="5">
    <dataValidation type="list" allowBlank="1" showInputMessage="1" showErrorMessage="1" sqref="C26:C29 C33:C52 C83">
      <formula1>TiempoRepuesto</formula1>
    </dataValidation>
    <dataValidation type="list" allowBlank="1" showInputMessage="1" showErrorMessage="1" sqref="I10:L10 I12:L12 I14:L14 I16:L16">
      <formula1>PerfilTécnico</formula1>
    </dataValidation>
    <dataValidation type="list" allowBlank="1" showInputMessage="1" showErrorMessage="1" sqref="C56:C58 I81:L81 I83:L83 I85:L85 I87:L87 I95:L95 I97:L97 I99:L99 I101:L101 I109:L109 I89:L89 I91:L91 I93:L93 I103:L103 I105:L105 I107:L107">
      <formula1>CostoInsumos</formula1>
    </dataValidation>
    <dataValidation type="list" allowBlank="1" showInputMessage="1" showErrorMessage="1" sqref="I23:L23 I25:L25 I27:L27 I29:L29 I36:L36 I48:L48 I38:L38 I50:L50 I56:L56 I62:L62 I64:L64 I70:L70 I74:L74 I72:L72 I66:L66 I68:L68 I46:L46 I40:L40 I58:L58 I60:L60 I42:L42 I44:L44 I52:L52 I54:L54">
      <formula1>CostoRepuesto</formula1>
    </dataValidation>
    <dataValidation type="list" allowBlank="1" showInputMessage="1" showErrorMessage="1" sqref="I116:L116 I118:L118 I120:L120 I122:L122 I124:L124">
      <formula1>EppMovilidad</formula1>
    </dataValidation>
  </dataValidations>
  <pageMargins left="0.7" right="0.7" top="0.75" bottom="0.75" header="0.3" footer="0.3"/>
  <pageSetup paperSize="9" orientation="portrait" r:id="rId1"/>
  <ignoredErrors>
    <ignoredError sqref="M11 F62 F69 F59 F67" formula="1"/>
    <ignoredError sqref="K90:L90 M90:P91 M98:P10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COSTOS!$B$4:$B$35</xm:f>
          </x14:formula1>
          <xm:sqref>C59:C70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8</vt:i4>
      </vt:variant>
    </vt:vector>
  </HeadingPairs>
  <TitlesOfParts>
    <vt:vector size="13" baseType="lpstr">
      <vt:lpstr>COSTOS</vt:lpstr>
      <vt:lpstr>TIEMPOS</vt:lpstr>
      <vt:lpstr>HORAS HOMBRE</vt:lpstr>
      <vt:lpstr>PREVENTIVO</vt:lpstr>
      <vt:lpstr>AÑO 7</vt:lpstr>
      <vt:lpstr>CostoInsumos</vt:lpstr>
      <vt:lpstr>CostoRepuesto</vt:lpstr>
      <vt:lpstr>EppMovilidad</vt:lpstr>
      <vt:lpstr>InsumosPreventivoAño7</vt:lpstr>
      <vt:lpstr>PerfilTécnico</vt:lpstr>
      <vt:lpstr>RepuestosAño7</vt:lpstr>
      <vt:lpstr>RepuestosGarantiaAño7</vt:lpstr>
      <vt:lpstr>TiempoRepuesto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PARKING</dc:creator>
  <cp:lastModifiedBy>Dell</cp:lastModifiedBy>
  <cp:lastPrinted>2013-07-05T19:02:50Z</cp:lastPrinted>
  <dcterms:created xsi:type="dcterms:W3CDTF">2011-11-03T17:43:12Z</dcterms:created>
  <dcterms:modified xsi:type="dcterms:W3CDTF">2020-02-25T00:52:32Z</dcterms:modified>
</cp:coreProperties>
</file>