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berDocuments\CodingProjects\AdventCode\2022\DaySeven\"/>
    </mc:Choice>
  </mc:AlternateContent>
  <xr:revisionPtr revIDLastSave="0" documentId="8_{657234D9-38E1-4375-AC25-8231831131C6}" xr6:coauthVersionLast="47" xr6:coauthVersionMax="47" xr10:uidLastSave="{00000000-0000-0000-0000-000000000000}"/>
  <bookViews>
    <workbookView xWindow="-28920" yWindow="-120" windowWidth="29040" windowHeight="15840" xr2:uid="{CBC8BBF8-7533-455E-8BB1-4F019FF2B9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80" i="1" l="1"/>
  <c r="C2" i="1"/>
  <c r="D3" i="1"/>
  <c r="E5" i="1"/>
  <c r="D9" i="1"/>
  <c r="E10" i="1"/>
  <c r="F11" i="1"/>
  <c r="F13" i="1"/>
  <c r="E16" i="1"/>
  <c r="F20" i="1"/>
  <c r="F23" i="1"/>
  <c r="F25" i="1"/>
  <c r="H30" i="1"/>
  <c r="I31" i="1"/>
  <c r="J33" i="1"/>
  <c r="K34" i="1"/>
  <c r="J37" i="1"/>
  <c r="K40" i="1"/>
  <c r="K42" i="1"/>
  <c r="J48" i="1"/>
  <c r="K49" i="1"/>
  <c r="I52" i="1"/>
  <c r="J53" i="1"/>
  <c r="K54" i="1"/>
  <c r="K56" i="1"/>
  <c r="I62" i="1"/>
  <c r="J63" i="1"/>
  <c r="K65" i="1"/>
  <c r="J70" i="1"/>
  <c r="H81" i="1"/>
  <c r="F94" i="1"/>
  <c r="E109" i="1"/>
  <c r="E112" i="1"/>
  <c r="D111" i="1" s="1"/>
  <c r="G118" i="1"/>
  <c r="F117" i="1" s="1"/>
  <c r="H123" i="1"/>
  <c r="G122" i="1" s="1"/>
  <c r="F121" i="1" s="1"/>
  <c r="E120" i="1" s="1"/>
  <c r="G125" i="1"/>
  <c r="G131" i="1"/>
  <c r="F130" i="1" s="1"/>
  <c r="E129" i="1" s="1"/>
  <c r="I75" i="1"/>
  <c r="F177" i="1"/>
  <c r="D181" i="1"/>
  <c r="E184" i="1"/>
  <c r="D183" i="1" s="1"/>
  <c r="E182" i="1"/>
  <c r="D180" i="1"/>
  <c r="G176" i="1"/>
  <c r="G175" i="1"/>
  <c r="F170" i="1" s="1"/>
  <c r="E169" i="1" s="1"/>
  <c r="H174" i="1"/>
  <c r="H173" i="1"/>
  <c r="H172" i="1"/>
  <c r="G171" i="1" s="1"/>
  <c r="E168" i="1"/>
  <c r="F167" i="1"/>
  <c r="F166" i="1"/>
  <c r="F165" i="1"/>
  <c r="E164" i="1" s="1"/>
  <c r="F163" i="1"/>
  <c r="F162" i="1"/>
  <c r="F160" i="1"/>
  <c r="E159" i="1" s="1"/>
  <c r="E158" i="1"/>
  <c r="E155" i="1"/>
  <c r="E154" i="1"/>
  <c r="H153" i="1"/>
  <c r="G152" i="1" s="1"/>
  <c r="G151" i="1"/>
  <c r="G150" i="1"/>
  <c r="F149" i="1" s="1"/>
  <c r="F148" i="1"/>
  <c r="G147" i="1"/>
  <c r="F146" i="1" s="1"/>
  <c r="G145" i="1"/>
  <c r="F144" i="1" s="1"/>
  <c r="G143" i="1"/>
  <c r="H142" i="1"/>
  <c r="G141" i="1" s="1"/>
  <c r="G140" i="1"/>
  <c r="F138" i="1"/>
  <c r="G137" i="1"/>
  <c r="F136" i="1" s="1"/>
  <c r="F134" i="1"/>
  <c r="G133" i="1"/>
  <c r="H132" i="1"/>
  <c r="D127" i="1"/>
  <c r="H126" i="1"/>
  <c r="I124" i="1"/>
  <c r="F116" i="1"/>
  <c r="E115" i="1" s="1"/>
  <c r="E114" i="1"/>
  <c r="F113" i="1"/>
  <c r="F107" i="1"/>
  <c r="E106" i="1" s="1"/>
  <c r="F105" i="1"/>
  <c r="F104" i="1"/>
  <c r="E103" i="1" s="1"/>
  <c r="D102" i="1" s="1"/>
  <c r="F101" i="1"/>
  <c r="F100" i="1"/>
  <c r="E99" i="1" s="1"/>
  <c r="F98" i="1"/>
  <c r="F97" i="1"/>
  <c r="E96" i="1" s="1"/>
  <c r="G95" i="1"/>
  <c r="F93" i="1"/>
  <c r="G92" i="1"/>
  <c r="H91" i="1"/>
  <c r="G90" i="1" s="1"/>
  <c r="G89" i="1"/>
  <c r="G88" i="1"/>
  <c r="G86" i="1"/>
  <c r="H85" i="1"/>
  <c r="G84" i="1" s="1"/>
  <c r="I83" i="1"/>
  <c r="I82" i="1"/>
  <c r="J79" i="1"/>
  <c r="I78" i="1" s="1"/>
  <c r="I77" i="1"/>
  <c r="I76" i="1"/>
  <c r="I73" i="1"/>
  <c r="K72" i="1"/>
  <c r="K71" i="1"/>
  <c r="J69" i="1"/>
  <c r="L68" i="1"/>
  <c r="L67" i="1"/>
  <c r="L66" i="1"/>
  <c r="K64" i="1"/>
  <c r="L61" i="1"/>
  <c r="N60" i="1"/>
  <c r="M59" i="1" s="1"/>
  <c r="L58" i="1" s="1"/>
  <c r="L57" i="1"/>
  <c r="L55" i="1"/>
  <c r="K51" i="1"/>
  <c r="L50" i="1"/>
  <c r="K47" i="1"/>
  <c r="L46" i="1"/>
  <c r="L45" i="1"/>
  <c r="L44" i="1"/>
  <c r="L43" i="1"/>
  <c r="L41" i="1"/>
  <c r="K39" i="1"/>
  <c r="K38" i="1"/>
  <c r="K36" i="1"/>
  <c r="L35" i="1"/>
  <c r="J32" i="1"/>
  <c r="H29" i="1"/>
  <c r="G26" i="1"/>
  <c r="G24" i="1"/>
  <c r="G21" i="1"/>
  <c r="F19" i="1"/>
  <c r="F18" i="1"/>
  <c r="F17" i="1"/>
  <c r="C7" i="1"/>
  <c r="F6" i="1"/>
  <c r="E4" i="1"/>
  <c r="F87" i="1" l="1"/>
  <c r="H74" i="1"/>
  <c r="G28" i="1" s="1"/>
  <c r="F27" i="1" s="1"/>
  <c r="E22" i="1" s="1"/>
  <c r="D15" i="1" s="1"/>
  <c r="C8" i="1" s="1"/>
  <c r="B1" i="1" s="1"/>
  <c r="E135" i="1"/>
  <c r="D128" i="1" s="1"/>
  <c r="F139" i="1"/>
  <c r="E161" i="1"/>
  <c r="D157" i="1"/>
  <c r="C156" i="1" s="1"/>
  <c r="A189" i="1"/>
</calcChain>
</file>

<file path=xl/sharedStrings.xml><?xml version="1.0" encoding="utf-8"?>
<sst xmlns="http://schemas.openxmlformats.org/spreadsheetml/2006/main" count="184" uniqueCount="144">
  <si>
    <t>/</t>
  </si>
  <si>
    <t>jmdf</t>
  </si>
  <si>
    <t>jrgzmphz</t>
  </si>
  <si>
    <t>pdzrzbtf</t>
  </si>
  <si>
    <t>qlpvwf</t>
  </si>
  <si>
    <t>rgrcs</t>
  </si>
  <si>
    <t>drg</t>
  </si>
  <si>
    <t>gcfth</t>
  </si>
  <si>
    <t>zsmhsbp</t>
  </si>
  <si>
    <t>nrnhgwgn</t>
  </si>
  <si>
    <t>tfzqt</t>
  </si>
  <si>
    <t>zccqrjcb</t>
  </si>
  <si>
    <t>zrffd</t>
  </si>
  <si>
    <t>fqgbzm</t>
  </si>
  <si>
    <t>shgwgwlh</t>
  </si>
  <si>
    <t>sjl</t>
  </si>
  <si>
    <t>schpcdz</t>
  </si>
  <si>
    <t>hvndtjs</t>
  </si>
  <si>
    <t>mhcqp</t>
  </si>
  <si>
    <t>mrl</t>
  </si>
  <si>
    <t>nsr</t>
  </si>
  <si>
    <t>gdbv</t>
  </si>
  <si>
    <t>gvbpsjgr</t>
  </si>
  <si>
    <t>jgdm</t>
  </si>
  <si>
    <t>gqrppn</t>
  </si>
  <si>
    <t>jstrsfww</t>
  </si>
  <si>
    <t>jvmhvnw</t>
  </si>
  <si>
    <t>nct</t>
  </si>
  <si>
    <t>rgdjs</t>
  </si>
  <si>
    <t>rqrh</t>
  </si>
  <si>
    <t>wjdmf</t>
  </si>
  <si>
    <t>qfr</t>
  </si>
  <si>
    <t>njjnlwb</t>
  </si>
  <si>
    <t>gtg</t>
  </si>
  <si>
    <t>jcmg</t>
  </si>
  <si>
    <t>jqpjfdt</t>
  </si>
  <si>
    <t>fgnnr</t>
  </si>
  <si>
    <t>mvvvv</t>
  </si>
  <si>
    <t>vlvgzd</t>
  </si>
  <si>
    <t>czgn</t>
  </si>
  <si>
    <t>mmrm</t>
  </si>
  <si>
    <t>rsnt</t>
  </si>
  <si>
    <t>drsz</t>
  </si>
  <si>
    <t>plvgpdf</t>
  </si>
  <si>
    <t>mzhlg</t>
  </si>
  <si>
    <t>pwms</t>
  </si>
  <si>
    <t>hnpvzrc</t>
  </si>
  <si>
    <t>grrs</t>
  </si>
  <si>
    <t>hdmvwhg</t>
  </si>
  <si>
    <t>hhd</t>
  </si>
  <si>
    <t>mjg</t>
  </si>
  <si>
    <t>frr</t>
  </si>
  <si>
    <t>crrd</t>
  </si>
  <si>
    <t>ggtrt</t>
  </si>
  <si>
    <t>rnqbvqsc</t>
  </si>
  <si>
    <t>glsw</t>
  </si>
  <si>
    <t>rjngld</t>
  </si>
  <si>
    <t>jfr</t>
  </si>
  <si>
    <t>cgvjppn</t>
  </si>
  <si>
    <t>rhhdwdbp</t>
  </si>
  <si>
    <t>zjstjwhw</t>
  </si>
  <si>
    <t>bphlp</t>
  </si>
  <si>
    <t>spvdg</t>
  </si>
  <si>
    <t>nrndc</t>
  </si>
  <si>
    <t>hjmjntd</t>
  </si>
  <si>
    <t>phnzh</t>
  </si>
  <si>
    <t>zvhczwj</t>
  </si>
  <si>
    <t>gbs</t>
  </si>
  <si>
    <t>pqnvhlmq</t>
  </si>
  <si>
    <t>rwdmdrj</t>
  </si>
  <si>
    <t>zdblhn</t>
  </si>
  <si>
    <t>zlcwrt</t>
  </si>
  <si>
    <t>bhbzst</t>
  </si>
  <si>
    <t>nllndl</t>
  </si>
  <si>
    <t>qvzcg</t>
  </si>
  <si>
    <t>rwzjjnld</t>
  </si>
  <si>
    <t>nfhwqc</t>
  </si>
  <si>
    <t>cdhlbs</t>
  </si>
  <si>
    <t>bwg</t>
  </si>
  <si>
    <t>gtnwrrgm</t>
  </si>
  <si>
    <t>lvvbt</t>
  </si>
  <si>
    <t>lwwgnsqg</t>
  </si>
  <si>
    <t>pvsnp</t>
  </si>
  <si>
    <t>ggzlnhnn</t>
  </si>
  <si>
    <t>dnbg</t>
  </si>
  <si>
    <t>rcjq</t>
  </si>
  <si>
    <t>hdphwm</t>
  </si>
  <si>
    <t>nrcchmg</t>
  </si>
  <si>
    <t>wnmrcvqd</t>
  </si>
  <si>
    <t>nmtf</t>
  </si>
  <si>
    <t>swdrz</t>
  </si>
  <si>
    <t>qtvrnsr</t>
  </si>
  <si>
    <t>hmstmp</t>
  </si>
  <si>
    <t>nssnfrs</t>
  </si>
  <si>
    <t>qjsddcz</t>
  </si>
  <si>
    <t>lqct</t>
  </si>
  <si>
    <t>hqrwnv</t>
  </si>
  <si>
    <t>tcwwppth</t>
  </si>
  <si>
    <t>gjzlcfm</t>
  </si>
  <si>
    <t>plbgr</t>
  </si>
  <si>
    <t>gtbhr</t>
  </si>
  <si>
    <t>fhmf</t>
  </si>
  <si>
    <t>gbz</t>
  </si>
  <si>
    <t>gfjjn</t>
  </si>
  <si>
    <t>hzbvjc</t>
  </si>
  <si>
    <t>rfj</t>
  </si>
  <si>
    <t>vnvbjjj</t>
  </si>
  <si>
    <t>djgqgfs</t>
  </si>
  <si>
    <t>qnh</t>
  </si>
  <si>
    <t>btptqg</t>
  </si>
  <si>
    <t>hhhg</t>
  </si>
  <si>
    <t>bdp</t>
  </si>
  <si>
    <t>gmjmdz</t>
  </si>
  <si>
    <t>gtgwz</t>
  </si>
  <si>
    <t>hthvpj</t>
  </si>
  <si>
    <t>pljbqh</t>
  </si>
  <si>
    <t>vzwdgw</t>
  </si>
  <si>
    <t>mcbfsr</t>
  </si>
  <si>
    <t>blmdfsh</t>
  </si>
  <si>
    <t>frvhgwf</t>
  </si>
  <si>
    <t>gccpzbb</t>
  </si>
  <si>
    <t>sqhgfj</t>
  </si>
  <si>
    <t>mvfj</t>
  </si>
  <si>
    <t>pfbzpj</t>
  </si>
  <si>
    <t>bwcpw</t>
  </si>
  <si>
    <t>hdd</t>
  </si>
  <si>
    <t>lfsdh</t>
  </si>
  <si>
    <t>rgwhgjjw</t>
  </si>
  <si>
    <t>wngmvdj</t>
  </si>
  <si>
    <t>rcssg</t>
  </si>
  <si>
    <t>zwhqftdf</t>
  </si>
  <si>
    <t>gzcbbzj</t>
  </si>
  <si>
    <t>gzgbdd</t>
  </si>
  <si>
    <t>hcplnwnh</t>
  </si>
  <si>
    <t>nngnhz</t>
  </si>
  <si>
    <t>pflg</t>
  </si>
  <si>
    <t>cgv</t>
  </si>
  <si>
    <t>lctp</t>
  </si>
  <si>
    <t>qjlvh</t>
  </si>
  <si>
    <t>cdbdv</t>
  </si>
  <si>
    <t>fzr</t>
  </si>
  <si>
    <t>hrznddsg</t>
  </si>
  <si>
    <t>wsf</t>
  </si>
  <si>
    <t>przn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</si>
</sst>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14"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6F29-72C1-48AD-832A-CBCB8C61DA94}">
  <dimension ref="A1:N189"/>
  <sheetViews>
    <sheetView tabSelected="1" topLeftCell="A164" workbookViewId="0">
      <selection activeCell="H186" sqref="H186"/>
    </sheetView>
  </sheetViews>
  <sheetFormatPr defaultRowHeight="14.4" x14ac:dyDescent="0.3"/>
  <cols>
    <col min="2" max="2" width="9" bestFit="1" customWidth="1"/>
    <col min="3" max="3" width="9.5546875" bestFit="1" customWidth="1"/>
    <col min="4" max="4" width="9" bestFit="1" customWidth="1"/>
    <col min="5" max="5" width="9.5546875" bestFit="1" customWidth="1"/>
    <col min="6" max="7" width="9" bestFit="1" customWidth="1"/>
  </cols>
  <sheetData>
    <row r="1" spans="1:7" x14ac:dyDescent="0.3">
      <c r="A1" t="s">
        <v>0</v>
      </c>
      <c r="B1">
        <f>115454+177917+30151+73443+SUM(C2,C7,C8,C156)</f>
        <v>40532950</v>
      </c>
    </row>
    <row r="2" spans="1:7" x14ac:dyDescent="0.3">
      <c r="B2" t="s">
        <v>1</v>
      </c>
      <c r="C2">
        <f>228633+252639+D3</f>
        <v>1816052</v>
      </c>
    </row>
    <row r="3" spans="1:7" x14ac:dyDescent="0.3">
      <c r="C3" t="s">
        <v>5</v>
      </c>
      <c r="D3">
        <f>34044+266939+SUM(E4:E5)</f>
        <v>1334780</v>
      </c>
    </row>
    <row r="4" spans="1:7" x14ac:dyDescent="0.3">
      <c r="D4" t="s">
        <v>6</v>
      </c>
      <c r="E4">
        <f>200446+94067+121940+235672+179660</f>
        <v>831785</v>
      </c>
    </row>
    <row r="5" spans="1:7" x14ac:dyDescent="0.3">
      <c r="D5" t="s">
        <v>7</v>
      </c>
      <c r="E5">
        <f>49306+F6</f>
        <v>202012</v>
      </c>
    </row>
    <row r="6" spans="1:7" x14ac:dyDescent="0.3">
      <c r="E6" t="s">
        <v>8</v>
      </c>
      <c r="F6">
        <f>152706</f>
        <v>152706</v>
      </c>
    </row>
    <row r="7" spans="1:7" x14ac:dyDescent="0.3">
      <c r="B7" t="s">
        <v>2</v>
      </c>
      <c r="C7">
        <f>271182</f>
        <v>271182</v>
      </c>
    </row>
    <row r="8" spans="1:7" x14ac:dyDescent="0.3">
      <c r="B8" t="s">
        <v>3</v>
      </c>
      <c r="C8">
        <f>SUM(D9,D15,D102,D111,D127,D128)</f>
        <v>33269966</v>
      </c>
    </row>
    <row r="9" spans="1:7" x14ac:dyDescent="0.3">
      <c r="C9" t="s">
        <v>9</v>
      </c>
      <c r="D9">
        <f>254817+95107+SUM(E10)</f>
        <v>665625</v>
      </c>
    </row>
    <row r="10" spans="1:7" x14ac:dyDescent="0.3">
      <c r="D10" t="s">
        <v>13</v>
      </c>
      <c r="E10">
        <f>SUM(F11,F13)</f>
        <v>315701</v>
      </c>
    </row>
    <row r="11" spans="1:7" x14ac:dyDescent="0.3">
      <c r="E11" t="s">
        <v>14</v>
      </c>
      <c r="F11">
        <f>G12</f>
        <v>102914</v>
      </c>
    </row>
    <row r="12" spans="1:7" x14ac:dyDescent="0.3">
      <c r="F12" t="s">
        <v>16</v>
      </c>
      <c r="G12">
        <v>102914</v>
      </c>
    </row>
    <row r="13" spans="1:7" x14ac:dyDescent="0.3">
      <c r="E13" t="s">
        <v>15</v>
      </c>
      <c r="F13">
        <f>G14</f>
        <v>212787</v>
      </c>
    </row>
    <row r="14" spans="1:7" x14ac:dyDescent="0.3">
      <c r="F14" t="s">
        <v>17</v>
      </c>
      <c r="G14">
        <v>212787</v>
      </c>
    </row>
    <row r="15" spans="1:7" x14ac:dyDescent="0.3">
      <c r="C15" t="s">
        <v>3</v>
      </c>
      <c r="D15">
        <f>90638+110295+191768+16986+SUM(E16,E22,E96,E99)</f>
        <v>21960599</v>
      </c>
    </row>
    <row r="16" spans="1:7" x14ac:dyDescent="0.3">
      <c r="D16" t="s">
        <v>18</v>
      </c>
      <c r="E16">
        <f>255371 + 81840 + 278669+SUM(F17:F20)</f>
        <v>1597875</v>
      </c>
    </row>
    <row r="17" spans="4:10" x14ac:dyDescent="0.3">
      <c r="E17" t="s">
        <v>21</v>
      </c>
      <c r="F17">
        <f>256078 + 50204</f>
        <v>306282</v>
      </c>
    </row>
    <row r="18" spans="4:10" x14ac:dyDescent="0.3">
      <c r="E18" t="s">
        <v>22</v>
      </c>
      <c r="F18">
        <f>252865</f>
        <v>252865</v>
      </c>
    </row>
    <row r="19" spans="4:10" x14ac:dyDescent="0.3">
      <c r="E19" t="s">
        <v>23</v>
      </c>
      <c r="F19">
        <f>140338</f>
        <v>140338</v>
      </c>
    </row>
    <row r="20" spans="4:10" x14ac:dyDescent="0.3">
      <c r="E20" t="s">
        <v>8</v>
      </c>
      <c r="F20">
        <f>188529 + 5398+G21</f>
        <v>282510</v>
      </c>
    </row>
    <row r="21" spans="4:10" x14ac:dyDescent="0.3">
      <c r="F21" s="1" t="s">
        <v>24</v>
      </c>
      <c r="G21" s="1">
        <f>88583</f>
        <v>88583</v>
      </c>
    </row>
    <row r="22" spans="4:10" x14ac:dyDescent="0.3">
      <c r="D22" t="s">
        <v>19</v>
      </c>
      <c r="E22">
        <f>51489+146210+32418+SUM(F23,F25,F27,F87,F93,F94)</f>
        <v>18869318</v>
      </c>
    </row>
    <row r="23" spans="4:10" x14ac:dyDescent="0.3">
      <c r="E23" t="s">
        <v>25</v>
      </c>
      <c r="F23">
        <f>59109+146720+176304+G24</f>
        <v>578963</v>
      </c>
    </row>
    <row r="24" spans="4:10" x14ac:dyDescent="0.3">
      <c r="F24" t="s">
        <v>31</v>
      </c>
      <c r="G24">
        <f>196830</f>
        <v>196830</v>
      </c>
    </row>
    <row r="25" spans="4:10" x14ac:dyDescent="0.3">
      <c r="E25" t="s">
        <v>26</v>
      </c>
      <c r="F25">
        <f>197634+G26</f>
        <v>595092</v>
      </c>
    </row>
    <row r="26" spans="4:10" x14ac:dyDescent="0.3">
      <c r="F26" t="s">
        <v>32</v>
      </c>
      <c r="G26">
        <f>102868 + 248921 + 45669</f>
        <v>397458</v>
      </c>
    </row>
    <row r="27" spans="4:10" x14ac:dyDescent="0.3">
      <c r="E27" t="s">
        <v>27</v>
      </c>
      <c r="F27">
        <f>SUM(G28,G84,G86)</f>
        <v>15968168</v>
      </c>
    </row>
    <row r="28" spans="4:10" x14ac:dyDescent="0.3">
      <c r="F28" t="s">
        <v>33</v>
      </c>
      <c r="G28">
        <f>36970+175582+278603+SUM(H29,H30,H74,H81)</f>
        <v>15251531</v>
      </c>
    </row>
    <row r="29" spans="4:10" x14ac:dyDescent="0.3">
      <c r="G29" t="s">
        <v>36</v>
      </c>
      <c r="H29">
        <f>249152 + 149139</f>
        <v>398291</v>
      </c>
    </row>
    <row r="30" spans="4:10" x14ac:dyDescent="0.3">
      <c r="G30" t="s">
        <v>37</v>
      </c>
      <c r="H30">
        <f>SUM(I31,I52,I62,I73)</f>
        <v>10669187</v>
      </c>
    </row>
    <row r="31" spans="4:10" x14ac:dyDescent="0.3">
      <c r="H31" t="s">
        <v>39</v>
      </c>
      <c r="I31">
        <f>SUM(J32,J33,J37,J48)</f>
        <v>5269413</v>
      </c>
    </row>
    <row r="32" spans="4:10" x14ac:dyDescent="0.3">
      <c r="I32" t="s">
        <v>42</v>
      </c>
      <c r="J32">
        <f>179461</f>
        <v>179461</v>
      </c>
    </row>
    <row r="33" spans="9:12" x14ac:dyDescent="0.3">
      <c r="I33" t="s">
        <v>43</v>
      </c>
      <c r="J33">
        <f>135115+103203+261559+23854+SUM(K34,K36)</f>
        <v>1386855</v>
      </c>
    </row>
    <row r="34" spans="9:12" x14ac:dyDescent="0.3">
      <c r="J34" t="s">
        <v>44</v>
      </c>
      <c r="K34">
        <f>132666+148885+207561+L35</f>
        <v>598744</v>
      </c>
    </row>
    <row r="35" spans="9:12" x14ac:dyDescent="0.3">
      <c r="K35" t="s">
        <v>46</v>
      </c>
      <c r="L35">
        <f>51809 + 57823</f>
        <v>109632</v>
      </c>
    </row>
    <row r="36" spans="9:12" x14ac:dyDescent="0.3">
      <c r="J36" t="s">
        <v>45</v>
      </c>
      <c r="K36">
        <f>264380</f>
        <v>264380</v>
      </c>
    </row>
    <row r="37" spans="9:12" x14ac:dyDescent="0.3">
      <c r="I37" t="s">
        <v>10</v>
      </c>
      <c r="J37">
        <f>171786 + 128963+SUM(K38,K39,K40,K42,K47)</f>
        <v>2913661</v>
      </c>
    </row>
    <row r="38" spans="9:12" x14ac:dyDescent="0.3">
      <c r="J38" t="s">
        <v>47</v>
      </c>
      <c r="K38">
        <f>176906</f>
        <v>176906</v>
      </c>
    </row>
    <row r="39" spans="9:12" x14ac:dyDescent="0.3">
      <c r="J39" t="s">
        <v>48</v>
      </c>
      <c r="K39">
        <f>96008 + 74485 + 49182 + 168715</f>
        <v>388390</v>
      </c>
    </row>
    <row r="40" spans="9:12" x14ac:dyDescent="0.3">
      <c r="J40" t="s">
        <v>49</v>
      </c>
      <c r="K40">
        <f>217885 + 172477+L41</f>
        <v>420199</v>
      </c>
    </row>
    <row r="41" spans="9:12" x14ac:dyDescent="0.3">
      <c r="K41" s="1" t="s">
        <v>51</v>
      </c>
      <c r="L41" s="1">
        <f>29837</f>
        <v>29837</v>
      </c>
    </row>
    <row r="42" spans="9:12" x14ac:dyDescent="0.3">
      <c r="J42" t="s">
        <v>50</v>
      </c>
      <c r="K42">
        <f>232241+196700+SUM(L43:L46)</f>
        <v>1218719</v>
      </c>
    </row>
    <row r="43" spans="9:12" x14ac:dyDescent="0.3">
      <c r="K43" t="s">
        <v>52</v>
      </c>
      <c r="L43">
        <f>74929 + 176202 + 20283</f>
        <v>271414</v>
      </c>
    </row>
    <row r="44" spans="9:12" x14ac:dyDescent="0.3">
      <c r="K44" s="1" t="s">
        <v>53</v>
      </c>
      <c r="L44" s="1">
        <f>68252</f>
        <v>68252</v>
      </c>
    </row>
    <row r="45" spans="9:12" x14ac:dyDescent="0.3">
      <c r="K45" t="s">
        <v>4</v>
      </c>
      <c r="L45">
        <f>244340</f>
        <v>244340</v>
      </c>
    </row>
    <row r="46" spans="9:12" x14ac:dyDescent="0.3">
      <c r="K46" t="s">
        <v>54</v>
      </c>
      <c r="L46">
        <f>205772</f>
        <v>205772</v>
      </c>
    </row>
    <row r="47" spans="9:12" x14ac:dyDescent="0.3">
      <c r="J47" t="s">
        <v>10</v>
      </c>
      <c r="K47">
        <f>62840 + 94996 + 250104 + 758</f>
        <v>408698</v>
      </c>
    </row>
    <row r="48" spans="9:12" x14ac:dyDescent="0.3">
      <c r="I48" t="s">
        <v>8</v>
      </c>
      <c r="J48">
        <f>21420+228503+SUM(K51,K49)</f>
        <v>789436</v>
      </c>
    </row>
    <row r="49" spans="8:14" x14ac:dyDescent="0.3">
      <c r="J49" t="s">
        <v>55</v>
      </c>
      <c r="K49">
        <f>67735+243304+10524+L50</f>
        <v>520564</v>
      </c>
    </row>
    <row r="50" spans="8:14" x14ac:dyDescent="0.3">
      <c r="K50" t="s">
        <v>57</v>
      </c>
      <c r="L50">
        <f>199001</f>
        <v>199001</v>
      </c>
    </row>
    <row r="51" spans="8:14" x14ac:dyDescent="0.3">
      <c r="J51" s="1" t="s">
        <v>56</v>
      </c>
      <c r="K51" s="1">
        <f>18949</f>
        <v>18949</v>
      </c>
    </row>
    <row r="52" spans="8:14" x14ac:dyDescent="0.3">
      <c r="H52" t="s">
        <v>40</v>
      </c>
      <c r="I52">
        <f>240935 + 20136 + 267402 + 119766 + 205281+SUM(J53)</f>
        <v>1920142</v>
      </c>
    </row>
    <row r="53" spans="8:14" x14ac:dyDescent="0.3">
      <c r="I53" t="s">
        <v>58</v>
      </c>
      <c r="J53">
        <f>SUM(K54,K56)</f>
        <v>1066622</v>
      </c>
    </row>
    <row r="54" spans="8:14" x14ac:dyDescent="0.3">
      <c r="J54" t="s">
        <v>59</v>
      </c>
      <c r="K54">
        <f>113213 + 110170+L55</f>
        <v>288304</v>
      </c>
    </row>
    <row r="55" spans="8:14" x14ac:dyDescent="0.3">
      <c r="K55" s="1" t="s">
        <v>10</v>
      </c>
      <c r="L55" s="1">
        <f>64921</f>
        <v>64921</v>
      </c>
    </row>
    <row r="56" spans="8:14" x14ac:dyDescent="0.3">
      <c r="J56" t="s">
        <v>60</v>
      </c>
      <c r="K56">
        <f>SUM(L57:L58,L61)</f>
        <v>778318</v>
      </c>
    </row>
    <row r="57" spans="8:14" x14ac:dyDescent="0.3">
      <c r="K57" t="s">
        <v>61</v>
      </c>
      <c r="L57">
        <f>259913 + 75734</f>
        <v>335647</v>
      </c>
    </row>
    <row r="58" spans="8:14" x14ac:dyDescent="0.3">
      <c r="K58" s="1" t="s">
        <v>62</v>
      </c>
      <c r="L58" s="1">
        <f>M59</f>
        <v>35124</v>
      </c>
    </row>
    <row r="59" spans="8:14" x14ac:dyDescent="0.3">
      <c r="K59" s="2"/>
      <c r="L59" s="1" t="s">
        <v>63</v>
      </c>
      <c r="M59" s="1">
        <f>N60</f>
        <v>35124</v>
      </c>
    </row>
    <row r="60" spans="8:14" x14ac:dyDescent="0.3">
      <c r="M60" s="1" t="s">
        <v>64</v>
      </c>
      <c r="N60" s="1">
        <f>35124</f>
        <v>35124</v>
      </c>
    </row>
    <row r="61" spans="8:14" x14ac:dyDescent="0.3">
      <c r="K61" t="s">
        <v>8</v>
      </c>
      <c r="L61">
        <f>135331 + 272216</f>
        <v>407547</v>
      </c>
    </row>
    <row r="62" spans="8:14" x14ac:dyDescent="0.3">
      <c r="H62" t="s">
        <v>41</v>
      </c>
      <c r="I62">
        <f>257948+11840+159364+262458+166013+SUM(J63,J69,J70)</f>
        <v>3368618</v>
      </c>
    </row>
    <row r="63" spans="8:14" x14ac:dyDescent="0.3">
      <c r="I63" t="s">
        <v>3</v>
      </c>
      <c r="J63">
        <f>275384+279069+140345+246481+SUM(K64:K65)</f>
        <v>2050198</v>
      </c>
    </row>
    <row r="64" spans="8:14" x14ac:dyDescent="0.3">
      <c r="J64" s="1" t="s">
        <v>67</v>
      </c>
      <c r="K64" s="1">
        <f>96981</f>
        <v>96981</v>
      </c>
    </row>
    <row r="65" spans="7:12" x14ac:dyDescent="0.3">
      <c r="J65" t="s">
        <v>3</v>
      </c>
      <c r="K65">
        <f>183673 + 213929 + 90739+SUM(L66:L68)</f>
        <v>1011938</v>
      </c>
    </row>
    <row r="66" spans="7:12" x14ac:dyDescent="0.3">
      <c r="K66" t="s">
        <v>68</v>
      </c>
      <c r="L66">
        <f>234953</f>
        <v>234953</v>
      </c>
    </row>
    <row r="67" spans="7:12" x14ac:dyDescent="0.3">
      <c r="K67" t="s">
        <v>69</v>
      </c>
      <c r="L67">
        <f>157525</f>
        <v>157525</v>
      </c>
    </row>
    <row r="68" spans="7:12" x14ac:dyDescent="0.3">
      <c r="K68" t="s">
        <v>8</v>
      </c>
      <c r="L68">
        <f>131119</f>
        <v>131119</v>
      </c>
    </row>
    <row r="69" spans="7:12" x14ac:dyDescent="0.3">
      <c r="I69" t="s">
        <v>65</v>
      </c>
      <c r="J69">
        <f>251337</f>
        <v>251337</v>
      </c>
    </row>
    <row r="70" spans="7:12" x14ac:dyDescent="0.3">
      <c r="I70" t="s">
        <v>66</v>
      </c>
      <c r="J70">
        <f>87280+SUM(K71:K72)</f>
        <v>209460</v>
      </c>
    </row>
    <row r="71" spans="7:12" x14ac:dyDescent="0.3">
      <c r="J71" s="1" t="s">
        <v>70</v>
      </c>
      <c r="K71" s="1">
        <f>87731</f>
        <v>87731</v>
      </c>
    </row>
    <row r="72" spans="7:12" x14ac:dyDescent="0.3">
      <c r="J72" s="1" t="s">
        <v>71</v>
      </c>
      <c r="K72" s="1">
        <f>26033 + 8416</f>
        <v>34449</v>
      </c>
    </row>
    <row r="73" spans="7:12" x14ac:dyDescent="0.3">
      <c r="H73" t="s">
        <v>10</v>
      </c>
      <c r="I73">
        <f>111014</f>
        <v>111014</v>
      </c>
    </row>
    <row r="74" spans="7:12" x14ac:dyDescent="0.3">
      <c r="G74" t="s">
        <v>10</v>
      </c>
      <c r="H74">
        <f>88441+76785+116958+SUM(I75:I78)</f>
        <v>2790046</v>
      </c>
    </row>
    <row r="75" spans="7:12" x14ac:dyDescent="0.3">
      <c r="H75" t="s">
        <v>72</v>
      </c>
      <c r="I75">
        <f>165841 + 101685</f>
        <v>267526</v>
      </c>
    </row>
    <row r="76" spans="7:12" x14ac:dyDescent="0.3">
      <c r="H76" t="s">
        <v>73</v>
      </c>
      <c r="I76">
        <f>168213 + 243999 + 131510 + 274641</f>
        <v>818363</v>
      </c>
    </row>
    <row r="77" spans="7:12" x14ac:dyDescent="0.3">
      <c r="H77" t="s">
        <v>74</v>
      </c>
      <c r="I77">
        <f>15127 + 239165 + 170136 + 165729</f>
        <v>590157</v>
      </c>
    </row>
    <row r="78" spans="7:12" x14ac:dyDescent="0.3">
      <c r="H78" t="s">
        <v>75</v>
      </c>
      <c r="I78">
        <f>111118+171010+J79</f>
        <v>831816</v>
      </c>
    </row>
    <row r="79" spans="7:12" x14ac:dyDescent="0.3">
      <c r="I79" t="s">
        <v>76</v>
      </c>
      <c r="J79">
        <f>K80</f>
        <v>549688</v>
      </c>
    </row>
    <row r="80" spans="7:12" x14ac:dyDescent="0.3">
      <c r="J80" t="s">
        <v>21</v>
      </c>
      <c r="K80">
        <f>216229 + 257180 + 76279</f>
        <v>549688</v>
      </c>
    </row>
    <row r="81" spans="4:9" x14ac:dyDescent="0.3">
      <c r="G81" t="s">
        <v>38</v>
      </c>
      <c r="H81">
        <f>273460+253619+105724+SUM(I82:I83)</f>
        <v>902852</v>
      </c>
    </row>
    <row r="82" spans="4:9" x14ac:dyDescent="0.3">
      <c r="H82" s="1" t="s">
        <v>77</v>
      </c>
      <c r="I82" s="1">
        <f>10761</f>
        <v>10761</v>
      </c>
    </row>
    <row r="83" spans="4:9" x14ac:dyDescent="0.3">
      <c r="H83" t="s">
        <v>10</v>
      </c>
      <c r="I83">
        <f>259288</f>
        <v>259288</v>
      </c>
    </row>
    <row r="84" spans="4:9" x14ac:dyDescent="0.3">
      <c r="F84" t="s">
        <v>34</v>
      </c>
      <c r="G84">
        <f>216164+H85</f>
        <v>437577</v>
      </c>
    </row>
    <row r="85" spans="4:9" x14ac:dyDescent="0.3">
      <c r="G85" t="s">
        <v>78</v>
      </c>
      <c r="H85">
        <f>221413</f>
        <v>221413</v>
      </c>
    </row>
    <row r="86" spans="4:9" x14ac:dyDescent="0.3">
      <c r="F86" t="s">
        <v>35</v>
      </c>
      <c r="G86">
        <f>39610 + 239450</f>
        <v>279060</v>
      </c>
    </row>
    <row r="87" spans="4:9" x14ac:dyDescent="0.3">
      <c r="E87" t="s">
        <v>28</v>
      </c>
      <c r="F87">
        <f>117539 + 29606 + 16306+SUM(G88,G89,G90,G92)</f>
        <v>750721</v>
      </c>
    </row>
    <row r="88" spans="4:9" x14ac:dyDescent="0.3">
      <c r="F88" s="1" t="s">
        <v>79</v>
      </c>
      <c r="G88" s="1">
        <f>11216</f>
        <v>11216</v>
      </c>
    </row>
    <row r="89" spans="4:9" x14ac:dyDescent="0.3">
      <c r="F89" t="s">
        <v>80</v>
      </c>
      <c r="G89">
        <f>181316</f>
        <v>181316</v>
      </c>
    </row>
    <row r="90" spans="4:9" x14ac:dyDescent="0.3">
      <c r="F90" t="s">
        <v>81</v>
      </c>
      <c r="G90">
        <f>H91</f>
        <v>154097</v>
      </c>
    </row>
    <row r="91" spans="4:9" x14ac:dyDescent="0.3">
      <c r="G91" t="s">
        <v>21</v>
      </c>
      <c r="H91">
        <f>154097</f>
        <v>154097</v>
      </c>
    </row>
    <row r="92" spans="4:9" x14ac:dyDescent="0.3">
      <c r="F92" t="s">
        <v>8</v>
      </c>
      <c r="G92">
        <f>106793 + 133848</f>
        <v>240641</v>
      </c>
    </row>
    <row r="93" spans="4:9" x14ac:dyDescent="0.3">
      <c r="E93" t="s">
        <v>29</v>
      </c>
      <c r="F93">
        <f>204650 + 28331 + 79892 + 95829</f>
        <v>408702</v>
      </c>
    </row>
    <row r="94" spans="4:9" x14ac:dyDescent="0.3">
      <c r="E94" t="s">
        <v>30</v>
      </c>
      <c r="F94">
        <f>G95</f>
        <v>337555</v>
      </c>
    </row>
    <row r="95" spans="4:9" x14ac:dyDescent="0.3">
      <c r="F95" t="s">
        <v>82</v>
      </c>
      <c r="G95">
        <f>210793 + 126762</f>
        <v>337555</v>
      </c>
    </row>
    <row r="96" spans="4:9" x14ac:dyDescent="0.3">
      <c r="D96" t="s">
        <v>20</v>
      </c>
      <c r="E96">
        <f>251991 + 67339 + 58452 + 60261+SUM(F97:F98)</f>
        <v>928713</v>
      </c>
    </row>
    <row r="97" spans="3:6" x14ac:dyDescent="0.3">
      <c r="E97" t="s">
        <v>83</v>
      </c>
      <c r="F97">
        <f>193631 + 153238</f>
        <v>346869</v>
      </c>
    </row>
    <row r="98" spans="3:6" x14ac:dyDescent="0.3">
      <c r="E98" t="s">
        <v>4</v>
      </c>
      <c r="F98">
        <f>90117 + 53684</f>
        <v>143801</v>
      </c>
    </row>
    <row r="99" spans="3:6" x14ac:dyDescent="0.3">
      <c r="D99" t="s">
        <v>8</v>
      </c>
      <c r="E99">
        <f>SUM(F100:F101)</f>
        <v>155006</v>
      </c>
    </row>
    <row r="100" spans="3:6" x14ac:dyDescent="0.3">
      <c r="E100" t="s">
        <v>84</v>
      </c>
      <c r="F100">
        <f>135586</f>
        <v>135586</v>
      </c>
    </row>
    <row r="101" spans="3:6" x14ac:dyDescent="0.3">
      <c r="E101" s="1" t="s">
        <v>85</v>
      </c>
      <c r="F101" s="1">
        <f>19420</f>
        <v>19420</v>
      </c>
    </row>
    <row r="102" spans="3:6" x14ac:dyDescent="0.3">
      <c r="C102" t="s">
        <v>4</v>
      </c>
      <c r="D102">
        <f>53357+126485+116374+150924+SUM(E103,E106,E109)</f>
        <v>2231778</v>
      </c>
    </row>
    <row r="103" spans="3:6" x14ac:dyDescent="0.3">
      <c r="D103" t="s">
        <v>86</v>
      </c>
      <c r="E103">
        <f>149373+233670+91795+121202+87747+SUM(F104:F105)</f>
        <v>767129</v>
      </c>
    </row>
    <row r="104" spans="3:6" x14ac:dyDescent="0.3">
      <c r="E104" s="1" t="s">
        <v>89</v>
      </c>
      <c r="F104" s="1">
        <f>72683</f>
        <v>72683</v>
      </c>
    </row>
    <row r="105" spans="3:6" x14ac:dyDescent="0.3">
      <c r="E105" s="1" t="s">
        <v>90</v>
      </c>
      <c r="F105" s="1">
        <f>10659</f>
        <v>10659</v>
      </c>
    </row>
    <row r="106" spans="3:6" x14ac:dyDescent="0.3">
      <c r="D106" t="s">
        <v>87</v>
      </c>
      <c r="E106">
        <f>133384+SUM(F107:F108)</f>
        <v>471780</v>
      </c>
    </row>
    <row r="107" spans="3:6" x14ac:dyDescent="0.3">
      <c r="E107" t="s">
        <v>21</v>
      </c>
      <c r="F107">
        <f>156442</f>
        <v>156442</v>
      </c>
    </row>
    <row r="108" spans="3:6" x14ac:dyDescent="0.3">
      <c r="E108" t="s">
        <v>91</v>
      </c>
      <c r="F108">
        <v>181954</v>
      </c>
    </row>
    <row r="109" spans="3:6" x14ac:dyDescent="0.3">
      <c r="D109" t="s">
        <v>88</v>
      </c>
      <c r="E109">
        <f>32559 + 219772 + 257540+F110</f>
        <v>545729</v>
      </c>
    </row>
    <row r="110" spans="3:6" x14ac:dyDescent="0.3">
      <c r="E110" s="1" t="s">
        <v>21</v>
      </c>
      <c r="F110" s="1">
        <v>35858</v>
      </c>
    </row>
    <row r="111" spans="3:6" x14ac:dyDescent="0.3">
      <c r="C111" t="s">
        <v>10</v>
      </c>
      <c r="D111">
        <f>150266+123699+274881+SUM(E112,E114,E115,E120)</f>
        <v>2195895</v>
      </c>
    </row>
    <row r="112" spans="3:6" x14ac:dyDescent="0.3">
      <c r="D112" t="s">
        <v>21</v>
      </c>
      <c r="E112">
        <f>F113</f>
        <v>268708</v>
      </c>
    </row>
    <row r="113" spans="3:9" x14ac:dyDescent="0.3">
      <c r="E113" t="s">
        <v>95</v>
      </c>
      <c r="F113">
        <f>268708</f>
        <v>268708</v>
      </c>
    </row>
    <row r="114" spans="3:9" x14ac:dyDescent="0.3">
      <c r="D114" t="s">
        <v>92</v>
      </c>
      <c r="E114">
        <f>192327</f>
        <v>192327</v>
      </c>
    </row>
    <row r="115" spans="3:9" x14ac:dyDescent="0.3">
      <c r="D115" t="s">
        <v>93</v>
      </c>
      <c r="E115">
        <f>SUM(F116,F117)</f>
        <v>350944</v>
      </c>
    </row>
    <row r="116" spans="3:9" x14ac:dyDescent="0.3">
      <c r="E116" t="s">
        <v>96</v>
      </c>
      <c r="F116">
        <f>227553</f>
        <v>227553</v>
      </c>
    </row>
    <row r="117" spans="3:9" x14ac:dyDescent="0.3">
      <c r="E117" t="s">
        <v>97</v>
      </c>
      <c r="F117">
        <f>G118</f>
        <v>123391</v>
      </c>
    </row>
    <row r="118" spans="3:9" x14ac:dyDescent="0.3">
      <c r="F118" t="s">
        <v>10</v>
      </c>
      <c r="G118">
        <f>H119</f>
        <v>123391</v>
      </c>
    </row>
    <row r="119" spans="3:9" x14ac:dyDescent="0.3">
      <c r="G119" t="s">
        <v>8</v>
      </c>
      <c r="H119">
        <v>123391</v>
      </c>
    </row>
    <row r="120" spans="3:9" x14ac:dyDescent="0.3">
      <c r="D120" t="s">
        <v>94</v>
      </c>
      <c r="E120">
        <f>68783+1972+174775+F121</f>
        <v>835070</v>
      </c>
    </row>
    <row r="121" spans="3:9" x14ac:dyDescent="0.3">
      <c r="E121" t="s">
        <v>10</v>
      </c>
      <c r="F121">
        <f>SUM(G122,G125)</f>
        <v>589540</v>
      </c>
    </row>
    <row r="122" spans="3:9" x14ac:dyDescent="0.3">
      <c r="F122" t="s">
        <v>98</v>
      </c>
      <c r="G122">
        <f>H123</f>
        <v>274348</v>
      </c>
    </row>
    <row r="123" spans="3:9" x14ac:dyDescent="0.3">
      <c r="G123" t="s">
        <v>100</v>
      </c>
      <c r="H123">
        <f>I124</f>
        <v>274348</v>
      </c>
    </row>
    <row r="124" spans="3:9" x14ac:dyDescent="0.3">
      <c r="H124" t="s">
        <v>101</v>
      </c>
      <c r="I124">
        <f>274348</f>
        <v>274348</v>
      </c>
    </row>
    <row r="125" spans="3:9" x14ac:dyDescent="0.3">
      <c r="F125" t="s">
        <v>99</v>
      </c>
      <c r="G125">
        <f>53867 + 159335+H126</f>
        <v>315192</v>
      </c>
    </row>
    <row r="126" spans="3:9" x14ac:dyDescent="0.3">
      <c r="G126" t="s">
        <v>102</v>
      </c>
      <c r="H126">
        <f>101990</f>
        <v>101990</v>
      </c>
    </row>
    <row r="127" spans="3:9" x14ac:dyDescent="0.3">
      <c r="C127" t="s">
        <v>11</v>
      </c>
      <c r="D127">
        <f>215886 + 47344</f>
        <v>263230</v>
      </c>
    </row>
    <row r="128" spans="3:9" x14ac:dyDescent="0.3">
      <c r="C128" t="s">
        <v>12</v>
      </c>
      <c r="D128">
        <f>140439+32199+SUM(E129,E135,E154,E155)</f>
        <v>5952839</v>
      </c>
    </row>
    <row r="129" spans="4:8" x14ac:dyDescent="0.3">
      <c r="D129" t="s">
        <v>103</v>
      </c>
      <c r="E129">
        <f>190874+227688+67798+241925+SUM(F130,F134)</f>
        <v>1505986</v>
      </c>
    </row>
    <row r="130" spans="4:8" x14ac:dyDescent="0.3">
      <c r="E130" t="s">
        <v>107</v>
      </c>
      <c r="F130">
        <f>63115+SUM(G131,G133)</f>
        <v>547298</v>
      </c>
    </row>
    <row r="131" spans="4:8" x14ac:dyDescent="0.3">
      <c r="F131" t="s">
        <v>109</v>
      </c>
      <c r="G131">
        <f>129283+53181+H132</f>
        <v>409943</v>
      </c>
    </row>
    <row r="132" spans="4:8" x14ac:dyDescent="0.3">
      <c r="G132" t="s">
        <v>110</v>
      </c>
      <c r="H132">
        <f>37405 + 190074</f>
        <v>227479</v>
      </c>
    </row>
    <row r="133" spans="4:8" x14ac:dyDescent="0.3">
      <c r="F133" s="1" t="s">
        <v>3</v>
      </c>
      <c r="G133" s="1">
        <f>74240</f>
        <v>74240</v>
      </c>
    </row>
    <row r="134" spans="4:8" x14ac:dyDescent="0.3">
      <c r="E134" t="s">
        <v>108</v>
      </c>
      <c r="F134">
        <f>230403</f>
        <v>230403</v>
      </c>
    </row>
    <row r="135" spans="4:8" x14ac:dyDescent="0.3">
      <c r="D135" t="s">
        <v>104</v>
      </c>
      <c r="E135">
        <f>189834+SUM(F136,F138,F139,F144,F146,F148,F149)</f>
        <v>3698863</v>
      </c>
    </row>
    <row r="136" spans="4:8" x14ac:dyDescent="0.3">
      <c r="E136" t="s">
        <v>111</v>
      </c>
      <c r="F136">
        <f>179306+G137</f>
        <v>211390</v>
      </c>
    </row>
    <row r="137" spans="4:8" x14ac:dyDescent="0.3">
      <c r="F137" s="1" t="s">
        <v>117</v>
      </c>
      <c r="G137" s="1">
        <f>5683 + 26401</f>
        <v>32084</v>
      </c>
    </row>
    <row r="138" spans="4:8" x14ac:dyDescent="0.3">
      <c r="E138" t="s">
        <v>112</v>
      </c>
      <c r="F138">
        <f>233472</f>
        <v>233472</v>
      </c>
    </row>
    <row r="139" spans="4:8" x14ac:dyDescent="0.3">
      <c r="E139" t="s">
        <v>113</v>
      </c>
      <c r="F139">
        <f>22887+26220+205306+SUM(G140,G141,G143)</f>
        <v>1437061</v>
      </c>
    </row>
    <row r="140" spans="4:8" x14ac:dyDescent="0.3">
      <c r="F140" s="1" t="s">
        <v>21</v>
      </c>
      <c r="G140" s="1">
        <f>15191 + 69967</f>
        <v>85158</v>
      </c>
    </row>
    <row r="141" spans="4:8" x14ac:dyDescent="0.3">
      <c r="F141" t="s">
        <v>10</v>
      </c>
      <c r="G141">
        <f>51485+H142</f>
        <v>400067</v>
      </c>
    </row>
    <row r="142" spans="4:8" x14ac:dyDescent="0.3">
      <c r="G142" t="s">
        <v>21</v>
      </c>
      <c r="H142">
        <f>177470 + 171112</f>
        <v>348582</v>
      </c>
    </row>
    <row r="143" spans="4:8" x14ac:dyDescent="0.3">
      <c r="F143" t="s">
        <v>8</v>
      </c>
      <c r="G143">
        <f>112049 + 55379 + 115551 + 229037 + 185407</f>
        <v>697423</v>
      </c>
    </row>
    <row r="144" spans="4:8" x14ac:dyDescent="0.3">
      <c r="E144" t="s">
        <v>114</v>
      </c>
      <c r="F144">
        <f>228962+12517+133256+G145</f>
        <v>507884</v>
      </c>
    </row>
    <row r="145" spans="2:8" x14ac:dyDescent="0.3">
      <c r="F145" t="s">
        <v>118</v>
      </c>
      <c r="G145">
        <f>133149</f>
        <v>133149</v>
      </c>
    </row>
    <row r="146" spans="2:8" x14ac:dyDescent="0.3">
      <c r="E146" t="s">
        <v>115</v>
      </c>
      <c r="F146">
        <f>G147</f>
        <v>144413</v>
      </c>
    </row>
    <row r="147" spans="2:8" x14ac:dyDescent="0.3">
      <c r="F147" t="s">
        <v>3</v>
      </c>
      <c r="G147">
        <f>144413</f>
        <v>144413</v>
      </c>
    </row>
    <row r="148" spans="2:8" x14ac:dyDescent="0.3">
      <c r="E148" t="s">
        <v>10</v>
      </c>
      <c r="F148">
        <f>13268 + 160270</f>
        <v>173538</v>
      </c>
    </row>
    <row r="149" spans="2:8" x14ac:dyDescent="0.3">
      <c r="E149" t="s">
        <v>116</v>
      </c>
      <c r="F149">
        <f>SUM(G150:G152)</f>
        <v>801271</v>
      </c>
    </row>
    <row r="150" spans="2:8" x14ac:dyDescent="0.3">
      <c r="F150" s="1" t="s">
        <v>119</v>
      </c>
      <c r="G150" s="1">
        <f>45940</f>
        <v>45940</v>
      </c>
    </row>
    <row r="151" spans="2:8" x14ac:dyDescent="0.3">
      <c r="F151" t="s">
        <v>120</v>
      </c>
      <c r="G151">
        <f>257293 + 178888 + 117516</f>
        <v>553697</v>
      </c>
    </row>
    <row r="152" spans="2:8" x14ac:dyDescent="0.3">
      <c r="F152" t="s">
        <v>3</v>
      </c>
      <c r="G152">
        <f>H153</f>
        <v>201634</v>
      </c>
    </row>
    <row r="153" spans="2:8" x14ac:dyDescent="0.3">
      <c r="G153" t="s">
        <v>121</v>
      </c>
      <c r="H153">
        <f>201634</f>
        <v>201634</v>
      </c>
    </row>
    <row r="154" spans="2:8" x14ac:dyDescent="0.3">
      <c r="D154" t="s">
        <v>105</v>
      </c>
      <c r="E154">
        <f>65683 + 90177</f>
        <v>155860</v>
      </c>
    </row>
    <row r="155" spans="2:8" x14ac:dyDescent="0.3">
      <c r="D155" t="s">
        <v>106</v>
      </c>
      <c r="E155">
        <f>143164 + 276328</f>
        <v>419492</v>
      </c>
    </row>
    <row r="156" spans="2:8" x14ac:dyDescent="0.3">
      <c r="B156" t="s">
        <v>4</v>
      </c>
      <c r="C156">
        <f>3285+SUM(D157,D180,D181,D183)</f>
        <v>4778785</v>
      </c>
    </row>
    <row r="157" spans="2:8" x14ac:dyDescent="0.3">
      <c r="C157" t="s">
        <v>122</v>
      </c>
      <c r="D157">
        <f>227359+197252+94752+SUM(E158,E159,E161,E164,E168,E169)</f>
        <v>4141999</v>
      </c>
    </row>
    <row r="158" spans="2:8" x14ac:dyDescent="0.3">
      <c r="D158" t="s">
        <v>124</v>
      </c>
      <c r="E158">
        <f>133917 + 73962</f>
        <v>207879</v>
      </c>
    </row>
    <row r="159" spans="2:8" x14ac:dyDescent="0.3">
      <c r="D159" t="s">
        <v>125</v>
      </c>
      <c r="E159">
        <f>245624+F160</f>
        <v>512750</v>
      </c>
    </row>
    <row r="160" spans="2:8" x14ac:dyDescent="0.3">
      <c r="E160" t="s">
        <v>4</v>
      </c>
      <c r="F160">
        <f>267126</f>
        <v>267126</v>
      </c>
    </row>
    <row r="161" spans="4:8" x14ac:dyDescent="0.3">
      <c r="D161" t="s">
        <v>126</v>
      </c>
      <c r="E161">
        <f>168993+72483+274227+275923+SUM(F162:F163)</f>
        <v>1295640</v>
      </c>
    </row>
    <row r="162" spans="4:8" x14ac:dyDescent="0.3">
      <c r="E162" t="s">
        <v>129</v>
      </c>
      <c r="F162">
        <f>202930</f>
        <v>202930</v>
      </c>
    </row>
    <row r="163" spans="4:8" x14ac:dyDescent="0.3">
      <c r="E163" t="s">
        <v>130</v>
      </c>
      <c r="F163">
        <f>36978 + 264106</f>
        <v>301084</v>
      </c>
    </row>
    <row r="164" spans="4:8" x14ac:dyDescent="0.3">
      <c r="D164" t="s">
        <v>127</v>
      </c>
      <c r="E164">
        <f>SUM(F165:F167)</f>
        <v>227466</v>
      </c>
    </row>
    <row r="165" spans="4:8" x14ac:dyDescent="0.3">
      <c r="E165" t="s">
        <v>131</v>
      </c>
      <c r="F165">
        <f>192705</f>
        <v>192705</v>
      </c>
    </row>
    <row r="166" spans="4:8" x14ac:dyDescent="0.3">
      <c r="E166" s="1" t="s">
        <v>132</v>
      </c>
      <c r="F166" s="1">
        <f>6145</f>
        <v>6145</v>
      </c>
    </row>
    <row r="167" spans="4:8" x14ac:dyDescent="0.3">
      <c r="E167" s="1" t="s">
        <v>133</v>
      </c>
      <c r="F167" s="1">
        <f>28616</f>
        <v>28616</v>
      </c>
    </row>
    <row r="168" spans="4:8" x14ac:dyDescent="0.3">
      <c r="D168" t="s">
        <v>10</v>
      </c>
      <c r="E168">
        <f>199943</f>
        <v>199943</v>
      </c>
    </row>
    <row r="169" spans="4:8" x14ac:dyDescent="0.3">
      <c r="D169" t="s">
        <v>128</v>
      </c>
      <c r="E169">
        <f>277127+SUM(F170,F177)</f>
        <v>1178958</v>
      </c>
    </row>
    <row r="170" spans="4:8" x14ac:dyDescent="0.3">
      <c r="E170" t="s">
        <v>134</v>
      </c>
      <c r="F170">
        <f>SUM(G175,G176,G171)</f>
        <v>826391</v>
      </c>
    </row>
    <row r="171" spans="4:8" x14ac:dyDescent="0.3">
      <c r="F171" t="s">
        <v>136</v>
      </c>
      <c r="G171">
        <f xml:space="preserve"> SUM(H172:H174)</f>
        <v>487965</v>
      </c>
    </row>
    <row r="172" spans="4:8" x14ac:dyDescent="0.3">
      <c r="G172" t="s">
        <v>139</v>
      </c>
      <c r="H172">
        <f>203851</f>
        <v>203851</v>
      </c>
    </row>
    <row r="173" spans="4:8" x14ac:dyDescent="0.3">
      <c r="G173" s="1" t="s">
        <v>140</v>
      </c>
      <c r="H173" s="1">
        <f>17360</f>
        <v>17360</v>
      </c>
    </row>
    <row r="174" spans="4:8" x14ac:dyDescent="0.3">
      <c r="G174" t="s">
        <v>141</v>
      </c>
      <c r="H174">
        <f>266754</f>
        <v>266754</v>
      </c>
    </row>
    <row r="175" spans="4:8" x14ac:dyDescent="0.3">
      <c r="F175" t="s">
        <v>137</v>
      </c>
      <c r="G175">
        <f>7336 + 263587</f>
        <v>270923</v>
      </c>
    </row>
    <row r="176" spans="4:8" x14ac:dyDescent="0.3">
      <c r="F176" s="1" t="s">
        <v>138</v>
      </c>
      <c r="G176" s="1">
        <f>67503</f>
        <v>67503</v>
      </c>
    </row>
    <row r="177" spans="1:7" x14ac:dyDescent="0.3">
      <c r="E177" s="1" t="s">
        <v>135</v>
      </c>
      <c r="F177" s="1">
        <f>G178</f>
        <v>75440</v>
      </c>
    </row>
    <row r="178" spans="1:7" x14ac:dyDescent="0.3">
      <c r="F178" s="1" t="s">
        <v>4</v>
      </c>
      <c r="G178" s="1">
        <v>75440</v>
      </c>
    </row>
    <row r="180" spans="1:7" x14ac:dyDescent="0.3">
      <c r="C180" t="s">
        <v>123</v>
      </c>
      <c r="D180">
        <f>15116 + 260475 + 110655</f>
        <v>386246</v>
      </c>
    </row>
    <row r="181" spans="1:7" x14ac:dyDescent="0.3">
      <c r="C181" s="1" t="s">
        <v>4</v>
      </c>
      <c r="D181" s="1">
        <f>E182</f>
        <v>79880</v>
      </c>
    </row>
    <row r="182" spans="1:7" x14ac:dyDescent="0.3">
      <c r="D182" s="1" t="s">
        <v>142</v>
      </c>
      <c r="E182" s="1">
        <f>79880</f>
        <v>79880</v>
      </c>
    </row>
    <row r="183" spans="1:7" x14ac:dyDescent="0.3">
      <c r="C183" t="s">
        <v>8</v>
      </c>
      <c r="D183">
        <f>E184</f>
        <v>167375</v>
      </c>
    </row>
    <row r="184" spans="1:7" x14ac:dyDescent="0.3">
      <c r="D184" t="s">
        <v>4</v>
      </c>
      <c r="E184">
        <f>SUM(F185)</f>
        <v>167375</v>
      </c>
    </row>
    <row r="185" spans="1:7" x14ac:dyDescent="0.3">
      <c r="E185" t="s">
        <v>143</v>
      </c>
      <c r="F185">
        <v>167375</v>
      </c>
    </row>
    <row r="189" spans="1:7" x14ac:dyDescent="0.3">
      <c r="A189">
        <f>SUM(E182+D181+G178+F177+G176+H173+F167+F166+G150+G140+G137+G133+F110+F105+F104+F101+G88+I82+K72+K71+K64+N60+M59+L58+L55+K51+L44+L41+G21)</f>
        <v>1423358</v>
      </c>
    </row>
  </sheetData>
  <conditionalFormatting sqref="A1:N178">
    <cfRule type="cellIs" dxfId="1" priority="1" operator="between">
      <formula>555000</formula>
      <formula>532950</formula>
    </cfRule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Graham</dc:creator>
  <cp:lastModifiedBy>Robert Graham</cp:lastModifiedBy>
  <dcterms:created xsi:type="dcterms:W3CDTF">2022-12-07T17:26:02Z</dcterms:created>
  <dcterms:modified xsi:type="dcterms:W3CDTF">2022-12-07T19:59:15Z</dcterms:modified>
</cp:coreProperties>
</file>